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8_{8F0792BA-1921-44AE-B267-04E0E29DAA49}" xr6:coauthVersionLast="43" xr6:coauthVersionMax="43" xr10:uidLastSave="{00000000-0000-0000-0000-000000000000}"/>
  <bookViews>
    <workbookView xWindow="-120" yWindow="-120" windowWidth="24240" windowHeight="13140" firstSheet="3" activeTab="11" xr2:uid="{00000000-000D-0000-FFFF-FFFF00000000}"/>
  </bookViews>
  <sheets>
    <sheet name="ENERO " sheetId="1" r:id="rId1"/>
    <sheet name="FEBRERO " sheetId="2" r:id="rId2"/>
    <sheet name="MARZO " sheetId="3" r:id="rId3"/>
    <sheet name="ABRIL " sheetId="4" r:id="rId4"/>
    <sheet name="MAYO " sheetId="5" r:id="rId5"/>
    <sheet name="JUNIO" sheetId="6" r:id="rId6"/>
    <sheet name="JULIO " sheetId="7" r:id="rId7"/>
    <sheet name="AGOSTO " sheetId="8" r:id="rId8"/>
    <sheet name="SEPTIEMBRE" sheetId="9" r:id="rId9"/>
    <sheet name="OCTUBRE " sheetId="10" r:id="rId10"/>
    <sheet name="NOVIEMBRE " sheetId="11" r:id="rId11"/>
    <sheet name="DICIEMBRE " sheetId="12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1" i="12" l="1"/>
  <c r="C191" i="12"/>
  <c r="C184" i="12"/>
  <c r="C186" i="12" s="1"/>
  <c r="P145" i="12"/>
  <c r="O145" i="12"/>
  <c r="V121" i="12"/>
  <c r="T121" i="12"/>
  <c r="S121" i="12"/>
  <c r="R121" i="12"/>
  <c r="F121" i="12"/>
  <c r="Q120" i="12"/>
  <c r="X120" i="12" s="1"/>
  <c r="P120" i="12"/>
  <c r="H120" i="12"/>
  <c r="O120" i="12" s="1"/>
  <c r="Y120" i="12" s="1"/>
  <c r="Q119" i="12"/>
  <c r="P119" i="12"/>
  <c r="X119" i="12" s="1"/>
  <c r="K119" i="12"/>
  <c r="H119" i="12"/>
  <c r="O119" i="12" s="1"/>
  <c r="Q118" i="12"/>
  <c r="P118" i="12"/>
  <c r="K118" i="12"/>
  <c r="H118" i="12"/>
  <c r="O118" i="12" s="1"/>
  <c r="Q117" i="12"/>
  <c r="P117" i="12"/>
  <c r="K117" i="12"/>
  <c r="H117" i="12"/>
  <c r="O117" i="12" s="1"/>
  <c r="Q116" i="12"/>
  <c r="P116" i="12"/>
  <c r="X116" i="12" s="1"/>
  <c r="O116" i="12"/>
  <c r="Y116" i="12" s="1"/>
  <c r="H116" i="12"/>
  <c r="P115" i="12"/>
  <c r="X115" i="12" s="1"/>
  <c r="O115" i="12"/>
  <c r="Y115" i="12" s="1"/>
  <c r="J115" i="12"/>
  <c r="H115" i="12"/>
  <c r="Q115" i="12" s="1"/>
  <c r="Q114" i="12"/>
  <c r="P114" i="12"/>
  <c r="X114" i="12" s="1"/>
  <c r="K114" i="12"/>
  <c r="H114" i="12" s="1"/>
  <c r="O114" i="12" s="1"/>
  <c r="Y114" i="12" s="1"/>
  <c r="P113" i="12"/>
  <c r="X113" i="12" s="1"/>
  <c r="O113" i="12"/>
  <c r="J113" i="12"/>
  <c r="H113" i="12"/>
  <c r="Q113" i="12" s="1"/>
  <c r="Q112" i="12"/>
  <c r="O112" i="12"/>
  <c r="H112" i="12"/>
  <c r="P111" i="12"/>
  <c r="X111" i="12" s="1"/>
  <c r="K111" i="12"/>
  <c r="H111" i="12"/>
  <c r="O111" i="12" s="1"/>
  <c r="X110" i="12"/>
  <c r="H110" i="12"/>
  <c r="O110" i="12" s="1"/>
  <c r="Y110" i="12" s="1"/>
  <c r="X109" i="12"/>
  <c r="W109" i="12"/>
  <c r="Q109" i="12"/>
  <c r="P109" i="12"/>
  <c r="O109" i="12"/>
  <c r="Y109" i="12" s="1"/>
  <c r="H109" i="12"/>
  <c r="X108" i="12"/>
  <c r="Q108" i="12"/>
  <c r="H108" i="12"/>
  <c r="P108" i="12" s="1"/>
  <c r="X107" i="12"/>
  <c r="Q107" i="12"/>
  <c r="P107" i="12"/>
  <c r="K107" i="12"/>
  <c r="H107" i="12" s="1"/>
  <c r="J107" i="12"/>
  <c r="Q106" i="12"/>
  <c r="X106" i="12" s="1"/>
  <c r="P106" i="12"/>
  <c r="K106" i="12"/>
  <c r="H106" i="12" s="1"/>
  <c r="O106" i="12" s="1"/>
  <c r="J106" i="12"/>
  <c r="X105" i="12"/>
  <c r="Q105" i="12"/>
  <c r="P105" i="12"/>
  <c r="J105" i="12"/>
  <c r="O105" i="12" s="1"/>
  <c r="I105" i="12"/>
  <c r="H105" i="12"/>
  <c r="Q104" i="12"/>
  <c r="P104" i="12"/>
  <c r="O104" i="12"/>
  <c r="H104" i="12"/>
  <c r="Q103" i="12"/>
  <c r="P103" i="12"/>
  <c r="X103" i="12" s="1"/>
  <c r="H103" i="12"/>
  <c r="O103" i="12" s="1"/>
  <c r="Y103" i="12" s="1"/>
  <c r="X102" i="12"/>
  <c r="Q102" i="12"/>
  <c r="P102" i="12"/>
  <c r="K102" i="12"/>
  <c r="H102" i="12" s="1"/>
  <c r="O102" i="12" s="1"/>
  <c r="Y102" i="12" s="1"/>
  <c r="P101" i="12"/>
  <c r="X101" i="12" s="1"/>
  <c r="K101" i="12"/>
  <c r="H101" i="12"/>
  <c r="O101" i="12" s="1"/>
  <c r="X100" i="12"/>
  <c r="Q100" i="12"/>
  <c r="P100" i="12"/>
  <c r="K100" i="12"/>
  <c r="H100" i="12"/>
  <c r="O100" i="12" s="1"/>
  <c r="Y100" i="12" s="1"/>
  <c r="Q99" i="12"/>
  <c r="P99" i="12"/>
  <c r="X99" i="12" s="1"/>
  <c r="K99" i="12"/>
  <c r="H99" i="12"/>
  <c r="O99" i="12" s="1"/>
  <c r="X98" i="12"/>
  <c r="Q98" i="12"/>
  <c r="P98" i="12"/>
  <c r="K98" i="12"/>
  <c r="H98" i="12" s="1"/>
  <c r="J98" i="12"/>
  <c r="Q97" i="12"/>
  <c r="X97" i="12" s="1"/>
  <c r="P97" i="12"/>
  <c r="K97" i="12"/>
  <c r="H97" i="12"/>
  <c r="O97" i="12" s="1"/>
  <c r="Q96" i="12"/>
  <c r="X96" i="12" s="1"/>
  <c r="P96" i="12"/>
  <c r="K96" i="12"/>
  <c r="H96" i="12"/>
  <c r="O96" i="12" s="1"/>
  <c r="Y95" i="12"/>
  <c r="Q95" i="12"/>
  <c r="X95" i="12" s="1"/>
  <c r="P95" i="12"/>
  <c r="O95" i="12"/>
  <c r="H95" i="12"/>
  <c r="J94" i="12"/>
  <c r="H94" i="12"/>
  <c r="Q93" i="12"/>
  <c r="P93" i="12"/>
  <c r="X93" i="12" s="1"/>
  <c r="K93" i="12"/>
  <c r="H93" i="12" s="1"/>
  <c r="O93" i="12" s="1"/>
  <c r="Y93" i="12" s="1"/>
  <c r="Q92" i="12"/>
  <c r="X92" i="12" s="1"/>
  <c r="P92" i="12"/>
  <c r="K92" i="12"/>
  <c r="J92" i="12"/>
  <c r="H92" i="12"/>
  <c r="O92" i="12" s="1"/>
  <c r="Q91" i="12"/>
  <c r="X91" i="12" s="1"/>
  <c r="P91" i="12"/>
  <c r="K91" i="12"/>
  <c r="H91" i="12"/>
  <c r="O91" i="12" s="1"/>
  <c r="O90" i="12"/>
  <c r="H90" i="12"/>
  <c r="N89" i="12"/>
  <c r="N121" i="12" s="1"/>
  <c r="H89" i="12"/>
  <c r="O89" i="12" s="1"/>
  <c r="Y89" i="12" s="1"/>
  <c r="Q88" i="12"/>
  <c r="X88" i="12" s="1"/>
  <c r="P88" i="12"/>
  <c r="K88" i="12"/>
  <c r="H88" i="12" s="1"/>
  <c r="J88" i="12"/>
  <c r="P87" i="12"/>
  <c r="O87" i="12"/>
  <c r="K87" i="12"/>
  <c r="H87" i="12" s="1"/>
  <c r="X86" i="12"/>
  <c r="Q86" i="12"/>
  <c r="P86" i="12"/>
  <c r="O86" i="12"/>
  <c r="Y86" i="12" s="1"/>
  <c r="H86" i="12"/>
  <c r="G85" i="12"/>
  <c r="Q84" i="12"/>
  <c r="P84" i="12"/>
  <c r="X84" i="12" s="1"/>
  <c r="O84" i="12"/>
  <c r="Y84" i="12" s="1"/>
  <c r="H84" i="12"/>
  <c r="X83" i="12"/>
  <c r="Q83" i="12"/>
  <c r="P83" i="12"/>
  <c r="K83" i="12"/>
  <c r="H83" i="12" s="1"/>
  <c r="O83" i="12" s="1"/>
  <c r="Y83" i="12" s="1"/>
  <c r="J83" i="12"/>
  <c r="Q82" i="12"/>
  <c r="P82" i="12"/>
  <c r="X82" i="12" s="1"/>
  <c r="O82" i="12"/>
  <c r="Y82" i="12" s="1"/>
  <c r="K82" i="12"/>
  <c r="H82" i="12"/>
  <c r="Q81" i="12"/>
  <c r="P81" i="12"/>
  <c r="K81" i="12"/>
  <c r="J81" i="12"/>
  <c r="I81" i="12"/>
  <c r="H81" i="12"/>
  <c r="X80" i="12"/>
  <c r="P80" i="12"/>
  <c r="K80" i="12"/>
  <c r="J80" i="12"/>
  <c r="H80" i="12"/>
  <c r="O80" i="12" s="1"/>
  <c r="Y80" i="12" s="1"/>
  <c r="Q79" i="12"/>
  <c r="X79" i="12" s="1"/>
  <c r="P79" i="12"/>
  <c r="K79" i="12"/>
  <c r="H79" i="12" s="1"/>
  <c r="I79" i="12"/>
  <c r="I121" i="12" s="1"/>
  <c r="Q78" i="12"/>
  <c r="P78" i="12"/>
  <c r="X78" i="12" s="1"/>
  <c r="K78" i="12"/>
  <c r="I78" i="12"/>
  <c r="H78" i="12"/>
  <c r="O78" i="12" s="1"/>
  <c r="P77" i="12"/>
  <c r="X77" i="12" s="1"/>
  <c r="O77" i="12"/>
  <c r="Y77" i="12" s="1"/>
  <c r="J77" i="12"/>
  <c r="H77" i="12"/>
  <c r="Y76" i="12"/>
  <c r="X76" i="12"/>
  <c r="H76" i="12"/>
  <c r="O76" i="12" s="1"/>
  <c r="B76" i="12"/>
  <c r="B77" i="12" s="1"/>
  <c r="B78" i="12" s="1"/>
  <c r="B79" i="12" s="1"/>
  <c r="B80" i="12" s="1"/>
  <c r="B81" i="12" s="1"/>
  <c r="B82" i="12" s="1"/>
  <c r="B83" i="12" s="1"/>
  <c r="B84" i="12" s="1"/>
  <c r="B85" i="12" s="1"/>
  <c r="B86" i="12" s="1"/>
  <c r="B87" i="12" s="1"/>
  <c r="B88" i="12" s="1"/>
  <c r="B89" i="12" s="1"/>
  <c r="B90" i="12" s="1"/>
  <c r="B91" i="12" s="1"/>
  <c r="B92" i="12" s="1"/>
  <c r="B93" i="12" s="1"/>
  <c r="B94" i="12" s="1"/>
  <c r="B95" i="12" s="1"/>
  <c r="B96" i="12" s="1"/>
  <c r="B97" i="12" s="1"/>
  <c r="B98" i="12" s="1"/>
  <c r="B99" i="12" s="1"/>
  <c r="B100" i="12" s="1"/>
  <c r="B101" i="12" s="1"/>
  <c r="B102" i="12" s="1"/>
  <c r="B103" i="12" s="1"/>
  <c r="B104" i="12" s="1"/>
  <c r="B105" i="12" s="1"/>
  <c r="B106" i="12" s="1"/>
  <c r="B107" i="12" s="1"/>
  <c r="B108" i="12" s="1"/>
  <c r="B109" i="12" s="1"/>
  <c r="B110" i="12" s="1"/>
  <c r="B111" i="12" s="1"/>
  <c r="B112" i="12" s="1"/>
  <c r="B113" i="12" s="1"/>
  <c r="B114" i="12" s="1"/>
  <c r="B115" i="12" s="1"/>
  <c r="B116" i="12" s="1"/>
  <c r="B117" i="12" s="1"/>
  <c r="B118" i="12" s="1"/>
  <c r="B119" i="12" s="1"/>
  <c r="B120" i="12" s="1"/>
  <c r="Y75" i="12"/>
  <c r="Q75" i="12"/>
  <c r="P75" i="12"/>
  <c r="X75" i="12" s="1"/>
  <c r="O75" i="12"/>
  <c r="H75" i="12"/>
  <c r="X74" i="12"/>
  <c r="H74" i="12"/>
  <c r="O74" i="12" s="1"/>
  <c r="X73" i="12"/>
  <c r="O73" i="12"/>
  <c r="Y73" i="12" s="1"/>
  <c r="H73" i="12"/>
  <c r="Q72" i="12"/>
  <c r="X72" i="12" s="1"/>
  <c r="P72" i="12"/>
  <c r="H72" i="12"/>
  <c r="O72" i="12" s="1"/>
  <c r="B72" i="12"/>
  <c r="B73" i="12" s="1"/>
  <c r="B74" i="12" s="1"/>
  <c r="B75" i="12" s="1"/>
  <c r="Y71" i="12"/>
  <c r="Q71" i="12"/>
  <c r="P71" i="12"/>
  <c r="X71" i="12" s="1"/>
  <c r="O71" i="12"/>
  <c r="K71" i="12"/>
  <c r="H71" i="12"/>
  <c r="B71" i="12"/>
  <c r="Q70" i="12"/>
  <c r="P70" i="12"/>
  <c r="K70" i="12"/>
  <c r="J70" i="12"/>
  <c r="H70" i="12"/>
  <c r="Q69" i="12"/>
  <c r="P69" i="12"/>
  <c r="O69" i="12"/>
  <c r="H69" i="12"/>
  <c r="H68" i="12"/>
  <c r="O67" i="12"/>
  <c r="Q67" i="12" s="1"/>
  <c r="H67" i="12"/>
  <c r="X66" i="12"/>
  <c r="Q66" i="12"/>
  <c r="O66" i="12"/>
  <c r="Y66" i="12" s="1"/>
  <c r="H66" i="12"/>
  <c r="P66" i="12" s="1"/>
  <c r="Q65" i="12"/>
  <c r="P65" i="12"/>
  <c r="X65" i="12" s="1"/>
  <c r="Y65" i="12" s="1"/>
  <c r="O65" i="12"/>
  <c r="H65" i="12"/>
  <c r="X64" i="12"/>
  <c r="Q64" i="12"/>
  <c r="P64" i="12"/>
  <c r="H64" i="12"/>
  <c r="O64" i="12" s="1"/>
  <c r="Y64" i="12" s="1"/>
  <c r="Q63" i="12"/>
  <c r="P63" i="12"/>
  <c r="O63" i="12"/>
  <c r="H63" i="12"/>
  <c r="X62" i="12"/>
  <c r="Q62" i="12"/>
  <c r="P62" i="12"/>
  <c r="O62" i="12"/>
  <c r="Y62" i="12" s="1"/>
  <c r="H62" i="12"/>
  <c r="Q61" i="12"/>
  <c r="P61" i="12"/>
  <c r="X61" i="12" s="1"/>
  <c r="O61" i="12"/>
  <c r="Y61" i="12" s="1"/>
  <c r="K61" i="12"/>
  <c r="H61" i="12"/>
  <c r="H60" i="12"/>
  <c r="O60" i="12" s="1"/>
  <c r="Q60" i="12" s="1"/>
  <c r="Q59" i="12"/>
  <c r="H59" i="12"/>
  <c r="O59" i="12" s="1"/>
  <c r="O58" i="12"/>
  <c r="H58" i="12"/>
  <c r="X57" i="12"/>
  <c r="Q57" i="12"/>
  <c r="P57" i="12"/>
  <c r="H57" i="12"/>
  <c r="O57" i="12" s="1"/>
  <c r="P56" i="12"/>
  <c r="X56" i="12" s="1"/>
  <c r="Y56" i="12" s="1"/>
  <c r="O56" i="12"/>
  <c r="Q56" i="12" s="1"/>
  <c r="H56" i="12"/>
  <c r="AB55" i="12"/>
  <c r="X55" i="12"/>
  <c r="Q55" i="12"/>
  <c r="P55" i="12"/>
  <c r="O55" i="12"/>
  <c r="Y55" i="12" s="1"/>
  <c r="H55" i="12"/>
  <c r="Q54" i="12"/>
  <c r="P54" i="12"/>
  <c r="X54" i="12" s="1"/>
  <c r="O54" i="12"/>
  <c r="Y54" i="12" s="1"/>
  <c r="H54" i="12"/>
  <c r="Q53" i="12"/>
  <c r="X53" i="12" s="1"/>
  <c r="P53" i="12"/>
  <c r="H53" i="12"/>
  <c r="O53" i="12" s="1"/>
  <c r="Q52" i="12"/>
  <c r="P52" i="12"/>
  <c r="O52" i="12"/>
  <c r="H52" i="12"/>
  <c r="H51" i="12"/>
  <c r="P51" i="12" s="1"/>
  <c r="Q50" i="12"/>
  <c r="P50" i="12"/>
  <c r="O50" i="12"/>
  <c r="H50" i="12"/>
  <c r="X49" i="12"/>
  <c r="Q49" i="12"/>
  <c r="K49" i="12"/>
  <c r="X48" i="12"/>
  <c r="Q48" i="12"/>
  <c r="P48" i="12"/>
  <c r="O48" i="12"/>
  <c r="Y48" i="12" s="1"/>
  <c r="H48" i="12"/>
  <c r="Q47" i="12"/>
  <c r="P47" i="12"/>
  <c r="X47" i="12" s="1"/>
  <c r="O47" i="12"/>
  <c r="Y47" i="12" s="1"/>
  <c r="H47" i="12"/>
  <c r="X46" i="12"/>
  <c r="Q46" i="12"/>
  <c r="P46" i="12"/>
  <c r="H46" i="12"/>
  <c r="O46" i="12" s="1"/>
  <c r="Y46" i="12" s="1"/>
  <c r="W45" i="12"/>
  <c r="U45" i="12"/>
  <c r="O45" i="12"/>
  <c r="H45" i="12"/>
  <c r="Q44" i="12"/>
  <c r="X44" i="12" s="1"/>
  <c r="P44" i="12"/>
  <c r="H44" i="12"/>
  <c r="O44" i="12" s="1"/>
  <c r="Q43" i="12"/>
  <c r="P43" i="12"/>
  <c r="O43" i="12"/>
  <c r="H43" i="12"/>
  <c r="Q42" i="12"/>
  <c r="X42" i="12" s="1"/>
  <c r="P42" i="12"/>
  <c r="O42" i="12"/>
  <c r="H42" i="12"/>
  <c r="Q41" i="12"/>
  <c r="P41" i="12"/>
  <c r="O41" i="12"/>
  <c r="H41" i="12"/>
  <c r="Q40" i="12"/>
  <c r="P40" i="12"/>
  <c r="X40" i="12" s="1"/>
  <c r="O40" i="12"/>
  <c r="H40" i="12"/>
  <c r="X39" i="12"/>
  <c r="Q39" i="12"/>
  <c r="P39" i="12"/>
  <c r="H39" i="12"/>
  <c r="O39" i="12" s="1"/>
  <c r="Y39" i="12" s="1"/>
  <c r="W38" i="12"/>
  <c r="Q38" i="12"/>
  <c r="P38" i="12"/>
  <c r="X38" i="12" s="1"/>
  <c r="H38" i="12"/>
  <c r="O38" i="12" s="1"/>
  <c r="Y38" i="12" s="1"/>
  <c r="P37" i="12"/>
  <c r="X37" i="12" s="1"/>
  <c r="O37" i="12"/>
  <c r="Q37" i="12" s="1"/>
  <c r="H37" i="12"/>
  <c r="X36" i="12"/>
  <c r="O36" i="12"/>
  <c r="Y36" i="12" s="1"/>
  <c r="H36" i="12"/>
  <c r="Q35" i="12"/>
  <c r="P35" i="12"/>
  <c r="X35" i="12" s="1"/>
  <c r="H35" i="12"/>
  <c r="O35" i="12" s="1"/>
  <c r="X34" i="12"/>
  <c r="Q34" i="12"/>
  <c r="P34" i="12"/>
  <c r="H34" i="12"/>
  <c r="O34" i="12" s="1"/>
  <c r="Y34" i="12" s="1"/>
  <c r="H33" i="12"/>
  <c r="O33" i="12" s="1"/>
  <c r="H32" i="12"/>
  <c r="O32" i="12" s="1"/>
  <c r="H31" i="12"/>
  <c r="O31" i="12" s="1"/>
  <c r="W30" i="12"/>
  <c r="Q30" i="12"/>
  <c r="P30" i="12"/>
  <c r="X30" i="12" s="1"/>
  <c r="Y30" i="12" s="1"/>
  <c r="O30" i="12"/>
  <c r="H30" i="12"/>
  <c r="X29" i="12"/>
  <c r="Q29" i="12"/>
  <c r="P29" i="12"/>
  <c r="O29" i="12"/>
  <c r="Y29" i="12" s="1"/>
  <c r="H29" i="12"/>
  <c r="Q28" i="12"/>
  <c r="P28" i="12"/>
  <c r="X28" i="12" s="1"/>
  <c r="O28" i="12"/>
  <c r="Y28" i="12" s="1"/>
  <c r="H28" i="12"/>
  <c r="H27" i="12"/>
  <c r="O27" i="12" s="1"/>
  <c r="Q26" i="12"/>
  <c r="P26" i="12"/>
  <c r="O26" i="12"/>
  <c r="H26" i="12"/>
  <c r="O25" i="12"/>
  <c r="P25" i="12" s="1"/>
  <c r="H25" i="12"/>
  <c r="Q24" i="12"/>
  <c r="P24" i="12"/>
  <c r="X24" i="12" s="1"/>
  <c r="O24" i="12"/>
  <c r="Y24" i="12" s="1"/>
  <c r="H24" i="12"/>
  <c r="X23" i="12"/>
  <c r="Q23" i="12"/>
  <c r="P23" i="12"/>
  <c r="M23" i="12"/>
  <c r="M121" i="12" s="1"/>
  <c r="H23" i="12"/>
  <c r="Q22" i="12"/>
  <c r="P22" i="12"/>
  <c r="X22" i="12" s="1"/>
  <c r="H22" i="12"/>
  <c r="O22" i="12" s="1"/>
  <c r="P21" i="12"/>
  <c r="X21" i="12" s="1"/>
  <c r="O21" i="12"/>
  <c r="H21" i="12"/>
  <c r="Q21" i="12" s="1"/>
  <c r="Q20" i="12"/>
  <c r="X20" i="12" s="1"/>
  <c r="P20" i="12"/>
  <c r="H20" i="12"/>
  <c r="O20" i="12" s="1"/>
  <c r="X19" i="12"/>
  <c r="Q19" i="12"/>
  <c r="P19" i="12"/>
  <c r="H19" i="12"/>
  <c r="O19" i="12" s="1"/>
  <c r="Y19" i="12" s="1"/>
  <c r="H18" i="12"/>
  <c r="O18" i="12" s="1"/>
  <c r="O17" i="12"/>
  <c r="Q17" i="12" s="1"/>
  <c r="H17" i="12"/>
  <c r="Q16" i="12"/>
  <c r="X16" i="12" s="1"/>
  <c r="P16" i="12"/>
  <c r="H16" i="12"/>
  <c r="O16" i="12" s="1"/>
  <c r="Y16" i="12" s="1"/>
  <c r="Q15" i="12"/>
  <c r="P15" i="12"/>
  <c r="X15" i="12" s="1"/>
  <c r="O15" i="12"/>
  <c r="Y15" i="12" s="1"/>
  <c r="H15" i="12"/>
  <c r="H14" i="12"/>
  <c r="O14" i="12" s="1"/>
  <c r="P13" i="12"/>
  <c r="O13" i="12"/>
  <c r="H13" i="12"/>
  <c r="Q13" i="12" s="1"/>
  <c r="Q12" i="12"/>
  <c r="H12" i="12"/>
  <c r="P12" i="12" s="1"/>
  <c r="X12" i="12" s="1"/>
  <c r="P11" i="12"/>
  <c r="O11" i="12"/>
  <c r="H11" i="12"/>
  <c r="Q11" i="12" s="1"/>
  <c r="W10" i="12"/>
  <c r="W121" i="12" s="1"/>
  <c r="Q10" i="12"/>
  <c r="P10" i="12"/>
  <c r="H10" i="12"/>
  <c r="O10" i="12" s="1"/>
  <c r="Q9" i="12"/>
  <c r="P9" i="12"/>
  <c r="X9" i="12" s="1"/>
  <c r="O9" i="12"/>
  <c r="Y9" i="12" s="1"/>
  <c r="H9" i="12"/>
  <c r="X8" i="12"/>
  <c r="Q8" i="12"/>
  <c r="P8" i="12"/>
  <c r="H8" i="12"/>
  <c r="O8" i="12" s="1"/>
  <c r="Y8" i="12" s="1"/>
  <c r="Q7" i="12"/>
  <c r="P7" i="12"/>
  <c r="X7" i="12" s="1"/>
  <c r="O7" i="12"/>
  <c r="Y7" i="12" s="1"/>
  <c r="H7" i="12"/>
  <c r="X6" i="12"/>
  <c r="Q6" i="12"/>
  <c r="P6" i="12"/>
  <c r="H6" i="12"/>
  <c r="O6" i="12" s="1"/>
  <c r="Y6" i="12" s="1"/>
  <c r="Q5" i="12"/>
  <c r="P5" i="12"/>
  <c r="X5" i="12" s="1"/>
  <c r="O5" i="12"/>
  <c r="Y5" i="12" s="1"/>
  <c r="Q4" i="12"/>
  <c r="P4" i="12"/>
  <c r="H4" i="12"/>
  <c r="O4" i="12" s="1"/>
  <c r="C215" i="11"/>
  <c r="C195" i="11"/>
  <c r="C188" i="11"/>
  <c r="C190" i="11" s="1"/>
  <c r="P149" i="11"/>
  <c r="O149" i="11"/>
  <c r="V124" i="11"/>
  <c r="T124" i="11"/>
  <c r="S124" i="11"/>
  <c r="R124" i="11"/>
  <c r="N124" i="11"/>
  <c r="L124" i="11"/>
  <c r="K124" i="11"/>
  <c r="F124" i="11"/>
  <c r="Q123" i="11"/>
  <c r="P123" i="11"/>
  <c r="X123" i="11" s="1"/>
  <c r="H123" i="11"/>
  <c r="O123" i="11" s="1"/>
  <c r="Y123" i="11" s="1"/>
  <c r="H122" i="11"/>
  <c r="P121" i="11"/>
  <c r="H121" i="11"/>
  <c r="O121" i="11" s="1"/>
  <c r="X120" i="11"/>
  <c r="Q120" i="11"/>
  <c r="P120" i="11"/>
  <c r="H120" i="11"/>
  <c r="O120" i="11" s="1"/>
  <c r="Q119" i="11"/>
  <c r="P119" i="11"/>
  <c r="X119" i="11" s="1"/>
  <c r="H119" i="11"/>
  <c r="O119" i="11" s="1"/>
  <c r="X118" i="11"/>
  <c r="Q118" i="11"/>
  <c r="P118" i="11"/>
  <c r="H118" i="11"/>
  <c r="O118" i="11" s="1"/>
  <c r="P117" i="11"/>
  <c r="J117" i="11"/>
  <c r="O117" i="11" s="1"/>
  <c r="H117" i="11"/>
  <c r="Q117" i="11" s="1"/>
  <c r="Q116" i="11"/>
  <c r="X116" i="11" s="1"/>
  <c r="P116" i="11"/>
  <c r="O116" i="11"/>
  <c r="Y116" i="11" s="1"/>
  <c r="H116" i="11"/>
  <c r="J115" i="11"/>
  <c r="H115" i="11"/>
  <c r="Q114" i="11"/>
  <c r="H114" i="11"/>
  <c r="O114" i="11" s="1"/>
  <c r="X113" i="11"/>
  <c r="O113" i="11"/>
  <c r="P113" i="11" s="1"/>
  <c r="H113" i="11"/>
  <c r="Y112" i="11"/>
  <c r="X112" i="11"/>
  <c r="O112" i="11"/>
  <c r="H112" i="11"/>
  <c r="W111" i="11"/>
  <c r="Q111" i="11"/>
  <c r="P111" i="11"/>
  <c r="X111" i="11" s="1"/>
  <c r="H111" i="11"/>
  <c r="O111" i="11" s="1"/>
  <c r="Y111" i="11" s="1"/>
  <c r="H110" i="11"/>
  <c r="P109" i="11"/>
  <c r="J109" i="11"/>
  <c r="H109" i="11"/>
  <c r="O109" i="11" s="1"/>
  <c r="O108" i="11"/>
  <c r="J108" i="11"/>
  <c r="H108" i="11"/>
  <c r="Q108" i="11" s="1"/>
  <c r="X107" i="11"/>
  <c r="Q107" i="11"/>
  <c r="P107" i="11"/>
  <c r="H107" i="11"/>
  <c r="O107" i="11" s="1"/>
  <c r="Y107" i="11" s="1"/>
  <c r="P106" i="11"/>
  <c r="H106" i="11"/>
  <c r="O106" i="11" s="1"/>
  <c r="X105" i="11"/>
  <c r="Q105" i="11"/>
  <c r="P105" i="11"/>
  <c r="H105" i="11"/>
  <c r="O105" i="11" s="1"/>
  <c r="Y105" i="11" s="1"/>
  <c r="P104" i="11"/>
  <c r="H104" i="11"/>
  <c r="O104" i="11" s="1"/>
  <c r="X103" i="11"/>
  <c r="H103" i="11"/>
  <c r="O103" i="11" s="1"/>
  <c r="Y103" i="11" s="1"/>
  <c r="X102" i="11"/>
  <c r="Q102" i="11"/>
  <c r="P102" i="11"/>
  <c r="H102" i="11"/>
  <c r="O102" i="11" s="1"/>
  <c r="Y102" i="11" s="1"/>
  <c r="Q101" i="11"/>
  <c r="P101" i="11"/>
  <c r="X101" i="11" s="1"/>
  <c r="H101" i="11"/>
  <c r="O101" i="11" s="1"/>
  <c r="X100" i="11"/>
  <c r="Q100" i="11"/>
  <c r="P100" i="11"/>
  <c r="H100" i="11"/>
  <c r="O100" i="11" s="1"/>
  <c r="Q99" i="11"/>
  <c r="P99" i="11"/>
  <c r="X99" i="11" s="1"/>
  <c r="H99" i="11"/>
  <c r="O99" i="11" s="1"/>
  <c r="Y99" i="11" s="1"/>
  <c r="X98" i="11"/>
  <c r="Q98" i="11"/>
  <c r="P98" i="11"/>
  <c r="H98" i="11"/>
  <c r="O98" i="11" s="1"/>
  <c r="Y98" i="11" s="1"/>
  <c r="Q97" i="11"/>
  <c r="P97" i="11"/>
  <c r="X97" i="11" s="1"/>
  <c r="H97" i="11"/>
  <c r="O97" i="11" s="1"/>
  <c r="X96" i="11"/>
  <c r="P96" i="11"/>
  <c r="J96" i="11"/>
  <c r="H96" i="11"/>
  <c r="Q96" i="11" s="1"/>
  <c r="Q95" i="11"/>
  <c r="P95" i="11"/>
  <c r="O95" i="11"/>
  <c r="H95" i="11"/>
  <c r="Y94" i="11"/>
  <c r="Q94" i="11"/>
  <c r="X94" i="11" s="1"/>
  <c r="P94" i="11"/>
  <c r="O94" i="11"/>
  <c r="H94" i="11"/>
  <c r="Q93" i="11"/>
  <c r="P93" i="11"/>
  <c r="X93" i="11" s="1"/>
  <c r="O93" i="11"/>
  <c r="H93" i="11"/>
  <c r="O92" i="11"/>
  <c r="H92" i="11"/>
  <c r="H91" i="11"/>
  <c r="O91" i="11" s="1"/>
  <c r="Y91" i="11" s="1"/>
  <c r="Q90" i="11"/>
  <c r="P90" i="11"/>
  <c r="X90" i="11" s="1"/>
  <c r="H90" i="11"/>
  <c r="O90" i="11" s="1"/>
  <c r="H89" i="11"/>
  <c r="O89" i="11" s="1"/>
  <c r="Q88" i="11"/>
  <c r="P88" i="11"/>
  <c r="X88" i="11" s="1"/>
  <c r="H88" i="11"/>
  <c r="O88" i="11" s="1"/>
  <c r="Y88" i="11" s="1"/>
  <c r="X87" i="11"/>
  <c r="Q87" i="11"/>
  <c r="P87" i="11"/>
  <c r="H87" i="11"/>
  <c r="O87" i="11" s="1"/>
  <c r="Y87" i="11" s="1"/>
  <c r="Q86" i="11"/>
  <c r="P86" i="11"/>
  <c r="X86" i="11" s="1"/>
  <c r="J86" i="11"/>
  <c r="H86" i="11"/>
  <c r="O86" i="11" s="1"/>
  <c r="Y86" i="11" s="1"/>
  <c r="Q85" i="11"/>
  <c r="P85" i="11"/>
  <c r="X85" i="11" s="1"/>
  <c r="O85" i="11"/>
  <c r="Y85" i="11" s="1"/>
  <c r="H85" i="11"/>
  <c r="J84" i="11"/>
  <c r="H84" i="11"/>
  <c r="Q84" i="11" s="1"/>
  <c r="P83" i="11"/>
  <c r="J83" i="11"/>
  <c r="J124" i="11" s="1"/>
  <c r="H83" i="11"/>
  <c r="O83" i="11" s="1"/>
  <c r="Y82" i="11"/>
  <c r="Q82" i="11"/>
  <c r="O82" i="11"/>
  <c r="H82" i="11"/>
  <c r="P82" i="11" s="1"/>
  <c r="X82" i="11" s="1"/>
  <c r="Q81" i="11"/>
  <c r="P81" i="11"/>
  <c r="O81" i="11"/>
  <c r="H81" i="11"/>
  <c r="Y80" i="11"/>
  <c r="X80" i="11"/>
  <c r="O80" i="11"/>
  <c r="H80" i="11"/>
  <c r="Y79" i="11"/>
  <c r="X79" i="11"/>
  <c r="O79" i="11"/>
  <c r="H79" i="11"/>
  <c r="Y78" i="11"/>
  <c r="Q78" i="11"/>
  <c r="P78" i="11"/>
  <c r="X78" i="11" s="1"/>
  <c r="O78" i="11"/>
  <c r="H78" i="11"/>
  <c r="X77" i="11"/>
  <c r="O77" i="11"/>
  <c r="Y77" i="11" s="1"/>
  <c r="H77" i="11"/>
  <c r="X76" i="11"/>
  <c r="O76" i="11"/>
  <c r="Y76" i="11" s="1"/>
  <c r="H76" i="11"/>
  <c r="Q75" i="11"/>
  <c r="P75" i="11"/>
  <c r="X75" i="11" s="1"/>
  <c r="O75" i="11"/>
  <c r="H75" i="11"/>
  <c r="Q74" i="11"/>
  <c r="P74" i="11"/>
  <c r="X74" i="11" s="1"/>
  <c r="O74" i="11"/>
  <c r="Y74" i="11" s="1"/>
  <c r="H74" i="11"/>
  <c r="Q73" i="11"/>
  <c r="P73" i="11"/>
  <c r="O73" i="11"/>
  <c r="H73" i="11"/>
  <c r="Y72" i="11"/>
  <c r="Q72" i="11"/>
  <c r="X72" i="11" s="1"/>
  <c r="P72" i="11"/>
  <c r="O72" i="11"/>
  <c r="H72" i="11"/>
  <c r="Q71" i="11"/>
  <c r="O71" i="11"/>
  <c r="Y71" i="11" s="1"/>
  <c r="H71" i="11"/>
  <c r="P71" i="11" s="1"/>
  <c r="X71" i="11" s="1"/>
  <c r="O70" i="11"/>
  <c r="H70" i="11"/>
  <c r="Q69" i="11"/>
  <c r="O69" i="11"/>
  <c r="H69" i="11"/>
  <c r="P69" i="11" s="1"/>
  <c r="Q68" i="11"/>
  <c r="O68" i="11"/>
  <c r="H68" i="11"/>
  <c r="P68" i="11" s="1"/>
  <c r="Q67" i="11"/>
  <c r="P67" i="11"/>
  <c r="X67" i="11" s="1"/>
  <c r="Y67" i="11" s="1"/>
  <c r="O67" i="11"/>
  <c r="H67" i="11"/>
  <c r="Q66" i="11"/>
  <c r="O66" i="11"/>
  <c r="H66" i="11"/>
  <c r="P66" i="11" s="1"/>
  <c r="Q65" i="11"/>
  <c r="P65" i="11"/>
  <c r="O65" i="11"/>
  <c r="H65" i="11"/>
  <c r="Y64" i="11"/>
  <c r="Q64" i="11"/>
  <c r="X64" i="11" s="1"/>
  <c r="P64" i="11"/>
  <c r="O64" i="11"/>
  <c r="H64" i="11"/>
  <c r="Q63" i="11"/>
  <c r="O63" i="11"/>
  <c r="P63" i="11" s="1"/>
  <c r="H63" i="11"/>
  <c r="Q62" i="11"/>
  <c r="O62" i="11"/>
  <c r="P62" i="11" s="1"/>
  <c r="H62" i="11"/>
  <c r="Q61" i="11"/>
  <c r="O61" i="11"/>
  <c r="P61" i="11" s="1"/>
  <c r="H61" i="11"/>
  <c r="Q60" i="11"/>
  <c r="P60" i="11"/>
  <c r="O60" i="11"/>
  <c r="H60" i="11"/>
  <c r="O59" i="11"/>
  <c r="P59" i="11" s="1"/>
  <c r="H59" i="11"/>
  <c r="AB58" i="11"/>
  <c r="X58" i="11"/>
  <c r="Q58" i="11"/>
  <c r="P58" i="11"/>
  <c r="H58" i="11"/>
  <c r="O58" i="11" s="1"/>
  <c r="Y58" i="11" s="1"/>
  <c r="X57" i="11"/>
  <c r="Q57" i="11"/>
  <c r="P57" i="11"/>
  <c r="H57" i="11"/>
  <c r="O57" i="11" s="1"/>
  <c r="Y57" i="11" s="1"/>
  <c r="X56" i="11"/>
  <c r="Q56" i="11"/>
  <c r="P56" i="11"/>
  <c r="H56" i="11"/>
  <c r="O56" i="11" s="1"/>
  <c r="Y56" i="11" s="1"/>
  <c r="X55" i="11"/>
  <c r="Q55" i="11"/>
  <c r="P55" i="11"/>
  <c r="H55" i="11"/>
  <c r="O55" i="11" s="1"/>
  <c r="Y55" i="11" s="1"/>
  <c r="P54" i="11"/>
  <c r="H54" i="11"/>
  <c r="H53" i="11"/>
  <c r="P53" i="11" s="1"/>
  <c r="Q52" i="11"/>
  <c r="P52" i="11"/>
  <c r="X52" i="11" s="1"/>
  <c r="H52" i="11"/>
  <c r="O52" i="11" s="1"/>
  <c r="P51" i="11"/>
  <c r="H51" i="11"/>
  <c r="O51" i="11" s="1"/>
  <c r="H50" i="11"/>
  <c r="X49" i="11"/>
  <c r="Q49" i="11"/>
  <c r="P49" i="11"/>
  <c r="H49" i="11"/>
  <c r="O49" i="11" s="1"/>
  <c r="Y49" i="11" s="1"/>
  <c r="X48" i="11"/>
  <c r="W48" i="11"/>
  <c r="U48" i="11"/>
  <c r="U124" i="11" s="1"/>
  <c r="H48" i="11"/>
  <c r="O48" i="11" s="1"/>
  <c r="Y48" i="11" s="1"/>
  <c r="X47" i="11"/>
  <c r="Q47" i="11"/>
  <c r="P47" i="11"/>
  <c r="H47" i="11"/>
  <c r="O47" i="11" s="1"/>
  <c r="Y47" i="11" s="1"/>
  <c r="X46" i="11"/>
  <c r="Q46" i="11"/>
  <c r="P46" i="11"/>
  <c r="H46" i="11"/>
  <c r="O46" i="11" s="1"/>
  <c r="Y46" i="11" s="1"/>
  <c r="X45" i="11"/>
  <c r="Q45" i="11"/>
  <c r="P45" i="11"/>
  <c r="H45" i="11"/>
  <c r="O45" i="11" s="1"/>
  <c r="Y45" i="11" s="1"/>
  <c r="X44" i="11"/>
  <c r="Q44" i="11"/>
  <c r="P44" i="11"/>
  <c r="H44" i="11"/>
  <c r="O44" i="11" s="1"/>
  <c r="Y44" i="11" s="1"/>
  <c r="P43" i="11"/>
  <c r="H43" i="11"/>
  <c r="O43" i="11" s="1"/>
  <c r="Q42" i="11"/>
  <c r="O42" i="11"/>
  <c r="H42" i="11"/>
  <c r="P42" i="11" s="1"/>
  <c r="X41" i="11"/>
  <c r="Q41" i="11"/>
  <c r="P41" i="11"/>
  <c r="H41" i="11"/>
  <c r="O41" i="11" s="1"/>
  <c r="Y41" i="11" s="1"/>
  <c r="W40" i="11"/>
  <c r="Q40" i="11"/>
  <c r="P40" i="11"/>
  <c r="X40" i="11" s="1"/>
  <c r="H40" i="11"/>
  <c r="O40" i="11" s="1"/>
  <c r="Y40" i="11" s="1"/>
  <c r="AB39" i="11"/>
  <c r="Q39" i="11"/>
  <c r="O39" i="11"/>
  <c r="P39" i="11" s="1"/>
  <c r="X39" i="11" s="1"/>
  <c r="H39" i="11"/>
  <c r="O38" i="11"/>
  <c r="Q38" i="11" s="1"/>
  <c r="H38" i="11"/>
  <c r="X37" i="11"/>
  <c r="O37" i="11"/>
  <c r="Y37" i="11" s="1"/>
  <c r="H37" i="11"/>
  <c r="Q36" i="11"/>
  <c r="O36" i="11"/>
  <c r="H36" i="11"/>
  <c r="P36" i="11" s="1"/>
  <c r="X36" i="11" s="1"/>
  <c r="Q35" i="11"/>
  <c r="P35" i="11"/>
  <c r="X35" i="11" s="1"/>
  <c r="O35" i="11"/>
  <c r="H35" i="11"/>
  <c r="Q34" i="11"/>
  <c r="O34" i="11"/>
  <c r="P34" i="11" s="1"/>
  <c r="X34" i="11" s="1"/>
  <c r="H34" i="11"/>
  <c r="O33" i="11"/>
  <c r="H33" i="11"/>
  <c r="Q32" i="11"/>
  <c r="O32" i="11"/>
  <c r="H32" i="11"/>
  <c r="P32" i="11" s="1"/>
  <c r="X32" i="11" s="1"/>
  <c r="W31" i="11"/>
  <c r="Q31" i="11"/>
  <c r="P31" i="11"/>
  <c r="X31" i="11" s="1"/>
  <c r="H31" i="11"/>
  <c r="O31" i="11" s="1"/>
  <c r="Y31" i="11" s="1"/>
  <c r="X30" i="11"/>
  <c r="Q30" i="11"/>
  <c r="P30" i="11"/>
  <c r="H30" i="11"/>
  <c r="O30" i="11" s="1"/>
  <c r="Y30" i="11" s="1"/>
  <c r="Q29" i="11"/>
  <c r="P29" i="11"/>
  <c r="X29" i="11" s="1"/>
  <c r="H29" i="11"/>
  <c r="O29" i="11" s="1"/>
  <c r="H28" i="11"/>
  <c r="O28" i="11" s="1"/>
  <c r="P27" i="11"/>
  <c r="H27" i="11"/>
  <c r="O27" i="11" s="1"/>
  <c r="H26" i="11"/>
  <c r="O26" i="11" s="1"/>
  <c r="H25" i="11"/>
  <c r="O25" i="11" s="1"/>
  <c r="X24" i="11"/>
  <c r="Q24" i="11"/>
  <c r="P24" i="11"/>
  <c r="M24" i="11"/>
  <c r="M124" i="11" s="1"/>
  <c r="H24" i="11"/>
  <c r="Q23" i="11"/>
  <c r="X23" i="11" s="1"/>
  <c r="P23" i="11"/>
  <c r="O23" i="11"/>
  <c r="Y23" i="11" s="1"/>
  <c r="H23" i="11"/>
  <c r="Q22" i="11"/>
  <c r="P22" i="11"/>
  <c r="X22" i="11" s="1"/>
  <c r="O22" i="11"/>
  <c r="Y22" i="11" s="1"/>
  <c r="H22" i="11"/>
  <c r="Q21" i="11"/>
  <c r="X21" i="11" s="1"/>
  <c r="P21" i="11"/>
  <c r="O21" i="11"/>
  <c r="Y21" i="11" s="1"/>
  <c r="H21" i="11"/>
  <c r="Q20" i="11"/>
  <c r="P20" i="11"/>
  <c r="X20" i="11" s="1"/>
  <c r="O20" i="11"/>
  <c r="Y20" i="11" s="1"/>
  <c r="H20" i="11"/>
  <c r="Q19" i="11"/>
  <c r="O19" i="11"/>
  <c r="P19" i="11" s="1"/>
  <c r="X19" i="11" s="1"/>
  <c r="H19" i="11"/>
  <c r="O18" i="11"/>
  <c r="Q18" i="11" s="1"/>
  <c r="H18" i="11"/>
  <c r="Q17" i="11"/>
  <c r="X17" i="11" s="1"/>
  <c r="P17" i="11"/>
  <c r="O17" i="11"/>
  <c r="Y17" i="11" s="1"/>
  <c r="H17" i="11"/>
  <c r="Q16" i="11"/>
  <c r="P16" i="11"/>
  <c r="X16" i="11" s="1"/>
  <c r="O16" i="11"/>
  <c r="Y16" i="11" s="1"/>
  <c r="H16" i="11"/>
  <c r="Q15" i="11"/>
  <c r="O15" i="11"/>
  <c r="H15" i="11"/>
  <c r="P15" i="11" s="1"/>
  <c r="X15" i="11" s="1"/>
  <c r="O14" i="11"/>
  <c r="H14" i="11"/>
  <c r="Q13" i="11"/>
  <c r="O13" i="11"/>
  <c r="Y13" i="11" s="1"/>
  <c r="H13" i="11"/>
  <c r="P13" i="11" s="1"/>
  <c r="X13" i="11" s="1"/>
  <c r="Q12" i="11"/>
  <c r="P12" i="11"/>
  <c r="X12" i="11" s="1"/>
  <c r="O12" i="11"/>
  <c r="Y12" i="11" s="1"/>
  <c r="H12" i="11"/>
  <c r="Q11" i="11"/>
  <c r="O11" i="11"/>
  <c r="H11" i="11"/>
  <c r="P11" i="11" s="1"/>
  <c r="X11" i="11" s="1"/>
  <c r="W10" i="11"/>
  <c r="Q10" i="11"/>
  <c r="P10" i="11"/>
  <c r="X10" i="11" s="1"/>
  <c r="H10" i="11"/>
  <c r="O10" i="11" s="1"/>
  <c r="Y10" i="11" s="1"/>
  <c r="X9" i="11"/>
  <c r="Q9" i="11"/>
  <c r="P9" i="11"/>
  <c r="H9" i="11"/>
  <c r="O9" i="11" s="1"/>
  <c r="Y9" i="11" s="1"/>
  <c r="Q8" i="11"/>
  <c r="P8" i="11"/>
  <c r="X8" i="11" s="1"/>
  <c r="H8" i="11"/>
  <c r="O8" i="11" s="1"/>
  <c r="Y8" i="11" s="1"/>
  <c r="H7" i="11"/>
  <c r="O7" i="11" s="1"/>
  <c r="Q6" i="11"/>
  <c r="P6" i="11"/>
  <c r="X6" i="11" s="1"/>
  <c r="H6" i="11"/>
  <c r="O6" i="11" s="1"/>
  <c r="Y6" i="11" s="1"/>
  <c r="X5" i="11"/>
  <c r="Q5" i="11"/>
  <c r="P5" i="11"/>
  <c r="H5" i="11"/>
  <c r="O5" i="11" s="1"/>
  <c r="Y5" i="11" s="1"/>
  <c r="Q4" i="11"/>
  <c r="P4" i="11"/>
  <c r="X4" i="11" s="1"/>
  <c r="H4" i="11"/>
  <c r="C213" i="10"/>
  <c r="C193" i="10"/>
  <c r="C186" i="10"/>
  <c r="C188" i="10" s="1"/>
  <c r="T147" i="10"/>
  <c r="S147" i="10"/>
  <c r="Z122" i="10"/>
  <c r="X122" i="10"/>
  <c r="W122" i="10"/>
  <c r="V122" i="10"/>
  <c r="Q122" i="10"/>
  <c r="P122" i="10"/>
  <c r="O122" i="10"/>
  <c r="J122" i="10"/>
  <c r="U121" i="10"/>
  <c r="T121" i="10"/>
  <c r="AB121" i="10" s="1"/>
  <c r="L121" i="10"/>
  <c r="S121" i="10" s="1"/>
  <c r="AC121" i="10" s="1"/>
  <c r="F121" i="10"/>
  <c r="U120" i="10"/>
  <c r="T120" i="10"/>
  <c r="AB120" i="10" s="1"/>
  <c r="S120" i="10"/>
  <c r="L120" i="10"/>
  <c r="F120" i="10"/>
  <c r="AB119" i="10"/>
  <c r="U119" i="10"/>
  <c r="T119" i="10"/>
  <c r="S119" i="10"/>
  <c r="AC119" i="10" s="1"/>
  <c r="M119" i="10"/>
  <c r="L119" i="10"/>
  <c r="F119" i="10"/>
  <c r="AB118" i="10"/>
  <c r="U118" i="10"/>
  <c r="T118" i="10"/>
  <c r="S118" i="10"/>
  <c r="AC118" i="10" s="1"/>
  <c r="L118" i="10"/>
  <c r="F118" i="10"/>
  <c r="U117" i="10"/>
  <c r="AB117" i="10" s="1"/>
  <c r="T117" i="10"/>
  <c r="L117" i="10"/>
  <c r="S117" i="10" s="1"/>
  <c r="F117" i="10"/>
  <c r="U116" i="10"/>
  <c r="T116" i="10"/>
  <c r="AB116" i="10" s="1"/>
  <c r="N116" i="10"/>
  <c r="L116" i="10"/>
  <c r="F116" i="10"/>
  <c r="AB115" i="10"/>
  <c r="U115" i="10"/>
  <c r="T115" i="10"/>
  <c r="L115" i="10"/>
  <c r="S115" i="10" s="1"/>
  <c r="F115" i="10"/>
  <c r="T114" i="10"/>
  <c r="S114" i="10"/>
  <c r="N114" i="10"/>
  <c r="L114" i="10"/>
  <c r="U114" i="10" s="1"/>
  <c r="F114" i="10"/>
  <c r="U113" i="10"/>
  <c r="S113" i="10"/>
  <c r="T113" i="10" s="1"/>
  <c r="L113" i="10"/>
  <c r="AC112" i="10"/>
  <c r="L112" i="10"/>
  <c r="S112" i="10" s="1"/>
  <c r="T112" i="10" s="1"/>
  <c r="AB112" i="10" s="1"/>
  <c r="F112" i="10"/>
  <c r="AA111" i="10"/>
  <c r="U111" i="10"/>
  <c r="T111" i="10"/>
  <c r="L111" i="10"/>
  <c r="S111" i="10" s="1"/>
  <c r="F111" i="10"/>
  <c r="U110" i="10"/>
  <c r="T110" i="10"/>
  <c r="S110" i="10"/>
  <c r="L110" i="10"/>
  <c r="F110" i="10"/>
  <c r="T109" i="10"/>
  <c r="AB109" i="10" s="1"/>
  <c r="S109" i="10"/>
  <c r="AC109" i="10" s="1"/>
  <c r="N109" i="10"/>
  <c r="L109" i="10"/>
  <c r="U109" i="10" s="1"/>
  <c r="N108" i="10"/>
  <c r="L108" i="10"/>
  <c r="F108" i="10"/>
  <c r="U107" i="10"/>
  <c r="AB107" i="10" s="1"/>
  <c r="T107" i="10"/>
  <c r="L107" i="10"/>
  <c r="S107" i="10" s="1"/>
  <c r="F107" i="10"/>
  <c r="T106" i="10"/>
  <c r="L106" i="10"/>
  <c r="U105" i="10"/>
  <c r="T105" i="10"/>
  <c r="AB105" i="10" s="1"/>
  <c r="L105" i="10"/>
  <c r="S105" i="10" s="1"/>
  <c r="AC105" i="10" s="1"/>
  <c r="U104" i="10"/>
  <c r="L104" i="10"/>
  <c r="S104" i="10" s="1"/>
  <c r="AC103" i="10"/>
  <c r="AB103" i="10"/>
  <c r="S103" i="10"/>
  <c r="F103" i="10"/>
  <c r="AB102" i="10"/>
  <c r="U102" i="10"/>
  <c r="T102" i="10"/>
  <c r="S102" i="10"/>
  <c r="AC102" i="10" s="1"/>
  <c r="L102" i="10"/>
  <c r="F102" i="10"/>
  <c r="U101" i="10"/>
  <c r="AB101" i="10" s="1"/>
  <c r="T101" i="10"/>
  <c r="L101" i="10"/>
  <c r="S101" i="10" s="1"/>
  <c r="F101" i="10"/>
  <c r="U100" i="10"/>
  <c r="T100" i="10"/>
  <c r="AB100" i="10" s="1"/>
  <c r="M100" i="10"/>
  <c r="L100" i="10"/>
  <c r="U99" i="10"/>
  <c r="T99" i="10"/>
  <c r="S99" i="10"/>
  <c r="L99" i="10"/>
  <c r="F99" i="10"/>
  <c r="U98" i="10"/>
  <c r="T98" i="10"/>
  <c r="AB98" i="10" s="1"/>
  <c r="S98" i="10"/>
  <c r="AC98" i="10" s="1"/>
  <c r="L98" i="10"/>
  <c r="F98" i="10"/>
  <c r="AB97" i="10"/>
  <c r="U97" i="10"/>
  <c r="T97" i="10"/>
  <c r="L97" i="10"/>
  <c r="S97" i="10" s="1"/>
  <c r="AC97" i="10" s="1"/>
  <c r="F97" i="10"/>
  <c r="U96" i="10"/>
  <c r="T96" i="10"/>
  <c r="AB96" i="10" s="1"/>
  <c r="N96" i="10"/>
  <c r="L96" i="10"/>
  <c r="S96" i="10" s="1"/>
  <c r="F96" i="10"/>
  <c r="AB95" i="10"/>
  <c r="U95" i="10"/>
  <c r="T95" i="10"/>
  <c r="L95" i="10"/>
  <c r="S95" i="10" s="1"/>
  <c r="F95" i="10"/>
  <c r="U94" i="10"/>
  <c r="T94" i="10"/>
  <c r="AB94" i="10" s="1"/>
  <c r="S94" i="10"/>
  <c r="L94" i="10"/>
  <c r="AB93" i="10"/>
  <c r="U93" i="10"/>
  <c r="T93" i="10"/>
  <c r="L93" i="10"/>
  <c r="S93" i="10" s="1"/>
  <c r="F93" i="10"/>
  <c r="T92" i="10"/>
  <c r="L92" i="10"/>
  <c r="S92" i="10" s="1"/>
  <c r="F92" i="10"/>
  <c r="L91" i="10"/>
  <c r="S91" i="10" s="1"/>
  <c r="AC91" i="10" s="1"/>
  <c r="F91" i="10"/>
  <c r="U90" i="10"/>
  <c r="T90" i="10"/>
  <c r="AB90" i="10" s="1"/>
  <c r="S90" i="10"/>
  <c r="AC90" i="10" s="1"/>
  <c r="L90" i="10"/>
  <c r="F90" i="10"/>
  <c r="L89" i="10"/>
  <c r="S89" i="10" s="1"/>
  <c r="F89" i="10"/>
  <c r="U88" i="10"/>
  <c r="AB88" i="10" s="1"/>
  <c r="T88" i="10"/>
  <c r="L88" i="10"/>
  <c r="S88" i="10" s="1"/>
  <c r="F88" i="10"/>
  <c r="AB87" i="10"/>
  <c r="U87" i="10"/>
  <c r="T87" i="10"/>
  <c r="L87" i="10"/>
  <c r="S87" i="10" s="1"/>
  <c r="F87" i="10"/>
  <c r="U86" i="10"/>
  <c r="T86" i="10"/>
  <c r="AB86" i="10" s="1"/>
  <c r="N86" i="10"/>
  <c r="M86" i="10"/>
  <c r="L86" i="10"/>
  <c r="S86" i="10" s="1"/>
  <c r="AC86" i="10" s="1"/>
  <c r="F86" i="10"/>
  <c r="U85" i="10"/>
  <c r="T85" i="10"/>
  <c r="AB85" i="10" s="1"/>
  <c r="L85" i="10"/>
  <c r="S85" i="10" s="1"/>
  <c r="F85" i="10"/>
  <c r="U84" i="10"/>
  <c r="T84" i="10"/>
  <c r="AB84" i="10" s="1"/>
  <c r="N84" i="10"/>
  <c r="L84" i="10"/>
  <c r="S84" i="10" s="1"/>
  <c r="T83" i="10"/>
  <c r="AB83" i="10" s="1"/>
  <c r="N83" i="10"/>
  <c r="S83" i="10" s="1"/>
  <c r="AC83" i="10" s="1"/>
  <c r="L83" i="10"/>
  <c r="U83" i="10" s="1"/>
  <c r="AB82" i="10"/>
  <c r="U82" i="10"/>
  <c r="L82" i="10"/>
  <c r="T82" i="10" s="1"/>
  <c r="AA81" i="10"/>
  <c r="U81" i="10"/>
  <c r="T81" i="10"/>
  <c r="M81" i="10"/>
  <c r="S81" i="10" s="1"/>
  <c r="F81" i="10"/>
  <c r="AB80" i="10"/>
  <c r="L80" i="10"/>
  <c r="S80" i="10" s="1"/>
  <c r="AC80" i="10" s="1"/>
  <c r="F80" i="10"/>
  <c r="AB79" i="10"/>
  <c r="L79" i="10"/>
  <c r="S79" i="10" s="1"/>
  <c r="AC79" i="10" s="1"/>
  <c r="U78" i="10"/>
  <c r="T78" i="10"/>
  <c r="AB78" i="10" s="1"/>
  <c r="L78" i="10"/>
  <c r="S78" i="10" s="1"/>
  <c r="AC78" i="10" s="1"/>
  <c r="AB77" i="10"/>
  <c r="L77" i="10"/>
  <c r="S77" i="10" s="1"/>
  <c r="AC77" i="10" s="1"/>
  <c r="AC76" i="10"/>
  <c r="AB76" i="10"/>
  <c r="L76" i="10"/>
  <c r="S76" i="10" s="1"/>
  <c r="AB75" i="10"/>
  <c r="U75" i="10"/>
  <c r="T75" i="10"/>
  <c r="S75" i="10"/>
  <c r="AC75" i="10" s="1"/>
  <c r="L75" i="10"/>
  <c r="F75" i="10"/>
  <c r="U74" i="10"/>
  <c r="AB74" i="10" s="1"/>
  <c r="T74" i="10"/>
  <c r="L74" i="10"/>
  <c r="F74" i="10"/>
  <c r="U73" i="10"/>
  <c r="AB73" i="10" s="1"/>
  <c r="T73" i="10"/>
  <c r="L73" i="10"/>
  <c r="S73" i="10" s="1"/>
  <c r="F73" i="10"/>
  <c r="U72" i="10"/>
  <c r="T72" i="10"/>
  <c r="AB72" i="10" s="1"/>
  <c r="L72" i="10"/>
  <c r="S72" i="10" s="1"/>
  <c r="AC72" i="10" s="1"/>
  <c r="F72" i="10"/>
  <c r="U71" i="10"/>
  <c r="T71" i="10"/>
  <c r="AB71" i="10" s="1"/>
  <c r="AC71" i="10" s="1"/>
  <c r="S71" i="10"/>
  <c r="L71" i="10"/>
  <c r="L70" i="10"/>
  <c r="F70" i="10"/>
  <c r="L69" i="10"/>
  <c r="S69" i="10" s="1"/>
  <c r="F69" i="10"/>
  <c r="U68" i="10"/>
  <c r="T68" i="10"/>
  <c r="S68" i="10"/>
  <c r="L68" i="10"/>
  <c r="L67" i="10"/>
  <c r="AC66" i="10"/>
  <c r="U66" i="10"/>
  <c r="T66" i="10"/>
  <c r="AB66" i="10" s="1"/>
  <c r="S66" i="10"/>
  <c r="L66" i="10"/>
  <c r="F66" i="10"/>
  <c r="T65" i="10"/>
  <c r="AB65" i="10" s="1"/>
  <c r="L65" i="10"/>
  <c r="U65" i="10" s="1"/>
  <c r="F65" i="10"/>
  <c r="U64" i="10"/>
  <c r="AB64" i="10" s="1"/>
  <c r="T64" i="10"/>
  <c r="S64" i="10"/>
  <c r="AC64" i="10" s="1"/>
  <c r="L64" i="10"/>
  <c r="U63" i="10"/>
  <c r="T63" i="10"/>
  <c r="AB63" i="10" s="1"/>
  <c r="AC63" i="10" s="1"/>
  <c r="S63" i="10"/>
  <c r="L63" i="10"/>
  <c r="F63" i="10"/>
  <c r="S62" i="10"/>
  <c r="L62" i="10"/>
  <c r="F62" i="10"/>
  <c r="U61" i="10"/>
  <c r="L61" i="10"/>
  <c r="S61" i="10" s="1"/>
  <c r="F61" i="10"/>
  <c r="L60" i="10"/>
  <c r="S60" i="10" s="1"/>
  <c r="F60" i="10"/>
  <c r="U59" i="10"/>
  <c r="T59" i="10"/>
  <c r="AB59" i="10" s="1"/>
  <c r="S59" i="10"/>
  <c r="L59" i="10"/>
  <c r="F59" i="10"/>
  <c r="L58" i="10"/>
  <c r="S58" i="10" s="1"/>
  <c r="F58" i="10"/>
  <c r="AF57" i="10"/>
  <c r="AB57" i="10"/>
  <c r="U57" i="10"/>
  <c r="T57" i="10"/>
  <c r="L57" i="10"/>
  <c r="S57" i="10" s="1"/>
  <c r="AC57" i="10" s="1"/>
  <c r="F57" i="10"/>
  <c r="U56" i="10"/>
  <c r="AB56" i="10" s="1"/>
  <c r="T56" i="10"/>
  <c r="L56" i="10"/>
  <c r="S56" i="10" s="1"/>
  <c r="AC56" i="10" s="1"/>
  <c r="F56" i="10"/>
  <c r="AB55" i="10"/>
  <c r="U55" i="10"/>
  <c r="T55" i="10"/>
  <c r="L55" i="10"/>
  <c r="S55" i="10" s="1"/>
  <c r="F55" i="10"/>
  <c r="T54" i="10"/>
  <c r="AB54" i="10" s="1"/>
  <c r="S54" i="10"/>
  <c r="AC54" i="10" s="1"/>
  <c r="N54" i="10"/>
  <c r="L54" i="10"/>
  <c r="U54" i="10" s="1"/>
  <c r="F54" i="10"/>
  <c r="AC53" i="10"/>
  <c r="U53" i="10"/>
  <c r="T53" i="10"/>
  <c r="AB53" i="10" s="1"/>
  <c r="S53" i="10"/>
  <c r="L53" i="10"/>
  <c r="F53" i="10"/>
  <c r="AB52" i="10"/>
  <c r="U52" i="10"/>
  <c r="T52" i="10"/>
  <c r="L52" i="10"/>
  <c r="S52" i="10" s="1"/>
  <c r="F52" i="10"/>
  <c r="S51" i="10"/>
  <c r="L51" i="10"/>
  <c r="F51" i="10"/>
  <c r="U50" i="10"/>
  <c r="L50" i="10"/>
  <c r="S50" i="10" s="1"/>
  <c r="F50" i="10"/>
  <c r="AC49" i="10"/>
  <c r="U49" i="10"/>
  <c r="T49" i="10"/>
  <c r="AB49" i="10" s="1"/>
  <c r="S49" i="10"/>
  <c r="L49" i="10"/>
  <c r="F49" i="10"/>
  <c r="AA48" i="10"/>
  <c r="Y48" i="10"/>
  <c r="Y122" i="10" s="1"/>
  <c r="U48" i="10"/>
  <c r="T48" i="10"/>
  <c r="AB48" i="10" s="1"/>
  <c r="L48" i="10"/>
  <c r="S48" i="10" s="1"/>
  <c r="F48" i="10"/>
  <c r="U47" i="10"/>
  <c r="T47" i="10"/>
  <c r="S47" i="10"/>
  <c r="L47" i="10"/>
  <c r="F47" i="10"/>
  <c r="U46" i="10"/>
  <c r="T46" i="10"/>
  <c r="AB46" i="10" s="1"/>
  <c r="S46" i="10"/>
  <c r="AC46" i="10" s="1"/>
  <c r="L46" i="10"/>
  <c r="F46" i="10"/>
  <c r="AB45" i="10"/>
  <c r="U45" i="10"/>
  <c r="T45" i="10"/>
  <c r="R45" i="10"/>
  <c r="L45" i="10"/>
  <c r="F45" i="10"/>
  <c r="AB44" i="10"/>
  <c r="U44" i="10"/>
  <c r="T44" i="10"/>
  <c r="L44" i="10"/>
  <c r="S44" i="10" s="1"/>
  <c r="AC44" i="10" s="1"/>
  <c r="F44" i="10"/>
  <c r="U43" i="10"/>
  <c r="T43" i="10"/>
  <c r="AB43" i="10" s="1"/>
  <c r="L43" i="10"/>
  <c r="S43" i="10" s="1"/>
  <c r="F43" i="10"/>
  <c r="U42" i="10"/>
  <c r="T42" i="10"/>
  <c r="S42" i="10"/>
  <c r="L42" i="10"/>
  <c r="U41" i="10"/>
  <c r="AB41" i="10" s="1"/>
  <c r="AC41" i="10" s="1"/>
  <c r="T41" i="10"/>
  <c r="S41" i="10"/>
  <c r="L41" i="10"/>
  <c r="AA40" i="10"/>
  <c r="U40" i="10"/>
  <c r="T40" i="10"/>
  <c r="L40" i="10"/>
  <c r="S40" i="10" s="1"/>
  <c r="F40" i="10"/>
  <c r="S39" i="10"/>
  <c r="L39" i="10"/>
  <c r="F39" i="10"/>
  <c r="T38" i="10"/>
  <c r="AB38" i="10" s="1"/>
  <c r="S38" i="10"/>
  <c r="U38" i="10" s="1"/>
  <c r="L38" i="10"/>
  <c r="F38" i="10"/>
  <c r="AC37" i="10"/>
  <c r="AB37" i="10"/>
  <c r="S37" i="10"/>
  <c r="L37" i="10"/>
  <c r="F37" i="10"/>
  <c r="T36" i="10"/>
  <c r="AB36" i="10" s="1"/>
  <c r="S36" i="10"/>
  <c r="AC36" i="10" s="1"/>
  <c r="L36" i="10"/>
  <c r="U36" i="10" s="1"/>
  <c r="F36" i="10"/>
  <c r="AB35" i="10"/>
  <c r="U35" i="10"/>
  <c r="T35" i="10"/>
  <c r="L35" i="10"/>
  <c r="S35" i="10" s="1"/>
  <c r="AC35" i="10" s="1"/>
  <c r="F35" i="10"/>
  <c r="U34" i="10"/>
  <c r="T34" i="10"/>
  <c r="AB34" i="10" s="1"/>
  <c r="S34" i="10"/>
  <c r="L34" i="10"/>
  <c r="F34" i="10"/>
  <c r="T33" i="10"/>
  <c r="AB33" i="10" s="1"/>
  <c r="AC33" i="10" s="1"/>
  <c r="S33" i="10"/>
  <c r="U33" i="10" s="1"/>
  <c r="L33" i="10"/>
  <c r="F33" i="10"/>
  <c r="L32" i="10"/>
  <c r="F32" i="10"/>
  <c r="AA31" i="10"/>
  <c r="AB31" i="10" s="1"/>
  <c r="U31" i="10"/>
  <c r="T31" i="10"/>
  <c r="L31" i="10"/>
  <c r="S31" i="10" s="1"/>
  <c r="F31" i="10"/>
  <c r="AB30" i="10"/>
  <c r="U30" i="10"/>
  <c r="T30" i="10"/>
  <c r="L30" i="10"/>
  <c r="S30" i="10" s="1"/>
  <c r="F30" i="10"/>
  <c r="U29" i="10"/>
  <c r="T29" i="10"/>
  <c r="AB29" i="10" s="1"/>
  <c r="S29" i="10"/>
  <c r="AC29" i="10" s="1"/>
  <c r="L29" i="10"/>
  <c r="F29" i="10"/>
  <c r="S28" i="10"/>
  <c r="U28" i="10" s="1"/>
  <c r="L28" i="10"/>
  <c r="F28" i="10"/>
  <c r="L27" i="10"/>
  <c r="U26" i="10"/>
  <c r="T26" i="10"/>
  <c r="AB26" i="10" s="1"/>
  <c r="S26" i="10"/>
  <c r="L26" i="10"/>
  <c r="F26" i="10"/>
  <c r="S25" i="10"/>
  <c r="U25" i="10" s="1"/>
  <c r="L25" i="10"/>
  <c r="F25" i="10"/>
  <c r="AB24" i="10"/>
  <c r="U24" i="10"/>
  <c r="T24" i="10"/>
  <c r="N24" i="10"/>
  <c r="L24" i="10"/>
  <c r="AB23" i="10"/>
  <c r="U23" i="10"/>
  <c r="T23" i="10"/>
  <c r="L23" i="10"/>
  <c r="S23" i="10" s="1"/>
  <c r="F23" i="10"/>
  <c r="U22" i="10"/>
  <c r="T22" i="10"/>
  <c r="AB22" i="10" s="1"/>
  <c r="S22" i="10"/>
  <c r="AC22" i="10" s="1"/>
  <c r="L22" i="10"/>
  <c r="F22" i="10"/>
  <c r="U21" i="10"/>
  <c r="T21" i="10"/>
  <c r="AB21" i="10" s="1"/>
  <c r="AC21" i="10" s="1"/>
  <c r="S21" i="10"/>
  <c r="M21" i="10"/>
  <c r="L21" i="10"/>
  <c r="F21" i="10"/>
  <c r="T20" i="10"/>
  <c r="S20" i="10"/>
  <c r="L20" i="10"/>
  <c r="U20" i="10" s="1"/>
  <c r="F20" i="10"/>
  <c r="S19" i="10"/>
  <c r="L19" i="10"/>
  <c r="F19" i="10"/>
  <c r="U18" i="10"/>
  <c r="L18" i="10"/>
  <c r="S18" i="10" s="1"/>
  <c r="F18" i="10"/>
  <c r="U17" i="10"/>
  <c r="T17" i="10"/>
  <c r="AB17" i="10" s="1"/>
  <c r="L17" i="10"/>
  <c r="S17" i="10" s="1"/>
  <c r="AB16" i="10"/>
  <c r="U16" i="10"/>
  <c r="T16" i="10"/>
  <c r="L16" i="10"/>
  <c r="S16" i="10" s="1"/>
  <c r="AC16" i="10" s="1"/>
  <c r="F16" i="10"/>
  <c r="L15" i="10"/>
  <c r="F15" i="10"/>
  <c r="S14" i="10"/>
  <c r="L14" i="10"/>
  <c r="F14" i="10"/>
  <c r="L13" i="10"/>
  <c r="U13" i="10" s="1"/>
  <c r="L12" i="10"/>
  <c r="S12" i="10" s="1"/>
  <c r="F12" i="10"/>
  <c r="U11" i="10"/>
  <c r="T11" i="10"/>
  <c r="AB11" i="10" s="1"/>
  <c r="S11" i="10"/>
  <c r="AC11" i="10" s="1"/>
  <c r="L11" i="10"/>
  <c r="F11" i="10"/>
  <c r="AB10" i="10"/>
  <c r="AA10" i="10"/>
  <c r="U10" i="10"/>
  <c r="T10" i="10"/>
  <c r="S10" i="10"/>
  <c r="AC10" i="10" s="1"/>
  <c r="L10" i="10"/>
  <c r="F10" i="10"/>
  <c r="AB9" i="10"/>
  <c r="U9" i="10"/>
  <c r="T9" i="10"/>
  <c r="L9" i="10"/>
  <c r="S9" i="10" s="1"/>
  <c r="AC9" i="10" s="1"/>
  <c r="F9" i="10"/>
  <c r="U8" i="10"/>
  <c r="AB8" i="10" s="1"/>
  <c r="T8" i="10"/>
  <c r="L8" i="10"/>
  <c r="S8" i="10" s="1"/>
  <c r="AC8" i="10" s="1"/>
  <c r="F8" i="10"/>
  <c r="L7" i="10"/>
  <c r="S7" i="10" s="1"/>
  <c r="F7" i="10"/>
  <c r="U6" i="10"/>
  <c r="T6" i="10"/>
  <c r="AB6" i="10" s="1"/>
  <c r="S6" i="10"/>
  <c r="AC6" i="10" s="1"/>
  <c r="L6" i="10"/>
  <c r="F6" i="10"/>
  <c r="AB5" i="10"/>
  <c r="U5" i="10"/>
  <c r="T5" i="10"/>
  <c r="L5" i="10"/>
  <c r="S5" i="10" s="1"/>
  <c r="AC5" i="10" s="1"/>
  <c r="F5" i="10"/>
  <c r="U4" i="10"/>
  <c r="T4" i="10"/>
  <c r="L4" i="10"/>
  <c r="L122" i="10" s="1"/>
  <c r="F4" i="10"/>
  <c r="C211" i="9"/>
  <c r="C191" i="9"/>
  <c r="C184" i="9"/>
  <c r="C186" i="9" s="1"/>
  <c r="T145" i="9"/>
  <c r="S145" i="9"/>
  <c r="Z120" i="9"/>
  <c r="Y120" i="9"/>
  <c r="X120" i="9"/>
  <c r="W120" i="9"/>
  <c r="V120" i="9"/>
  <c r="Q120" i="9"/>
  <c r="P120" i="9"/>
  <c r="O120" i="9"/>
  <c r="J120" i="9"/>
  <c r="U119" i="9"/>
  <c r="T119" i="9"/>
  <c r="AB119" i="9" s="1"/>
  <c r="L119" i="9"/>
  <c r="S119" i="9" s="1"/>
  <c r="AC119" i="9" s="1"/>
  <c r="F119" i="9"/>
  <c r="T118" i="9"/>
  <c r="S118" i="9"/>
  <c r="L118" i="9"/>
  <c r="U118" i="9" s="1"/>
  <c r="F118" i="9"/>
  <c r="AB117" i="9"/>
  <c r="U117" i="9"/>
  <c r="T117" i="9"/>
  <c r="L117" i="9"/>
  <c r="S117" i="9" s="1"/>
  <c r="AC117" i="9" s="1"/>
  <c r="F117" i="9"/>
  <c r="U116" i="9"/>
  <c r="AB116" i="9" s="1"/>
  <c r="T116" i="9"/>
  <c r="L116" i="9"/>
  <c r="S116" i="9" s="1"/>
  <c r="AC116" i="9" s="1"/>
  <c r="F116" i="9"/>
  <c r="U115" i="9"/>
  <c r="T115" i="9"/>
  <c r="AB115" i="9" s="1"/>
  <c r="L115" i="9"/>
  <c r="S115" i="9" s="1"/>
  <c r="AC115" i="9" s="1"/>
  <c r="F115" i="9"/>
  <c r="U114" i="9"/>
  <c r="T114" i="9"/>
  <c r="AB114" i="9" s="1"/>
  <c r="S114" i="9"/>
  <c r="AC114" i="9" s="1"/>
  <c r="L114" i="9"/>
  <c r="F114" i="9"/>
  <c r="AC113" i="9"/>
  <c r="AB113" i="9"/>
  <c r="L113" i="9"/>
  <c r="S113" i="9" s="1"/>
  <c r="F113" i="9"/>
  <c r="AC112" i="9"/>
  <c r="U112" i="9"/>
  <c r="T112" i="9"/>
  <c r="AB112" i="9" s="1"/>
  <c r="S112" i="9"/>
  <c r="L112" i="9"/>
  <c r="F112" i="9"/>
  <c r="T111" i="9"/>
  <c r="S111" i="9"/>
  <c r="N111" i="9"/>
  <c r="L111" i="9"/>
  <c r="U111" i="9" s="1"/>
  <c r="AB111" i="9" s="1"/>
  <c r="F111" i="9"/>
  <c r="L110" i="9"/>
  <c r="S110" i="9" s="1"/>
  <c r="T110" i="9" s="1"/>
  <c r="AB110" i="9" s="1"/>
  <c r="F110" i="9"/>
  <c r="AA109" i="9"/>
  <c r="U109" i="9"/>
  <c r="T109" i="9"/>
  <c r="R109" i="9"/>
  <c r="L109" i="9"/>
  <c r="F109" i="9"/>
  <c r="U108" i="9"/>
  <c r="L108" i="9"/>
  <c r="F108" i="9"/>
  <c r="U107" i="9"/>
  <c r="T107" i="9"/>
  <c r="AB107" i="9" s="1"/>
  <c r="N107" i="9"/>
  <c r="L107" i="9"/>
  <c r="S107" i="9" s="1"/>
  <c r="T106" i="9"/>
  <c r="AB106" i="9" s="1"/>
  <c r="AC106" i="9" s="1"/>
  <c r="S106" i="9"/>
  <c r="N106" i="9"/>
  <c r="L106" i="9"/>
  <c r="U106" i="9" s="1"/>
  <c r="F106" i="9"/>
  <c r="U105" i="9"/>
  <c r="T105" i="9"/>
  <c r="AB105" i="9" s="1"/>
  <c r="S105" i="9"/>
  <c r="AC105" i="9" s="1"/>
  <c r="L105" i="9"/>
  <c r="F105" i="9"/>
  <c r="AB104" i="9"/>
  <c r="U104" i="9"/>
  <c r="T104" i="9"/>
  <c r="L104" i="9"/>
  <c r="S104" i="9" s="1"/>
  <c r="U103" i="9"/>
  <c r="T103" i="9"/>
  <c r="AB103" i="9" s="1"/>
  <c r="L103" i="9"/>
  <c r="S103" i="9" s="1"/>
  <c r="AC103" i="9" s="1"/>
  <c r="AB102" i="9"/>
  <c r="U102" i="9"/>
  <c r="T102" i="9"/>
  <c r="S102" i="9"/>
  <c r="AC102" i="9" s="1"/>
  <c r="L102" i="9"/>
  <c r="F102" i="9"/>
  <c r="U101" i="9"/>
  <c r="AB101" i="9" s="1"/>
  <c r="T101" i="9"/>
  <c r="L101" i="9"/>
  <c r="S101" i="9" s="1"/>
  <c r="F101" i="9"/>
  <c r="U100" i="9"/>
  <c r="T100" i="9"/>
  <c r="L100" i="9"/>
  <c r="S100" i="9" s="1"/>
  <c r="F100" i="9"/>
  <c r="T99" i="9"/>
  <c r="S99" i="9"/>
  <c r="N99" i="9"/>
  <c r="L99" i="9"/>
  <c r="U99" i="9" s="1"/>
  <c r="AB98" i="9"/>
  <c r="U98" i="9"/>
  <c r="T98" i="9"/>
  <c r="L98" i="9"/>
  <c r="S98" i="9" s="1"/>
  <c r="AC98" i="9" s="1"/>
  <c r="F98" i="9"/>
  <c r="AB97" i="9"/>
  <c r="U97" i="9"/>
  <c r="T97" i="9"/>
  <c r="L97" i="9"/>
  <c r="S97" i="9" s="1"/>
  <c r="F97" i="9"/>
  <c r="U96" i="9"/>
  <c r="T96" i="9"/>
  <c r="AB96" i="9" s="1"/>
  <c r="L96" i="9"/>
  <c r="S96" i="9" s="1"/>
  <c r="AC96" i="9" s="1"/>
  <c r="F96" i="9"/>
  <c r="AB95" i="9"/>
  <c r="L95" i="9"/>
  <c r="S95" i="9" s="1"/>
  <c r="AC95" i="9" s="1"/>
  <c r="F95" i="9"/>
  <c r="U94" i="9"/>
  <c r="T94" i="9"/>
  <c r="AB94" i="9" s="1"/>
  <c r="L94" i="9"/>
  <c r="S94" i="9" s="1"/>
  <c r="AC94" i="9" s="1"/>
  <c r="F94" i="9"/>
  <c r="U93" i="9"/>
  <c r="T93" i="9"/>
  <c r="AB93" i="9" s="1"/>
  <c r="S93" i="9"/>
  <c r="AC93" i="9" s="1"/>
  <c r="L93" i="9"/>
  <c r="U92" i="9"/>
  <c r="AB92" i="9" s="1"/>
  <c r="T92" i="9"/>
  <c r="L92" i="9"/>
  <c r="S92" i="9" s="1"/>
  <c r="F92" i="9"/>
  <c r="U91" i="9"/>
  <c r="T91" i="9"/>
  <c r="AB91" i="9" s="1"/>
  <c r="L91" i="9"/>
  <c r="S91" i="9" s="1"/>
  <c r="F91" i="9"/>
  <c r="L90" i="9"/>
  <c r="S90" i="9" s="1"/>
  <c r="AC90" i="9" s="1"/>
  <c r="F90" i="9"/>
  <c r="U89" i="9"/>
  <c r="T89" i="9"/>
  <c r="AB89" i="9" s="1"/>
  <c r="AC89" i="9" s="1"/>
  <c r="S89" i="9"/>
  <c r="L89" i="9"/>
  <c r="F89" i="9"/>
  <c r="L88" i="9"/>
  <c r="S88" i="9" s="1"/>
  <c r="F88" i="9"/>
  <c r="U87" i="9"/>
  <c r="AB87" i="9" s="1"/>
  <c r="T87" i="9"/>
  <c r="L87" i="9"/>
  <c r="S87" i="9" s="1"/>
  <c r="F87" i="9"/>
  <c r="U86" i="9"/>
  <c r="T86" i="9"/>
  <c r="AB86" i="9" s="1"/>
  <c r="L86" i="9"/>
  <c r="S86" i="9" s="1"/>
  <c r="AC86" i="9" s="1"/>
  <c r="F86" i="9"/>
  <c r="U85" i="9"/>
  <c r="T85" i="9"/>
  <c r="AB85" i="9" s="1"/>
  <c r="S85" i="9"/>
  <c r="AC85" i="9" s="1"/>
  <c r="L85" i="9"/>
  <c r="F85" i="9"/>
  <c r="AB84" i="9"/>
  <c r="U84" i="9"/>
  <c r="T84" i="9"/>
  <c r="S84" i="9"/>
  <c r="AC84" i="9" s="1"/>
  <c r="L84" i="9"/>
  <c r="F84" i="9"/>
  <c r="U83" i="9"/>
  <c r="N83" i="9"/>
  <c r="L83" i="9"/>
  <c r="U82" i="9"/>
  <c r="T82" i="9"/>
  <c r="AB82" i="9" s="1"/>
  <c r="L82" i="9"/>
  <c r="S82" i="9" s="1"/>
  <c r="AB81" i="9"/>
  <c r="AA81" i="9"/>
  <c r="U81" i="9"/>
  <c r="T81" i="9"/>
  <c r="S81" i="9"/>
  <c r="AC81" i="9" s="1"/>
  <c r="L81" i="9"/>
  <c r="F81" i="9"/>
  <c r="S80" i="9"/>
  <c r="L80" i="9"/>
  <c r="AB79" i="9"/>
  <c r="L79" i="9"/>
  <c r="S79" i="9" s="1"/>
  <c r="AC79" i="9" s="1"/>
  <c r="F79" i="9"/>
  <c r="AB78" i="9"/>
  <c r="S78" i="9"/>
  <c r="AC78" i="9" s="1"/>
  <c r="L78" i="9"/>
  <c r="F78" i="9"/>
  <c r="AB77" i="9"/>
  <c r="U77" i="9"/>
  <c r="T77" i="9"/>
  <c r="L77" i="9"/>
  <c r="S77" i="9" s="1"/>
  <c r="AC77" i="9" s="1"/>
  <c r="U76" i="9"/>
  <c r="T76" i="9"/>
  <c r="L76" i="9"/>
  <c r="S76" i="9" s="1"/>
  <c r="F76" i="9"/>
  <c r="AC75" i="9"/>
  <c r="U75" i="9"/>
  <c r="T75" i="9"/>
  <c r="AB75" i="9" s="1"/>
  <c r="L75" i="9"/>
  <c r="R75" i="9" s="1"/>
  <c r="S75" i="9" s="1"/>
  <c r="F75" i="9"/>
  <c r="U74" i="9"/>
  <c r="T74" i="9"/>
  <c r="AB74" i="9" s="1"/>
  <c r="S74" i="9"/>
  <c r="L74" i="9"/>
  <c r="F74" i="9"/>
  <c r="AB73" i="9"/>
  <c r="U73" i="9"/>
  <c r="T73" i="9"/>
  <c r="S73" i="9"/>
  <c r="AC73" i="9" s="1"/>
  <c r="L73" i="9"/>
  <c r="F73" i="9"/>
  <c r="U72" i="9"/>
  <c r="L72" i="9"/>
  <c r="L71" i="9"/>
  <c r="F71" i="9"/>
  <c r="U70" i="9"/>
  <c r="AB70" i="9" s="1"/>
  <c r="T70" i="9"/>
  <c r="L70" i="9"/>
  <c r="S70" i="9" s="1"/>
  <c r="F70" i="9"/>
  <c r="U69" i="9"/>
  <c r="T69" i="9"/>
  <c r="AB69" i="9" s="1"/>
  <c r="L69" i="9"/>
  <c r="S69" i="9" s="1"/>
  <c r="S68" i="9"/>
  <c r="L68" i="9"/>
  <c r="U67" i="9"/>
  <c r="T67" i="9"/>
  <c r="AB67" i="9" s="1"/>
  <c r="L67" i="9"/>
  <c r="S67" i="9" s="1"/>
  <c r="AC67" i="9" s="1"/>
  <c r="F67" i="9"/>
  <c r="U66" i="9"/>
  <c r="T66" i="9"/>
  <c r="AB66" i="9" s="1"/>
  <c r="S66" i="9"/>
  <c r="AC66" i="9" s="1"/>
  <c r="L66" i="9"/>
  <c r="F66" i="9"/>
  <c r="AB65" i="9"/>
  <c r="U65" i="9"/>
  <c r="T65" i="9"/>
  <c r="S65" i="9"/>
  <c r="AC65" i="9" s="1"/>
  <c r="L65" i="9"/>
  <c r="U64" i="9"/>
  <c r="T64" i="9"/>
  <c r="AB64" i="9" s="1"/>
  <c r="L64" i="9"/>
  <c r="S64" i="9" s="1"/>
  <c r="AC64" i="9" s="1"/>
  <c r="F64" i="9"/>
  <c r="U63" i="9"/>
  <c r="T63" i="9"/>
  <c r="AB63" i="9" s="1"/>
  <c r="S63" i="9"/>
  <c r="L63" i="9"/>
  <c r="F63" i="9"/>
  <c r="L62" i="9"/>
  <c r="S62" i="9" s="1"/>
  <c r="F62" i="9"/>
  <c r="AB61" i="9"/>
  <c r="U61" i="9"/>
  <c r="T61" i="9"/>
  <c r="L61" i="9"/>
  <c r="S61" i="9" s="1"/>
  <c r="AC61" i="9" s="1"/>
  <c r="F61" i="9"/>
  <c r="U60" i="9"/>
  <c r="T60" i="9"/>
  <c r="AB60" i="9" s="1"/>
  <c r="L60" i="9"/>
  <c r="S60" i="9" s="1"/>
  <c r="AC60" i="9" s="1"/>
  <c r="F60" i="9"/>
  <c r="U59" i="9"/>
  <c r="T59" i="9"/>
  <c r="AB59" i="9" s="1"/>
  <c r="S59" i="9"/>
  <c r="AC59" i="9" s="1"/>
  <c r="L59" i="9"/>
  <c r="F59" i="9"/>
  <c r="AF58" i="9"/>
  <c r="U58" i="9"/>
  <c r="T58" i="9"/>
  <c r="AB58" i="9" s="1"/>
  <c r="S58" i="9"/>
  <c r="AC58" i="9" s="1"/>
  <c r="L58" i="9"/>
  <c r="F58" i="9"/>
  <c r="AB57" i="9"/>
  <c r="U57" i="9"/>
  <c r="T57" i="9"/>
  <c r="L57" i="9"/>
  <c r="S57" i="9" s="1"/>
  <c r="F57" i="9"/>
  <c r="U56" i="9"/>
  <c r="AB56" i="9" s="1"/>
  <c r="T56" i="9"/>
  <c r="L56" i="9"/>
  <c r="S56" i="9" s="1"/>
  <c r="F56" i="9"/>
  <c r="S55" i="9"/>
  <c r="N55" i="9"/>
  <c r="L55" i="9"/>
  <c r="U55" i="9" s="1"/>
  <c r="AB55" i="9" s="1"/>
  <c r="F55" i="9"/>
  <c r="U54" i="9"/>
  <c r="T54" i="9"/>
  <c r="S54" i="9"/>
  <c r="L54" i="9"/>
  <c r="F54" i="9"/>
  <c r="U53" i="9"/>
  <c r="T53" i="9"/>
  <c r="AB53" i="9" s="1"/>
  <c r="S53" i="9"/>
  <c r="AC53" i="9" s="1"/>
  <c r="L53" i="9"/>
  <c r="F53" i="9"/>
  <c r="AB52" i="9"/>
  <c r="U52" i="9"/>
  <c r="T52" i="9"/>
  <c r="S52" i="9"/>
  <c r="AC52" i="9" s="1"/>
  <c r="L52" i="9"/>
  <c r="F52" i="9"/>
  <c r="U51" i="9"/>
  <c r="AB51" i="9" s="1"/>
  <c r="T51" i="9"/>
  <c r="L51" i="9"/>
  <c r="S51" i="9" s="1"/>
  <c r="F51" i="9"/>
  <c r="U50" i="9"/>
  <c r="T50" i="9"/>
  <c r="S50" i="9"/>
  <c r="L50" i="9"/>
  <c r="F50" i="9"/>
  <c r="AB49" i="9"/>
  <c r="U49" i="9"/>
  <c r="T49" i="9"/>
  <c r="L49" i="9"/>
  <c r="S49" i="9" s="1"/>
  <c r="AC49" i="9" s="1"/>
  <c r="F49" i="9"/>
  <c r="AA48" i="9"/>
  <c r="Y48" i="9"/>
  <c r="U48" i="9"/>
  <c r="T48" i="9"/>
  <c r="AB48" i="9" s="1"/>
  <c r="S48" i="9"/>
  <c r="AC48" i="9" s="1"/>
  <c r="L48" i="9"/>
  <c r="F48" i="9"/>
  <c r="AB47" i="9"/>
  <c r="U47" i="9"/>
  <c r="T47" i="9"/>
  <c r="L47" i="9"/>
  <c r="S47" i="9" s="1"/>
  <c r="AC47" i="9" s="1"/>
  <c r="F47" i="9"/>
  <c r="U46" i="9"/>
  <c r="AB46" i="9" s="1"/>
  <c r="T46" i="9"/>
  <c r="S46" i="9"/>
  <c r="L46" i="9"/>
  <c r="F46" i="9"/>
  <c r="AB45" i="9"/>
  <c r="U45" i="9"/>
  <c r="T45" i="9"/>
  <c r="L45" i="9"/>
  <c r="F45" i="9"/>
  <c r="U44" i="9"/>
  <c r="T44" i="9"/>
  <c r="AB44" i="9" s="1"/>
  <c r="L44" i="9"/>
  <c r="S44" i="9" s="1"/>
  <c r="F44" i="9"/>
  <c r="U43" i="9"/>
  <c r="T43" i="9"/>
  <c r="S43" i="9"/>
  <c r="L43" i="9"/>
  <c r="F43" i="9"/>
  <c r="L42" i="9"/>
  <c r="U41" i="9"/>
  <c r="T41" i="9"/>
  <c r="AB41" i="9" s="1"/>
  <c r="S41" i="9"/>
  <c r="AC41" i="9" s="1"/>
  <c r="L41" i="9"/>
  <c r="AA40" i="9"/>
  <c r="AB40" i="9" s="1"/>
  <c r="U40" i="9"/>
  <c r="T40" i="9"/>
  <c r="L40" i="9"/>
  <c r="S40" i="9" s="1"/>
  <c r="F40" i="9"/>
  <c r="U39" i="9"/>
  <c r="AB39" i="9" s="1"/>
  <c r="S39" i="9"/>
  <c r="T39" i="9" s="1"/>
  <c r="L39" i="9"/>
  <c r="F39" i="9"/>
  <c r="T38" i="9"/>
  <c r="L38" i="9"/>
  <c r="F38" i="9"/>
  <c r="AB37" i="9"/>
  <c r="L37" i="9"/>
  <c r="S37" i="9" s="1"/>
  <c r="AC37" i="9" s="1"/>
  <c r="F37" i="9"/>
  <c r="U36" i="9"/>
  <c r="T36" i="9"/>
  <c r="AB36" i="9" s="1"/>
  <c r="L36" i="9"/>
  <c r="S36" i="9" s="1"/>
  <c r="F36" i="9"/>
  <c r="U35" i="9"/>
  <c r="T35" i="9"/>
  <c r="S35" i="9"/>
  <c r="L35" i="9"/>
  <c r="F35" i="9"/>
  <c r="U34" i="9"/>
  <c r="T34" i="9"/>
  <c r="AB34" i="9" s="1"/>
  <c r="L34" i="9"/>
  <c r="S34" i="9" s="1"/>
  <c r="F34" i="9"/>
  <c r="S33" i="9"/>
  <c r="L33" i="9"/>
  <c r="F33" i="9"/>
  <c r="U32" i="9"/>
  <c r="T32" i="9"/>
  <c r="AB32" i="9" s="1"/>
  <c r="L32" i="9"/>
  <c r="S32" i="9" s="1"/>
  <c r="F32" i="9"/>
  <c r="U31" i="9"/>
  <c r="T31" i="9"/>
  <c r="S31" i="9"/>
  <c r="L31" i="9"/>
  <c r="F31" i="9"/>
  <c r="U30" i="9"/>
  <c r="T30" i="9"/>
  <c r="AB30" i="9" s="1"/>
  <c r="L30" i="9"/>
  <c r="S30" i="9" s="1"/>
  <c r="AC30" i="9" s="1"/>
  <c r="F30" i="9"/>
  <c r="U29" i="9"/>
  <c r="AB29" i="9" s="1"/>
  <c r="T29" i="9"/>
  <c r="S29" i="9"/>
  <c r="AC29" i="9" s="1"/>
  <c r="L29" i="9"/>
  <c r="F29" i="9"/>
  <c r="U28" i="9"/>
  <c r="L28" i="9"/>
  <c r="S28" i="9" s="1"/>
  <c r="F28" i="9"/>
  <c r="U27" i="9"/>
  <c r="T27" i="9"/>
  <c r="AB27" i="9" s="1"/>
  <c r="L27" i="9"/>
  <c r="S27" i="9" s="1"/>
  <c r="F27" i="9"/>
  <c r="AC26" i="9"/>
  <c r="U26" i="9"/>
  <c r="T26" i="9"/>
  <c r="AB26" i="9" s="1"/>
  <c r="S26" i="9"/>
  <c r="L26" i="9"/>
  <c r="F26" i="9"/>
  <c r="AB25" i="9"/>
  <c r="U25" i="9"/>
  <c r="T25" i="9"/>
  <c r="L25" i="9"/>
  <c r="S25" i="9" s="1"/>
  <c r="AC25" i="9" s="1"/>
  <c r="F25" i="9"/>
  <c r="N24" i="9"/>
  <c r="N120" i="9" s="1"/>
  <c r="L24" i="9"/>
  <c r="S24" i="9" s="1"/>
  <c r="AC23" i="9"/>
  <c r="U23" i="9"/>
  <c r="T23" i="9"/>
  <c r="AB23" i="9" s="1"/>
  <c r="S23" i="9"/>
  <c r="L23" i="9"/>
  <c r="F23" i="9"/>
  <c r="S22" i="9"/>
  <c r="L22" i="9"/>
  <c r="F22" i="9"/>
  <c r="U21" i="9"/>
  <c r="AB21" i="9" s="1"/>
  <c r="T21" i="9"/>
  <c r="L21" i="9"/>
  <c r="S21" i="9" s="1"/>
  <c r="F21" i="9"/>
  <c r="U20" i="9"/>
  <c r="T20" i="9"/>
  <c r="L20" i="9"/>
  <c r="S20" i="9" s="1"/>
  <c r="F20" i="9"/>
  <c r="AC19" i="9"/>
  <c r="U19" i="9"/>
  <c r="T19" i="9"/>
  <c r="AB19" i="9" s="1"/>
  <c r="S19" i="9"/>
  <c r="L19" i="9"/>
  <c r="F19" i="9"/>
  <c r="AB18" i="9"/>
  <c r="U18" i="9"/>
  <c r="T18" i="9"/>
  <c r="L18" i="9"/>
  <c r="S18" i="9" s="1"/>
  <c r="AC18" i="9" s="1"/>
  <c r="F18" i="9"/>
  <c r="T17" i="9"/>
  <c r="AB17" i="9" s="1"/>
  <c r="L17" i="9"/>
  <c r="S17" i="9" s="1"/>
  <c r="F17" i="9"/>
  <c r="U16" i="9"/>
  <c r="T16" i="9"/>
  <c r="AB16" i="9" s="1"/>
  <c r="S16" i="9"/>
  <c r="AC16" i="9" s="1"/>
  <c r="L16" i="9"/>
  <c r="F16" i="9"/>
  <c r="L15" i="9"/>
  <c r="F15" i="9"/>
  <c r="L14" i="9"/>
  <c r="F14" i="9"/>
  <c r="U13" i="9"/>
  <c r="T13" i="9"/>
  <c r="L13" i="9"/>
  <c r="S13" i="9" s="1"/>
  <c r="L12" i="9"/>
  <c r="F12" i="9"/>
  <c r="L11" i="9"/>
  <c r="F11" i="9"/>
  <c r="AA10" i="9"/>
  <c r="AA120" i="9" s="1"/>
  <c r="U10" i="9"/>
  <c r="T10" i="9"/>
  <c r="L10" i="9"/>
  <c r="S10" i="9" s="1"/>
  <c r="F10" i="9"/>
  <c r="U9" i="9"/>
  <c r="T9" i="9"/>
  <c r="AB9" i="9" s="1"/>
  <c r="L9" i="9"/>
  <c r="S9" i="9" s="1"/>
  <c r="AC9" i="9" s="1"/>
  <c r="F9" i="9"/>
  <c r="U8" i="9"/>
  <c r="T8" i="9"/>
  <c r="AB8" i="9" s="1"/>
  <c r="S8" i="9"/>
  <c r="AC8" i="9" s="1"/>
  <c r="L8" i="9"/>
  <c r="F8" i="9"/>
  <c r="L7" i="9"/>
  <c r="S7" i="9" s="1"/>
  <c r="F7" i="9"/>
  <c r="AB6" i="9"/>
  <c r="U6" i="9"/>
  <c r="T6" i="9"/>
  <c r="L6" i="9"/>
  <c r="F6" i="9"/>
  <c r="U5" i="9"/>
  <c r="T5" i="9"/>
  <c r="AB5" i="9" s="1"/>
  <c r="L5" i="9"/>
  <c r="S5" i="9" s="1"/>
  <c r="AC5" i="9" s="1"/>
  <c r="F5" i="9"/>
  <c r="U4" i="9"/>
  <c r="T4" i="9"/>
  <c r="S4" i="9"/>
  <c r="L4" i="9"/>
  <c r="F4" i="9"/>
  <c r="C209" i="8"/>
  <c r="C189" i="8"/>
  <c r="C182" i="8"/>
  <c r="C184" i="8" s="1"/>
  <c r="S143" i="8"/>
  <c r="R143" i="8"/>
  <c r="Y118" i="8"/>
  <c r="W118" i="8"/>
  <c r="V118" i="8"/>
  <c r="U118" i="8"/>
  <c r="P118" i="8"/>
  <c r="O118" i="8"/>
  <c r="N118" i="8"/>
  <c r="J118" i="8"/>
  <c r="T117" i="8"/>
  <c r="S117" i="8"/>
  <c r="AA117" i="8" s="1"/>
  <c r="L117" i="8"/>
  <c r="R117" i="8" s="1"/>
  <c r="AB117" i="8" s="1"/>
  <c r="F117" i="8"/>
  <c r="T116" i="8"/>
  <c r="S116" i="8"/>
  <c r="AA116" i="8" s="1"/>
  <c r="R116" i="8"/>
  <c r="L116" i="8"/>
  <c r="F116" i="8"/>
  <c r="AA115" i="8"/>
  <c r="T115" i="8"/>
  <c r="S115" i="8"/>
  <c r="R115" i="8"/>
  <c r="AB115" i="8" s="1"/>
  <c r="L115" i="8"/>
  <c r="F115" i="8"/>
  <c r="T114" i="8"/>
  <c r="M114" i="8"/>
  <c r="L114" i="8"/>
  <c r="T113" i="8"/>
  <c r="S113" i="8"/>
  <c r="AA113" i="8" s="1"/>
  <c r="L113" i="8"/>
  <c r="R113" i="8" s="1"/>
  <c r="AB113" i="8" s="1"/>
  <c r="F113" i="8"/>
  <c r="T112" i="8"/>
  <c r="S112" i="8"/>
  <c r="AA112" i="8" s="1"/>
  <c r="AB112" i="8" s="1"/>
  <c r="R112" i="8"/>
  <c r="L112" i="8"/>
  <c r="F112" i="8"/>
  <c r="AA111" i="8"/>
  <c r="T111" i="8"/>
  <c r="S111" i="8"/>
  <c r="R111" i="8"/>
  <c r="AB111" i="8" s="1"/>
  <c r="L111" i="8"/>
  <c r="F111" i="8"/>
  <c r="T110" i="8"/>
  <c r="L110" i="8"/>
  <c r="AA109" i="8"/>
  <c r="L109" i="8"/>
  <c r="R109" i="8" s="1"/>
  <c r="AB109" i="8" s="1"/>
  <c r="F109" i="8"/>
  <c r="T108" i="8"/>
  <c r="S108" i="8"/>
  <c r="AA108" i="8" s="1"/>
  <c r="L108" i="8"/>
  <c r="R108" i="8" s="1"/>
  <c r="AB108" i="8" s="1"/>
  <c r="F108" i="8"/>
  <c r="T107" i="8"/>
  <c r="S107" i="8"/>
  <c r="AA107" i="8" s="1"/>
  <c r="R107" i="8"/>
  <c r="AB107" i="8" s="1"/>
  <c r="L107" i="8"/>
  <c r="F107" i="8"/>
  <c r="L106" i="8"/>
  <c r="R106" i="8" s="1"/>
  <c r="F106" i="8"/>
  <c r="AA105" i="8"/>
  <c r="Z105" i="8"/>
  <c r="T105" i="8"/>
  <c r="S105" i="8"/>
  <c r="R105" i="8"/>
  <c r="AB105" i="8" s="1"/>
  <c r="Q105" i="8"/>
  <c r="L105" i="8"/>
  <c r="F105" i="8"/>
  <c r="AA104" i="8"/>
  <c r="T104" i="8"/>
  <c r="Q104" i="8"/>
  <c r="L104" i="8"/>
  <c r="F104" i="8"/>
  <c r="AA103" i="8"/>
  <c r="R103" i="8"/>
  <c r="AB103" i="8" s="1"/>
  <c r="L103" i="8"/>
  <c r="F103" i="8"/>
  <c r="AA102" i="8"/>
  <c r="T102" i="8"/>
  <c r="S102" i="8"/>
  <c r="L102" i="8"/>
  <c r="R102" i="8" s="1"/>
  <c r="AB102" i="8" s="1"/>
  <c r="F102" i="8"/>
  <c r="T101" i="8"/>
  <c r="AA101" i="8" s="1"/>
  <c r="S101" i="8"/>
  <c r="L101" i="8"/>
  <c r="R101" i="8" s="1"/>
  <c r="T100" i="8"/>
  <c r="S100" i="8"/>
  <c r="AA100" i="8" s="1"/>
  <c r="R100" i="8"/>
  <c r="L100" i="8"/>
  <c r="F100" i="8"/>
  <c r="AA99" i="8"/>
  <c r="T99" i="8"/>
  <c r="S99" i="8"/>
  <c r="R99" i="8"/>
  <c r="AB99" i="8" s="1"/>
  <c r="L99" i="8"/>
  <c r="F99" i="8"/>
  <c r="T98" i="8"/>
  <c r="AA98" i="8" s="1"/>
  <c r="S98" i="8"/>
  <c r="L98" i="8"/>
  <c r="R98" i="8" s="1"/>
  <c r="F98" i="8"/>
  <c r="T97" i="8"/>
  <c r="M97" i="8"/>
  <c r="L97" i="8"/>
  <c r="AB96" i="8"/>
  <c r="T96" i="8"/>
  <c r="S96" i="8"/>
  <c r="AA96" i="8" s="1"/>
  <c r="R96" i="8"/>
  <c r="L96" i="8"/>
  <c r="F96" i="8"/>
  <c r="AA95" i="8"/>
  <c r="T95" i="8"/>
  <c r="S95" i="8"/>
  <c r="L95" i="8"/>
  <c r="R95" i="8" s="1"/>
  <c r="AB95" i="8" s="1"/>
  <c r="F95" i="8"/>
  <c r="AA94" i="8"/>
  <c r="T94" i="8"/>
  <c r="S94" i="8"/>
  <c r="L94" i="8"/>
  <c r="R94" i="8" s="1"/>
  <c r="AB94" i="8" s="1"/>
  <c r="F94" i="8"/>
  <c r="AA93" i="8"/>
  <c r="R93" i="8"/>
  <c r="AB93" i="8" s="1"/>
  <c r="L93" i="8"/>
  <c r="F93" i="8"/>
  <c r="T92" i="8"/>
  <c r="AA92" i="8" s="1"/>
  <c r="S92" i="8"/>
  <c r="L92" i="8"/>
  <c r="R92" i="8" s="1"/>
  <c r="F92" i="8"/>
  <c r="T91" i="8"/>
  <c r="S91" i="8"/>
  <c r="AA91" i="8" s="1"/>
  <c r="R91" i="8"/>
  <c r="L91" i="8"/>
  <c r="AA90" i="8"/>
  <c r="T90" i="8"/>
  <c r="S90" i="8"/>
  <c r="L90" i="8"/>
  <c r="R90" i="8" s="1"/>
  <c r="AB90" i="8" s="1"/>
  <c r="F90" i="8"/>
  <c r="L89" i="8"/>
  <c r="R89" i="8" s="1"/>
  <c r="F89" i="8"/>
  <c r="L88" i="8"/>
  <c r="R88" i="8" s="1"/>
  <c r="AB88" i="8" s="1"/>
  <c r="F88" i="8"/>
  <c r="T87" i="8"/>
  <c r="S87" i="8"/>
  <c r="R87" i="8"/>
  <c r="L87" i="8"/>
  <c r="F87" i="8"/>
  <c r="R86" i="8"/>
  <c r="L86" i="8"/>
  <c r="F86" i="8"/>
  <c r="AA85" i="8"/>
  <c r="T85" i="8"/>
  <c r="S85" i="8"/>
  <c r="L85" i="8"/>
  <c r="R85" i="8" s="1"/>
  <c r="F85" i="8"/>
  <c r="T84" i="8"/>
  <c r="AA84" i="8" s="1"/>
  <c r="S84" i="8"/>
  <c r="L84" i="8"/>
  <c r="R84" i="8" s="1"/>
  <c r="F84" i="8"/>
  <c r="T83" i="8"/>
  <c r="S83" i="8"/>
  <c r="AA83" i="8" s="1"/>
  <c r="R83" i="8"/>
  <c r="AB83" i="8" s="1"/>
  <c r="L83" i="8"/>
  <c r="F83" i="8"/>
  <c r="AB82" i="8"/>
  <c r="T82" i="8"/>
  <c r="S82" i="8"/>
  <c r="AA82" i="8" s="1"/>
  <c r="R82" i="8"/>
  <c r="L82" i="8"/>
  <c r="F82" i="8"/>
  <c r="M81" i="8"/>
  <c r="M118" i="8" s="1"/>
  <c r="L81" i="8"/>
  <c r="T81" i="8" s="1"/>
  <c r="Z80" i="8"/>
  <c r="AA80" i="8" s="1"/>
  <c r="T80" i="8"/>
  <c r="S80" i="8"/>
  <c r="L80" i="8"/>
  <c r="R80" i="8" s="1"/>
  <c r="F80" i="8"/>
  <c r="T79" i="8"/>
  <c r="AA79" i="8" s="1"/>
  <c r="S79" i="8"/>
  <c r="L79" i="8"/>
  <c r="R79" i="8" s="1"/>
  <c r="AA78" i="8"/>
  <c r="L78" i="8"/>
  <c r="R78" i="8" s="1"/>
  <c r="AB78" i="8" s="1"/>
  <c r="F78" i="8"/>
  <c r="T77" i="8"/>
  <c r="S77" i="8"/>
  <c r="AA77" i="8" s="1"/>
  <c r="R77" i="8"/>
  <c r="AB77" i="8" s="1"/>
  <c r="L77" i="8"/>
  <c r="F77" i="8"/>
  <c r="AA76" i="8"/>
  <c r="L76" i="8"/>
  <c r="R76" i="8" s="1"/>
  <c r="AB76" i="8" s="1"/>
  <c r="F76" i="8"/>
  <c r="T75" i="8"/>
  <c r="S75" i="8"/>
  <c r="AA75" i="8" s="1"/>
  <c r="R75" i="8"/>
  <c r="AB75" i="8" s="1"/>
  <c r="L75" i="8"/>
  <c r="AA74" i="8"/>
  <c r="T74" i="8"/>
  <c r="S74" i="8"/>
  <c r="L74" i="8"/>
  <c r="R74" i="8" s="1"/>
  <c r="AB74" i="8" s="1"/>
  <c r="F74" i="8"/>
  <c r="T73" i="8"/>
  <c r="AA73" i="8" s="1"/>
  <c r="S73" i="8"/>
  <c r="Q73" i="8"/>
  <c r="L73" i="8"/>
  <c r="F73" i="8"/>
  <c r="T72" i="8"/>
  <c r="AA72" i="8" s="1"/>
  <c r="S72" i="8"/>
  <c r="L72" i="8"/>
  <c r="R72" i="8" s="1"/>
  <c r="F72" i="8"/>
  <c r="T71" i="8"/>
  <c r="S71" i="8"/>
  <c r="R71" i="8"/>
  <c r="L71" i="8"/>
  <c r="F71" i="8"/>
  <c r="S70" i="8"/>
  <c r="R70" i="8"/>
  <c r="L70" i="8"/>
  <c r="T70" i="8" s="1"/>
  <c r="T69" i="8"/>
  <c r="AA69" i="8" s="1"/>
  <c r="S69" i="8"/>
  <c r="L69" i="8"/>
  <c r="R69" i="8" s="1"/>
  <c r="F69" i="8"/>
  <c r="T68" i="8"/>
  <c r="S68" i="8"/>
  <c r="AA68" i="8" s="1"/>
  <c r="R68" i="8"/>
  <c r="AB68" i="8" s="1"/>
  <c r="L68" i="8"/>
  <c r="F68" i="8"/>
  <c r="S67" i="8"/>
  <c r="AA67" i="8" s="1"/>
  <c r="AB67" i="8" s="1"/>
  <c r="R67" i="8"/>
  <c r="L67" i="8"/>
  <c r="T67" i="8" s="1"/>
  <c r="F67" i="8"/>
  <c r="L66" i="8"/>
  <c r="F66" i="8"/>
  <c r="T65" i="8"/>
  <c r="AA65" i="8" s="1"/>
  <c r="S65" i="8"/>
  <c r="L65" i="8"/>
  <c r="R65" i="8" s="1"/>
  <c r="AB65" i="8" s="1"/>
  <c r="T64" i="8"/>
  <c r="S64" i="8"/>
  <c r="AA64" i="8" s="1"/>
  <c r="R64" i="8"/>
  <c r="AB64" i="8" s="1"/>
  <c r="L64" i="8"/>
  <c r="F64" i="8"/>
  <c r="AA63" i="8"/>
  <c r="T63" i="8"/>
  <c r="S63" i="8"/>
  <c r="L63" i="8"/>
  <c r="R63" i="8" s="1"/>
  <c r="AB63" i="8" s="1"/>
  <c r="F63" i="8"/>
  <c r="T62" i="8"/>
  <c r="L62" i="8"/>
  <c r="F62" i="8"/>
  <c r="T61" i="8"/>
  <c r="S61" i="8"/>
  <c r="AA61" i="8" s="1"/>
  <c r="R61" i="8"/>
  <c r="L61" i="8"/>
  <c r="F61" i="8"/>
  <c r="AB60" i="8"/>
  <c r="T60" i="8"/>
  <c r="S60" i="8"/>
  <c r="AA60" i="8" s="1"/>
  <c r="R60" i="8"/>
  <c r="L60" i="8"/>
  <c r="F60" i="8"/>
  <c r="AA59" i="8"/>
  <c r="T59" i="8"/>
  <c r="S59" i="8"/>
  <c r="L59" i="8"/>
  <c r="R59" i="8" s="1"/>
  <c r="AB59" i="8" s="1"/>
  <c r="F59" i="8"/>
  <c r="AA58" i="8"/>
  <c r="T58" i="8"/>
  <c r="S58" i="8"/>
  <c r="L58" i="8"/>
  <c r="R58" i="8" s="1"/>
  <c r="F58" i="8"/>
  <c r="AE57" i="8"/>
  <c r="T57" i="8"/>
  <c r="AA57" i="8" s="1"/>
  <c r="S57" i="8"/>
  <c r="L57" i="8"/>
  <c r="R57" i="8" s="1"/>
  <c r="F57" i="8"/>
  <c r="T56" i="8"/>
  <c r="S56" i="8"/>
  <c r="AA56" i="8" s="1"/>
  <c r="R56" i="8"/>
  <c r="L56" i="8"/>
  <c r="F56" i="8"/>
  <c r="T55" i="8"/>
  <c r="S55" i="8"/>
  <c r="AA55" i="8" s="1"/>
  <c r="R55" i="8"/>
  <c r="AB55" i="8" s="1"/>
  <c r="L55" i="8"/>
  <c r="F55" i="8"/>
  <c r="AA54" i="8"/>
  <c r="T54" i="8"/>
  <c r="L54" i="8"/>
  <c r="S54" i="8" s="1"/>
  <c r="F54" i="8"/>
  <c r="AA53" i="8"/>
  <c r="T53" i="8"/>
  <c r="S53" i="8"/>
  <c r="L53" i="8"/>
  <c r="R53" i="8" s="1"/>
  <c r="F53" i="8"/>
  <c r="T52" i="8"/>
  <c r="S52" i="8"/>
  <c r="AA52" i="8" s="1"/>
  <c r="R52" i="8"/>
  <c r="AB52" i="8" s="1"/>
  <c r="L52" i="8"/>
  <c r="F52" i="8"/>
  <c r="AA51" i="8"/>
  <c r="T51" i="8"/>
  <c r="S51" i="8"/>
  <c r="L51" i="8"/>
  <c r="R51" i="8" s="1"/>
  <c r="AB51" i="8" s="1"/>
  <c r="F51" i="8"/>
  <c r="AA50" i="8"/>
  <c r="T50" i="8"/>
  <c r="L50" i="8"/>
  <c r="S50" i="8" s="1"/>
  <c r="F50" i="8"/>
  <c r="AA49" i="8"/>
  <c r="T49" i="8"/>
  <c r="S49" i="8"/>
  <c r="L49" i="8"/>
  <c r="R49" i="8" s="1"/>
  <c r="AB49" i="8" s="1"/>
  <c r="F49" i="8"/>
  <c r="Z48" i="8"/>
  <c r="X48" i="8"/>
  <c r="X118" i="8" s="1"/>
  <c r="T48" i="8"/>
  <c r="S48" i="8"/>
  <c r="L48" i="8"/>
  <c r="R48" i="8" s="1"/>
  <c r="F48" i="8"/>
  <c r="T47" i="8"/>
  <c r="S47" i="8"/>
  <c r="AA47" i="8" s="1"/>
  <c r="L47" i="8"/>
  <c r="R47" i="8" s="1"/>
  <c r="F47" i="8"/>
  <c r="T46" i="8"/>
  <c r="S46" i="8"/>
  <c r="R46" i="8"/>
  <c r="L46" i="8"/>
  <c r="F46" i="8"/>
  <c r="T45" i="8"/>
  <c r="S45" i="8"/>
  <c r="AA45" i="8" s="1"/>
  <c r="R45" i="8"/>
  <c r="AB45" i="8" s="1"/>
  <c r="L45" i="8"/>
  <c r="F45" i="8"/>
  <c r="AA44" i="8"/>
  <c r="T44" i="8"/>
  <c r="S44" i="8"/>
  <c r="Q44" i="8"/>
  <c r="Q118" i="8" s="1"/>
  <c r="L44" i="8"/>
  <c r="F44" i="8"/>
  <c r="AA43" i="8"/>
  <c r="T43" i="8"/>
  <c r="S43" i="8"/>
  <c r="L43" i="8"/>
  <c r="R43" i="8" s="1"/>
  <c r="AB43" i="8" s="1"/>
  <c r="F43" i="8"/>
  <c r="T42" i="8"/>
  <c r="S42" i="8"/>
  <c r="AA42" i="8" s="1"/>
  <c r="L42" i="8"/>
  <c r="R42" i="8" s="1"/>
  <c r="F42" i="8"/>
  <c r="T41" i="8"/>
  <c r="S41" i="8"/>
  <c r="R41" i="8"/>
  <c r="L41" i="8"/>
  <c r="Z40" i="8"/>
  <c r="T40" i="8"/>
  <c r="S40" i="8"/>
  <c r="AA40" i="8" s="1"/>
  <c r="L40" i="8"/>
  <c r="R40" i="8" s="1"/>
  <c r="AB40" i="8" s="1"/>
  <c r="F40" i="8"/>
  <c r="L39" i="8"/>
  <c r="R39" i="8" s="1"/>
  <c r="F39" i="8"/>
  <c r="T38" i="8"/>
  <c r="S38" i="8"/>
  <c r="L38" i="8"/>
  <c r="R38" i="8" s="1"/>
  <c r="F38" i="8"/>
  <c r="AB37" i="8"/>
  <c r="AA37" i="8"/>
  <c r="R37" i="8"/>
  <c r="F37" i="8"/>
  <c r="T36" i="8"/>
  <c r="S36" i="8"/>
  <c r="R36" i="8"/>
  <c r="L36" i="8"/>
  <c r="F36" i="8"/>
  <c r="T35" i="8"/>
  <c r="S35" i="8"/>
  <c r="AA35" i="8" s="1"/>
  <c r="L35" i="8"/>
  <c r="R35" i="8" s="1"/>
  <c r="F35" i="8"/>
  <c r="T34" i="8"/>
  <c r="AA34" i="8" s="1"/>
  <c r="AB34" i="8" s="1"/>
  <c r="S34" i="8"/>
  <c r="R34" i="8"/>
  <c r="L34" i="8"/>
  <c r="F34" i="8"/>
  <c r="T33" i="8"/>
  <c r="L33" i="8"/>
  <c r="R33" i="8" s="1"/>
  <c r="F33" i="8"/>
  <c r="T32" i="8"/>
  <c r="S32" i="8"/>
  <c r="AA32" i="8" s="1"/>
  <c r="R32" i="8"/>
  <c r="AB32" i="8" s="1"/>
  <c r="L32" i="8"/>
  <c r="F32" i="8"/>
  <c r="AA31" i="8"/>
  <c r="T31" i="8"/>
  <c r="S31" i="8"/>
  <c r="L31" i="8"/>
  <c r="R31" i="8" s="1"/>
  <c r="F31" i="8"/>
  <c r="T30" i="8"/>
  <c r="AA30" i="8" s="1"/>
  <c r="S30" i="8"/>
  <c r="L30" i="8"/>
  <c r="R30" i="8" s="1"/>
  <c r="F30" i="8"/>
  <c r="AA29" i="8"/>
  <c r="T29" i="8"/>
  <c r="S29" i="8"/>
  <c r="L29" i="8"/>
  <c r="R29" i="8" s="1"/>
  <c r="F29" i="8"/>
  <c r="S28" i="8"/>
  <c r="R28" i="8"/>
  <c r="L28" i="8"/>
  <c r="F28" i="8"/>
  <c r="L27" i="8"/>
  <c r="R27" i="8" s="1"/>
  <c r="F27" i="8"/>
  <c r="T26" i="8"/>
  <c r="AA26" i="8" s="1"/>
  <c r="S26" i="8"/>
  <c r="L26" i="8"/>
  <c r="R26" i="8" s="1"/>
  <c r="F26" i="8"/>
  <c r="T25" i="8"/>
  <c r="S25" i="8"/>
  <c r="AA25" i="8" s="1"/>
  <c r="L25" i="8"/>
  <c r="R25" i="8" s="1"/>
  <c r="F25" i="8"/>
  <c r="AB24" i="8"/>
  <c r="T24" i="8"/>
  <c r="S24" i="8"/>
  <c r="AA24" i="8" s="1"/>
  <c r="R24" i="8"/>
  <c r="L24" i="8"/>
  <c r="F24" i="8"/>
  <c r="AA23" i="8"/>
  <c r="T23" i="8"/>
  <c r="S23" i="8"/>
  <c r="R23" i="8"/>
  <c r="AB23" i="8" s="1"/>
  <c r="L23" i="8"/>
  <c r="F23" i="8"/>
  <c r="T22" i="8"/>
  <c r="L22" i="8"/>
  <c r="F22" i="8"/>
  <c r="T21" i="8"/>
  <c r="S21" i="8"/>
  <c r="L21" i="8"/>
  <c r="R21" i="8" s="1"/>
  <c r="F21" i="8"/>
  <c r="AB20" i="8"/>
  <c r="T20" i="8"/>
  <c r="S20" i="8"/>
  <c r="AA20" i="8" s="1"/>
  <c r="R20" i="8"/>
  <c r="L20" i="8"/>
  <c r="F20" i="8"/>
  <c r="R19" i="8"/>
  <c r="L19" i="8"/>
  <c r="F19" i="8"/>
  <c r="T18" i="8"/>
  <c r="AA18" i="8" s="1"/>
  <c r="S18" i="8"/>
  <c r="L18" i="8"/>
  <c r="R18" i="8" s="1"/>
  <c r="F18" i="8"/>
  <c r="S17" i="8"/>
  <c r="AA17" i="8" s="1"/>
  <c r="R17" i="8"/>
  <c r="L17" i="8"/>
  <c r="F17" i="8"/>
  <c r="AA16" i="8"/>
  <c r="T16" i="8"/>
  <c r="S16" i="8"/>
  <c r="R16" i="8"/>
  <c r="AB16" i="8" s="1"/>
  <c r="L16" i="8"/>
  <c r="F16" i="8"/>
  <c r="T15" i="8"/>
  <c r="L15" i="8"/>
  <c r="F15" i="8"/>
  <c r="T14" i="8"/>
  <c r="AA14" i="8" s="1"/>
  <c r="S14" i="8"/>
  <c r="L14" i="8"/>
  <c r="R14" i="8" s="1"/>
  <c r="F14" i="8"/>
  <c r="T13" i="8"/>
  <c r="S13" i="8"/>
  <c r="R13" i="8"/>
  <c r="L13" i="8"/>
  <c r="T12" i="8"/>
  <c r="R12" i="8"/>
  <c r="L12" i="8"/>
  <c r="S12" i="8" s="1"/>
  <c r="AA12" i="8" s="1"/>
  <c r="F12" i="8"/>
  <c r="T11" i="8"/>
  <c r="AA11" i="8" s="1"/>
  <c r="S11" i="8"/>
  <c r="L11" i="8"/>
  <c r="R11" i="8" s="1"/>
  <c r="F11" i="8"/>
  <c r="Z10" i="8"/>
  <c r="Z118" i="8" s="1"/>
  <c r="T10" i="8"/>
  <c r="S10" i="8"/>
  <c r="AA10" i="8" s="1"/>
  <c r="L10" i="8"/>
  <c r="R10" i="8" s="1"/>
  <c r="AB10" i="8" s="1"/>
  <c r="F10" i="8"/>
  <c r="T9" i="8"/>
  <c r="S9" i="8"/>
  <c r="AA9" i="8" s="1"/>
  <c r="R9" i="8"/>
  <c r="AB9" i="8" s="1"/>
  <c r="L9" i="8"/>
  <c r="F9" i="8"/>
  <c r="T8" i="8"/>
  <c r="S8" i="8"/>
  <c r="AA8" i="8" s="1"/>
  <c r="R8" i="8"/>
  <c r="AB8" i="8" s="1"/>
  <c r="L8" i="8"/>
  <c r="F8" i="8"/>
  <c r="L7" i="8"/>
  <c r="R7" i="8" s="1"/>
  <c r="F7" i="8"/>
  <c r="T6" i="8"/>
  <c r="S6" i="8"/>
  <c r="AA6" i="8" s="1"/>
  <c r="L6" i="8"/>
  <c r="R6" i="8" s="1"/>
  <c r="F6" i="8"/>
  <c r="T5" i="8"/>
  <c r="S5" i="8"/>
  <c r="AA5" i="8" s="1"/>
  <c r="R5" i="8"/>
  <c r="AB5" i="8" s="1"/>
  <c r="L5" i="8"/>
  <c r="F5" i="8"/>
  <c r="T4" i="8"/>
  <c r="S4" i="8"/>
  <c r="R4" i="8"/>
  <c r="L4" i="8"/>
  <c r="L118" i="8" s="1"/>
  <c r="F4" i="8"/>
  <c r="C214" i="7"/>
  <c r="C194" i="7"/>
  <c r="C187" i="7"/>
  <c r="C189" i="7" s="1"/>
  <c r="N148" i="7"/>
  <c r="M148" i="7"/>
  <c r="T123" i="7"/>
  <c r="R123" i="7"/>
  <c r="Q123" i="7"/>
  <c r="P123" i="7"/>
  <c r="J123" i="7"/>
  <c r="I123" i="7"/>
  <c r="E123" i="7"/>
  <c r="O122" i="7"/>
  <c r="N122" i="7"/>
  <c r="V122" i="7" s="1"/>
  <c r="G122" i="7"/>
  <c r="M122" i="7" s="1"/>
  <c r="V121" i="7"/>
  <c r="O121" i="7"/>
  <c r="N121" i="7"/>
  <c r="G121" i="7"/>
  <c r="M121" i="7" s="1"/>
  <c r="O120" i="7"/>
  <c r="N120" i="7"/>
  <c r="V120" i="7" s="1"/>
  <c r="G120" i="7"/>
  <c r="M120" i="7" s="1"/>
  <c r="W120" i="7" s="1"/>
  <c r="V119" i="7"/>
  <c r="O119" i="7"/>
  <c r="N119" i="7"/>
  <c r="G119" i="7"/>
  <c r="M119" i="7" s="1"/>
  <c r="W119" i="7" s="1"/>
  <c r="N118" i="7"/>
  <c r="H118" i="7"/>
  <c r="M118" i="7" s="1"/>
  <c r="G118" i="7"/>
  <c r="O118" i="7" s="1"/>
  <c r="W117" i="7"/>
  <c r="O117" i="7"/>
  <c r="V117" i="7" s="1"/>
  <c r="N117" i="7"/>
  <c r="M117" i="7"/>
  <c r="G117" i="7"/>
  <c r="O116" i="7"/>
  <c r="N116" i="7"/>
  <c r="V116" i="7" s="1"/>
  <c r="M116" i="7"/>
  <c r="G116" i="7"/>
  <c r="O115" i="7"/>
  <c r="V115" i="7" s="1"/>
  <c r="N115" i="7"/>
  <c r="M115" i="7"/>
  <c r="W115" i="7" s="1"/>
  <c r="G115" i="7"/>
  <c r="V114" i="7"/>
  <c r="M114" i="7"/>
  <c r="W114" i="7" s="1"/>
  <c r="G114" i="7"/>
  <c r="O113" i="7"/>
  <c r="N113" i="7"/>
  <c r="V113" i="7" s="1"/>
  <c r="M113" i="7"/>
  <c r="G113" i="7"/>
  <c r="O112" i="7"/>
  <c r="V112" i="7" s="1"/>
  <c r="N112" i="7"/>
  <c r="M112" i="7"/>
  <c r="W112" i="7" s="1"/>
  <c r="G112" i="7"/>
  <c r="O111" i="7"/>
  <c r="M111" i="7"/>
  <c r="N111" i="7" s="1"/>
  <c r="G111" i="7"/>
  <c r="O110" i="7"/>
  <c r="V110" i="7" s="1"/>
  <c r="N110" i="7"/>
  <c r="M110" i="7"/>
  <c r="W110" i="7" s="1"/>
  <c r="G110" i="7"/>
  <c r="L110" i="7" s="1"/>
  <c r="V109" i="7"/>
  <c r="U109" i="7"/>
  <c r="O109" i="7"/>
  <c r="N109" i="7"/>
  <c r="M109" i="7"/>
  <c r="W109" i="7" s="1"/>
  <c r="G109" i="7"/>
  <c r="L109" i="7" s="1"/>
  <c r="V108" i="7"/>
  <c r="O108" i="7"/>
  <c r="G108" i="7"/>
  <c r="O107" i="7"/>
  <c r="N107" i="7"/>
  <c r="V107" i="7" s="1"/>
  <c r="G107" i="7"/>
  <c r="M107" i="7" s="1"/>
  <c r="V106" i="7"/>
  <c r="O106" i="7"/>
  <c r="N106" i="7"/>
  <c r="G106" i="7"/>
  <c r="M106" i="7" s="1"/>
  <c r="V105" i="7"/>
  <c r="G105" i="7"/>
  <c r="M105" i="7" s="1"/>
  <c r="W105" i="7" s="1"/>
  <c r="O104" i="7"/>
  <c r="N104" i="7"/>
  <c r="V104" i="7" s="1"/>
  <c r="G104" i="7"/>
  <c r="M104" i="7" s="1"/>
  <c r="W104" i="7" s="1"/>
  <c r="V103" i="7"/>
  <c r="O103" i="7"/>
  <c r="N103" i="7"/>
  <c r="G103" i="7"/>
  <c r="M103" i="7" s="1"/>
  <c r="W103" i="7" s="1"/>
  <c r="O102" i="7"/>
  <c r="N102" i="7"/>
  <c r="V102" i="7" s="1"/>
  <c r="G102" i="7"/>
  <c r="M102" i="7" s="1"/>
  <c r="V101" i="7"/>
  <c r="O101" i="7"/>
  <c r="N101" i="7"/>
  <c r="G101" i="7"/>
  <c r="M101" i="7" s="1"/>
  <c r="O100" i="7"/>
  <c r="N100" i="7"/>
  <c r="V100" i="7" s="1"/>
  <c r="G100" i="7"/>
  <c r="M100" i="7" s="1"/>
  <c r="V99" i="7"/>
  <c r="N99" i="7"/>
  <c r="H99" i="7"/>
  <c r="H123" i="7" s="1"/>
  <c r="G99" i="7"/>
  <c r="O99" i="7" s="1"/>
  <c r="O98" i="7"/>
  <c r="N98" i="7"/>
  <c r="V98" i="7" s="1"/>
  <c r="W98" i="7" s="1"/>
  <c r="M98" i="7"/>
  <c r="G98" i="7"/>
  <c r="O97" i="7"/>
  <c r="N97" i="7"/>
  <c r="M97" i="7"/>
  <c r="G97" i="7"/>
  <c r="O96" i="7"/>
  <c r="V96" i="7" s="1"/>
  <c r="N96" i="7"/>
  <c r="G96" i="7"/>
  <c r="L96" i="7" s="1"/>
  <c r="V95" i="7"/>
  <c r="O95" i="7"/>
  <c r="N95" i="7"/>
  <c r="G95" i="7"/>
  <c r="M95" i="7" s="1"/>
  <c r="W95" i="7" s="1"/>
  <c r="V94" i="7"/>
  <c r="G94" i="7"/>
  <c r="M94" i="7" s="1"/>
  <c r="W94" i="7" s="1"/>
  <c r="O93" i="7"/>
  <c r="N93" i="7"/>
  <c r="V93" i="7" s="1"/>
  <c r="G93" i="7"/>
  <c r="M93" i="7" s="1"/>
  <c r="O92" i="7"/>
  <c r="N92" i="7"/>
  <c r="V92" i="7" s="1"/>
  <c r="G92" i="7"/>
  <c r="M92" i="7" s="1"/>
  <c r="O91" i="7"/>
  <c r="N91" i="7"/>
  <c r="V91" i="7" s="1"/>
  <c r="G91" i="7"/>
  <c r="M91" i="7" s="1"/>
  <c r="O90" i="7"/>
  <c r="N90" i="7"/>
  <c r="V90" i="7" s="1"/>
  <c r="G90" i="7"/>
  <c r="M90" i="7" s="1"/>
  <c r="M89" i="7"/>
  <c r="W89" i="7" s="1"/>
  <c r="G89" i="7"/>
  <c r="O88" i="7"/>
  <c r="N88" i="7"/>
  <c r="M88" i="7"/>
  <c r="G88" i="7"/>
  <c r="M87" i="7"/>
  <c r="N87" i="7" s="1"/>
  <c r="G87" i="7"/>
  <c r="O86" i="7"/>
  <c r="N86" i="7"/>
  <c r="V86" i="7" s="1"/>
  <c r="W86" i="7" s="1"/>
  <c r="M86" i="7"/>
  <c r="G86" i="7"/>
  <c r="O85" i="7"/>
  <c r="N85" i="7"/>
  <c r="M85" i="7"/>
  <c r="G85" i="7"/>
  <c r="W84" i="7"/>
  <c r="O84" i="7"/>
  <c r="N84" i="7"/>
  <c r="V84" i="7" s="1"/>
  <c r="M84" i="7"/>
  <c r="G84" i="7"/>
  <c r="O83" i="7"/>
  <c r="N83" i="7"/>
  <c r="M83" i="7"/>
  <c r="G83" i="7"/>
  <c r="M82" i="7"/>
  <c r="H82" i="7"/>
  <c r="G82" i="7"/>
  <c r="N82" i="7" s="1"/>
  <c r="U81" i="7"/>
  <c r="O81" i="7"/>
  <c r="V81" i="7" s="1"/>
  <c r="N81" i="7"/>
  <c r="M81" i="7"/>
  <c r="G81" i="7"/>
  <c r="O80" i="7"/>
  <c r="N80" i="7"/>
  <c r="M80" i="7"/>
  <c r="G80" i="7"/>
  <c r="V79" i="7"/>
  <c r="M79" i="7"/>
  <c r="W79" i="7" s="1"/>
  <c r="G79" i="7"/>
  <c r="W78" i="7"/>
  <c r="O78" i="7"/>
  <c r="V78" i="7" s="1"/>
  <c r="N78" i="7"/>
  <c r="M78" i="7"/>
  <c r="G78" i="7"/>
  <c r="V77" i="7"/>
  <c r="M77" i="7"/>
  <c r="W77" i="7" s="1"/>
  <c r="G77" i="7"/>
  <c r="O76" i="7"/>
  <c r="N76" i="7"/>
  <c r="M76" i="7"/>
  <c r="G76" i="7"/>
  <c r="W75" i="7"/>
  <c r="O75" i="7"/>
  <c r="V75" i="7" s="1"/>
  <c r="N75" i="7"/>
  <c r="M75" i="7"/>
  <c r="G75" i="7"/>
  <c r="O74" i="7"/>
  <c r="N74" i="7"/>
  <c r="M74" i="7"/>
  <c r="G74" i="7"/>
  <c r="L74" i="7" s="1"/>
  <c r="O73" i="7"/>
  <c r="N73" i="7"/>
  <c r="V73" i="7" s="1"/>
  <c r="G73" i="7"/>
  <c r="M73" i="7" s="1"/>
  <c r="O72" i="7"/>
  <c r="N72" i="7"/>
  <c r="V72" i="7" s="1"/>
  <c r="G72" i="7"/>
  <c r="M72" i="7" s="1"/>
  <c r="G71" i="7"/>
  <c r="V70" i="7"/>
  <c r="O70" i="7"/>
  <c r="N70" i="7"/>
  <c r="G70" i="7"/>
  <c r="M70" i="7" s="1"/>
  <c r="W70" i="7" s="1"/>
  <c r="V69" i="7"/>
  <c r="O69" i="7"/>
  <c r="N69" i="7"/>
  <c r="G69" i="7"/>
  <c r="M69" i="7" s="1"/>
  <c r="W69" i="7" s="1"/>
  <c r="N68" i="7"/>
  <c r="G68" i="7"/>
  <c r="G67" i="7"/>
  <c r="O66" i="7"/>
  <c r="N66" i="7"/>
  <c r="V66" i="7" s="1"/>
  <c r="G66" i="7"/>
  <c r="M66" i="7" s="1"/>
  <c r="O65" i="7"/>
  <c r="N65" i="7"/>
  <c r="V65" i="7" s="1"/>
  <c r="G65" i="7"/>
  <c r="M65" i="7" s="1"/>
  <c r="O64" i="7"/>
  <c r="N64" i="7"/>
  <c r="V64" i="7" s="1"/>
  <c r="G64" i="7"/>
  <c r="M64" i="7" s="1"/>
  <c r="N63" i="7"/>
  <c r="G63" i="7"/>
  <c r="G62" i="7"/>
  <c r="M62" i="7" s="1"/>
  <c r="N62" i="7" s="1"/>
  <c r="V61" i="7"/>
  <c r="O61" i="7"/>
  <c r="N61" i="7"/>
  <c r="G61" i="7"/>
  <c r="M61" i="7" s="1"/>
  <c r="W61" i="7" s="1"/>
  <c r="V60" i="7"/>
  <c r="O60" i="7"/>
  <c r="N60" i="7"/>
  <c r="G60" i="7"/>
  <c r="M60" i="7" s="1"/>
  <c r="W60" i="7" s="1"/>
  <c r="V59" i="7"/>
  <c r="O59" i="7"/>
  <c r="N59" i="7"/>
  <c r="G59" i="7"/>
  <c r="M59" i="7" s="1"/>
  <c r="W59" i="7" s="1"/>
  <c r="N58" i="7"/>
  <c r="V58" i="7" s="1"/>
  <c r="K58" i="7"/>
  <c r="G58" i="7"/>
  <c r="O58" i="7" s="1"/>
  <c r="Z57" i="7"/>
  <c r="O57" i="7"/>
  <c r="N57" i="7"/>
  <c r="V57" i="7" s="1"/>
  <c r="G57" i="7"/>
  <c r="M57" i="7" s="1"/>
  <c r="O56" i="7"/>
  <c r="N56" i="7"/>
  <c r="V56" i="7" s="1"/>
  <c r="G56" i="7"/>
  <c r="M56" i="7" s="1"/>
  <c r="O55" i="7"/>
  <c r="N55" i="7"/>
  <c r="V55" i="7" s="1"/>
  <c r="G55" i="7"/>
  <c r="M55" i="7" s="1"/>
  <c r="G54" i="7"/>
  <c r="V53" i="7"/>
  <c r="O53" i="7"/>
  <c r="N53" i="7"/>
  <c r="G53" i="7"/>
  <c r="M53" i="7" s="1"/>
  <c r="W53" i="7" s="1"/>
  <c r="V52" i="7"/>
  <c r="O52" i="7"/>
  <c r="N52" i="7"/>
  <c r="G52" i="7"/>
  <c r="M52" i="7" s="1"/>
  <c r="W52" i="7" s="1"/>
  <c r="V51" i="7"/>
  <c r="O51" i="7"/>
  <c r="N51" i="7"/>
  <c r="G51" i="7"/>
  <c r="M51" i="7" s="1"/>
  <c r="W51" i="7" s="1"/>
  <c r="N50" i="7"/>
  <c r="G50" i="7"/>
  <c r="V49" i="7"/>
  <c r="O49" i="7"/>
  <c r="N49" i="7"/>
  <c r="G49" i="7"/>
  <c r="M49" i="7" s="1"/>
  <c r="U48" i="7"/>
  <c r="S48" i="7"/>
  <c r="S123" i="7" s="1"/>
  <c r="O48" i="7"/>
  <c r="N48" i="7"/>
  <c r="V48" i="7" s="1"/>
  <c r="G48" i="7"/>
  <c r="M48" i="7" s="1"/>
  <c r="O47" i="7"/>
  <c r="N47" i="7"/>
  <c r="V47" i="7" s="1"/>
  <c r="G47" i="7"/>
  <c r="M47" i="7" s="1"/>
  <c r="O46" i="7"/>
  <c r="N46" i="7"/>
  <c r="V46" i="7" s="1"/>
  <c r="L46" i="7"/>
  <c r="G46" i="7"/>
  <c r="M46" i="7" s="1"/>
  <c r="O45" i="7"/>
  <c r="N45" i="7"/>
  <c r="M45" i="7"/>
  <c r="G45" i="7"/>
  <c r="O44" i="7"/>
  <c r="N44" i="7"/>
  <c r="V44" i="7" s="1"/>
  <c r="G44" i="7"/>
  <c r="L44" i="7" s="1"/>
  <c r="V43" i="7"/>
  <c r="O43" i="7"/>
  <c r="N43" i="7"/>
  <c r="G43" i="7"/>
  <c r="M43" i="7" s="1"/>
  <c r="W43" i="7" s="1"/>
  <c r="V42" i="7"/>
  <c r="O42" i="7"/>
  <c r="N42" i="7"/>
  <c r="G42" i="7"/>
  <c r="M42" i="7" s="1"/>
  <c r="W42" i="7" s="1"/>
  <c r="V41" i="7"/>
  <c r="O41" i="7"/>
  <c r="N41" i="7"/>
  <c r="G41" i="7"/>
  <c r="M41" i="7" s="1"/>
  <c r="W41" i="7" s="1"/>
  <c r="V40" i="7"/>
  <c r="U40" i="7"/>
  <c r="O40" i="7"/>
  <c r="N40" i="7"/>
  <c r="M40" i="7"/>
  <c r="W40" i="7" s="1"/>
  <c r="G40" i="7"/>
  <c r="O39" i="7"/>
  <c r="M39" i="7"/>
  <c r="N39" i="7" s="1"/>
  <c r="G39" i="7"/>
  <c r="O38" i="7"/>
  <c r="N38" i="7"/>
  <c r="M38" i="7"/>
  <c r="G38" i="7"/>
  <c r="O37" i="7"/>
  <c r="M37" i="7"/>
  <c r="G37" i="7"/>
  <c r="N37" i="7" s="1"/>
  <c r="G36" i="7"/>
  <c r="O36" i="7" s="1"/>
  <c r="O35" i="7"/>
  <c r="N35" i="7"/>
  <c r="V35" i="7" s="1"/>
  <c r="G35" i="7"/>
  <c r="M35" i="7" s="1"/>
  <c r="W35" i="7" s="1"/>
  <c r="V34" i="7"/>
  <c r="O34" i="7"/>
  <c r="N34" i="7"/>
  <c r="G34" i="7"/>
  <c r="M34" i="7" s="1"/>
  <c r="W34" i="7" s="1"/>
  <c r="G33" i="7"/>
  <c r="M33" i="7" s="1"/>
  <c r="G32" i="7"/>
  <c r="O32" i="7" s="1"/>
  <c r="O31" i="7"/>
  <c r="N31" i="7"/>
  <c r="V31" i="7" s="1"/>
  <c r="G31" i="7"/>
  <c r="M31" i="7" s="1"/>
  <c r="V30" i="7"/>
  <c r="O30" i="7"/>
  <c r="N30" i="7"/>
  <c r="G30" i="7"/>
  <c r="M30" i="7" s="1"/>
  <c r="W30" i="7" s="1"/>
  <c r="O29" i="7"/>
  <c r="N29" i="7"/>
  <c r="V29" i="7" s="1"/>
  <c r="G29" i="7"/>
  <c r="M29" i="7" s="1"/>
  <c r="W29" i="7" s="1"/>
  <c r="G28" i="7"/>
  <c r="O28" i="7" s="1"/>
  <c r="N27" i="7"/>
  <c r="G27" i="7"/>
  <c r="M27" i="7" s="1"/>
  <c r="V26" i="7"/>
  <c r="O26" i="7"/>
  <c r="N26" i="7"/>
  <c r="G26" i="7"/>
  <c r="M26" i="7" s="1"/>
  <c r="W26" i="7" s="1"/>
  <c r="O25" i="7"/>
  <c r="N25" i="7"/>
  <c r="V25" i="7" s="1"/>
  <c r="G25" i="7"/>
  <c r="M25" i="7" s="1"/>
  <c r="W25" i="7" s="1"/>
  <c r="V24" i="7"/>
  <c r="O24" i="7"/>
  <c r="N24" i="7"/>
  <c r="G24" i="7"/>
  <c r="M24" i="7" s="1"/>
  <c r="W24" i="7" s="1"/>
  <c r="O23" i="7"/>
  <c r="N23" i="7"/>
  <c r="V23" i="7" s="1"/>
  <c r="G23" i="7"/>
  <c r="M23" i="7" s="1"/>
  <c r="G22" i="7"/>
  <c r="O22" i="7" s="1"/>
  <c r="N21" i="7"/>
  <c r="G21" i="7"/>
  <c r="M21" i="7" s="1"/>
  <c r="G20" i="7"/>
  <c r="O20" i="7" s="1"/>
  <c r="O19" i="7"/>
  <c r="N19" i="7"/>
  <c r="V19" i="7" s="1"/>
  <c r="G19" i="7"/>
  <c r="M19" i="7" s="1"/>
  <c r="W19" i="7" s="1"/>
  <c r="V18" i="7"/>
  <c r="N18" i="7"/>
  <c r="M18" i="7"/>
  <c r="W18" i="7" s="1"/>
  <c r="G18" i="7"/>
  <c r="O17" i="7"/>
  <c r="V17" i="7" s="1"/>
  <c r="N17" i="7"/>
  <c r="M17" i="7"/>
  <c r="G17" i="7"/>
  <c r="O16" i="7"/>
  <c r="N16" i="7"/>
  <c r="V16" i="7" s="1"/>
  <c r="M16" i="7"/>
  <c r="G16" i="7"/>
  <c r="O15" i="7"/>
  <c r="M15" i="7"/>
  <c r="W15" i="7" s="1"/>
  <c r="G15" i="7"/>
  <c r="N15" i="7" s="1"/>
  <c r="V15" i="7" s="1"/>
  <c r="O14" i="7"/>
  <c r="N14" i="7"/>
  <c r="V14" i="7" s="1"/>
  <c r="M14" i="7"/>
  <c r="W14" i="7" s="1"/>
  <c r="G14" i="7"/>
  <c r="O13" i="7"/>
  <c r="M13" i="7"/>
  <c r="G13" i="7"/>
  <c r="N13" i="7" s="1"/>
  <c r="V13" i="7" s="1"/>
  <c r="O12" i="7"/>
  <c r="N12" i="7"/>
  <c r="V12" i="7" s="1"/>
  <c r="M12" i="7"/>
  <c r="G12" i="7"/>
  <c r="U11" i="7"/>
  <c r="U123" i="7" s="1"/>
  <c r="O11" i="7"/>
  <c r="N11" i="7"/>
  <c r="V11" i="7" s="1"/>
  <c r="G11" i="7"/>
  <c r="M11" i="7" s="1"/>
  <c r="W11" i="7" s="1"/>
  <c r="V10" i="7"/>
  <c r="O10" i="7"/>
  <c r="N10" i="7"/>
  <c r="G10" i="7"/>
  <c r="M10" i="7" s="1"/>
  <c r="N9" i="7"/>
  <c r="G9" i="7"/>
  <c r="M9" i="7" s="1"/>
  <c r="V8" i="7"/>
  <c r="O8" i="7"/>
  <c r="N8" i="7"/>
  <c r="G8" i="7"/>
  <c r="M8" i="7" s="1"/>
  <c r="N7" i="7"/>
  <c r="G7" i="7"/>
  <c r="M7" i="7" s="1"/>
  <c r="V6" i="7"/>
  <c r="O6" i="7"/>
  <c r="N6" i="7"/>
  <c r="G6" i="7"/>
  <c r="M6" i="7" s="1"/>
  <c r="N5" i="7"/>
  <c r="G5" i="7"/>
  <c r="M5" i="7" s="1"/>
  <c r="V4" i="7"/>
  <c r="O4" i="7"/>
  <c r="N4" i="7"/>
  <c r="G4" i="7"/>
  <c r="X11" i="12" l="1"/>
  <c r="Y11" i="12" s="1"/>
  <c r="X25" i="12"/>
  <c r="Y44" i="12"/>
  <c r="Y10" i="12"/>
  <c r="P14" i="12"/>
  <c r="X14" i="12" s="1"/>
  <c r="Y14" i="12"/>
  <c r="Q14" i="12"/>
  <c r="X13" i="12"/>
  <c r="Y13" i="12" s="1"/>
  <c r="Y21" i="12"/>
  <c r="P27" i="12"/>
  <c r="Q27" i="12"/>
  <c r="Q32" i="12"/>
  <c r="P32" i="12"/>
  <c r="Y40" i="12"/>
  <c r="Y42" i="12"/>
  <c r="P68" i="12"/>
  <c r="X68" i="12" s="1"/>
  <c r="Q68" i="12"/>
  <c r="P90" i="12"/>
  <c r="Q90" i="12"/>
  <c r="O94" i="12"/>
  <c r="P94" i="12"/>
  <c r="Y106" i="12"/>
  <c r="X4" i="12"/>
  <c r="X10" i="12"/>
  <c r="P17" i="12"/>
  <c r="X17" i="12" s="1"/>
  <c r="P18" i="12"/>
  <c r="O23" i="12"/>
  <c r="Y23" i="12" s="1"/>
  <c r="Q25" i="12"/>
  <c r="P31" i="12"/>
  <c r="X45" i="12"/>
  <c r="Y45" i="12" s="1"/>
  <c r="U121" i="12"/>
  <c r="O68" i="12"/>
  <c r="O79" i="12"/>
  <c r="Y79" i="12" s="1"/>
  <c r="Y96" i="12"/>
  <c r="Y97" i="12"/>
  <c r="O107" i="12"/>
  <c r="Y107" i="12" s="1"/>
  <c r="P112" i="12"/>
  <c r="X112" i="12" s="1"/>
  <c r="Y112" i="12" s="1"/>
  <c r="H121" i="12"/>
  <c r="O12" i="12"/>
  <c r="Y12" i="12" s="1"/>
  <c r="Q18" i="12"/>
  <c r="Y20" i="12"/>
  <c r="X26" i="12"/>
  <c r="Y26" i="12" s="1"/>
  <c r="Q31" i="12"/>
  <c r="P33" i="12"/>
  <c r="X33" i="12" s="1"/>
  <c r="Y33" i="12" s="1"/>
  <c r="Y37" i="12"/>
  <c r="X43" i="12"/>
  <c r="Y43" i="12" s="1"/>
  <c r="Y50" i="12"/>
  <c r="O51" i="12"/>
  <c r="Y53" i="12"/>
  <c r="Y57" i="12"/>
  <c r="P59" i="12"/>
  <c r="X59" i="12" s="1"/>
  <c r="Y59" i="12" s="1"/>
  <c r="P60" i="12"/>
  <c r="X60" i="12" s="1"/>
  <c r="Y60" i="12" s="1"/>
  <c r="P67" i="12"/>
  <c r="X67" i="12" s="1"/>
  <c r="X69" i="12"/>
  <c r="Y69" i="12" s="1"/>
  <c r="O70" i="12"/>
  <c r="Y74" i="12"/>
  <c r="Y78" i="12"/>
  <c r="O81" i="12"/>
  <c r="Q87" i="12"/>
  <c r="O88" i="12"/>
  <c r="Y88" i="12" s="1"/>
  <c r="Y91" i="12"/>
  <c r="Y92" i="12"/>
  <c r="Q94" i="12"/>
  <c r="Y101" i="12"/>
  <c r="H85" i="12"/>
  <c r="L85" i="12"/>
  <c r="L121" i="12" s="1"/>
  <c r="J85" i="12"/>
  <c r="J121" i="12" s="1"/>
  <c r="Y17" i="12"/>
  <c r="Y22" i="12"/>
  <c r="Y25" i="12"/>
  <c r="Q33" i="12"/>
  <c r="Y35" i="12"/>
  <c r="X41" i="12"/>
  <c r="Y41" i="12" s="1"/>
  <c r="AA40" i="12" s="1"/>
  <c r="AA39" i="12" s="1"/>
  <c r="X50" i="12"/>
  <c r="Q51" i="12"/>
  <c r="X51" i="12" s="1"/>
  <c r="Q58" i="12"/>
  <c r="P58" i="12"/>
  <c r="X63" i="12"/>
  <c r="Y63" i="12" s="1"/>
  <c r="Y67" i="12"/>
  <c r="X87" i="12"/>
  <c r="Y87" i="12" s="1"/>
  <c r="O98" i="12"/>
  <c r="Y98" i="12" s="1"/>
  <c r="Y105" i="12"/>
  <c r="Y111" i="12"/>
  <c r="Y113" i="12"/>
  <c r="X118" i="12"/>
  <c r="Y72" i="12"/>
  <c r="Y99" i="12"/>
  <c r="Y118" i="12"/>
  <c r="K121" i="12"/>
  <c r="O49" i="12"/>
  <c r="Y49" i="12" s="1"/>
  <c r="X52" i="12"/>
  <c r="Y52" i="12" s="1"/>
  <c r="X70" i="12"/>
  <c r="X81" i="12"/>
  <c r="X104" i="12"/>
  <c r="Y104" i="12" s="1"/>
  <c r="O108" i="12"/>
  <c r="Y108" i="12" s="1"/>
  <c r="X117" i="12"/>
  <c r="Y117" i="12" s="1"/>
  <c r="Y119" i="12"/>
  <c r="Y11" i="11"/>
  <c r="Y15" i="11"/>
  <c r="P25" i="11"/>
  <c r="X25" i="11" s="1"/>
  <c r="Y25" i="11" s="1"/>
  <c r="Q25" i="11"/>
  <c r="Q28" i="11"/>
  <c r="P28" i="11"/>
  <c r="X28" i="11" s="1"/>
  <c r="Y28" i="11"/>
  <c r="Y66" i="11"/>
  <c r="Q7" i="11"/>
  <c r="P7" i="11"/>
  <c r="X27" i="11"/>
  <c r="Y27" i="11" s="1"/>
  <c r="Q26" i="11"/>
  <c r="P26" i="11"/>
  <c r="X26" i="11" s="1"/>
  <c r="Y26" i="11" s="1"/>
  <c r="Y29" i="11"/>
  <c r="Y32" i="11"/>
  <c r="Y35" i="11"/>
  <c r="Y36" i="11"/>
  <c r="Y60" i="11"/>
  <c r="P115" i="11"/>
  <c r="X115" i="11" s="1"/>
  <c r="O115" i="11"/>
  <c r="Q122" i="11"/>
  <c r="P122" i="11"/>
  <c r="X122" i="11" s="1"/>
  <c r="O122" i="11"/>
  <c r="Y122" i="11" s="1"/>
  <c r="P14" i="11"/>
  <c r="P18" i="11"/>
  <c r="X18" i="11" s="1"/>
  <c r="O24" i="11"/>
  <c r="Y24" i="11" s="1"/>
  <c r="Q27" i="11"/>
  <c r="P33" i="11"/>
  <c r="P38" i="11"/>
  <c r="X38" i="11" s="1"/>
  <c r="Y38" i="11" s="1"/>
  <c r="Q51" i="11"/>
  <c r="X51" i="11" s="1"/>
  <c r="Y51" i="11" s="1"/>
  <c r="Q59" i="11"/>
  <c r="X59" i="11" s="1"/>
  <c r="Y59" i="11" s="1"/>
  <c r="X60" i="11"/>
  <c r="X61" i="11"/>
  <c r="Y61" i="11" s="1"/>
  <c r="X62" i="11"/>
  <c r="X63" i="11"/>
  <c r="Y63" i="11" s="1"/>
  <c r="Y90" i="11"/>
  <c r="Y93" i="11"/>
  <c r="Y97" i="11"/>
  <c r="Y114" i="11"/>
  <c r="Y18" i="11"/>
  <c r="Q53" i="11"/>
  <c r="X53" i="11" s="1"/>
  <c r="O53" i="11"/>
  <c r="H124" i="11"/>
  <c r="W124" i="11"/>
  <c r="Q14" i="11"/>
  <c r="Q124" i="11" s="1"/>
  <c r="Y19" i="11"/>
  <c r="Q33" i="11"/>
  <c r="Y34" i="11"/>
  <c r="Y39" i="11"/>
  <c r="O50" i="11"/>
  <c r="Q50" i="11"/>
  <c r="X66" i="11"/>
  <c r="Y81" i="11"/>
  <c r="Q92" i="11"/>
  <c r="P92" i="11"/>
  <c r="P114" i="11"/>
  <c r="X114" i="11" s="1"/>
  <c r="Q115" i="11"/>
  <c r="X117" i="11"/>
  <c r="Y117" i="11" s="1"/>
  <c r="Y120" i="11"/>
  <c r="Y52" i="11"/>
  <c r="Y69" i="11"/>
  <c r="P84" i="11"/>
  <c r="X84" i="11" s="1"/>
  <c r="O84" i="11"/>
  <c r="O4" i="11"/>
  <c r="X42" i="11"/>
  <c r="Y42" i="11" s="1"/>
  <c r="Q43" i="11"/>
  <c r="X43" i="11" s="1"/>
  <c r="Y43" i="11" s="1"/>
  <c r="AA42" i="11" s="1"/>
  <c r="AA41" i="11" s="1"/>
  <c r="P50" i="11"/>
  <c r="O54" i="11"/>
  <c r="Q54" i="11"/>
  <c r="X54" i="11" s="1"/>
  <c r="Y62" i="11"/>
  <c r="X65" i="11"/>
  <c r="Y65" i="11" s="1"/>
  <c r="X68" i="11"/>
  <c r="Y68" i="11" s="1"/>
  <c r="X69" i="11"/>
  <c r="Q70" i="11"/>
  <c r="P70" i="11"/>
  <c r="X70" i="11" s="1"/>
  <c r="Y70" i="11" s="1"/>
  <c r="X73" i="11"/>
  <c r="Y73" i="11" s="1"/>
  <c r="Y75" i="11"/>
  <c r="X81" i="11"/>
  <c r="X83" i="11"/>
  <c r="Y83" i="11" s="1"/>
  <c r="Q89" i="11"/>
  <c r="P89" i="11"/>
  <c r="X95" i="11"/>
  <c r="Y95" i="11" s="1"/>
  <c r="Y100" i="11"/>
  <c r="Y101" i="11"/>
  <c r="X106" i="11"/>
  <c r="Y106" i="11" s="1"/>
  <c r="Q110" i="11"/>
  <c r="P110" i="11"/>
  <c r="O110" i="11"/>
  <c r="Y118" i="11"/>
  <c r="Y119" i="11"/>
  <c r="Q83" i="11"/>
  <c r="O96" i="11"/>
  <c r="Y96" i="11" s="1"/>
  <c r="Q104" i="11"/>
  <c r="X104" i="11" s="1"/>
  <c r="Y104" i="11" s="1"/>
  <c r="Q106" i="11"/>
  <c r="P108" i="11"/>
  <c r="X108" i="11" s="1"/>
  <c r="Y108" i="11" s="1"/>
  <c r="Q109" i="11"/>
  <c r="X109" i="11" s="1"/>
  <c r="Y109" i="11" s="1"/>
  <c r="Y113" i="11"/>
  <c r="Q121" i="11"/>
  <c r="X121" i="11" s="1"/>
  <c r="Y121" i="11" s="1"/>
  <c r="T7" i="10"/>
  <c r="U7" i="10"/>
  <c r="U122" i="10" s="1"/>
  <c r="AC31" i="10"/>
  <c r="T51" i="10"/>
  <c r="AB51" i="10" s="1"/>
  <c r="AC51" i="10" s="1"/>
  <c r="AC73" i="10"/>
  <c r="T14" i="10"/>
  <c r="T15" i="10"/>
  <c r="S15" i="10"/>
  <c r="AC23" i="10"/>
  <c r="T28" i="10"/>
  <c r="AB28" i="10" s="1"/>
  <c r="AC28" i="10" s="1"/>
  <c r="U32" i="10"/>
  <c r="T32" i="10"/>
  <c r="AB32" i="10" s="1"/>
  <c r="S45" i="10"/>
  <c r="AC45" i="10" s="1"/>
  <c r="U51" i="10"/>
  <c r="T67" i="10"/>
  <c r="U67" i="10"/>
  <c r="S67" i="10"/>
  <c r="U69" i="10"/>
  <c r="AC93" i="10"/>
  <c r="S4" i="10"/>
  <c r="T12" i="10"/>
  <c r="S13" i="10"/>
  <c r="U14" i="10"/>
  <c r="U15" i="10"/>
  <c r="AB20" i="10"/>
  <c r="AC20" i="10" s="1"/>
  <c r="N122" i="10"/>
  <c r="U27" i="10"/>
  <c r="T27" i="10"/>
  <c r="S32" i="10"/>
  <c r="AC32" i="10" s="1"/>
  <c r="U39" i="10"/>
  <c r="T39" i="10"/>
  <c r="AC48" i="10"/>
  <c r="U58" i="10"/>
  <c r="T58" i="10"/>
  <c r="AB58" i="10" s="1"/>
  <c r="AC58" i="10" s="1"/>
  <c r="T61" i="10"/>
  <c r="AB61" i="10" s="1"/>
  <c r="AC61" i="10"/>
  <c r="U62" i="10"/>
  <c r="T62" i="10"/>
  <c r="AB62" i="10" s="1"/>
  <c r="AC62" i="10" s="1"/>
  <c r="AB68" i="10"/>
  <c r="AC68" i="10" s="1"/>
  <c r="T69" i="10"/>
  <c r="AB69" i="10" s="1"/>
  <c r="AC69" i="10" s="1"/>
  <c r="R74" i="10"/>
  <c r="R122" i="10" s="1"/>
  <c r="AC84" i="10"/>
  <c r="AC87" i="10"/>
  <c r="U92" i="10"/>
  <c r="AB92" i="10" s="1"/>
  <c r="AC92" i="10" s="1"/>
  <c r="AC94" i="10"/>
  <c r="AC95" i="10"/>
  <c r="AC101" i="10"/>
  <c r="AC107" i="10"/>
  <c r="AB113" i="10"/>
  <c r="AC113" i="10" s="1"/>
  <c r="AC117" i="10"/>
  <c r="T70" i="10"/>
  <c r="AB70" i="10" s="1"/>
  <c r="U70" i="10"/>
  <c r="S70" i="10"/>
  <c r="AB4" i="10"/>
  <c r="AC30" i="10"/>
  <c r="U12" i="10"/>
  <c r="T13" i="10"/>
  <c r="AB13" i="10" s="1"/>
  <c r="AC17" i="10"/>
  <c r="T18" i="10"/>
  <c r="AB18" i="10" s="1"/>
  <c r="AC18" i="10"/>
  <c r="U19" i="10"/>
  <c r="T19" i="10"/>
  <c r="AB19" i="10" s="1"/>
  <c r="AC19" i="10" s="1"/>
  <c r="S24" i="10"/>
  <c r="AC24" i="10" s="1"/>
  <c r="T25" i="10"/>
  <c r="AB25" i="10" s="1"/>
  <c r="AC25" i="10" s="1"/>
  <c r="AC26" i="10"/>
  <c r="S27" i="10"/>
  <c r="AB47" i="10"/>
  <c r="AC47" i="10" s="1"/>
  <c r="AC52" i="10"/>
  <c r="AC55" i="10"/>
  <c r="AC59" i="10"/>
  <c r="U60" i="10"/>
  <c r="T60" i="10"/>
  <c r="AB60" i="10" s="1"/>
  <c r="AC60" i="10" s="1"/>
  <c r="AC85" i="10"/>
  <c r="AC88" i="10"/>
  <c r="U89" i="10"/>
  <c r="T89" i="10"/>
  <c r="AB89" i="10" s="1"/>
  <c r="AC89" i="10" s="1"/>
  <c r="AB99" i="10"/>
  <c r="AC99" i="10" s="1"/>
  <c r="S106" i="10"/>
  <c r="U106" i="10"/>
  <c r="AB106" i="10" s="1"/>
  <c r="T108" i="10"/>
  <c r="U108" i="10"/>
  <c r="S108" i="10"/>
  <c r="AB111" i="10"/>
  <c r="AC111" i="10" s="1"/>
  <c r="AC120" i="10"/>
  <c r="AA122" i="10"/>
  <c r="AC38" i="10"/>
  <c r="AC50" i="10"/>
  <c r="AB81" i="10"/>
  <c r="AC81" i="10" s="1"/>
  <c r="AC96" i="10"/>
  <c r="AC104" i="10"/>
  <c r="AB114" i="10"/>
  <c r="AC114" i="10" s="1"/>
  <c r="AC115" i="10"/>
  <c r="AC34" i="10"/>
  <c r="AB40" i="10"/>
  <c r="AC40" i="10" s="1"/>
  <c r="AB42" i="10"/>
  <c r="AC42" i="10" s="1"/>
  <c r="AC43" i="10"/>
  <c r="T50" i="10"/>
  <c r="AB50" i="10" s="1"/>
  <c r="S65" i="10"/>
  <c r="AC65" i="10" s="1"/>
  <c r="S82" i="10"/>
  <c r="AC82" i="10" s="1"/>
  <c r="S100" i="10"/>
  <c r="AC100" i="10" s="1"/>
  <c r="T104" i="10"/>
  <c r="AB104" i="10" s="1"/>
  <c r="AB110" i="10"/>
  <c r="AC110" i="10" s="1"/>
  <c r="S116" i="10"/>
  <c r="AC116" i="10" s="1"/>
  <c r="U7" i="9"/>
  <c r="T7" i="9"/>
  <c r="AB7" i="9" s="1"/>
  <c r="AC7" i="9"/>
  <c r="AC17" i="9"/>
  <c r="S38" i="9"/>
  <c r="AC38" i="9" s="1"/>
  <c r="U38" i="9"/>
  <c r="AB38" i="9" s="1"/>
  <c r="AC40" i="9"/>
  <c r="U42" i="9"/>
  <c r="AB42" i="9" s="1"/>
  <c r="S42" i="9"/>
  <c r="AC42" i="9" s="1"/>
  <c r="U15" i="9"/>
  <c r="T15" i="9"/>
  <c r="AB15" i="9" s="1"/>
  <c r="AC21" i="9"/>
  <c r="AC46" i="9"/>
  <c r="AC57" i="9"/>
  <c r="AC87" i="9"/>
  <c r="U88" i="9"/>
  <c r="T88" i="9"/>
  <c r="AB88" i="9" s="1"/>
  <c r="T33" i="9"/>
  <c r="U33" i="9"/>
  <c r="R45" i="9"/>
  <c r="R120" i="9" s="1"/>
  <c r="AB4" i="9"/>
  <c r="L120" i="9"/>
  <c r="S6" i="9"/>
  <c r="AC6" i="9" s="1"/>
  <c r="T11" i="9"/>
  <c r="S11" i="9"/>
  <c r="U12" i="9"/>
  <c r="T12" i="9"/>
  <c r="T14" i="9"/>
  <c r="S14" i="9"/>
  <c r="AC20" i="9"/>
  <c r="AC56" i="9"/>
  <c r="AC4" i="9"/>
  <c r="AB10" i="9"/>
  <c r="AC10" i="9" s="1"/>
  <c r="U11" i="9"/>
  <c r="U120" i="9" s="1"/>
  <c r="S12" i="9"/>
  <c r="AB13" i="9"/>
  <c r="AC13" i="9" s="1"/>
  <c r="U14" i="9"/>
  <c r="S15" i="9"/>
  <c r="AC15" i="9" s="1"/>
  <c r="AB20" i="9"/>
  <c r="U22" i="9"/>
  <c r="T22" i="9"/>
  <c r="AB22" i="9" s="1"/>
  <c r="AC22" i="9" s="1"/>
  <c r="U24" i="9"/>
  <c r="AB24" i="9" s="1"/>
  <c r="AC24" i="9" s="1"/>
  <c r="AC27" i="9"/>
  <c r="T28" i="9"/>
  <c r="AB28" i="9" s="1"/>
  <c r="AC28" i="9" s="1"/>
  <c r="AC34" i="9"/>
  <c r="U62" i="9"/>
  <c r="T62" i="9"/>
  <c r="AB62" i="9" s="1"/>
  <c r="AC62" i="9" s="1"/>
  <c r="AC63" i="9"/>
  <c r="U71" i="9"/>
  <c r="AB71" i="9" s="1"/>
  <c r="S71" i="9"/>
  <c r="AC74" i="9"/>
  <c r="AC88" i="9"/>
  <c r="AC104" i="9"/>
  <c r="AC111" i="9"/>
  <c r="AC55" i="9"/>
  <c r="AC39" i="9"/>
  <c r="AB50" i="9"/>
  <c r="AC50" i="9" s="1"/>
  <c r="AC51" i="9"/>
  <c r="AC76" i="9"/>
  <c r="T83" i="9"/>
  <c r="AB83" i="9" s="1"/>
  <c r="S83" i="9"/>
  <c r="AC83" i="9" s="1"/>
  <c r="AC100" i="9"/>
  <c r="AC101" i="9"/>
  <c r="AC107" i="9"/>
  <c r="AB109" i="9"/>
  <c r="AB118" i="9"/>
  <c r="AC118" i="9" s="1"/>
  <c r="AC97" i="9"/>
  <c r="AB31" i="9"/>
  <c r="AC31" i="9" s="1"/>
  <c r="AC32" i="9"/>
  <c r="AB35" i="9"/>
  <c r="AC35" i="9" s="1"/>
  <c r="AC36" i="9"/>
  <c r="AB43" i="9"/>
  <c r="AC43" i="9" s="1"/>
  <c r="AC44" i="9"/>
  <c r="AB54" i="9"/>
  <c r="AC54" i="9" s="1"/>
  <c r="U68" i="9"/>
  <c r="T68" i="9"/>
  <c r="AC69" i="9"/>
  <c r="AC70" i="9"/>
  <c r="T72" i="9"/>
  <c r="AB72" i="9" s="1"/>
  <c r="S72" i="9"/>
  <c r="AB76" i="9"/>
  <c r="U80" i="9"/>
  <c r="T80" i="9"/>
  <c r="AB80" i="9" s="1"/>
  <c r="AC80" i="9" s="1"/>
  <c r="AC82" i="9"/>
  <c r="AC91" i="9"/>
  <c r="AC92" i="9"/>
  <c r="AB99" i="9"/>
  <c r="AC99" i="9" s="1"/>
  <c r="AB100" i="9"/>
  <c r="T108" i="9"/>
  <c r="AB108" i="9" s="1"/>
  <c r="S108" i="9"/>
  <c r="AC108" i="9" s="1"/>
  <c r="S109" i="9"/>
  <c r="AC109" i="9" s="1"/>
  <c r="AC110" i="9"/>
  <c r="AB12" i="8"/>
  <c r="AB19" i="8"/>
  <c r="S7" i="8"/>
  <c r="T7" i="8"/>
  <c r="T118" i="8" s="1"/>
  <c r="S39" i="8"/>
  <c r="AA39" i="8" s="1"/>
  <c r="AB39" i="8" s="1"/>
  <c r="T39" i="8"/>
  <c r="AB4" i="8"/>
  <c r="AB6" i="8"/>
  <c r="T86" i="8"/>
  <c r="S86" i="8"/>
  <c r="AA86" i="8" s="1"/>
  <c r="AB86" i="8" s="1"/>
  <c r="AB29" i="8"/>
  <c r="R81" i="8"/>
  <c r="S89" i="8"/>
  <c r="AA89" i="8" s="1"/>
  <c r="AB89" i="8"/>
  <c r="AB11" i="8"/>
  <c r="AA13" i="8"/>
  <c r="AB13" i="8" s="1"/>
  <c r="AB14" i="8"/>
  <c r="AB18" i="8"/>
  <c r="S22" i="8"/>
  <c r="AA22" i="8" s="1"/>
  <c r="R22" i="8"/>
  <c r="AB22" i="8" s="1"/>
  <c r="T28" i="8"/>
  <c r="AB30" i="8"/>
  <c r="AB31" i="8"/>
  <c r="AA38" i="8"/>
  <c r="AB47" i="8"/>
  <c r="AB58" i="8"/>
  <c r="AB69" i="8"/>
  <c r="AB84" i="8"/>
  <c r="AB85" i="8"/>
  <c r="T89" i="8"/>
  <c r="R97" i="8"/>
  <c r="S97" i="8"/>
  <c r="AA97" i="8" s="1"/>
  <c r="T106" i="8"/>
  <c r="S106" i="8"/>
  <c r="T27" i="8"/>
  <c r="S27" i="8"/>
  <c r="AA27" i="8" s="1"/>
  <c r="AB27" i="8" s="1"/>
  <c r="R44" i="8"/>
  <c r="AB44" i="8" s="1"/>
  <c r="AB53" i="8"/>
  <c r="T66" i="8"/>
  <c r="S66" i="8"/>
  <c r="AA66" i="8" s="1"/>
  <c r="R66" i="8"/>
  <c r="AB66" i="8" s="1"/>
  <c r="AA4" i="8"/>
  <c r="S15" i="8"/>
  <c r="AA15" i="8" s="1"/>
  <c r="R15" i="8"/>
  <c r="AB15" i="8" s="1"/>
  <c r="AB17" i="8"/>
  <c r="T19" i="8"/>
  <c r="S19" i="8"/>
  <c r="AA19" i="8" s="1"/>
  <c r="AA21" i="8"/>
  <c r="AB21" i="8" s="1"/>
  <c r="AB25" i="8"/>
  <c r="AB26" i="8"/>
  <c r="AA28" i="8"/>
  <c r="AB28" i="8" s="1"/>
  <c r="AB35" i="8"/>
  <c r="AA46" i="8"/>
  <c r="AB46" i="8" s="1"/>
  <c r="AB61" i="8"/>
  <c r="S62" i="8"/>
  <c r="AA62" i="8" s="1"/>
  <c r="R62" i="8"/>
  <c r="AB62" i="8" s="1"/>
  <c r="AB79" i="8"/>
  <c r="AB80" i="8"/>
  <c r="AB100" i="8"/>
  <c r="AB116" i="8"/>
  <c r="AA70" i="8"/>
  <c r="AB70" i="8" s="1"/>
  <c r="AB71" i="8"/>
  <c r="AB72" i="8"/>
  <c r="AB98" i="8"/>
  <c r="S33" i="8"/>
  <c r="AA33" i="8" s="1"/>
  <c r="AB33" i="8" s="1"/>
  <c r="AA36" i="8"/>
  <c r="AB36" i="8" s="1"/>
  <c r="AB38" i="8"/>
  <c r="AA41" i="8"/>
  <c r="AB41" i="8" s="1"/>
  <c r="AB42" i="8"/>
  <c r="AA48" i="8"/>
  <c r="AB48" i="8" s="1"/>
  <c r="R50" i="8"/>
  <c r="AB50" i="8" s="1"/>
  <c r="R54" i="8"/>
  <c r="AB54" i="8" s="1"/>
  <c r="AB56" i="8"/>
  <c r="AB57" i="8"/>
  <c r="AA71" i="8"/>
  <c r="R73" i="8"/>
  <c r="AB73" i="8" s="1"/>
  <c r="AA87" i="8"/>
  <c r="AB87" i="8" s="1"/>
  <c r="AB91" i="8"/>
  <c r="AB92" i="8"/>
  <c r="AB101" i="8"/>
  <c r="R104" i="8"/>
  <c r="AB104" i="8" s="1"/>
  <c r="S110" i="8"/>
  <c r="AA110" i="8" s="1"/>
  <c r="R110" i="8"/>
  <c r="S114" i="8"/>
  <c r="AA114" i="8" s="1"/>
  <c r="R114" i="8"/>
  <c r="AB114" i="8" s="1"/>
  <c r="S81" i="8"/>
  <c r="AA81" i="8" s="1"/>
  <c r="G123" i="7"/>
  <c r="M4" i="7"/>
  <c r="W8" i="7"/>
  <c r="W12" i="7"/>
  <c r="W13" i="7"/>
  <c r="W23" i="7"/>
  <c r="W31" i="7"/>
  <c r="W33" i="7"/>
  <c r="O33" i="7"/>
  <c r="N33" i="7"/>
  <c r="V33" i="7" s="1"/>
  <c r="W45" i="7"/>
  <c r="V7" i="7"/>
  <c r="W7" i="7" s="1"/>
  <c r="W6" i="7"/>
  <c r="O7" i="7"/>
  <c r="W10" i="7"/>
  <c r="W16" i="7"/>
  <c r="W17" i="7"/>
  <c r="V68" i="7"/>
  <c r="O54" i="7"/>
  <c r="M54" i="7"/>
  <c r="W54" i="7" s="1"/>
  <c r="O71" i="7"/>
  <c r="O123" i="7" s="1"/>
  <c r="M71" i="7"/>
  <c r="O5" i="7"/>
  <c r="V5" i="7" s="1"/>
  <c r="O9" i="7"/>
  <c r="V9" i="7" s="1"/>
  <c r="W9" i="7" s="1"/>
  <c r="M20" i="7"/>
  <c r="O21" i="7"/>
  <c r="V21" i="7" s="1"/>
  <c r="W21" i="7" s="1"/>
  <c r="M22" i="7"/>
  <c r="O27" i="7"/>
  <c r="V27" i="7" s="1"/>
  <c r="W27" i="7" s="1"/>
  <c r="M28" i="7"/>
  <c r="W28" i="7" s="1"/>
  <c r="M32" i="7"/>
  <c r="M36" i="7"/>
  <c r="V37" i="7"/>
  <c r="W37" i="7" s="1"/>
  <c r="M44" i="7"/>
  <c r="W44" i="7" s="1"/>
  <c r="W49" i="7"/>
  <c r="O50" i="7"/>
  <c r="V50" i="7" s="1"/>
  <c r="M50" i="7"/>
  <c r="N54" i="7"/>
  <c r="V54" i="7" s="1"/>
  <c r="M58" i="7"/>
  <c r="W58" i="7" s="1"/>
  <c r="K123" i="7"/>
  <c r="M68" i="7"/>
  <c r="W68" i="7" s="1"/>
  <c r="O68" i="7"/>
  <c r="N71" i="7"/>
  <c r="V74" i="7"/>
  <c r="W74" i="7" s="1"/>
  <c r="V80" i="7"/>
  <c r="W80" i="7" s="1"/>
  <c r="W81" i="7"/>
  <c r="O82" i="7"/>
  <c r="V83" i="7"/>
  <c r="W83" i="7" s="1"/>
  <c r="O87" i="7"/>
  <c r="V87" i="7" s="1"/>
  <c r="W87" i="7" s="1"/>
  <c r="V88" i="7"/>
  <c r="W88" i="7" s="1"/>
  <c r="M96" i="7"/>
  <c r="W96" i="7" s="1"/>
  <c r="V111" i="7"/>
  <c r="W113" i="7"/>
  <c r="W116" i="7"/>
  <c r="N20" i="7"/>
  <c r="V20" i="7" s="1"/>
  <c r="N22" i="7"/>
  <c r="V22" i="7" s="1"/>
  <c r="N28" i="7"/>
  <c r="V28" i="7" s="1"/>
  <c r="N32" i="7"/>
  <c r="V32" i="7" s="1"/>
  <c r="N36" i="7"/>
  <c r="V36" i="7" s="1"/>
  <c r="W46" i="7"/>
  <c r="W64" i="7"/>
  <c r="W65" i="7"/>
  <c r="W66" i="7"/>
  <c r="O67" i="7"/>
  <c r="M67" i="7"/>
  <c r="W67" i="7" s="1"/>
  <c r="V82" i="7"/>
  <c r="W82" i="7" s="1"/>
  <c r="W90" i="7"/>
  <c r="W91" i="7"/>
  <c r="W92" i="7"/>
  <c r="W93" i="7"/>
  <c r="L108" i="7"/>
  <c r="M108" i="7" s="1"/>
  <c r="W108" i="7" s="1"/>
  <c r="O62" i="7"/>
  <c r="V62" i="7" s="1"/>
  <c r="W62" i="7" s="1"/>
  <c r="V38" i="7"/>
  <c r="W38" i="7" s="1"/>
  <c r="V39" i="7"/>
  <c r="W39" i="7" s="1"/>
  <c r="V45" i="7"/>
  <c r="W47" i="7"/>
  <c r="W48" i="7"/>
  <c r="W55" i="7"/>
  <c r="W56" i="7"/>
  <c r="W57" i="7"/>
  <c r="O63" i="7"/>
  <c r="V63" i="7" s="1"/>
  <c r="M63" i="7"/>
  <c r="N67" i="7"/>
  <c r="V67" i="7" s="1"/>
  <c r="W72" i="7"/>
  <c r="W73" i="7"/>
  <c r="V76" i="7"/>
  <c r="W76" i="7" s="1"/>
  <c r="V85" i="7"/>
  <c r="W85" i="7" s="1"/>
  <c r="V97" i="7"/>
  <c r="W97" i="7" s="1"/>
  <c r="W100" i="7"/>
  <c r="W101" i="7"/>
  <c r="W102" i="7"/>
  <c r="W106" i="7"/>
  <c r="W107" i="7"/>
  <c r="V118" i="7"/>
  <c r="W118" i="7" s="1"/>
  <c r="W121" i="7"/>
  <c r="W122" i="7"/>
  <c r="M99" i="7"/>
  <c r="W99" i="7" s="1"/>
  <c r="W111" i="7"/>
  <c r="Y51" i="12" l="1"/>
  <c r="Y68" i="12"/>
  <c r="X18" i="12"/>
  <c r="Y18" i="12" s="1"/>
  <c r="Y4" i="12"/>
  <c r="Y70" i="12"/>
  <c r="X31" i="12"/>
  <c r="Y31" i="12" s="1"/>
  <c r="X90" i="12"/>
  <c r="Y90" i="12" s="1"/>
  <c r="P121" i="12"/>
  <c r="O121" i="12"/>
  <c r="X58" i="12"/>
  <c r="Y58" i="12" s="1"/>
  <c r="P85" i="12"/>
  <c r="Q85" i="12"/>
  <c r="Q121" i="12" s="1"/>
  <c r="O85" i="12"/>
  <c r="Y81" i="12"/>
  <c r="X94" i="12"/>
  <c r="Y94" i="12" s="1"/>
  <c r="X32" i="12"/>
  <c r="Y32" i="12" s="1"/>
  <c r="X27" i="12"/>
  <c r="Y27" i="12" s="1"/>
  <c r="X50" i="11"/>
  <c r="Y50" i="11" s="1"/>
  <c r="O124" i="11"/>
  <c r="Y4" i="11"/>
  <c r="Y54" i="11"/>
  <c r="X110" i="11"/>
  <c r="Y110" i="11" s="1"/>
  <c r="X89" i="11"/>
  <c r="Y89" i="11" s="1"/>
  <c r="Y84" i="11"/>
  <c r="X92" i="11"/>
  <c r="Y92" i="11" s="1"/>
  <c r="P124" i="11"/>
  <c r="X33" i="11"/>
  <c r="Y33" i="11" s="1"/>
  <c r="X14" i="11"/>
  <c r="Y14" i="11" s="1"/>
  <c r="X7" i="11"/>
  <c r="Y53" i="11"/>
  <c r="Y115" i="11"/>
  <c r="S74" i="10"/>
  <c r="AC74" i="10" s="1"/>
  <c r="AB7" i="10"/>
  <c r="AC7" i="10" s="1"/>
  <c r="AC70" i="10"/>
  <c r="AB12" i="10"/>
  <c r="AC12" i="10" s="1"/>
  <c r="AB67" i="10"/>
  <c r="AC67" i="10" s="1"/>
  <c r="T122" i="10"/>
  <c r="AC27" i="10"/>
  <c r="AB14" i="10"/>
  <c r="AC14" i="10" s="1"/>
  <c r="AC106" i="10"/>
  <c r="AC13" i="10"/>
  <c r="AB108" i="10"/>
  <c r="AC108" i="10" s="1"/>
  <c r="AB39" i="10"/>
  <c r="AC39" i="10" s="1"/>
  <c r="AB27" i="10"/>
  <c r="AC4" i="10"/>
  <c r="AB15" i="10"/>
  <c r="AC15" i="10" s="1"/>
  <c r="S45" i="9"/>
  <c r="AC45" i="9" s="1"/>
  <c r="AB14" i="9"/>
  <c r="AC14" i="9" s="1"/>
  <c r="AB11" i="9"/>
  <c r="AC11" i="9" s="1"/>
  <c r="AC120" i="9" s="1"/>
  <c r="T120" i="9"/>
  <c r="AC72" i="9"/>
  <c r="AB68" i="9"/>
  <c r="AC68" i="9" s="1"/>
  <c r="AC71" i="9"/>
  <c r="AC12" i="9"/>
  <c r="AB12" i="9"/>
  <c r="AB33" i="9"/>
  <c r="AC33" i="9" s="1"/>
  <c r="S118" i="8"/>
  <c r="R118" i="8"/>
  <c r="AB97" i="8"/>
  <c r="AB81" i="8"/>
  <c r="AB110" i="8"/>
  <c r="AA106" i="8"/>
  <c r="AB106" i="8" s="1"/>
  <c r="AA7" i="8"/>
  <c r="AB7" i="8" s="1"/>
  <c r="AB118" i="8" s="1"/>
  <c r="W5" i="7"/>
  <c r="V123" i="7"/>
  <c r="W63" i="7"/>
  <c r="N123" i="7"/>
  <c r="M123" i="7"/>
  <c r="W4" i="7"/>
  <c r="W20" i="7"/>
  <c r="L123" i="7"/>
  <c r="V71" i="7"/>
  <c r="W36" i="7"/>
  <c r="W22" i="7"/>
  <c r="W50" i="7"/>
  <c r="W32" i="7"/>
  <c r="W71" i="7"/>
  <c r="X85" i="12" l="1"/>
  <c r="Y85" i="12"/>
  <c r="X121" i="12"/>
  <c r="Y121" i="12"/>
  <c r="X124" i="11"/>
  <c r="Y7" i="11"/>
  <c r="Y124" i="11" s="1"/>
  <c r="S122" i="10"/>
  <c r="AC122" i="10"/>
  <c r="AB122" i="10"/>
  <c r="AB120" i="9"/>
  <c r="S120" i="9"/>
  <c r="AA118" i="8"/>
  <c r="W123" i="7"/>
  <c r="G4" i="2" l="1"/>
  <c r="G5" i="2"/>
  <c r="G6" i="2"/>
  <c r="M6" i="2" s="1"/>
  <c r="G7" i="2"/>
  <c r="G8" i="2"/>
  <c r="G9" i="2"/>
  <c r="G10" i="2"/>
  <c r="M10" i="2" s="1"/>
  <c r="G11" i="2"/>
  <c r="M11" i="2" s="1"/>
  <c r="G12" i="2"/>
  <c r="G13" i="2"/>
  <c r="G14" i="2"/>
  <c r="M14" i="2" s="1"/>
  <c r="G16" i="2"/>
  <c r="G17" i="2"/>
  <c r="G18" i="2"/>
  <c r="G19" i="2"/>
  <c r="G20" i="2"/>
  <c r="M20" i="2" s="1"/>
  <c r="G21" i="2"/>
  <c r="G22" i="2"/>
  <c r="G23" i="2"/>
  <c r="M23" i="2" s="1"/>
  <c r="G24" i="2"/>
  <c r="M24" i="2" s="1"/>
  <c r="G25" i="2"/>
  <c r="G26" i="2"/>
  <c r="G27" i="2"/>
  <c r="M27" i="2" s="1"/>
  <c r="G28" i="2"/>
  <c r="M28" i="2" s="1"/>
  <c r="G29" i="2"/>
  <c r="G30" i="2"/>
  <c r="G31" i="2"/>
  <c r="G32" i="2"/>
  <c r="M32" i="2" s="1"/>
  <c r="G33" i="2"/>
  <c r="G34" i="2"/>
  <c r="G35" i="2"/>
  <c r="M35" i="2" s="1"/>
  <c r="G36" i="2"/>
  <c r="M36" i="2" s="1"/>
  <c r="G37" i="2"/>
  <c r="G38" i="2"/>
  <c r="G39" i="2"/>
  <c r="M39" i="2" s="1"/>
  <c r="G40" i="2"/>
  <c r="M40" i="2" s="1"/>
  <c r="J41" i="2"/>
  <c r="G41" i="2" s="1"/>
  <c r="M41" i="2" s="1"/>
  <c r="G42" i="2"/>
  <c r="M42" i="2" s="1"/>
  <c r="G43" i="2"/>
  <c r="M43" i="2" s="1"/>
  <c r="G44" i="2"/>
  <c r="G45" i="2"/>
  <c r="G46" i="2"/>
  <c r="G47" i="2"/>
  <c r="M47" i="2" s="1"/>
  <c r="G48" i="2"/>
  <c r="G49" i="2"/>
  <c r="G50" i="2"/>
  <c r="G51" i="2"/>
  <c r="M51" i="2" s="1"/>
  <c r="G52" i="2"/>
  <c r="G53" i="2"/>
  <c r="G54" i="2"/>
  <c r="M54" i="2" s="1"/>
  <c r="G55" i="2"/>
  <c r="M55" i="2" s="1"/>
  <c r="G56" i="2"/>
  <c r="G57" i="2"/>
  <c r="G58" i="2"/>
  <c r="M58" i="2" s="1"/>
  <c r="G59" i="2"/>
  <c r="M59" i="2" s="1"/>
  <c r="G60" i="2"/>
  <c r="M60" i="2" s="1"/>
  <c r="G61" i="2"/>
  <c r="G62" i="2"/>
  <c r="M62" i="2" s="1"/>
  <c r="G63" i="2"/>
  <c r="M63" i="2" s="1"/>
  <c r="G64" i="2"/>
  <c r="G65" i="2"/>
  <c r="G66" i="2"/>
  <c r="M66" i="2" s="1"/>
  <c r="G67" i="2"/>
  <c r="M67" i="2" s="1"/>
  <c r="G68" i="2"/>
  <c r="M68" i="2" s="1"/>
  <c r="G69" i="2"/>
  <c r="G70" i="2"/>
  <c r="M70" i="2" s="1"/>
  <c r="G71" i="2"/>
  <c r="M71" i="2" s="1"/>
  <c r="G72" i="2"/>
  <c r="E73" i="2"/>
  <c r="G73" i="2"/>
  <c r="G74" i="2"/>
  <c r="M74" i="2" s="1"/>
  <c r="G75" i="2"/>
  <c r="L75" i="2" s="1"/>
  <c r="M75" i="2" s="1"/>
  <c r="G76" i="2"/>
  <c r="G77" i="2"/>
  <c r="L77" i="2" s="1"/>
  <c r="G78" i="2"/>
  <c r="L78" i="2" s="1"/>
  <c r="M78" i="2" s="1"/>
  <c r="G79" i="2"/>
  <c r="G80" i="2"/>
  <c r="G81" i="2"/>
  <c r="G82" i="2"/>
  <c r="J82" i="2"/>
  <c r="G83" i="2"/>
  <c r="J84" i="2"/>
  <c r="G85" i="2"/>
  <c r="M85" i="2" s="1"/>
  <c r="G86" i="2"/>
  <c r="G87" i="2"/>
  <c r="M87" i="2" s="1"/>
  <c r="G88" i="2"/>
  <c r="M88" i="2" s="1"/>
  <c r="G89" i="2"/>
  <c r="G90" i="2"/>
  <c r="L90" i="2" s="1"/>
  <c r="H90" i="2"/>
  <c r="G91" i="2"/>
  <c r="G92" i="2"/>
  <c r="G93" i="2"/>
  <c r="L93" i="2" s="1"/>
  <c r="M93" i="2" s="1"/>
  <c r="G94" i="2"/>
  <c r="G95" i="2"/>
  <c r="M95" i="2" s="1"/>
  <c r="G96" i="2"/>
  <c r="M96" i="2" s="1"/>
  <c r="G97" i="2"/>
  <c r="L97" i="2" s="1"/>
  <c r="M97" i="2" s="1"/>
  <c r="G98" i="2"/>
  <c r="G99" i="2"/>
  <c r="M99" i="2" s="1"/>
  <c r="G100" i="2"/>
  <c r="J100" i="2"/>
  <c r="G101" i="2"/>
  <c r="G102" i="2"/>
  <c r="M102" i="2" s="1"/>
  <c r="G103" i="2"/>
  <c r="G104" i="2"/>
  <c r="M104" i="2" s="1"/>
  <c r="G105" i="2"/>
  <c r="M105" i="2" s="1"/>
  <c r="G106" i="2"/>
  <c r="M106" i="2" s="1"/>
  <c r="G107" i="2"/>
  <c r="M107" i="2" s="1"/>
  <c r="E108" i="2"/>
  <c r="H108" i="2"/>
  <c r="I108" i="2"/>
  <c r="C209" i="6"/>
  <c r="C189" i="6"/>
  <c r="C182" i="6"/>
  <c r="C184" i="6" s="1"/>
  <c r="N143" i="6"/>
  <c r="M143" i="6"/>
  <c r="T118" i="6"/>
  <c r="R118" i="6"/>
  <c r="Q118" i="6"/>
  <c r="P118" i="6"/>
  <c r="K118" i="6"/>
  <c r="J118" i="6"/>
  <c r="I118" i="6"/>
  <c r="E118" i="6"/>
  <c r="O117" i="6"/>
  <c r="N117" i="6"/>
  <c r="G117" i="6"/>
  <c r="M117" i="6" s="1"/>
  <c r="O116" i="6"/>
  <c r="V116" i="6" s="1"/>
  <c r="N116" i="6"/>
  <c r="G116" i="6"/>
  <c r="M116" i="6" s="1"/>
  <c r="O115" i="6"/>
  <c r="N115" i="6"/>
  <c r="G115" i="6"/>
  <c r="M115" i="6" s="1"/>
  <c r="O114" i="6"/>
  <c r="V114" i="6" s="1"/>
  <c r="N114" i="6"/>
  <c r="G114" i="6"/>
  <c r="M114" i="6" s="1"/>
  <c r="O113" i="6"/>
  <c r="N113" i="6"/>
  <c r="V113" i="6" s="1"/>
  <c r="H113" i="6"/>
  <c r="G113" i="6"/>
  <c r="M113" i="6" s="1"/>
  <c r="O112" i="6"/>
  <c r="N112" i="6"/>
  <c r="G112" i="6"/>
  <c r="M112" i="6" s="1"/>
  <c r="V111" i="6"/>
  <c r="O111" i="6"/>
  <c r="N111" i="6"/>
  <c r="G111" i="6"/>
  <c r="M111" i="6" s="1"/>
  <c r="O110" i="6"/>
  <c r="N110" i="6"/>
  <c r="V110" i="6" s="1"/>
  <c r="G110" i="6"/>
  <c r="M110" i="6" s="1"/>
  <c r="W110" i="6" s="1"/>
  <c r="V109" i="6"/>
  <c r="G109" i="6"/>
  <c r="M109" i="6" s="1"/>
  <c r="W109" i="6" s="1"/>
  <c r="O108" i="6"/>
  <c r="V108" i="6" s="1"/>
  <c r="N108" i="6"/>
  <c r="G108" i="6"/>
  <c r="M108" i="6" s="1"/>
  <c r="O107" i="6"/>
  <c r="N107" i="6"/>
  <c r="G107" i="6"/>
  <c r="M107" i="6" s="1"/>
  <c r="G106" i="6"/>
  <c r="M106" i="6" s="1"/>
  <c r="O105" i="6"/>
  <c r="N105" i="6"/>
  <c r="G105" i="6"/>
  <c r="L105" i="6" s="1"/>
  <c r="V104" i="6"/>
  <c r="U104" i="6"/>
  <c r="O104" i="6"/>
  <c r="N104" i="6"/>
  <c r="G104" i="6"/>
  <c r="L104" i="6" s="1"/>
  <c r="O103" i="6"/>
  <c r="V103" i="6" s="1"/>
  <c r="G103" i="6"/>
  <c r="L103" i="6" s="1"/>
  <c r="M103" i="6" s="1"/>
  <c r="O102" i="6"/>
  <c r="V102" i="6" s="1"/>
  <c r="N102" i="6"/>
  <c r="G102" i="6"/>
  <c r="M102" i="6" s="1"/>
  <c r="O101" i="6"/>
  <c r="V101" i="6" s="1"/>
  <c r="N101" i="6"/>
  <c r="G101" i="6"/>
  <c r="M101" i="6" s="1"/>
  <c r="V100" i="6"/>
  <c r="G100" i="6"/>
  <c r="M100" i="6" s="1"/>
  <c r="W100" i="6" s="1"/>
  <c r="O99" i="6"/>
  <c r="N99" i="6"/>
  <c r="V99" i="6" s="1"/>
  <c r="G99" i="6"/>
  <c r="M99" i="6" s="1"/>
  <c r="O98" i="6"/>
  <c r="N98" i="6"/>
  <c r="V98" i="6" s="1"/>
  <c r="G98" i="6"/>
  <c r="M98" i="6" s="1"/>
  <c r="O97" i="6"/>
  <c r="N97" i="6"/>
  <c r="V97" i="6" s="1"/>
  <c r="G97" i="6"/>
  <c r="M97" i="6" s="1"/>
  <c r="V96" i="6"/>
  <c r="O96" i="6"/>
  <c r="N96" i="6"/>
  <c r="G96" i="6"/>
  <c r="M96" i="6" s="1"/>
  <c r="V95" i="6"/>
  <c r="O95" i="6"/>
  <c r="N95" i="6"/>
  <c r="G95" i="6"/>
  <c r="M95" i="6" s="1"/>
  <c r="O94" i="6"/>
  <c r="N94" i="6"/>
  <c r="G94" i="6"/>
  <c r="M94" i="6" s="1"/>
  <c r="O93" i="6"/>
  <c r="N93" i="6"/>
  <c r="G93" i="6"/>
  <c r="M93" i="6" s="1"/>
  <c r="O92" i="6"/>
  <c r="V92" i="6" s="1"/>
  <c r="N92" i="6"/>
  <c r="G92" i="6"/>
  <c r="L92" i="6" s="1"/>
  <c r="M92" i="6" s="1"/>
  <c r="O91" i="6"/>
  <c r="V91" i="6" s="1"/>
  <c r="N91" i="6"/>
  <c r="G91" i="6"/>
  <c r="M91" i="6" s="1"/>
  <c r="V90" i="6"/>
  <c r="G90" i="6"/>
  <c r="M90" i="6" s="1"/>
  <c r="W90" i="6" s="1"/>
  <c r="O89" i="6"/>
  <c r="N89" i="6"/>
  <c r="G89" i="6"/>
  <c r="M89" i="6" s="1"/>
  <c r="O88" i="6"/>
  <c r="N88" i="6"/>
  <c r="G88" i="6"/>
  <c r="M88" i="6" s="1"/>
  <c r="O87" i="6"/>
  <c r="N87" i="6"/>
  <c r="V87" i="6" s="1"/>
  <c r="G87" i="6"/>
  <c r="M87" i="6" s="1"/>
  <c r="O86" i="6"/>
  <c r="N86" i="6"/>
  <c r="V86" i="6" s="1"/>
  <c r="G86" i="6"/>
  <c r="M86" i="6" s="1"/>
  <c r="G85" i="6"/>
  <c r="M85" i="6" s="1"/>
  <c r="W85" i="6" s="1"/>
  <c r="O84" i="6"/>
  <c r="N84" i="6"/>
  <c r="V84" i="6" s="1"/>
  <c r="G84" i="6"/>
  <c r="M84" i="6" s="1"/>
  <c r="G83" i="6"/>
  <c r="M83" i="6" s="1"/>
  <c r="O82" i="6"/>
  <c r="N82" i="6"/>
  <c r="V82" i="6" s="1"/>
  <c r="G82" i="6"/>
  <c r="M82" i="6" s="1"/>
  <c r="O81" i="6"/>
  <c r="N81" i="6"/>
  <c r="G81" i="6"/>
  <c r="M81" i="6" s="1"/>
  <c r="O80" i="6"/>
  <c r="N80" i="6"/>
  <c r="V80" i="6" s="1"/>
  <c r="G80" i="6"/>
  <c r="M80" i="6" s="1"/>
  <c r="O79" i="6"/>
  <c r="N79" i="6"/>
  <c r="V79" i="6" s="1"/>
  <c r="G79" i="6"/>
  <c r="M79" i="6" s="1"/>
  <c r="U78" i="6"/>
  <c r="O78" i="6"/>
  <c r="N78" i="6"/>
  <c r="G78" i="6"/>
  <c r="M78" i="6" s="1"/>
  <c r="O77" i="6"/>
  <c r="N77" i="6"/>
  <c r="G77" i="6"/>
  <c r="M77" i="6" s="1"/>
  <c r="V76" i="6"/>
  <c r="G76" i="6"/>
  <c r="M76" i="6" s="1"/>
  <c r="W76" i="6" s="1"/>
  <c r="O75" i="6"/>
  <c r="N75" i="6"/>
  <c r="G75" i="6"/>
  <c r="M75" i="6" s="1"/>
  <c r="V74" i="6"/>
  <c r="O74" i="6"/>
  <c r="N74" i="6"/>
  <c r="G74" i="6"/>
  <c r="M74" i="6" s="1"/>
  <c r="V73" i="6"/>
  <c r="G73" i="6"/>
  <c r="M73" i="6" s="1"/>
  <c r="O72" i="6"/>
  <c r="N72" i="6"/>
  <c r="V72" i="6" s="1"/>
  <c r="M72" i="6"/>
  <c r="W72" i="6" s="1"/>
  <c r="G72" i="6"/>
  <c r="O71" i="6"/>
  <c r="N71" i="6"/>
  <c r="G71" i="6"/>
  <c r="M71" i="6" s="1"/>
  <c r="O70" i="6"/>
  <c r="N70" i="6"/>
  <c r="V70" i="6" s="1"/>
  <c r="G70" i="6"/>
  <c r="L70" i="6" s="1"/>
  <c r="O69" i="6"/>
  <c r="N69" i="6"/>
  <c r="G69" i="6"/>
  <c r="M69" i="6" s="1"/>
  <c r="O68" i="6"/>
  <c r="N68" i="6"/>
  <c r="G68" i="6"/>
  <c r="M68" i="6" s="1"/>
  <c r="G67" i="6"/>
  <c r="O67" i="6" s="1"/>
  <c r="O66" i="6"/>
  <c r="V66" i="6" s="1"/>
  <c r="N66" i="6"/>
  <c r="G66" i="6"/>
  <c r="M66" i="6" s="1"/>
  <c r="O65" i="6"/>
  <c r="N65" i="6"/>
  <c r="V65" i="6" s="1"/>
  <c r="G65" i="6"/>
  <c r="M65" i="6" s="1"/>
  <c r="O64" i="6"/>
  <c r="N64" i="6"/>
  <c r="V64" i="6" s="1"/>
  <c r="G64" i="6"/>
  <c r="M64" i="6" s="1"/>
  <c r="G63" i="6"/>
  <c r="O63" i="6" s="1"/>
  <c r="O62" i="6"/>
  <c r="V62" i="6" s="1"/>
  <c r="N62" i="6"/>
  <c r="G62" i="6"/>
  <c r="M62" i="6" s="1"/>
  <c r="O61" i="6"/>
  <c r="V61" i="6" s="1"/>
  <c r="N61" i="6"/>
  <c r="G61" i="6"/>
  <c r="M61" i="6" s="1"/>
  <c r="O60" i="6"/>
  <c r="N60" i="6"/>
  <c r="V60" i="6" s="1"/>
  <c r="G60" i="6"/>
  <c r="M60" i="6" s="1"/>
  <c r="G59" i="6"/>
  <c r="O59" i="6" s="1"/>
  <c r="G58" i="6"/>
  <c r="M58" i="6" s="1"/>
  <c r="O58" i="6" s="1"/>
  <c r="V57" i="6"/>
  <c r="O57" i="6"/>
  <c r="N57" i="6"/>
  <c r="G57" i="6"/>
  <c r="M57" i="6" s="1"/>
  <c r="V56" i="6"/>
  <c r="O56" i="6"/>
  <c r="N56" i="6"/>
  <c r="G56" i="6"/>
  <c r="M56" i="6" s="1"/>
  <c r="O55" i="6"/>
  <c r="N55" i="6"/>
  <c r="G55" i="6"/>
  <c r="M55" i="6" s="1"/>
  <c r="O54" i="6"/>
  <c r="K54" i="6"/>
  <c r="G54" i="6"/>
  <c r="M54" i="6" s="1"/>
  <c r="Z53" i="6"/>
  <c r="O53" i="6"/>
  <c r="N53" i="6"/>
  <c r="V53" i="6" s="1"/>
  <c r="G53" i="6"/>
  <c r="M53" i="6" s="1"/>
  <c r="O52" i="6"/>
  <c r="N52" i="6"/>
  <c r="V52" i="6" s="1"/>
  <c r="G52" i="6"/>
  <c r="M52" i="6" s="1"/>
  <c r="O51" i="6"/>
  <c r="N51" i="6"/>
  <c r="V51" i="6" s="1"/>
  <c r="G51" i="6"/>
  <c r="M51" i="6" s="1"/>
  <c r="N50" i="6"/>
  <c r="V50" i="6" s="1"/>
  <c r="G50" i="6"/>
  <c r="O50" i="6" s="1"/>
  <c r="O49" i="6"/>
  <c r="N49" i="6"/>
  <c r="G49" i="6"/>
  <c r="M49" i="6" s="1"/>
  <c r="O48" i="6"/>
  <c r="N48" i="6"/>
  <c r="V48" i="6" s="1"/>
  <c r="G48" i="6"/>
  <c r="M48" i="6" s="1"/>
  <c r="O47" i="6"/>
  <c r="N47" i="6"/>
  <c r="V47" i="6" s="1"/>
  <c r="G47" i="6"/>
  <c r="M47" i="6" s="1"/>
  <c r="O46" i="6"/>
  <c r="N46" i="6"/>
  <c r="G46" i="6"/>
  <c r="M46" i="6" s="1"/>
  <c r="U45" i="6"/>
  <c r="S45" i="6"/>
  <c r="S118" i="6" s="1"/>
  <c r="O45" i="6"/>
  <c r="N45" i="6"/>
  <c r="G45" i="6"/>
  <c r="M45" i="6" s="1"/>
  <c r="O44" i="6"/>
  <c r="N44" i="6"/>
  <c r="V44" i="6" s="1"/>
  <c r="G44" i="6"/>
  <c r="M44" i="6" s="1"/>
  <c r="V43" i="6"/>
  <c r="O43" i="6"/>
  <c r="N43" i="6"/>
  <c r="G43" i="6"/>
  <c r="L43" i="6" s="1"/>
  <c r="M43" i="6" s="1"/>
  <c r="W43" i="6" s="1"/>
  <c r="O42" i="6"/>
  <c r="N42" i="6"/>
  <c r="G42" i="6"/>
  <c r="M42" i="6" s="1"/>
  <c r="O41" i="6"/>
  <c r="N41" i="6"/>
  <c r="G41" i="6"/>
  <c r="L41" i="6" s="1"/>
  <c r="O40" i="6"/>
  <c r="N40" i="6"/>
  <c r="V40" i="6" s="1"/>
  <c r="G40" i="6"/>
  <c r="M40" i="6" s="1"/>
  <c r="O39" i="6"/>
  <c r="N39" i="6"/>
  <c r="V39" i="6" s="1"/>
  <c r="G39" i="6"/>
  <c r="M39" i="6" s="1"/>
  <c r="O38" i="6"/>
  <c r="N38" i="6"/>
  <c r="V38" i="6" s="1"/>
  <c r="G38" i="6"/>
  <c r="M38" i="6" s="1"/>
  <c r="U37" i="6"/>
  <c r="O37" i="6"/>
  <c r="V37" i="6" s="1"/>
  <c r="N37" i="6"/>
  <c r="G37" i="6"/>
  <c r="M37" i="6" s="1"/>
  <c r="H36" i="6"/>
  <c r="H118" i="6" s="1"/>
  <c r="G36" i="6"/>
  <c r="N35" i="6"/>
  <c r="G35" i="6"/>
  <c r="O35" i="6" s="1"/>
  <c r="G34" i="6"/>
  <c r="M34" i="6" s="1"/>
  <c r="G33" i="6"/>
  <c r="O33" i="6" s="1"/>
  <c r="O32" i="6"/>
  <c r="N32" i="6"/>
  <c r="G32" i="6"/>
  <c r="M32" i="6" s="1"/>
  <c r="O31" i="6"/>
  <c r="V31" i="6" s="1"/>
  <c r="N31" i="6"/>
  <c r="G31" i="6"/>
  <c r="M31" i="6" s="1"/>
  <c r="V30" i="6"/>
  <c r="G30" i="6"/>
  <c r="M30" i="6" s="1"/>
  <c r="W30" i="6" s="1"/>
  <c r="G29" i="6"/>
  <c r="M29" i="6" s="1"/>
  <c r="O28" i="6"/>
  <c r="V28" i="6" s="1"/>
  <c r="N28" i="6"/>
  <c r="G28" i="6"/>
  <c r="M28" i="6" s="1"/>
  <c r="O27" i="6"/>
  <c r="N27" i="6"/>
  <c r="V27" i="6" s="1"/>
  <c r="G27" i="6"/>
  <c r="M27" i="6" s="1"/>
  <c r="O26" i="6"/>
  <c r="N26" i="6"/>
  <c r="V26" i="6" s="1"/>
  <c r="G26" i="6"/>
  <c r="M26" i="6" s="1"/>
  <c r="G25" i="6"/>
  <c r="M25" i="6" s="1"/>
  <c r="G24" i="6"/>
  <c r="O24" i="6" s="1"/>
  <c r="O23" i="6"/>
  <c r="N23" i="6"/>
  <c r="V23" i="6" s="1"/>
  <c r="G23" i="6"/>
  <c r="M23" i="6" s="1"/>
  <c r="W23" i="6" s="1"/>
  <c r="O22" i="6"/>
  <c r="N22" i="6"/>
  <c r="V22" i="6" s="1"/>
  <c r="L22" i="6"/>
  <c r="M22" i="6" s="1"/>
  <c r="G22" i="6"/>
  <c r="O21" i="6"/>
  <c r="N21" i="6"/>
  <c r="G21" i="6"/>
  <c r="M21" i="6" s="1"/>
  <c r="O20" i="6"/>
  <c r="N20" i="6"/>
  <c r="V20" i="6" s="1"/>
  <c r="G20" i="6"/>
  <c r="M20" i="6" s="1"/>
  <c r="G19" i="6"/>
  <c r="N19" i="6" s="1"/>
  <c r="O18" i="6"/>
  <c r="N18" i="6"/>
  <c r="V18" i="6" s="1"/>
  <c r="G18" i="6"/>
  <c r="M18" i="6" s="1"/>
  <c r="W18" i="6" s="1"/>
  <c r="O17" i="6"/>
  <c r="N17" i="6"/>
  <c r="G17" i="6"/>
  <c r="M17" i="6" s="1"/>
  <c r="O16" i="6"/>
  <c r="N16" i="6"/>
  <c r="V16" i="6" s="1"/>
  <c r="M16" i="6"/>
  <c r="W16" i="6" s="1"/>
  <c r="G16" i="6"/>
  <c r="O15" i="6"/>
  <c r="N15" i="6"/>
  <c r="G15" i="6"/>
  <c r="M15" i="6" s="1"/>
  <c r="G14" i="6"/>
  <c r="O14" i="6" s="1"/>
  <c r="G13" i="6"/>
  <c r="N13" i="6" s="1"/>
  <c r="O12" i="6"/>
  <c r="G12" i="6"/>
  <c r="N12" i="6" s="1"/>
  <c r="V12" i="6" s="1"/>
  <c r="U11" i="6"/>
  <c r="O11" i="6"/>
  <c r="N11" i="6"/>
  <c r="G11" i="6"/>
  <c r="M11" i="6" s="1"/>
  <c r="O10" i="6"/>
  <c r="N10" i="6"/>
  <c r="G10" i="6"/>
  <c r="M10" i="6" s="1"/>
  <c r="G9" i="6"/>
  <c r="O8" i="6"/>
  <c r="N8" i="6"/>
  <c r="G8" i="6"/>
  <c r="M8" i="6" s="1"/>
  <c r="G7" i="6"/>
  <c r="M7" i="6" s="1"/>
  <c r="O6" i="6"/>
  <c r="N6" i="6"/>
  <c r="G6" i="6"/>
  <c r="M6" i="6" s="1"/>
  <c r="G5" i="6"/>
  <c r="O4" i="6"/>
  <c r="N4" i="6"/>
  <c r="G4" i="6"/>
  <c r="M4" i="6" s="1"/>
  <c r="C207" i="5"/>
  <c r="C187" i="5"/>
  <c r="C180" i="5"/>
  <c r="C182" i="5" s="1"/>
  <c r="N141" i="5"/>
  <c r="M141" i="5"/>
  <c r="T116" i="5"/>
  <c r="R116" i="5"/>
  <c r="Q116" i="5"/>
  <c r="P116" i="5"/>
  <c r="J116" i="5"/>
  <c r="E116" i="5"/>
  <c r="O115" i="5"/>
  <c r="N115" i="5"/>
  <c r="V115" i="5" s="1"/>
  <c r="G115" i="5"/>
  <c r="M115" i="5" s="1"/>
  <c r="O114" i="5"/>
  <c r="N114" i="5"/>
  <c r="V114" i="5" s="1"/>
  <c r="G114" i="5"/>
  <c r="M114" i="5" s="1"/>
  <c r="O113" i="5"/>
  <c r="N113" i="5"/>
  <c r="V113" i="5" s="1"/>
  <c r="G113" i="5"/>
  <c r="M113" i="5" s="1"/>
  <c r="W113" i="5" s="1"/>
  <c r="O112" i="5"/>
  <c r="N112" i="5"/>
  <c r="V112" i="5" s="1"/>
  <c r="G112" i="5"/>
  <c r="M112" i="5" s="1"/>
  <c r="O111" i="5"/>
  <c r="N111" i="5"/>
  <c r="G111" i="5"/>
  <c r="M111" i="5" s="1"/>
  <c r="V110" i="5"/>
  <c r="O110" i="5"/>
  <c r="N110" i="5"/>
  <c r="G110" i="5"/>
  <c r="M110" i="5" s="1"/>
  <c r="O109" i="5"/>
  <c r="N109" i="5"/>
  <c r="G109" i="5"/>
  <c r="M109" i="5" s="1"/>
  <c r="V108" i="5"/>
  <c r="G108" i="5"/>
  <c r="M108" i="5" s="1"/>
  <c r="W108" i="5" s="1"/>
  <c r="O107" i="5"/>
  <c r="N107" i="5"/>
  <c r="V107" i="5" s="1"/>
  <c r="G107" i="5"/>
  <c r="M107" i="5" s="1"/>
  <c r="O106" i="5"/>
  <c r="N106" i="5"/>
  <c r="V106" i="5" s="1"/>
  <c r="G106" i="5"/>
  <c r="O105" i="5"/>
  <c r="N105" i="5"/>
  <c r="G105" i="5"/>
  <c r="M105" i="5" s="1"/>
  <c r="O104" i="5"/>
  <c r="N104" i="5"/>
  <c r="G104" i="5"/>
  <c r="O103" i="5"/>
  <c r="N103" i="5"/>
  <c r="G103" i="5"/>
  <c r="L103" i="5" s="1"/>
  <c r="M103" i="5" s="1"/>
  <c r="O102" i="5"/>
  <c r="V102" i="5" s="1"/>
  <c r="L102" i="5"/>
  <c r="G102" i="5"/>
  <c r="O101" i="5"/>
  <c r="N101" i="5"/>
  <c r="V101" i="5" s="1"/>
  <c r="H101" i="5"/>
  <c r="H116" i="5" s="1"/>
  <c r="G101" i="5"/>
  <c r="M101" i="5" s="1"/>
  <c r="O100" i="5"/>
  <c r="N100" i="5"/>
  <c r="V100" i="5" s="1"/>
  <c r="G100" i="5"/>
  <c r="L100" i="5" s="1"/>
  <c r="M100" i="5" s="1"/>
  <c r="W100" i="5" s="1"/>
  <c r="O99" i="5"/>
  <c r="N99" i="5"/>
  <c r="G99" i="5"/>
  <c r="M99" i="5" s="1"/>
  <c r="V98" i="5"/>
  <c r="M98" i="5"/>
  <c r="W98" i="5" s="1"/>
  <c r="G98" i="5"/>
  <c r="O97" i="5"/>
  <c r="N97" i="5"/>
  <c r="V97" i="5" s="1"/>
  <c r="M97" i="5"/>
  <c r="W97" i="5" s="1"/>
  <c r="G97" i="5"/>
  <c r="O96" i="5"/>
  <c r="N96" i="5"/>
  <c r="M96" i="5"/>
  <c r="G96" i="5"/>
  <c r="O95" i="5"/>
  <c r="N95" i="5"/>
  <c r="V95" i="5" s="1"/>
  <c r="M95" i="5"/>
  <c r="W95" i="5" s="1"/>
  <c r="G95" i="5"/>
  <c r="O94" i="5"/>
  <c r="N94" i="5"/>
  <c r="M94" i="5"/>
  <c r="G94" i="5"/>
  <c r="O93" i="5"/>
  <c r="N93" i="5"/>
  <c r="V93" i="5" s="1"/>
  <c r="M93" i="5"/>
  <c r="G93" i="5"/>
  <c r="O92" i="5"/>
  <c r="N92" i="5"/>
  <c r="M92" i="5"/>
  <c r="G92" i="5"/>
  <c r="O91" i="5"/>
  <c r="N91" i="5"/>
  <c r="M91" i="5"/>
  <c r="G91" i="5"/>
  <c r="O90" i="5"/>
  <c r="N90" i="5"/>
  <c r="G90" i="5"/>
  <c r="L90" i="5" s="1"/>
  <c r="M90" i="5" s="1"/>
  <c r="O89" i="5"/>
  <c r="N89" i="5"/>
  <c r="V89" i="5" s="1"/>
  <c r="G89" i="5"/>
  <c r="M89" i="5" s="1"/>
  <c r="V88" i="5"/>
  <c r="G88" i="5"/>
  <c r="M88" i="5" s="1"/>
  <c r="W88" i="5" s="1"/>
  <c r="O87" i="5"/>
  <c r="N87" i="5"/>
  <c r="V87" i="5" s="1"/>
  <c r="G87" i="5"/>
  <c r="M87" i="5" s="1"/>
  <c r="O86" i="5"/>
  <c r="N86" i="5"/>
  <c r="V86" i="5" s="1"/>
  <c r="G86" i="5"/>
  <c r="M86" i="5" s="1"/>
  <c r="O85" i="5"/>
  <c r="N85" i="5"/>
  <c r="V85" i="5" s="1"/>
  <c r="G85" i="5"/>
  <c r="M85" i="5" s="1"/>
  <c r="W85" i="5" s="1"/>
  <c r="O84" i="5"/>
  <c r="N84" i="5"/>
  <c r="V84" i="5" s="1"/>
  <c r="G84" i="5"/>
  <c r="M84" i="5" s="1"/>
  <c r="G83" i="5"/>
  <c r="M83" i="5" s="1"/>
  <c r="W83" i="5" s="1"/>
  <c r="O82" i="5"/>
  <c r="N82" i="5"/>
  <c r="V82" i="5" s="1"/>
  <c r="G82" i="5"/>
  <c r="M82" i="5" s="1"/>
  <c r="W82" i="5" s="1"/>
  <c r="O81" i="5"/>
  <c r="N81" i="5"/>
  <c r="G81" i="5"/>
  <c r="M81" i="5" s="1"/>
  <c r="O80" i="5"/>
  <c r="N80" i="5"/>
  <c r="G80" i="5"/>
  <c r="M80" i="5" s="1"/>
  <c r="O79" i="5"/>
  <c r="N79" i="5"/>
  <c r="G79" i="5"/>
  <c r="M79" i="5" s="1"/>
  <c r="O78" i="5"/>
  <c r="N78" i="5"/>
  <c r="G78" i="5"/>
  <c r="M78" i="5" s="1"/>
  <c r="O77" i="5"/>
  <c r="N77" i="5"/>
  <c r="G77" i="5"/>
  <c r="M77" i="5" s="1"/>
  <c r="U76" i="5"/>
  <c r="O76" i="5"/>
  <c r="N76" i="5"/>
  <c r="G76" i="5"/>
  <c r="M76" i="5" s="1"/>
  <c r="V75" i="5"/>
  <c r="O75" i="5"/>
  <c r="N75" i="5"/>
  <c r="G75" i="5"/>
  <c r="M75" i="5" s="1"/>
  <c r="V74" i="5"/>
  <c r="G74" i="5"/>
  <c r="M74" i="5" s="1"/>
  <c r="O73" i="5"/>
  <c r="N73" i="5"/>
  <c r="V73" i="5" s="1"/>
  <c r="G73" i="5"/>
  <c r="M73" i="5" s="1"/>
  <c r="O72" i="5"/>
  <c r="N72" i="5"/>
  <c r="V72" i="5" s="1"/>
  <c r="G72" i="5"/>
  <c r="M72" i="5" s="1"/>
  <c r="V71" i="5"/>
  <c r="G71" i="5"/>
  <c r="M71" i="5" s="1"/>
  <c r="W71" i="5" s="1"/>
  <c r="O70" i="5"/>
  <c r="N70" i="5"/>
  <c r="V70" i="5" s="1"/>
  <c r="G70" i="5"/>
  <c r="M70" i="5" s="1"/>
  <c r="O69" i="5"/>
  <c r="N69" i="5"/>
  <c r="V69" i="5" s="1"/>
  <c r="G69" i="5"/>
  <c r="M69" i="5" s="1"/>
  <c r="O68" i="5"/>
  <c r="N68" i="5"/>
  <c r="V68" i="5" s="1"/>
  <c r="L68" i="5"/>
  <c r="G68" i="5"/>
  <c r="O67" i="5"/>
  <c r="N67" i="5"/>
  <c r="V67" i="5" s="1"/>
  <c r="M67" i="5"/>
  <c r="W67" i="5" s="1"/>
  <c r="G67" i="5"/>
  <c r="O66" i="5"/>
  <c r="N66" i="5"/>
  <c r="V66" i="5" s="1"/>
  <c r="M66" i="5"/>
  <c r="W66" i="5" s="1"/>
  <c r="G66" i="5"/>
  <c r="G65" i="5"/>
  <c r="N65" i="5" s="1"/>
  <c r="O64" i="5"/>
  <c r="N64" i="5"/>
  <c r="G64" i="5"/>
  <c r="M64" i="5" s="1"/>
  <c r="O63" i="5"/>
  <c r="N63" i="5"/>
  <c r="G63" i="5"/>
  <c r="M63" i="5" s="1"/>
  <c r="G62" i="5"/>
  <c r="M62" i="5" s="1"/>
  <c r="O61" i="5"/>
  <c r="G61" i="5"/>
  <c r="N61" i="5" s="1"/>
  <c r="V61" i="5" s="1"/>
  <c r="O60" i="5"/>
  <c r="V60" i="5" s="1"/>
  <c r="N60" i="5"/>
  <c r="G60" i="5"/>
  <c r="M60" i="5" s="1"/>
  <c r="W60" i="5" s="1"/>
  <c r="O59" i="5"/>
  <c r="N59" i="5"/>
  <c r="V59" i="5" s="1"/>
  <c r="G59" i="5"/>
  <c r="M59" i="5" s="1"/>
  <c r="W59" i="5" s="1"/>
  <c r="O58" i="5"/>
  <c r="N58" i="5"/>
  <c r="G58" i="5"/>
  <c r="M58" i="5" s="1"/>
  <c r="G57" i="5"/>
  <c r="O57" i="5" s="1"/>
  <c r="O56" i="5"/>
  <c r="N56" i="5"/>
  <c r="G56" i="5"/>
  <c r="M56" i="5" s="1"/>
  <c r="O55" i="5"/>
  <c r="N55" i="5"/>
  <c r="V55" i="5" s="1"/>
  <c r="M55" i="5"/>
  <c r="W55" i="5" s="1"/>
  <c r="G55" i="5"/>
  <c r="O54" i="5"/>
  <c r="N54" i="5"/>
  <c r="M54" i="5"/>
  <c r="G54" i="5"/>
  <c r="O53" i="5"/>
  <c r="N53" i="5"/>
  <c r="V53" i="5" s="1"/>
  <c r="M53" i="5"/>
  <c r="G53" i="5"/>
  <c r="K52" i="5"/>
  <c r="K116" i="5" s="1"/>
  <c r="G52" i="5"/>
  <c r="N52" i="5" s="1"/>
  <c r="O51" i="5"/>
  <c r="N51" i="5"/>
  <c r="V51" i="5" s="1"/>
  <c r="G51" i="5"/>
  <c r="M51" i="5" s="1"/>
  <c r="Z50" i="5"/>
  <c r="O50" i="5"/>
  <c r="N50" i="5"/>
  <c r="M50" i="5"/>
  <c r="G50" i="5"/>
  <c r="O49" i="5"/>
  <c r="N49" i="5"/>
  <c r="M49" i="5"/>
  <c r="G49" i="5"/>
  <c r="O48" i="5"/>
  <c r="N48" i="5"/>
  <c r="M48" i="5"/>
  <c r="G48" i="5"/>
  <c r="O47" i="5"/>
  <c r="M47" i="5"/>
  <c r="G47" i="5"/>
  <c r="N47" i="5" s="1"/>
  <c r="O46" i="5"/>
  <c r="N46" i="5"/>
  <c r="V46" i="5" s="1"/>
  <c r="M46" i="5"/>
  <c r="W46" i="5" s="1"/>
  <c r="G46" i="5"/>
  <c r="O45" i="5"/>
  <c r="N45" i="5"/>
  <c r="M45" i="5"/>
  <c r="G45" i="5"/>
  <c r="O44" i="5"/>
  <c r="N44" i="5"/>
  <c r="V44" i="5" s="1"/>
  <c r="W44" i="5" s="1"/>
  <c r="M44" i="5"/>
  <c r="G44" i="5"/>
  <c r="O43" i="5"/>
  <c r="N43" i="5"/>
  <c r="M43" i="5"/>
  <c r="G43" i="5"/>
  <c r="U42" i="5"/>
  <c r="S42" i="5"/>
  <c r="S116" i="5" s="1"/>
  <c r="O42" i="5"/>
  <c r="N42" i="5"/>
  <c r="G42" i="5"/>
  <c r="M42" i="5" s="1"/>
  <c r="O41" i="5"/>
  <c r="N41" i="5"/>
  <c r="G41" i="5"/>
  <c r="M41" i="5" s="1"/>
  <c r="O40" i="5"/>
  <c r="V40" i="5" s="1"/>
  <c r="N40" i="5"/>
  <c r="G40" i="5"/>
  <c r="L40" i="5" s="1"/>
  <c r="O39" i="5"/>
  <c r="N39" i="5"/>
  <c r="G39" i="5"/>
  <c r="M39" i="5" s="1"/>
  <c r="O38" i="5"/>
  <c r="N38" i="5"/>
  <c r="V38" i="5" s="1"/>
  <c r="L38" i="5"/>
  <c r="M38" i="5" s="1"/>
  <c r="G38" i="5"/>
  <c r="O37" i="5"/>
  <c r="V37" i="5" s="1"/>
  <c r="N37" i="5"/>
  <c r="G37" i="5"/>
  <c r="M37" i="5" s="1"/>
  <c r="W37" i="5" s="1"/>
  <c r="O36" i="5"/>
  <c r="N36" i="5"/>
  <c r="G36" i="5"/>
  <c r="M36" i="5" s="1"/>
  <c r="O35" i="5"/>
  <c r="V35" i="5" s="1"/>
  <c r="N35" i="5"/>
  <c r="G35" i="5"/>
  <c r="M35" i="5" s="1"/>
  <c r="W35" i="5" s="1"/>
  <c r="U34" i="5"/>
  <c r="O34" i="5"/>
  <c r="N34" i="5"/>
  <c r="V34" i="5" s="1"/>
  <c r="G34" i="5"/>
  <c r="M34" i="5" s="1"/>
  <c r="W34" i="5" s="1"/>
  <c r="G33" i="5"/>
  <c r="O32" i="5"/>
  <c r="N32" i="5"/>
  <c r="V32" i="5" s="1"/>
  <c r="G32" i="5"/>
  <c r="M32" i="5" s="1"/>
  <c r="G31" i="5"/>
  <c r="N31" i="5" s="1"/>
  <c r="V30" i="5"/>
  <c r="O30" i="5"/>
  <c r="N30" i="5"/>
  <c r="G30" i="5"/>
  <c r="M30" i="5" s="1"/>
  <c r="V29" i="5"/>
  <c r="O29" i="5"/>
  <c r="N29" i="5"/>
  <c r="G29" i="5"/>
  <c r="M29" i="5" s="1"/>
  <c r="G28" i="5"/>
  <c r="O27" i="5"/>
  <c r="N27" i="5"/>
  <c r="V27" i="5" s="1"/>
  <c r="G27" i="5"/>
  <c r="M27" i="5" s="1"/>
  <c r="O26" i="5"/>
  <c r="N26" i="5"/>
  <c r="V26" i="5" s="1"/>
  <c r="G26" i="5"/>
  <c r="M26" i="5" s="1"/>
  <c r="O25" i="5"/>
  <c r="N25" i="5"/>
  <c r="V25" i="5" s="1"/>
  <c r="G25" i="5"/>
  <c r="M25" i="5" s="1"/>
  <c r="N24" i="5"/>
  <c r="G24" i="5"/>
  <c r="G23" i="5"/>
  <c r="O22" i="5"/>
  <c r="N22" i="5"/>
  <c r="G22" i="5"/>
  <c r="M22" i="5" s="1"/>
  <c r="O21" i="5"/>
  <c r="N21" i="5"/>
  <c r="V21" i="5" s="1"/>
  <c r="L21" i="5"/>
  <c r="G21" i="5"/>
  <c r="O20" i="5"/>
  <c r="N20" i="5"/>
  <c r="M20" i="5"/>
  <c r="G20" i="5"/>
  <c r="G19" i="5"/>
  <c r="O19" i="5" s="1"/>
  <c r="N18" i="5"/>
  <c r="G18" i="5"/>
  <c r="M18" i="5" s="1"/>
  <c r="G17" i="5"/>
  <c r="O17" i="5" s="1"/>
  <c r="O16" i="5"/>
  <c r="N16" i="5"/>
  <c r="V16" i="5" s="1"/>
  <c r="G16" i="5"/>
  <c r="M16" i="5" s="1"/>
  <c r="N15" i="5"/>
  <c r="G15" i="5"/>
  <c r="O15" i="5" s="1"/>
  <c r="V15" i="5" s="1"/>
  <c r="O14" i="5"/>
  <c r="N14" i="5"/>
  <c r="G14" i="5"/>
  <c r="M14" i="5" s="1"/>
  <c r="G13" i="5"/>
  <c r="O13" i="5" s="1"/>
  <c r="N12" i="5"/>
  <c r="G12" i="5"/>
  <c r="M12" i="5" s="1"/>
  <c r="G11" i="5"/>
  <c r="O11" i="5" s="1"/>
  <c r="U10" i="5"/>
  <c r="O10" i="5"/>
  <c r="V10" i="5" s="1"/>
  <c r="N10" i="5"/>
  <c r="I10" i="5"/>
  <c r="I116" i="5" s="1"/>
  <c r="G10" i="5"/>
  <c r="M10" i="5" s="1"/>
  <c r="O9" i="5"/>
  <c r="N9" i="5"/>
  <c r="G9" i="5"/>
  <c r="M9" i="5" s="1"/>
  <c r="O8" i="5"/>
  <c r="V8" i="5" s="1"/>
  <c r="N8" i="5"/>
  <c r="G8" i="5"/>
  <c r="M8" i="5" s="1"/>
  <c r="O7" i="5"/>
  <c r="N7" i="5"/>
  <c r="V7" i="5" s="1"/>
  <c r="G7" i="5"/>
  <c r="M7" i="5" s="1"/>
  <c r="O6" i="5"/>
  <c r="N6" i="5"/>
  <c r="V6" i="5" s="1"/>
  <c r="G6" i="5"/>
  <c r="M6" i="5" s="1"/>
  <c r="O5" i="5"/>
  <c r="N5" i="5"/>
  <c r="V5" i="5" s="1"/>
  <c r="G5" i="5"/>
  <c r="M5" i="5" s="1"/>
  <c r="O4" i="5"/>
  <c r="N4" i="5"/>
  <c r="V4" i="5" s="1"/>
  <c r="G4" i="5"/>
  <c r="G116" i="5" s="1"/>
  <c r="C204" i="4"/>
  <c r="C184" i="4"/>
  <c r="C177" i="4"/>
  <c r="C179" i="4" s="1"/>
  <c r="O138" i="4"/>
  <c r="N138" i="4"/>
  <c r="U113" i="4"/>
  <c r="T113" i="4"/>
  <c r="S113" i="4"/>
  <c r="R113" i="4"/>
  <c r="Q113" i="4"/>
  <c r="L113" i="4"/>
  <c r="K113" i="4"/>
  <c r="J113" i="4"/>
  <c r="F113" i="4"/>
  <c r="P112" i="4"/>
  <c r="O112" i="4"/>
  <c r="W112" i="4" s="1"/>
  <c r="H112" i="4"/>
  <c r="N112" i="4" s="1"/>
  <c r="X112" i="4" s="1"/>
  <c r="W111" i="4"/>
  <c r="P111" i="4"/>
  <c r="O111" i="4"/>
  <c r="N111" i="4"/>
  <c r="X111" i="4" s="1"/>
  <c r="H111" i="4"/>
  <c r="P110" i="4"/>
  <c r="O110" i="4"/>
  <c r="W110" i="4" s="1"/>
  <c r="H110" i="4"/>
  <c r="N110" i="4" s="1"/>
  <c r="X110" i="4" s="1"/>
  <c r="W109" i="4"/>
  <c r="P109" i="4"/>
  <c r="O109" i="4"/>
  <c r="H109" i="4"/>
  <c r="N109" i="4" s="1"/>
  <c r="X109" i="4" s="1"/>
  <c r="P108" i="4"/>
  <c r="O108" i="4"/>
  <c r="W108" i="4" s="1"/>
  <c r="H108" i="4"/>
  <c r="N108" i="4" s="1"/>
  <c r="W107" i="4"/>
  <c r="P107" i="4"/>
  <c r="O107" i="4"/>
  <c r="H107" i="4"/>
  <c r="N107" i="4" s="1"/>
  <c r="X107" i="4" s="1"/>
  <c r="P106" i="4"/>
  <c r="O106" i="4"/>
  <c r="H106" i="4"/>
  <c r="N106" i="4" s="1"/>
  <c r="W105" i="4"/>
  <c r="X105" i="4" s="1"/>
  <c r="H105" i="4"/>
  <c r="N105" i="4" s="1"/>
  <c r="W104" i="4"/>
  <c r="P104" i="4"/>
  <c r="O104" i="4"/>
  <c r="H104" i="4"/>
  <c r="N104" i="4" s="1"/>
  <c r="X104" i="4" s="1"/>
  <c r="P103" i="4"/>
  <c r="O103" i="4"/>
  <c r="H103" i="4"/>
  <c r="P102" i="4"/>
  <c r="W102" i="4" s="1"/>
  <c r="O102" i="4"/>
  <c r="H102" i="4"/>
  <c r="M102" i="4" s="1"/>
  <c r="P101" i="4"/>
  <c r="O101" i="4"/>
  <c r="H101" i="4"/>
  <c r="N101" i="4" s="1"/>
  <c r="W100" i="4"/>
  <c r="P100" i="4"/>
  <c r="O100" i="4"/>
  <c r="M100" i="4"/>
  <c r="N100" i="4" s="1"/>
  <c r="X100" i="4" s="1"/>
  <c r="H100" i="4"/>
  <c r="P99" i="4"/>
  <c r="W99" i="4" s="1"/>
  <c r="O99" i="4"/>
  <c r="M99" i="4"/>
  <c r="H99" i="4"/>
  <c r="P98" i="4"/>
  <c r="W98" i="4" s="1"/>
  <c r="N98" i="4"/>
  <c r="X98" i="4" s="1"/>
  <c r="H98" i="4"/>
  <c r="M98" i="4" s="1"/>
  <c r="W97" i="4"/>
  <c r="P97" i="4"/>
  <c r="O97" i="4"/>
  <c r="I97" i="4"/>
  <c r="I113" i="4" s="1"/>
  <c r="H97" i="4"/>
  <c r="W96" i="4"/>
  <c r="P96" i="4"/>
  <c r="O96" i="4"/>
  <c r="M96" i="4"/>
  <c r="H96" i="4"/>
  <c r="P95" i="4"/>
  <c r="O95" i="4"/>
  <c r="W95" i="4" s="1"/>
  <c r="H95" i="4"/>
  <c r="N95" i="4" s="1"/>
  <c r="X95" i="4" s="1"/>
  <c r="W94" i="4"/>
  <c r="H94" i="4"/>
  <c r="N94" i="4" s="1"/>
  <c r="X94" i="4" s="1"/>
  <c r="W93" i="4"/>
  <c r="P93" i="4"/>
  <c r="O93" i="4"/>
  <c r="N93" i="4"/>
  <c r="X93" i="4" s="1"/>
  <c r="H93" i="4"/>
  <c r="P92" i="4"/>
  <c r="O92" i="4"/>
  <c r="W92" i="4" s="1"/>
  <c r="H92" i="4"/>
  <c r="N92" i="4" s="1"/>
  <c r="X92" i="4" s="1"/>
  <c r="W91" i="4"/>
  <c r="P91" i="4"/>
  <c r="O91" i="4"/>
  <c r="N91" i="4"/>
  <c r="X91" i="4" s="1"/>
  <c r="H91" i="4"/>
  <c r="P90" i="4"/>
  <c r="O90" i="4"/>
  <c r="W90" i="4" s="1"/>
  <c r="H90" i="4"/>
  <c r="N90" i="4" s="1"/>
  <c r="W89" i="4"/>
  <c r="P89" i="4"/>
  <c r="O89" i="4"/>
  <c r="H89" i="4"/>
  <c r="N89" i="4" s="1"/>
  <c r="X89" i="4" s="1"/>
  <c r="P88" i="4"/>
  <c r="O88" i="4"/>
  <c r="H88" i="4"/>
  <c r="N88" i="4" s="1"/>
  <c r="W87" i="4"/>
  <c r="P87" i="4"/>
  <c r="O87" i="4"/>
  <c r="H87" i="4"/>
  <c r="N87" i="4" s="1"/>
  <c r="X87" i="4" s="1"/>
  <c r="P86" i="4"/>
  <c r="O86" i="4"/>
  <c r="H86" i="4"/>
  <c r="N86" i="4" s="1"/>
  <c r="W85" i="4"/>
  <c r="P85" i="4"/>
  <c r="O85" i="4"/>
  <c r="N85" i="4"/>
  <c r="X85" i="4" s="1"/>
  <c r="M85" i="4"/>
  <c r="H85" i="4"/>
  <c r="P84" i="4"/>
  <c r="W84" i="4" s="1"/>
  <c r="O84" i="4"/>
  <c r="H84" i="4"/>
  <c r="N84" i="4" s="1"/>
  <c r="X83" i="4"/>
  <c r="W83" i="4"/>
  <c r="H83" i="4"/>
  <c r="N83" i="4" s="1"/>
  <c r="P82" i="4"/>
  <c r="O82" i="4"/>
  <c r="W82" i="4" s="1"/>
  <c r="N82" i="4"/>
  <c r="X82" i="4" s="1"/>
  <c r="H82" i="4"/>
  <c r="P81" i="4"/>
  <c r="W81" i="4" s="1"/>
  <c r="O81" i="4"/>
  <c r="H81" i="4"/>
  <c r="N81" i="4" s="1"/>
  <c r="X80" i="4"/>
  <c r="P80" i="4"/>
  <c r="O80" i="4"/>
  <c r="W80" i="4" s="1"/>
  <c r="N80" i="4"/>
  <c r="H80" i="4"/>
  <c r="W79" i="4"/>
  <c r="P79" i="4"/>
  <c r="O79" i="4"/>
  <c r="H79" i="4"/>
  <c r="N79" i="4" s="1"/>
  <c r="X78" i="4"/>
  <c r="P78" i="4"/>
  <c r="O78" i="4"/>
  <c r="W78" i="4" s="1"/>
  <c r="N78" i="4"/>
  <c r="H78" i="4"/>
  <c r="P77" i="4"/>
  <c r="W77" i="4" s="1"/>
  <c r="O77" i="4"/>
  <c r="H77" i="4"/>
  <c r="N77" i="4" s="1"/>
  <c r="P76" i="4"/>
  <c r="O76" i="4"/>
  <c r="W76" i="4" s="1"/>
  <c r="N76" i="4"/>
  <c r="X76" i="4" s="1"/>
  <c r="H76" i="4"/>
  <c r="P75" i="4"/>
  <c r="W75" i="4" s="1"/>
  <c r="O75" i="4"/>
  <c r="H75" i="4"/>
  <c r="N75" i="4" s="1"/>
  <c r="P74" i="4"/>
  <c r="O74" i="4"/>
  <c r="W74" i="4" s="1"/>
  <c r="N74" i="4"/>
  <c r="X74" i="4" s="1"/>
  <c r="H74" i="4"/>
  <c r="P73" i="4"/>
  <c r="W73" i="4" s="1"/>
  <c r="O73" i="4"/>
  <c r="H73" i="4"/>
  <c r="N73" i="4" s="1"/>
  <c r="X72" i="4"/>
  <c r="P72" i="4"/>
  <c r="O72" i="4"/>
  <c r="W72" i="4" s="1"/>
  <c r="N72" i="4"/>
  <c r="H72" i="4"/>
  <c r="W71" i="4"/>
  <c r="P71" i="4"/>
  <c r="O71" i="4"/>
  <c r="H71" i="4"/>
  <c r="N71" i="4" s="1"/>
  <c r="X70" i="4"/>
  <c r="W70" i="4"/>
  <c r="H70" i="4"/>
  <c r="N70" i="4" s="1"/>
  <c r="X69" i="4"/>
  <c r="P69" i="4"/>
  <c r="O69" i="4"/>
  <c r="W69" i="4" s="1"/>
  <c r="N69" i="4"/>
  <c r="H69" i="4"/>
  <c r="W68" i="4"/>
  <c r="P68" i="4"/>
  <c r="O68" i="4"/>
  <c r="H68" i="4"/>
  <c r="N68" i="4" s="1"/>
  <c r="X67" i="4"/>
  <c r="W67" i="4"/>
  <c r="H67" i="4"/>
  <c r="N67" i="4" s="1"/>
  <c r="X66" i="4"/>
  <c r="P66" i="4"/>
  <c r="O66" i="4"/>
  <c r="W66" i="4" s="1"/>
  <c r="N66" i="4"/>
  <c r="H66" i="4"/>
  <c r="W65" i="4"/>
  <c r="P65" i="4"/>
  <c r="O65" i="4"/>
  <c r="H65" i="4"/>
  <c r="N65" i="4" s="1"/>
  <c r="X64" i="4"/>
  <c r="P64" i="4"/>
  <c r="O64" i="4"/>
  <c r="W64" i="4" s="1"/>
  <c r="N64" i="4"/>
  <c r="M64" i="4"/>
  <c r="H64" i="4"/>
  <c r="W63" i="4"/>
  <c r="P63" i="4"/>
  <c r="O63" i="4"/>
  <c r="H63" i="4"/>
  <c r="N63" i="4" s="1"/>
  <c r="X63" i="4" s="1"/>
  <c r="P62" i="4"/>
  <c r="O62" i="4"/>
  <c r="N62" i="4"/>
  <c r="H62" i="4"/>
  <c r="H61" i="4"/>
  <c r="N61" i="4" s="1"/>
  <c r="P60" i="4"/>
  <c r="O60" i="4"/>
  <c r="N60" i="4"/>
  <c r="H60" i="4"/>
  <c r="W59" i="4"/>
  <c r="P59" i="4"/>
  <c r="O59" i="4"/>
  <c r="N59" i="4"/>
  <c r="X59" i="4" s="1"/>
  <c r="H59" i="4"/>
  <c r="P58" i="4"/>
  <c r="O58" i="4"/>
  <c r="W58" i="4" s="1"/>
  <c r="N58" i="4"/>
  <c r="X58" i="4" s="1"/>
  <c r="H58" i="4"/>
  <c r="N57" i="4"/>
  <c r="H57" i="4"/>
  <c r="P56" i="4"/>
  <c r="O56" i="4"/>
  <c r="W56" i="4" s="1"/>
  <c r="N56" i="4"/>
  <c r="X56" i="4" s="1"/>
  <c r="H56" i="4"/>
  <c r="W55" i="4"/>
  <c r="P55" i="4"/>
  <c r="O55" i="4"/>
  <c r="H55" i="4"/>
  <c r="N55" i="4" s="1"/>
  <c r="X55" i="4" s="1"/>
  <c r="P54" i="4"/>
  <c r="O54" i="4"/>
  <c r="N54" i="4"/>
  <c r="H54" i="4"/>
  <c r="H53" i="4"/>
  <c r="P52" i="4"/>
  <c r="O52" i="4"/>
  <c r="N52" i="4"/>
  <c r="H52" i="4"/>
  <c r="W51" i="4"/>
  <c r="P51" i="4"/>
  <c r="O51" i="4"/>
  <c r="N51" i="4"/>
  <c r="X51" i="4" s="1"/>
  <c r="H51" i="4"/>
  <c r="P50" i="4"/>
  <c r="O50" i="4"/>
  <c r="W50" i="4" s="1"/>
  <c r="N50" i="4"/>
  <c r="X50" i="4" s="1"/>
  <c r="H50" i="4"/>
  <c r="W49" i="4"/>
  <c r="P49" i="4"/>
  <c r="O49" i="4"/>
  <c r="H49" i="4"/>
  <c r="N49" i="4" s="1"/>
  <c r="X49" i="4" s="1"/>
  <c r="P48" i="4"/>
  <c r="O48" i="4"/>
  <c r="N48" i="4"/>
  <c r="H48" i="4"/>
  <c r="W47" i="4"/>
  <c r="P47" i="4"/>
  <c r="O47" i="4"/>
  <c r="N47" i="4"/>
  <c r="X47" i="4" s="1"/>
  <c r="H47" i="4"/>
  <c r="P46" i="4"/>
  <c r="O46" i="4"/>
  <c r="W46" i="4" s="1"/>
  <c r="N46" i="4"/>
  <c r="X46" i="4" s="1"/>
  <c r="H46" i="4"/>
  <c r="W45" i="4"/>
  <c r="P45" i="4"/>
  <c r="O45" i="4"/>
  <c r="H45" i="4"/>
  <c r="N45" i="4" s="1"/>
  <c r="X45" i="4" s="1"/>
  <c r="P44" i="4"/>
  <c r="O44" i="4"/>
  <c r="N44" i="4"/>
  <c r="H44" i="4"/>
  <c r="W43" i="4"/>
  <c r="P43" i="4"/>
  <c r="O43" i="4"/>
  <c r="N43" i="4"/>
  <c r="X43" i="4" s="1"/>
  <c r="H43" i="4"/>
  <c r="P42" i="4"/>
  <c r="O42" i="4"/>
  <c r="W42" i="4" s="1"/>
  <c r="N42" i="4"/>
  <c r="X42" i="4" s="1"/>
  <c r="H42" i="4"/>
  <c r="W41" i="4"/>
  <c r="P41" i="4"/>
  <c r="O41" i="4"/>
  <c r="H41" i="4"/>
  <c r="N41" i="4" s="1"/>
  <c r="X41" i="4" s="1"/>
  <c r="P40" i="4"/>
  <c r="O40" i="4"/>
  <c r="N40" i="4"/>
  <c r="H40" i="4"/>
  <c r="V39" i="4"/>
  <c r="T39" i="4"/>
  <c r="P39" i="4"/>
  <c r="O39" i="4"/>
  <c r="W39" i="4" s="1"/>
  <c r="X39" i="4" s="1"/>
  <c r="N39" i="4"/>
  <c r="H39" i="4"/>
  <c r="W38" i="4"/>
  <c r="P38" i="4"/>
  <c r="O38" i="4"/>
  <c r="N38" i="4"/>
  <c r="X38" i="4" s="1"/>
  <c r="H38" i="4"/>
  <c r="P37" i="4"/>
  <c r="O37" i="4"/>
  <c r="W37" i="4" s="1"/>
  <c r="H37" i="4"/>
  <c r="P36" i="4"/>
  <c r="O36" i="4"/>
  <c r="W36" i="4" s="1"/>
  <c r="N36" i="4"/>
  <c r="X36" i="4" s="1"/>
  <c r="H36" i="4"/>
  <c r="P35" i="4"/>
  <c r="W35" i="4" s="1"/>
  <c r="O35" i="4"/>
  <c r="M35" i="4"/>
  <c r="H35" i="4"/>
  <c r="P34" i="4"/>
  <c r="O34" i="4"/>
  <c r="W34" i="4" s="1"/>
  <c r="N34" i="4"/>
  <c r="H34" i="4"/>
  <c r="W33" i="4"/>
  <c r="P33" i="4"/>
  <c r="O33" i="4"/>
  <c r="H33" i="4"/>
  <c r="N33" i="4" s="1"/>
  <c r="X33" i="4" s="1"/>
  <c r="P32" i="4"/>
  <c r="O32" i="4"/>
  <c r="N32" i="4"/>
  <c r="H32" i="4"/>
  <c r="V31" i="4"/>
  <c r="P31" i="4"/>
  <c r="O31" i="4"/>
  <c r="W31" i="4" s="1"/>
  <c r="X31" i="4" s="1"/>
  <c r="N31" i="4"/>
  <c r="H31" i="4"/>
  <c r="P30" i="4"/>
  <c r="H30" i="4"/>
  <c r="X29" i="4"/>
  <c r="P29" i="4"/>
  <c r="O29" i="4"/>
  <c r="W29" i="4" s="1"/>
  <c r="N29" i="4"/>
  <c r="H29" i="4"/>
  <c r="H28" i="4"/>
  <c r="X27" i="4"/>
  <c r="P27" i="4"/>
  <c r="O27" i="4"/>
  <c r="W27" i="4" s="1"/>
  <c r="N27" i="4"/>
  <c r="H27" i="4"/>
  <c r="W26" i="4"/>
  <c r="P26" i="4"/>
  <c r="O26" i="4"/>
  <c r="H26" i="4"/>
  <c r="N26" i="4" s="1"/>
  <c r="X25" i="4"/>
  <c r="P25" i="4"/>
  <c r="O25" i="4"/>
  <c r="W25" i="4" s="1"/>
  <c r="N25" i="4"/>
  <c r="H25" i="4"/>
  <c r="P24" i="4"/>
  <c r="W24" i="4" s="1"/>
  <c r="O24" i="4"/>
  <c r="H24" i="4"/>
  <c r="N24" i="4" s="1"/>
  <c r="P23" i="4"/>
  <c r="O23" i="4"/>
  <c r="W23" i="4" s="1"/>
  <c r="N23" i="4"/>
  <c r="X23" i="4" s="1"/>
  <c r="H23" i="4"/>
  <c r="H22" i="4"/>
  <c r="P22" i="4" s="1"/>
  <c r="O21" i="4"/>
  <c r="N21" i="4"/>
  <c r="H21" i="4"/>
  <c r="P21" i="4" s="1"/>
  <c r="P20" i="4"/>
  <c r="W20" i="4" s="1"/>
  <c r="O20" i="4"/>
  <c r="H20" i="4"/>
  <c r="N20" i="4" s="1"/>
  <c r="P19" i="4"/>
  <c r="O19" i="4"/>
  <c r="W19" i="4" s="1"/>
  <c r="N19" i="4"/>
  <c r="X19" i="4" s="1"/>
  <c r="M19" i="4"/>
  <c r="H19" i="4"/>
  <c r="W18" i="4"/>
  <c r="P18" i="4"/>
  <c r="O18" i="4"/>
  <c r="H18" i="4"/>
  <c r="N18" i="4" s="1"/>
  <c r="X18" i="4" s="1"/>
  <c r="P17" i="4"/>
  <c r="O17" i="4"/>
  <c r="W17" i="4" s="1"/>
  <c r="N17" i="4"/>
  <c r="X17" i="4" s="1"/>
  <c r="H17" i="4"/>
  <c r="P16" i="4"/>
  <c r="W16" i="4" s="1"/>
  <c r="O16" i="4"/>
  <c r="H16" i="4"/>
  <c r="N16" i="4" s="1"/>
  <c r="X16" i="4" s="1"/>
  <c r="P15" i="4"/>
  <c r="O15" i="4"/>
  <c r="N15" i="4"/>
  <c r="H15" i="4"/>
  <c r="P14" i="4"/>
  <c r="W14" i="4" s="1"/>
  <c r="O14" i="4"/>
  <c r="N14" i="4"/>
  <c r="X14" i="4" s="1"/>
  <c r="H14" i="4"/>
  <c r="P13" i="4"/>
  <c r="O13" i="4"/>
  <c r="W13" i="4" s="1"/>
  <c r="X13" i="4" s="1"/>
  <c r="N13" i="4"/>
  <c r="H13" i="4"/>
  <c r="H12" i="4"/>
  <c r="O12" i="4" s="1"/>
  <c r="X11" i="4"/>
  <c r="P11" i="4"/>
  <c r="O11" i="4"/>
  <c r="W11" i="4" s="1"/>
  <c r="N11" i="4"/>
  <c r="H11" i="4"/>
  <c r="V10" i="4"/>
  <c r="V113" i="4" s="1"/>
  <c r="P10" i="4"/>
  <c r="O10" i="4"/>
  <c r="H10" i="4"/>
  <c r="N10" i="4" s="1"/>
  <c r="W9" i="4"/>
  <c r="P9" i="4"/>
  <c r="O9" i="4"/>
  <c r="H9" i="4"/>
  <c r="N9" i="4" s="1"/>
  <c r="P8" i="4"/>
  <c r="O8" i="4"/>
  <c r="W8" i="4" s="1"/>
  <c r="N8" i="4"/>
  <c r="H8" i="4"/>
  <c r="P7" i="4"/>
  <c r="O7" i="4"/>
  <c r="H7" i="4"/>
  <c r="N7" i="4" s="1"/>
  <c r="W6" i="4"/>
  <c r="P6" i="4"/>
  <c r="O6" i="4"/>
  <c r="H6" i="4"/>
  <c r="N6" i="4" s="1"/>
  <c r="X6" i="4" s="1"/>
  <c r="W5" i="4"/>
  <c r="P5" i="4"/>
  <c r="O5" i="4"/>
  <c r="M5" i="4"/>
  <c r="H5" i="4"/>
  <c r="P4" i="4"/>
  <c r="O4" i="4"/>
  <c r="H4" i="4"/>
  <c r="H113" i="4" s="1"/>
  <c r="C202" i="3"/>
  <c r="C182" i="3"/>
  <c r="C175" i="3"/>
  <c r="C177" i="3" s="1"/>
  <c r="N136" i="3"/>
  <c r="M136" i="3"/>
  <c r="Y111" i="3"/>
  <c r="X111" i="3"/>
  <c r="T111" i="3"/>
  <c r="R111" i="3"/>
  <c r="Q111" i="3"/>
  <c r="P111" i="3"/>
  <c r="K111" i="3"/>
  <c r="I111" i="3"/>
  <c r="E111" i="3"/>
  <c r="O110" i="3"/>
  <c r="N110" i="3"/>
  <c r="G110" i="3"/>
  <c r="M110" i="3" s="1"/>
  <c r="O109" i="3"/>
  <c r="N109" i="3"/>
  <c r="G109" i="3"/>
  <c r="M109" i="3" s="1"/>
  <c r="O108" i="3"/>
  <c r="N108" i="3"/>
  <c r="G108" i="3"/>
  <c r="M108" i="3" s="1"/>
  <c r="O107" i="3"/>
  <c r="N107" i="3"/>
  <c r="G107" i="3"/>
  <c r="M107" i="3" s="1"/>
  <c r="O106" i="3"/>
  <c r="N106" i="3"/>
  <c r="G106" i="3"/>
  <c r="M106" i="3" s="1"/>
  <c r="O105" i="3"/>
  <c r="V105" i="3" s="1"/>
  <c r="N105" i="3"/>
  <c r="H105" i="3"/>
  <c r="G105" i="3"/>
  <c r="M105" i="3" s="1"/>
  <c r="V104" i="3"/>
  <c r="O104" i="3"/>
  <c r="N104" i="3"/>
  <c r="G104" i="3"/>
  <c r="M104" i="3" s="1"/>
  <c r="V103" i="3"/>
  <c r="O103" i="3"/>
  <c r="N103" i="3"/>
  <c r="G103" i="3"/>
  <c r="M103" i="3" s="1"/>
  <c r="V102" i="3"/>
  <c r="W102" i="3" s="1"/>
  <c r="Z102" i="3" s="1"/>
  <c r="O102" i="3"/>
  <c r="N102" i="3"/>
  <c r="G102" i="3"/>
  <c r="O101" i="3"/>
  <c r="V101" i="3" s="1"/>
  <c r="N101" i="3"/>
  <c r="G101" i="3"/>
  <c r="O100" i="3"/>
  <c r="V100" i="3" s="1"/>
  <c r="N100" i="3"/>
  <c r="G100" i="3"/>
  <c r="M100" i="3" s="1"/>
  <c r="O99" i="3"/>
  <c r="V99" i="3" s="1"/>
  <c r="N99" i="3"/>
  <c r="G99" i="3"/>
  <c r="M99" i="3" s="1"/>
  <c r="O98" i="3"/>
  <c r="V98" i="3" s="1"/>
  <c r="N98" i="3"/>
  <c r="G98" i="3"/>
  <c r="L98" i="3" s="1"/>
  <c r="O97" i="3"/>
  <c r="V97" i="3" s="1"/>
  <c r="N97" i="3"/>
  <c r="G97" i="3"/>
  <c r="L97" i="3" s="1"/>
  <c r="V96" i="3"/>
  <c r="O96" i="3"/>
  <c r="G96" i="3"/>
  <c r="L96" i="3" s="1"/>
  <c r="M96" i="3" s="1"/>
  <c r="O95" i="3"/>
  <c r="N95" i="3"/>
  <c r="V95" i="3" s="1"/>
  <c r="H95" i="3"/>
  <c r="G95" i="3"/>
  <c r="M95" i="3" s="1"/>
  <c r="O94" i="3"/>
  <c r="N94" i="3"/>
  <c r="V94" i="3" s="1"/>
  <c r="G94" i="3"/>
  <c r="O93" i="3"/>
  <c r="N93" i="3"/>
  <c r="V93" i="3" s="1"/>
  <c r="G93" i="3"/>
  <c r="M93" i="3" s="1"/>
  <c r="V92" i="3"/>
  <c r="G92" i="3"/>
  <c r="M92" i="3" s="1"/>
  <c r="O91" i="3"/>
  <c r="N91" i="3"/>
  <c r="J91" i="3"/>
  <c r="G91" i="3"/>
  <c r="M91" i="3" s="1"/>
  <c r="O90" i="3"/>
  <c r="V90" i="3" s="1"/>
  <c r="N90" i="3"/>
  <c r="G90" i="3"/>
  <c r="M90" i="3" s="1"/>
  <c r="W90" i="3" s="1"/>
  <c r="Z90" i="3" s="1"/>
  <c r="O89" i="3"/>
  <c r="V89" i="3" s="1"/>
  <c r="N89" i="3"/>
  <c r="G89" i="3"/>
  <c r="M89" i="3" s="1"/>
  <c r="W89" i="3" s="1"/>
  <c r="Z89" i="3" s="1"/>
  <c r="O88" i="3"/>
  <c r="V88" i="3" s="1"/>
  <c r="N88" i="3"/>
  <c r="G88" i="3"/>
  <c r="M88" i="3" s="1"/>
  <c r="O87" i="3"/>
  <c r="V87" i="3" s="1"/>
  <c r="N87" i="3"/>
  <c r="G87" i="3"/>
  <c r="M87" i="3" s="1"/>
  <c r="O86" i="3"/>
  <c r="V86" i="3" s="1"/>
  <c r="N86" i="3"/>
  <c r="G86" i="3"/>
  <c r="M86" i="3" s="1"/>
  <c r="W86" i="3" s="1"/>
  <c r="Z86" i="3" s="1"/>
  <c r="O85" i="3"/>
  <c r="V85" i="3" s="1"/>
  <c r="N85" i="3"/>
  <c r="G85" i="3"/>
  <c r="O84" i="3"/>
  <c r="N84" i="3"/>
  <c r="V84" i="3" s="1"/>
  <c r="J84" i="3"/>
  <c r="G84" i="3" s="1"/>
  <c r="M84" i="3" s="1"/>
  <c r="O83" i="3"/>
  <c r="N83" i="3"/>
  <c r="V83" i="3" s="1"/>
  <c r="L83" i="3"/>
  <c r="M83" i="3" s="1"/>
  <c r="G83" i="3"/>
  <c r="O82" i="3"/>
  <c r="N82" i="3"/>
  <c r="V82" i="3" s="1"/>
  <c r="L82" i="3"/>
  <c r="G82" i="3"/>
  <c r="O81" i="3"/>
  <c r="N81" i="3"/>
  <c r="G81" i="3"/>
  <c r="M81" i="3" s="1"/>
  <c r="O80" i="3"/>
  <c r="N80" i="3"/>
  <c r="G80" i="3"/>
  <c r="L80" i="3" s="1"/>
  <c r="O79" i="3"/>
  <c r="V79" i="3" s="1"/>
  <c r="N79" i="3"/>
  <c r="G79" i="3"/>
  <c r="M79" i="3" s="1"/>
  <c r="V78" i="3"/>
  <c r="G78" i="3"/>
  <c r="M78" i="3" s="1"/>
  <c r="E78" i="3"/>
  <c r="O77" i="3"/>
  <c r="N77" i="3"/>
  <c r="M77" i="3"/>
  <c r="G77" i="3"/>
  <c r="O76" i="3"/>
  <c r="N76" i="3"/>
  <c r="M76" i="3"/>
  <c r="G76" i="3"/>
  <c r="O75" i="3"/>
  <c r="N75" i="3"/>
  <c r="H75" i="3"/>
  <c r="H111" i="3" s="1"/>
  <c r="G75" i="3"/>
  <c r="M75" i="3" s="1"/>
  <c r="V74" i="3"/>
  <c r="O74" i="3"/>
  <c r="N74" i="3"/>
  <c r="G74" i="3"/>
  <c r="M74" i="3" s="1"/>
  <c r="V73" i="3"/>
  <c r="O73" i="3"/>
  <c r="N73" i="3"/>
  <c r="G73" i="3"/>
  <c r="M73" i="3" s="1"/>
  <c r="O72" i="3"/>
  <c r="N72" i="3"/>
  <c r="G72" i="3"/>
  <c r="M72" i="3" s="1"/>
  <c r="O71" i="3"/>
  <c r="N71" i="3"/>
  <c r="V71" i="3" s="1"/>
  <c r="G71" i="3"/>
  <c r="M71" i="3" s="1"/>
  <c r="O70" i="3"/>
  <c r="N70" i="3"/>
  <c r="V70" i="3" s="1"/>
  <c r="G70" i="3"/>
  <c r="M70" i="3" s="1"/>
  <c r="O69" i="3"/>
  <c r="N69" i="3"/>
  <c r="V69" i="3" s="1"/>
  <c r="G69" i="3"/>
  <c r="M69" i="3" s="1"/>
  <c r="O68" i="3"/>
  <c r="N68" i="3"/>
  <c r="V68" i="3" s="1"/>
  <c r="G68" i="3"/>
  <c r="M68" i="3" s="1"/>
  <c r="O67" i="3"/>
  <c r="N67" i="3"/>
  <c r="V67" i="3" s="1"/>
  <c r="G67" i="3"/>
  <c r="M67" i="3" s="1"/>
  <c r="V66" i="3"/>
  <c r="O66" i="3"/>
  <c r="N66" i="3"/>
  <c r="G66" i="3"/>
  <c r="M66" i="3" s="1"/>
  <c r="V65" i="3"/>
  <c r="O65" i="3"/>
  <c r="N65" i="3"/>
  <c r="G65" i="3"/>
  <c r="M65" i="3" s="1"/>
  <c r="V64" i="3"/>
  <c r="G64" i="3"/>
  <c r="M64" i="3" s="1"/>
  <c r="O63" i="3"/>
  <c r="N63" i="3"/>
  <c r="V63" i="3" s="1"/>
  <c r="G63" i="3"/>
  <c r="M63" i="3" s="1"/>
  <c r="O62" i="3"/>
  <c r="N62" i="3"/>
  <c r="V62" i="3" s="1"/>
  <c r="G62" i="3"/>
  <c r="M62" i="3" s="1"/>
  <c r="V61" i="3"/>
  <c r="G61" i="3"/>
  <c r="M61" i="3" s="1"/>
  <c r="W61" i="3" s="1"/>
  <c r="Z61" i="3" s="1"/>
  <c r="O60" i="3"/>
  <c r="N60" i="3"/>
  <c r="V60" i="3" s="1"/>
  <c r="G60" i="3"/>
  <c r="M60" i="3" s="1"/>
  <c r="O59" i="3"/>
  <c r="N59" i="3"/>
  <c r="V59" i="3" s="1"/>
  <c r="G59" i="3"/>
  <c r="M59" i="3" s="1"/>
  <c r="U58" i="3"/>
  <c r="O58" i="3"/>
  <c r="N58" i="3"/>
  <c r="V58" i="3" s="1"/>
  <c r="G58" i="3"/>
  <c r="L58" i="3" s="1"/>
  <c r="B58" i="3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V57" i="3"/>
  <c r="O57" i="3"/>
  <c r="N57" i="3"/>
  <c r="G57" i="3"/>
  <c r="M57" i="3" s="1"/>
  <c r="O56" i="3"/>
  <c r="N56" i="3"/>
  <c r="G56" i="3"/>
  <c r="M56" i="3" s="1"/>
  <c r="M55" i="3"/>
  <c r="G55" i="3"/>
  <c r="O55" i="3" s="1"/>
  <c r="O54" i="3"/>
  <c r="N54" i="3"/>
  <c r="M54" i="3"/>
  <c r="G54" i="3"/>
  <c r="O53" i="3"/>
  <c r="N53" i="3"/>
  <c r="V53" i="3" s="1"/>
  <c r="G53" i="3"/>
  <c r="M53" i="3" s="1"/>
  <c r="W53" i="3" s="1"/>
  <c r="Z53" i="3" s="1"/>
  <c r="AC52" i="3"/>
  <c r="V52" i="3"/>
  <c r="O52" i="3"/>
  <c r="N52" i="3"/>
  <c r="G52" i="3"/>
  <c r="M52" i="3" s="1"/>
  <c r="W52" i="3" s="1"/>
  <c r="Z52" i="3" s="1"/>
  <c r="G51" i="3"/>
  <c r="O51" i="3" s="1"/>
  <c r="O50" i="3"/>
  <c r="N50" i="3"/>
  <c r="V50" i="3" s="1"/>
  <c r="M50" i="3"/>
  <c r="G50" i="3"/>
  <c r="O49" i="3"/>
  <c r="N49" i="3"/>
  <c r="V49" i="3" s="1"/>
  <c r="M49" i="3"/>
  <c r="G49" i="3"/>
  <c r="O48" i="3"/>
  <c r="N48" i="3"/>
  <c r="V48" i="3" s="1"/>
  <c r="G48" i="3"/>
  <c r="M48" i="3" s="1"/>
  <c r="W48" i="3" s="1"/>
  <c r="Z48" i="3" s="1"/>
  <c r="AC47" i="3"/>
  <c r="V47" i="3"/>
  <c r="O47" i="3"/>
  <c r="N47" i="3"/>
  <c r="G47" i="3"/>
  <c r="M47" i="3" s="1"/>
  <c r="W47" i="3" s="1"/>
  <c r="Z47" i="3" s="1"/>
  <c r="O46" i="3"/>
  <c r="N46" i="3"/>
  <c r="V46" i="3" s="1"/>
  <c r="G46" i="3"/>
  <c r="M46" i="3" s="1"/>
  <c r="O45" i="3"/>
  <c r="N45" i="3"/>
  <c r="V45" i="3" s="1"/>
  <c r="G45" i="3"/>
  <c r="M45" i="3" s="1"/>
  <c r="W45" i="3" s="1"/>
  <c r="Z45" i="3" s="1"/>
  <c r="O44" i="3"/>
  <c r="N44" i="3"/>
  <c r="V44" i="3" s="1"/>
  <c r="G44" i="3"/>
  <c r="M44" i="3" s="1"/>
  <c r="W44" i="3" s="1"/>
  <c r="Z44" i="3" s="1"/>
  <c r="O43" i="3"/>
  <c r="N43" i="3"/>
  <c r="V43" i="3" s="1"/>
  <c r="M43" i="3"/>
  <c r="G43" i="3"/>
  <c r="O42" i="3"/>
  <c r="N42" i="3"/>
  <c r="V42" i="3" s="1"/>
  <c r="G42" i="3"/>
  <c r="M42" i="3" s="1"/>
  <c r="O41" i="3"/>
  <c r="N41" i="3"/>
  <c r="V41" i="3" s="1"/>
  <c r="M41" i="3"/>
  <c r="G41" i="3"/>
  <c r="O40" i="3"/>
  <c r="N40" i="3"/>
  <c r="V40" i="3" s="1"/>
  <c r="M40" i="3"/>
  <c r="G40" i="3"/>
  <c r="G39" i="3"/>
  <c r="O39" i="3" s="1"/>
  <c r="V38" i="3"/>
  <c r="O38" i="3"/>
  <c r="N38" i="3"/>
  <c r="G38" i="3"/>
  <c r="M38" i="3" s="1"/>
  <c r="O37" i="3"/>
  <c r="N37" i="3"/>
  <c r="G37" i="3"/>
  <c r="M37" i="3" s="1"/>
  <c r="O36" i="3"/>
  <c r="N36" i="3"/>
  <c r="G36" i="3"/>
  <c r="M36" i="3" s="1"/>
  <c r="V35" i="3"/>
  <c r="O35" i="3"/>
  <c r="N35" i="3"/>
  <c r="G35" i="3"/>
  <c r="M35" i="3" s="1"/>
  <c r="W35" i="3" s="1"/>
  <c r="Z35" i="3" s="1"/>
  <c r="U34" i="3"/>
  <c r="S34" i="3"/>
  <c r="S111" i="3" s="1"/>
  <c r="O34" i="3"/>
  <c r="N34" i="3"/>
  <c r="V34" i="3" s="1"/>
  <c r="G34" i="3"/>
  <c r="M34" i="3" s="1"/>
  <c r="W34" i="3" s="1"/>
  <c r="Z34" i="3" s="1"/>
  <c r="O33" i="3"/>
  <c r="V33" i="3" s="1"/>
  <c r="N33" i="3"/>
  <c r="G33" i="3"/>
  <c r="M33" i="3" s="1"/>
  <c r="W33" i="3" s="1"/>
  <c r="Z33" i="3" s="1"/>
  <c r="V32" i="3"/>
  <c r="O32" i="3"/>
  <c r="N32" i="3"/>
  <c r="G32" i="3"/>
  <c r="M32" i="3" s="1"/>
  <c r="O31" i="3"/>
  <c r="N31" i="3"/>
  <c r="G31" i="3"/>
  <c r="M31" i="3" s="1"/>
  <c r="O30" i="3"/>
  <c r="N30" i="3"/>
  <c r="G30" i="3"/>
  <c r="M30" i="3" s="1"/>
  <c r="V29" i="3"/>
  <c r="O29" i="3"/>
  <c r="N29" i="3"/>
  <c r="G29" i="3"/>
  <c r="M29" i="3" s="1"/>
  <c r="W29" i="3" s="1"/>
  <c r="Z29" i="3" s="1"/>
  <c r="O28" i="3"/>
  <c r="N28" i="3"/>
  <c r="V28" i="3" s="1"/>
  <c r="G28" i="3"/>
  <c r="M28" i="3" s="1"/>
  <c r="U27" i="3"/>
  <c r="O27" i="3"/>
  <c r="N27" i="3"/>
  <c r="V27" i="3" s="1"/>
  <c r="G27" i="3"/>
  <c r="M27" i="3" s="1"/>
  <c r="G26" i="3"/>
  <c r="O26" i="3" s="1"/>
  <c r="O25" i="3"/>
  <c r="N25" i="3"/>
  <c r="V25" i="3" s="1"/>
  <c r="G25" i="3"/>
  <c r="M25" i="3" s="1"/>
  <c r="W25" i="3" s="1"/>
  <c r="Z25" i="3" s="1"/>
  <c r="G24" i="3"/>
  <c r="O24" i="3" s="1"/>
  <c r="O23" i="3"/>
  <c r="V23" i="3" s="1"/>
  <c r="N23" i="3"/>
  <c r="G23" i="3"/>
  <c r="M23" i="3" s="1"/>
  <c r="O22" i="3"/>
  <c r="N22" i="3"/>
  <c r="V22" i="3" s="1"/>
  <c r="G22" i="3"/>
  <c r="M22" i="3" s="1"/>
  <c r="W22" i="3" s="1"/>
  <c r="Z22" i="3" s="1"/>
  <c r="O21" i="3"/>
  <c r="N21" i="3"/>
  <c r="V21" i="3" s="1"/>
  <c r="G21" i="3"/>
  <c r="M21" i="3" s="1"/>
  <c r="W21" i="3" s="1"/>
  <c r="Z21" i="3" s="1"/>
  <c r="O20" i="3"/>
  <c r="V20" i="3" s="1"/>
  <c r="N20" i="3"/>
  <c r="G20" i="3"/>
  <c r="M20" i="3" s="1"/>
  <c r="V19" i="3"/>
  <c r="O19" i="3"/>
  <c r="N19" i="3"/>
  <c r="G19" i="3"/>
  <c r="M19" i="3" s="1"/>
  <c r="O18" i="3"/>
  <c r="G18" i="3"/>
  <c r="N18" i="3" s="1"/>
  <c r="V18" i="3" s="1"/>
  <c r="O17" i="3"/>
  <c r="N17" i="3"/>
  <c r="G17" i="3"/>
  <c r="M17" i="3" s="1"/>
  <c r="V16" i="3"/>
  <c r="O16" i="3"/>
  <c r="N16" i="3"/>
  <c r="L16" i="3"/>
  <c r="M16" i="3" s="1"/>
  <c r="W16" i="3" s="1"/>
  <c r="Z16" i="3" s="1"/>
  <c r="G16" i="3"/>
  <c r="O15" i="3"/>
  <c r="N15" i="3"/>
  <c r="V15" i="3" s="1"/>
  <c r="G15" i="3"/>
  <c r="M15" i="3" s="1"/>
  <c r="W15" i="3" s="1"/>
  <c r="Z15" i="3" s="1"/>
  <c r="O14" i="3"/>
  <c r="V14" i="3" s="1"/>
  <c r="N14" i="3"/>
  <c r="G14" i="3"/>
  <c r="M14" i="3" s="1"/>
  <c r="O13" i="3"/>
  <c r="N13" i="3"/>
  <c r="V13" i="3" s="1"/>
  <c r="G13" i="3"/>
  <c r="M13" i="3" s="1"/>
  <c r="W13" i="3" s="1"/>
  <c r="Z13" i="3" s="1"/>
  <c r="O12" i="3"/>
  <c r="N12" i="3"/>
  <c r="V12" i="3" s="1"/>
  <c r="G12" i="3"/>
  <c r="M12" i="3" s="1"/>
  <c r="W12" i="3" s="1"/>
  <c r="Z12" i="3" s="1"/>
  <c r="O11" i="3"/>
  <c r="V11" i="3" s="1"/>
  <c r="N11" i="3"/>
  <c r="G11" i="3"/>
  <c r="M11" i="3" s="1"/>
  <c r="W11" i="3" s="1"/>
  <c r="Z11" i="3" s="1"/>
  <c r="V10" i="3"/>
  <c r="U10" i="3"/>
  <c r="O10" i="3"/>
  <c r="N10" i="3"/>
  <c r="M10" i="3"/>
  <c r="W10" i="3" s="1"/>
  <c r="Z10" i="3" s="1"/>
  <c r="G10" i="3"/>
  <c r="O9" i="3"/>
  <c r="N9" i="3"/>
  <c r="V9" i="3" s="1"/>
  <c r="G9" i="3"/>
  <c r="M9" i="3" s="1"/>
  <c r="O8" i="3"/>
  <c r="N8" i="3"/>
  <c r="V8" i="3" s="1"/>
  <c r="M8" i="3"/>
  <c r="G8" i="3"/>
  <c r="O7" i="3"/>
  <c r="N7" i="3"/>
  <c r="V7" i="3" s="1"/>
  <c r="M7" i="3"/>
  <c r="G7" i="3"/>
  <c r="O6" i="3"/>
  <c r="N6" i="3"/>
  <c r="V6" i="3" s="1"/>
  <c r="G6" i="3"/>
  <c r="M6" i="3" s="1"/>
  <c r="W6" i="3" s="1"/>
  <c r="Z6" i="3" s="1"/>
  <c r="O5" i="3"/>
  <c r="V5" i="3" s="1"/>
  <c r="N5" i="3"/>
  <c r="G5" i="3"/>
  <c r="M5" i="3" s="1"/>
  <c r="O4" i="3"/>
  <c r="N4" i="3"/>
  <c r="V4" i="3" s="1"/>
  <c r="G4" i="3"/>
  <c r="M4" i="3" s="1"/>
  <c r="C199" i="2"/>
  <c r="C179" i="2"/>
  <c r="C172" i="2"/>
  <c r="C174" i="2" s="1"/>
  <c r="N133" i="2"/>
  <c r="M133" i="2"/>
  <c r="Y108" i="2"/>
  <c r="X108" i="2"/>
  <c r="T108" i="2"/>
  <c r="R108" i="2"/>
  <c r="Q108" i="2"/>
  <c r="P108" i="2"/>
  <c r="K108" i="2"/>
  <c r="O107" i="2"/>
  <c r="N107" i="2"/>
  <c r="V106" i="2"/>
  <c r="O105" i="2"/>
  <c r="N105" i="2"/>
  <c r="V105" i="2" s="1"/>
  <c r="O104" i="2"/>
  <c r="N104" i="2"/>
  <c r="V104" i="2" s="1"/>
  <c r="O103" i="2"/>
  <c r="N103" i="2"/>
  <c r="M103" i="2"/>
  <c r="O102" i="2"/>
  <c r="N102" i="2"/>
  <c r="M101" i="2"/>
  <c r="O101" i="2"/>
  <c r="O100" i="2"/>
  <c r="N100" i="2"/>
  <c r="V100" i="2" s="1"/>
  <c r="O99" i="2"/>
  <c r="N99" i="2"/>
  <c r="O98" i="2"/>
  <c r="N98" i="2"/>
  <c r="O97" i="2"/>
  <c r="N97" i="2"/>
  <c r="O96" i="2"/>
  <c r="N96" i="2"/>
  <c r="O95" i="2"/>
  <c r="N95" i="2"/>
  <c r="O94" i="2"/>
  <c r="N94" i="2"/>
  <c r="M94" i="2"/>
  <c r="O93" i="2"/>
  <c r="N93" i="2"/>
  <c r="V93" i="2" s="1"/>
  <c r="O92" i="2"/>
  <c r="N92" i="2"/>
  <c r="O91" i="2"/>
  <c r="V91" i="2" s="1"/>
  <c r="O90" i="2"/>
  <c r="N90" i="2"/>
  <c r="O89" i="2"/>
  <c r="N89" i="2"/>
  <c r="O88" i="2"/>
  <c r="N88" i="2"/>
  <c r="O87" i="2"/>
  <c r="N87" i="2"/>
  <c r="O86" i="2"/>
  <c r="N86" i="2"/>
  <c r="M86" i="2"/>
  <c r="O85" i="2"/>
  <c r="N85" i="2"/>
  <c r="O84" i="2"/>
  <c r="N84" i="2"/>
  <c r="O83" i="2"/>
  <c r="N83" i="2"/>
  <c r="M83" i="2"/>
  <c r="O82" i="2"/>
  <c r="N82" i="2"/>
  <c r="O81" i="2"/>
  <c r="N81" i="2"/>
  <c r="M81" i="2"/>
  <c r="O80" i="2"/>
  <c r="N80" i="2"/>
  <c r="O79" i="2"/>
  <c r="N79" i="2"/>
  <c r="O78" i="2"/>
  <c r="N78" i="2"/>
  <c r="O77" i="2"/>
  <c r="N77" i="2"/>
  <c r="V77" i="2" s="1"/>
  <c r="O76" i="2"/>
  <c r="N76" i="2"/>
  <c r="M76" i="2"/>
  <c r="O75" i="2"/>
  <c r="N75" i="2"/>
  <c r="O74" i="2"/>
  <c r="N74" i="2"/>
  <c r="V73" i="2"/>
  <c r="M73" i="2"/>
  <c r="O72" i="2"/>
  <c r="N72" i="2"/>
  <c r="V72" i="2" s="1"/>
  <c r="M72" i="2"/>
  <c r="O71" i="2"/>
  <c r="N71" i="2"/>
  <c r="O70" i="2"/>
  <c r="N70" i="2"/>
  <c r="O69" i="2"/>
  <c r="N69" i="2"/>
  <c r="M69" i="2"/>
  <c r="O68" i="2"/>
  <c r="N68" i="2"/>
  <c r="O67" i="2"/>
  <c r="N67" i="2"/>
  <c r="O66" i="2"/>
  <c r="N66" i="2"/>
  <c r="O65" i="2"/>
  <c r="N65" i="2"/>
  <c r="M65" i="2"/>
  <c r="O64" i="2"/>
  <c r="N64" i="2"/>
  <c r="V64" i="2" s="1"/>
  <c r="M64" i="2"/>
  <c r="O63" i="2"/>
  <c r="N63" i="2"/>
  <c r="O62" i="2"/>
  <c r="N62" i="2"/>
  <c r="O61" i="2"/>
  <c r="N61" i="2"/>
  <c r="M61" i="2"/>
  <c r="O60" i="2"/>
  <c r="N60" i="2"/>
  <c r="O59" i="2"/>
  <c r="N59" i="2"/>
  <c r="V58" i="2"/>
  <c r="O57" i="2"/>
  <c r="N57" i="2"/>
  <c r="M57" i="2"/>
  <c r="O56" i="2"/>
  <c r="N56" i="2"/>
  <c r="M56" i="2"/>
  <c r="O55" i="2"/>
  <c r="N55" i="2"/>
  <c r="O54" i="2"/>
  <c r="N54" i="2"/>
  <c r="U53" i="2"/>
  <c r="O53" i="2"/>
  <c r="N53" i="2"/>
  <c r="L53" i="2"/>
  <c r="B53" i="2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O52" i="2"/>
  <c r="N52" i="2"/>
  <c r="M52" i="2"/>
  <c r="O51" i="2"/>
  <c r="N51" i="2"/>
  <c r="O50" i="2"/>
  <c r="N50" i="2"/>
  <c r="M50" i="2"/>
  <c r="O49" i="2"/>
  <c r="N49" i="2"/>
  <c r="M49" i="2"/>
  <c r="AC48" i="2"/>
  <c r="O48" i="2"/>
  <c r="N48" i="2"/>
  <c r="M48" i="2"/>
  <c r="O47" i="2"/>
  <c r="N47" i="2"/>
  <c r="O46" i="2"/>
  <c r="N46" i="2"/>
  <c r="V46" i="2" s="1"/>
  <c r="M46" i="2"/>
  <c r="O45" i="2"/>
  <c r="N45" i="2"/>
  <c r="M45" i="2"/>
  <c r="AC44" i="2"/>
  <c r="O44" i="2"/>
  <c r="N44" i="2"/>
  <c r="M44" i="2"/>
  <c r="O43" i="2"/>
  <c r="N43" i="2"/>
  <c r="O42" i="2"/>
  <c r="N42" i="2"/>
  <c r="V42" i="2" s="1"/>
  <c r="O41" i="2"/>
  <c r="N41" i="2"/>
  <c r="O40" i="2"/>
  <c r="N40" i="2"/>
  <c r="O39" i="2"/>
  <c r="N39" i="2"/>
  <c r="O38" i="2"/>
  <c r="N38" i="2"/>
  <c r="V38" i="2" s="1"/>
  <c r="M38" i="2"/>
  <c r="O37" i="2"/>
  <c r="N37" i="2"/>
  <c r="M37" i="2"/>
  <c r="O36" i="2"/>
  <c r="N36" i="2"/>
  <c r="O35" i="2"/>
  <c r="N35" i="2"/>
  <c r="O34" i="2"/>
  <c r="N34" i="2"/>
  <c r="M34" i="2"/>
  <c r="O33" i="2"/>
  <c r="N33" i="2"/>
  <c r="M33" i="2"/>
  <c r="U32" i="2"/>
  <c r="S32" i="2"/>
  <c r="S108" i="2" s="1"/>
  <c r="O32" i="2"/>
  <c r="N32" i="2"/>
  <c r="O31" i="2"/>
  <c r="N31" i="2"/>
  <c r="M31" i="2"/>
  <c r="O30" i="2"/>
  <c r="N30" i="2"/>
  <c r="M30" i="2"/>
  <c r="O29" i="2"/>
  <c r="N29" i="2"/>
  <c r="M29" i="2"/>
  <c r="O28" i="2"/>
  <c r="N28" i="2"/>
  <c r="O27" i="2"/>
  <c r="N27" i="2"/>
  <c r="O26" i="2"/>
  <c r="N26" i="2"/>
  <c r="M26" i="2"/>
  <c r="O25" i="2"/>
  <c r="N25" i="2"/>
  <c r="M25" i="2"/>
  <c r="U24" i="2"/>
  <c r="O24" i="2"/>
  <c r="N24" i="2"/>
  <c r="O23" i="2"/>
  <c r="N23" i="2"/>
  <c r="O22" i="2"/>
  <c r="N22" i="2"/>
  <c r="V22" i="2" s="1"/>
  <c r="M22" i="2"/>
  <c r="M21" i="2"/>
  <c r="O20" i="2"/>
  <c r="N20" i="2"/>
  <c r="O19" i="2"/>
  <c r="N19" i="2"/>
  <c r="M19" i="2"/>
  <c r="O18" i="2"/>
  <c r="N18" i="2"/>
  <c r="M18" i="2"/>
  <c r="O17" i="2"/>
  <c r="N17" i="2"/>
  <c r="M17" i="2"/>
  <c r="O16" i="2"/>
  <c r="N16" i="2"/>
  <c r="V16" i="2" s="1"/>
  <c r="L16" i="2"/>
  <c r="M16" i="2" s="1"/>
  <c r="O15" i="2"/>
  <c r="N15" i="2"/>
  <c r="V15" i="2" s="1"/>
  <c r="M15" i="2"/>
  <c r="O14" i="2"/>
  <c r="N14" i="2"/>
  <c r="N13" i="2"/>
  <c r="M13" i="2"/>
  <c r="O13" i="2"/>
  <c r="O12" i="2"/>
  <c r="N12" i="2"/>
  <c r="V12" i="2" s="1"/>
  <c r="M12" i="2"/>
  <c r="O11" i="2"/>
  <c r="N11" i="2"/>
  <c r="U10" i="2"/>
  <c r="O10" i="2"/>
  <c r="N10" i="2"/>
  <c r="O9" i="2"/>
  <c r="N9" i="2"/>
  <c r="M9" i="2"/>
  <c r="O8" i="2"/>
  <c r="N8" i="2"/>
  <c r="M8" i="2"/>
  <c r="O7" i="2"/>
  <c r="N7" i="2"/>
  <c r="M7" i="2"/>
  <c r="O6" i="2"/>
  <c r="N6" i="2"/>
  <c r="M5" i="2"/>
  <c r="N5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C202" i="1"/>
  <c r="C182" i="1"/>
  <c r="C175" i="1"/>
  <c r="C177" i="1" s="1"/>
  <c r="N136" i="1"/>
  <c r="M136" i="1"/>
  <c r="K113" i="1"/>
  <c r="T111" i="1"/>
  <c r="R111" i="1"/>
  <c r="Q111" i="1"/>
  <c r="P111" i="1"/>
  <c r="K111" i="1"/>
  <c r="J111" i="1"/>
  <c r="O110" i="1"/>
  <c r="N110" i="1"/>
  <c r="V110" i="1" s="1"/>
  <c r="G110" i="1"/>
  <c r="M110" i="1" s="1"/>
  <c r="W110" i="1" s="1"/>
  <c r="Z110" i="1" s="1"/>
  <c r="V109" i="1"/>
  <c r="G109" i="1"/>
  <c r="M109" i="1" s="1"/>
  <c r="O108" i="1"/>
  <c r="N108" i="1"/>
  <c r="M108" i="1"/>
  <c r="G108" i="1"/>
  <c r="V107" i="1"/>
  <c r="N107" i="1"/>
  <c r="M107" i="1"/>
  <c r="W107" i="1" s="1"/>
  <c r="Z107" i="1" s="1"/>
  <c r="G107" i="1"/>
  <c r="V106" i="1"/>
  <c r="G106" i="1"/>
  <c r="M106" i="1" s="1"/>
  <c r="W106" i="1" s="1"/>
  <c r="Z106" i="1" s="1"/>
  <c r="O105" i="1"/>
  <c r="V105" i="1" s="1"/>
  <c r="N105" i="1"/>
  <c r="G105" i="1"/>
  <c r="M105" i="1" s="1"/>
  <c r="N104" i="1"/>
  <c r="V104" i="1" s="1"/>
  <c r="G104" i="1"/>
  <c r="M104" i="1" s="1"/>
  <c r="W104" i="1" s="1"/>
  <c r="Z104" i="1" s="1"/>
  <c r="O103" i="1"/>
  <c r="N103" i="1"/>
  <c r="V103" i="1" s="1"/>
  <c r="G103" i="1"/>
  <c r="M103" i="1" s="1"/>
  <c r="O102" i="1"/>
  <c r="N102" i="1"/>
  <c r="G102" i="1"/>
  <c r="M102" i="1" s="1"/>
  <c r="O101" i="1"/>
  <c r="N101" i="1"/>
  <c r="V101" i="1" s="1"/>
  <c r="G101" i="1"/>
  <c r="L101" i="1" s="1"/>
  <c r="M101" i="1" s="1"/>
  <c r="W101" i="1" s="1"/>
  <c r="Z101" i="1" s="1"/>
  <c r="O100" i="1"/>
  <c r="N100" i="1"/>
  <c r="V100" i="1" s="1"/>
  <c r="G100" i="1"/>
  <c r="M100" i="1" s="1"/>
  <c r="M99" i="1"/>
  <c r="G99" i="1"/>
  <c r="O98" i="1"/>
  <c r="N98" i="1"/>
  <c r="V98" i="1" s="1"/>
  <c r="G98" i="1"/>
  <c r="M98" i="1" s="1"/>
  <c r="O97" i="1"/>
  <c r="V97" i="1" s="1"/>
  <c r="N97" i="1"/>
  <c r="M97" i="1"/>
  <c r="W97" i="1" s="1"/>
  <c r="Z97" i="1" s="1"/>
  <c r="G97" i="1"/>
  <c r="O96" i="1"/>
  <c r="N96" i="1"/>
  <c r="L96" i="1"/>
  <c r="M96" i="1" s="1"/>
  <c r="G96" i="1"/>
  <c r="O95" i="1"/>
  <c r="N95" i="1"/>
  <c r="V95" i="1" s="1"/>
  <c r="L95" i="1"/>
  <c r="M95" i="1" s="1"/>
  <c r="G95" i="1"/>
  <c r="O94" i="1"/>
  <c r="V94" i="1" s="1"/>
  <c r="M94" i="1"/>
  <c r="G94" i="1"/>
  <c r="L94" i="1" s="1"/>
  <c r="O93" i="1"/>
  <c r="N93" i="1"/>
  <c r="V93" i="1" s="1"/>
  <c r="H93" i="1"/>
  <c r="H111" i="1" s="1"/>
  <c r="G93" i="1"/>
  <c r="L93" i="1" s="1"/>
  <c r="O92" i="1"/>
  <c r="N92" i="1"/>
  <c r="I92" i="1"/>
  <c r="G92" i="1"/>
  <c r="L92" i="1" s="1"/>
  <c r="M92" i="1" s="1"/>
  <c r="G91" i="1"/>
  <c r="M91" i="1" s="1"/>
  <c r="O90" i="1"/>
  <c r="N90" i="1"/>
  <c r="V90" i="1" s="1"/>
  <c r="G90" i="1"/>
  <c r="M90" i="1" s="1"/>
  <c r="O89" i="1"/>
  <c r="N89" i="1"/>
  <c r="V89" i="1" s="1"/>
  <c r="M89" i="1"/>
  <c r="G89" i="1"/>
  <c r="O88" i="1"/>
  <c r="N88" i="1"/>
  <c r="V88" i="1" s="1"/>
  <c r="G88" i="1"/>
  <c r="M88" i="1" s="1"/>
  <c r="O87" i="1"/>
  <c r="N87" i="1"/>
  <c r="V87" i="1" s="1"/>
  <c r="L87" i="1"/>
  <c r="O86" i="1"/>
  <c r="N86" i="1"/>
  <c r="V86" i="1" s="1"/>
  <c r="G86" i="1"/>
  <c r="M86" i="1" s="1"/>
  <c r="O85" i="1"/>
  <c r="N85" i="1"/>
  <c r="M85" i="1"/>
  <c r="G85" i="1"/>
  <c r="O84" i="1"/>
  <c r="N84" i="1"/>
  <c r="V84" i="1" s="1"/>
  <c r="G84" i="1"/>
  <c r="M84" i="1" s="1"/>
  <c r="W84" i="1" s="1"/>
  <c r="Z84" i="1" s="1"/>
  <c r="O83" i="1"/>
  <c r="N83" i="1"/>
  <c r="G83" i="1"/>
  <c r="M83" i="1" s="1"/>
  <c r="O82" i="1"/>
  <c r="N82" i="1"/>
  <c r="V82" i="1" s="1"/>
  <c r="G82" i="1"/>
  <c r="M82" i="1" s="1"/>
  <c r="O81" i="1"/>
  <c r="V81" i="1" s="1"/>
  <c r="N81" i="1"/>
  <c r="G81" i="1"/>
  <c r="L81" i="1" s="1"/>
  <c r="M81" i="1" s="1"/>
  <c r="O80" i="1"/>
  <c r="V80" i="1" s="1"/>
  <c r="N80" i="1"/>
  <c r="G80" i="1"/>
  <c r="L80" i="1" s="1"/>
  <c r="M80" i="1" s="1"/>
  <c r="O79" i="1"/>
  <c r="N79" i="1"/>
  <c r="V79" i="1" s="1"/>
  <c r="G79" i="1"/>
  <c r="L79" i="1" s="1"/>
  <c r="M79" i="1" s="1"/>
  <c r="W79" i="1" s="1"/>
  <c r="O78" i="1"/>
  <c r="N78" i="1"/>
  <c r="G78" i="1"/>
  <c r="L78" i="1" s="1"/>
  <c r="M78" i="1" s="1"/>
  <c r="O77" i="1"/>
  <c r="V77" i="1" s="1"/>
  <c r="N77" i="1"/>
  <c r="M77" i="1"/>
  <c r="W77" i="1" s="1"/>
  <c r="Z77" i="1" s="1"/>
  <c r="G77" i="1"/>
  <c r="O76" i="1"/>
  <c r="N76" i="1"/>
  <c r="L76" i="1"/>
  <c r="M76" i="1" s="1"/>
  <c r="G76" i="1"/>
  <c r="O75" i="1"/>
  <c r="N75" i="1"/>
  <c r="V75" i="1" s="1"/>
  <c r="G75" i="1"/>
  <c r="M75" i="1" s="1"/>
  <c r="W75" i="1" s="1"/>
  <c r="Z75" i="1" s="1"/>
  <c r="O74" i="1"/>
  <c r="N74" i="1"/>
  <c r="V74" i="1" s="1"/>
  <c r="G74" i="1"/>
  <c r="M74" i="1" s="1"/>
  <c r="W74" i="1" s="1"/>
  <c r="Z74" i="1" s="1"/>
  <c r="V73" i="1"/>
  <c r="G73" i="1"/>
  <c r="M73" i="1" s="1"/>
  <c r="E73" i="1"/>
  <c r="E111" i="1" s="1"/>
  <c r="O72" i="1"/>
  <c r="N72" i="1"/>
  <c r="G72" i="1"/>
  <c r="M72" i="1" s="1"/>
  <c r="O71" i="1"/>
  <c r="N71" i="1"/>
  <c r="V71" i="1" s="1"/>
  <c r="G71" i="1"/>
  <c r="L71" i="1" s="1"/>
  <c r="O70" i="1"/>
  <c r="N70" i="1"/>
  <c r="G70" i="1"/>
  <c r="M70" i="1" s="1"/>
  <c r="V69" i="1"/>
  <c r="O69" i="1"/>
  <c r="N69" i="1"/>
  <c r="G69" i="1"/>
  <c r="M69" i="1" s="1"/>
  <c r="O68" i="1"/>
  <c r="V68" i="1" s="1"/>
  <c r="N68" i="1"/>
  <c r="G68" i="1"/>
  <c r="M68" i="1" s="1"/>
  <c r="W68" i="1" s="1"/>
  <c r="Z68" i="1" s="1"/>
  <c r="O67" i="1"/>
  <c r="N67" i="1"/>
  <c r="G67" i="1"/>
  <c r="M67" i="1" s="1"/>
  <c r="O66" i="1"/>
  <c r="N66" i="1"/>
  <c r="V66" i="1" s="1"/>
  <c r="G66" i="1"/>
  <c r="M66" i="1" s="1"/>
  <c r="W66" i="1" s="1"/>
  <c r="Z66" i="1" s="1"/>
  <c r="O65" i="1"/>
  <c r="V65" i="1" s="1"/>
  <c r="N65" i="1"/>
  <c r="G65" i="1"/>
  <c r="M65" i="1" s="1"/>
  <c r="O64" i="1"/>
  <c r="N64" i="1"/>
  <c r="G64" i="1"/>
  <c r="M64" i="1" s="1"/>
  <c r="O63" i="1"/>
  <c r="N63" i="1"/>
  <c r="V63" i="1" s="1"/>
  <c r="G63" i="1"/>
  <c r="M63" i="1" s="1"/>
  <c r="O62" i="1"/>
  <c r="N62" i="1"/>
  <c r="M62" i="1"/>
  <c r="G62" i="1"/>
  <c r="O61" i="1"/>
  <c r="N61" i="1"/>
  <c r="V61" i="1" s="1"/>
  <c r="G61" i="1"/>
  <c r="M61" i="1" s="1"/>
  <c r="O60" i="1"/>
  <c r="V60" i="1" s="1"/>
  <c r="N60" i="1"/>
  <c r="M60" i="1"/>
  <c r="G60" i="1"/>
  <c r="O59" i="1"/>
  <c r="N59" i="1"/>
  <c r="L59" i="1"/>
  <c r="O58" i="1"/>
  <c r="N58" i="1"/>
  <c r="V58" i="1" s="1"/>
  <c r="G58" i="1"/>
  <c r="M58" i="1" s="1"/>
  <c r="O57" i="1"/>
  <c r="N57" i="1"/>
  <c r="V57" i="1" s="1"/>
  <c r="M57" i="1"/>
  <c r="W57" i="1" s="1"/>
  <c r="Z57" i="1" s="1"/>
  <c r="L57" i="1"/>
  <c r="G57" i="1"/>
  <c r="O56" i="1"/>
  <c r="N56" i="1"/>
  <c r="G56" i="1"/>
  <c r="M56" i="1" s="1"/>
  <c r="O55" i="1"/>
  <c r="N55" i="1"/>
  <c r="V55" i="1" s="1"/>
  <c r="G55" i="1"/>
  <c r="M55" i="1" s="1"/>
  <c r="O54" i="1"/>
  <c r="N54" i="1"/>
  <c r="V54" i="1" s="1"/>
  <c r="G54" i="1"/>
  <c r="M54" i="1" s="1"/>
  <c r="U53" i="1"/>
  <c r="O53" i="1"/>
  <c r="N53" i="1"/>
  <c r="G53" i="1"/>
  <c r="L53" i="1" s="1"/>
  <c r="M53" i="1" s="1"/>
  <c r="O52" i="1"/>
  <c r="V52" i="1" s="1"/>
  <c r="M52" i="1"/>
  <c r="G52" i="1"/>
  <c r="N52" i="1" s="1"/>
  <c r="G51" i="1"/>
  <c r="M51" i="1" s="1"/>
  <c r="O51" i="1" s="1"/>
  <c r="O50" i="1"/>
  <c r="N50" i="1"/>
  <c r="G50" i="1"/>
  <c r="M50" i="1" s="1"/>
  <c r="O49" i="1"/>
  <c r="N49" i="1"/>
  <c r="G49" i="1"/>
  <c r="M49" i="1" s="1"/>
  <c r="AC48" i="1"/>
  <c r="O48" i="1"/>
  <c r="N48" i="1"/>
  <c r="V48" i="1" s="1"/>
  <c r="G48" i="1"/>
  <c r="M48" i="1" s="1"/>
  <c r="O47" i="1"/>
  <c r="N47" i="1"/>
  <c r="G47" i="1"/>
  <c r="M47" i="1" s="1"/>
  <c r="O46" i="1"/>
  <c r="V46" i="1" s="1"/>
  <c r="N46" i="1"/>
  <c r="G46" i="1"/>
  <c r="M46" i="1" s="1"/>
  <c r="O45" i="1"/>
  <c r="N45" i="1"/>
  <c r="G45" i="1"/>
  <c r="M45" i="1" s="1"/>
  <c r="AC44" i="1"/>
  <c r="V44" i="1"/>
  <c r="O44" i="1"/>
  <c r="N44" i="1"/>
  <c r="M44" i="1"/>
  <c r="O43" i="1"/>
  <c r="N43" i="1"/>
  <c r="G43" i="1"/>
  <c r="M43" i="1" s="1"/>
  <c r="O42" i="1"/>
  <c r="N42" i="1"/>
  <c r="V42" i="1" s="1"/>
  <c r="G42" i="1"/>
  <c r="M42" i="1" s="1"/>
  <c r="O41" i="1"/>
  <c r="N41" i="1"/>
  <c r="G41" i="1"/>
  <c r="M41" i="1" s="1"/>
  <c r="O40" i="1"/>
  <c r="N40" i="1"/>
  <c r="V40" i="1" s="1"/>
  <c r="G40" i="1"/>
  <c r="M40" i="1" s="1"/>
  <c r="O39" i="1"/>
  <c r="N39" i="1"/>
  <c r="G39" i="1"/>
  <c r="M39" i="1" s="1"/>
  <c r="O38" i="1"/>
  <c r="N38" i="1"/>
  <c r="V38" i="1" s="1"/>
  <c r="G38" i="1"/>
  <c r="M38" i="1" s="1"/>
  <c r="O37" i="1"/>
  <c r="N37" i="1"/>
  <c r="G37" i="1"/>
  <c r="M37" i="1" s="1"/>
  <c r="O36" i="1"/>
  <c r="N36" i="1"/>
  <c r="V36" i="1" s="1"/>
  <c r="G36" i="1"/>
  <c r="M36" i="1" s="1"/>
  <c r="O35" i="1"/>
  <c r="N35" i="1"/>
  <c r="G35" i="1"/>
  <c r="M35" i="1" s="1"/>
  <c r="O34" i="1"/>
  <c r="N34" i="1"/>
  <c r="V34" i="1" s="1"/>
  <c r="G34" i="1"/>
  <c r="M34" i="1" s="1"/>
  <c r="O33" i="1"/>
  <c r="N33" i="1"/>
  <c r="G33" i="1"/>
  <c r="M33" i="1" s="1"/>
  <c r="U32" i="1"/>
  <c r="S32" i="1"/>
  <c r="S111" i="1" s="1"/>
  <c r="G32" i="1"/>
  <c r="M32" i="1" s="1"/>
  <c r="V31" i="1"/>
  <c r="O31" i="1"/>
  <c r="N31" i="1"/>
  <c r="G31" i="1"/>
  <c r="M31" i="1" s="1"/>
  <c r="G30" i="1"/>
  <c r="M30" i="1" s="1"/>
  <c r="O29" i="1"/>
  <c r="N29" i="1"/>
  <c r="V29" i="1" s="1"/>
  <c r="G29" i="1"/>
  <c r="M29" i="1" s="1"/>
  <c r="O28" i="1"/>
  <c r="N28" i="1"/>
  <c r="V28" i="1" s="1"/>
  <c r="G28" i="1"/>
  <c r="M28" i="1" s="1"/>
  <c r="O27" i="1"/>
  <c r="N27" i="1"/>
  <c r="V27" i="1" s="1"/>
  <c r="G27" i="1"/>
  <c r="M27" i="1" s="1"/>
  <c r="O26" i="1"/>
  <c r="N26" i="1"/>
  <c r="V26" i="1" s="1"/>
  <c r="G26" i="1"/>
  <c r="M26" i="1" s="1"/>
  <c r="O25" i="1"/>
  <c r="N25" i="1"/>
  <c r="V25" i="1" s="1"/>
  <c r="G25" i="1"/>
  <c r="M25" i="1" s="1"/>
  <c r="O24" i="1"/>
  <c r="N24" i="1"/>
  <c r="V24" i="1" s="1"/>
  <c r="L24" i="1"/>
  <c r="G24" i="1" s="1"/>
  <c r="U23" i="1"/>
  <c r="O23" i="1"/>
  <c r="N23" i="1"/>
  <c r="G23" i="1"/>
  <c r="M23" i="1" s="1"/>
  <c r="O22" i="1"/>
  <c r="N22" i="1"/>
  <c r="V22" i="1" s="1"/>
  <c r="G22" i="1"/>
  <c r="M22" i="1" s="1"/>
  <c r="N21" i="1"/>
  <c r="G21" i="1"/>
  <c r="M21" i="1" s="1"/>
  <c r="I20" i="1"/>
  <c r="I111" i="1" s="1"/>
  <c r="O19" i="1"/>
  <c r="V19" i="1" s="1"/>
  <c r="G19" i="1"/>
  <c r="M19" i="1" s="1"/>
  <c r="W19" i="1" s="1"/>
  <c r="Z19" i="1" s="1"/>
  <c r="O18" i="1"/>
  <c r="N18" i="1"/>
  <c r="V18" i="1" s="1"/>
  <c r="G18" i="1"/>
  <c r="M18" i="1" s="1"/>
  <c r="N17" i="1"/>
  <c r="G17" i="1"/>
  <c r="M17" i="1" s="1"/>
  <c r="G16" i="1"/>
  <c r="M16" i="1" s="1"/>
  <c r="O15" i="1"/>
  <c r="N15" i="1"/>
  <c r="V15" i="1" s="1"/>
  <c r="G15" i="1"/>
  <c r="L15" i="1" s="1"/>
  <c r="O14" i="1"/>
  <c r="N14" i="1"/>
  <c r="V14" i="1" s="1"/>
  <c r="G14" i="1"/>
  <c r="M14" i="1" s="1"/>
  <c r="V13" i="1"/>
  <c r="M13" i="1"/>
  <c r="W13" i="1" s="1"/>
  <c r="Z13" i="1" s="1"/>
  <c r="G13" i="1"/>
  <c r="G12" i="1"/>
  <c r="N12" i="1" s="1"/>
  <c r="O11" i="1"/>
  <c r="N11" i="1"/>
  <c r="V11" i="1" s="1"/>
  <c r="G11" i="1"/>
  <c r="M11" i="1" s="1"/>
  <c r="W11" i="1" s="1"/>
  <c r="Z11" i="1" s="1"/>
  <c r="O10" i="1"/>
  <c r="N10" i="1"/>
  <c r="V10" i="1" s="1"/>
  <c r="G10" i="1"/>
  <c r="M10" i="1" s="1"/>
  <c r="U9" i="1"/>
  <c r="U111" i="1" s="1"/>
  <c r="G9" i="1"/>
  <c r="M9" i="1" s="1"/>
  <c r="O9" i="1" s="1"/>
  <c r="O8" i="1"/>
  <c r="N8" i="1"/>
  <c r="V8" i="1" s="1"/>
  <c r="G8" i="1"/>
  <c r="M8" i="1" s="1"/>
  <c r="N7" i="1"/>
  <c r="G7" i="1"/>
  <c r="M7" i="1" s="1"/>
  <c r="O6" i="1"/>
  <c r="N6" i="1"/>
  <c r="G6" i="1"/>
  <c r="M6" i="1" s="1"/>
  <c r="O5" i="1"/>
  <c r="N5" i="1"/>
  <c r="V5" i="1" s="1"/>
  <c r="G5" i="1"/>
  <c r="M5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O4" i="1"/>
  <c r="N4" i="1"/>
  <c r="G4" i="1"/>
  <c r="W92" i="6" l="1"/>
  <c r="W37" i="6"/>
  <c r="W116" i="6"/>
  <c r="W22" i="6"/>
  <c r="M14" i="6"/>
  <c r="V17" i="6"/>
  <c r="N25" i="6"/>
  <c r="V25" i="6" s="1"/>
  <c r="W42" i="6"/>
  <c r="W57" i="6"/>
  <c r="M59" i="6"/>
  <c r="V68" i="6"/>
  <c r="W74" i="6"/>
  <c r="W96" i="6"/>
  <c r="W103" i="6"/>
  <c r="M12" i="6"/>
  <c r="W12" i="6" s="1"/>
  <c r="N14" i="6"/>
  <c r="V14" i="6" s="1"/>
  <c r="V15" i="6"/>
  <c r="V21" i="6"/>
  <c r="W21" i="6" s="1"/>
  <c r="O25" i="6"/>
  <c r="W28" i="6"/>
  <c r="W31" i="6"/>
  <c r="M33" i="6"/>
  <c r="W33" i="6" s="1"/>
  <c r="V35" i="6"/>
  <c r="V45" i="6"/>
  <c r="V49" i="6"/>
  <c r="W49" i="6" s="1"/>
  <c r="N58" i="6"/>
  <c r="V58" i="6" s="1"/>
  <c r="N59" i="6"/>
  <c r="V59" i="6" s="1"/>
  <c r="W61" i="6"/>
  <c r="N63" i="6"/>
  <c r="V63" i="6" s="1"/>
  <c r="V71" i="6"/>
  <c r="V81" i="6"/>
  <c r="W87" i="6"/>
  <c r="W91" i="6"/>
  <c r="W101" i="6"/>
  <c r="M105" i="6"/>
  <c r="W105" i="6" s="1"/>
  <c r="W108" i="6"/>
  <c r="W114" i="6"/>
  <c r="W117" i="6"/>
  <c r="W15" i="6"/>
  <c r="W25" i="6"/>
  <c r="W48" i="6"/>
  <c r="W80" i="6"/>
  <c r="W86" i="6"/>
  <c r="V6" i="6"/>
  <c r="V8" i="6"/>
  <c r="W8" i="6" s="1"/>
  <c r="V10" i="6"/>
  <c r="O13" i="6"/>
  <c r="V13" i="6" s="1"/>
  <c r="W17" i="6"/>
  <c r="O19" i="6"/>
  <c r="V19" i="6" s="1"/>
  <c r="W26" i="6"/>
  <c r="O29" i="6"/>
  <c r="V32" i="6"/>
  <c r="N33" i="6"/>
  <c r="V33" i="6" s="1"/>
  <c r="M36" i="6"/>
  <c r="W38" i="6"/>
  <c r="V42" i="6"/>
  <c r="V46" i="6"/>
  <c r="W46" i="6" s="1"/>
  <c r="N54" i="6"/>
  <c r="V54" i="6" s="1"/>
  <c r="V55" i="6"/>
  <c r="W55" i="6" s="1"/>
  <c r="V69" i="6"/>
  <c r="W69" i="6" s="1"/>
  <c r="W73" i="6"/>
  <c r="V75" i="6"/>
  <c r="W75" i="6" s="1"/>
  <c r="V77" i="6"/>
  <c r="W77" i="6" s="1"/>
  <c r="V78" i="6"/>
  <c r="W84" i="6"/>
  <c r="V88" i="6"/>
  <c r="W88" i="6" s="1"/>
  <c r="V93" i="6"/>
  <c r="V94" i="6"/>
  <c r="W94" i="6" s="1"/>
  <c r="V105" i="6"/>
  <c r="V112" i="6"/>
  <c r="W112" i="6" s="1"/>
  <c r="V115" i="6"/>
  <c r="W115" i="6" s="1"/>
  <c r="V117" i="6"/>
  <c r="W47" i="5"/>
  <c r="W56" i="5"/>
  <c r="W58" i="5"/>
  <c r="W103" i="5"/>
  <c r="N62" i="5"/>
  <c r="O62" i="5"/>
  <c r="W61" i="5"/>
  <c r="W25" i="5"/>
  <c r="U116" i="5"/>
  <c r="W76" i="5"/>
  <c r="W27" i="5"/>
  <c r="V65" i="5"/>
  <c r="W96" i="5"/>
  <c r="W112" i="5"/>
  <c r="W10" i="5"/>
  <c r="V43" i="5"/>
  <c r="V45" i="5"/>
  <c r="W53" i="5"/>
  <c r="W8" i="5"/>
  <c r="W9" i="5"/>
  <c r="W14" i="5"/>
  <c r="V42" i="5"/>
  <c r="W42" i="5" s="1"/>
  <c r="V49" i="5"/>
  <c r="W49" i="5" s="1"/>
  <c r="O52" i="5"/>
  <c r="V54" i="5"/>
  <c r="W54" i="5" s="1"/>
  <c r="N57" i="5"/>
  <c r="V57" i="5" s="1"/>
  <c r="M61" i="5"/>
  <c r="V63" i="5"/>
  <c r="W63" i="5" s="1"/>
  <c r="V64" i="5"/>
  <c r="W64" i="5" s="1"/>
  <c r="O65" i="5"/>
  <c r="V76" i="5"/>
  <c r="V90" i="5"/>
  <c r="W90" i="5" s="1"/>
  <c r="V92" i="5"/>
  <c r="W92" i="5" s="1"/>
  <c r="V94" i="5"/>
  <c r="W94" i="5" s="1"/>
  <c r="V96" i="5"/>
  <c r="W101" i="5"/>
  <c r="M102" i="5"/>
  <c r="W102" i="5" s="1"/>
  <c r="V111" i="5"/>
  <c r="W26" i="5"/>
  <c r="W84" i="5"/>
  <c r="W89" i="5"/>
  <c r="M106" i="5"/>
  <c r="W106" i="5" s="1"/>
  <c r="W107" i="5"/>
  <c r="V20" i="5"/>
  <c r="W20" i="5" s="1"/>
  <c r="M57" i="5"/>
  <c r="M65" i="5"/>
  <c r="W65" i="5" s="1"/>
  <c r="W75" i="5"/>
  <c r="V99" i="5"/>
  <c r="W99" i="5" s="1"/>
  <c r="L106" i="5"/>
  <c r="W111" i="5"/>
  <c r="W6" i="5"/>
  <c r="W7" i="5"/>
  <c r="V9" i="5"/>
  <c r="V14" i="5"/>
  <c r="W16" i="5"/>
  <c r="V22" i="5"/>
  <c r="W22" i="5" s="1"/>
  <c r="W32" i="5"/>
  <c r="V39" i="5"/>
  <c r="W43" i="5"/>
  <c r="W45" i="5"/>
  <c r="V47" i="5"/>
  <c r="V56" i="5"/>
  <c r="V58" i="5"/>
  <c r="M68" i="5"/>
  <c r="W68" i="5" s="1"/>
  <c r="W69" i="5"/>
  <c r="W70" i="5"/>
  <c r="W74" i="5"/>
  <c r="V78" i="5"/>
  <c r="W78" i="5" s="1"/>
  <c r="V79" i="5"/>
  <c r="V80" i="5"/>
  <c r="W80" i="5" s="1"/>
  <c r="V103" i="5"/>
  <c r="V105" i="5"/>
  <c r="W105" i="5" s="1"/>
  <c r="V109" i="5"/>
  <c r="W109" i="5" s="1"/>
  <c r="W20" i="3"/>
  <c r="Z20" i="3" s="1"/>
  <c r="W37" i="3"/>
  <c r="Z37" i="3" s="1"/>
  <c r="W32" i="3"/>
  <c r="Z32" i="3" s="1"/>
  <c r="V81" i="3"/>
  <c r="W81" i="3" s="1"/>
  <c r="Z81" i="3" s="1"/>
  <c r="W104" i="3"/>
  <c r="Z104" i="3" s="1"/>
  <c r="W43" i="3"/>
  <c r="Z43" i="3" s="1"/>
  <c r="V75" i="3"/>
  <c r="W75" i="3" s="1"/>
  <c r="Z75" i="3" s="1"/>
  <c r="V80" i="3"/>
  <c r="W91" i="3"/>
  <c r="Z91" i="3" s="1"/>
  <c r="W5" i="3"/>
  <c r="Z5" i="3" s="1"/>
  <c r="W14" i="3"/>
  <c r="Z14" i="3" s="1"/>
  <c r="M18" i="3"/>
  <c r="W18" i="3" s="1"/>
  <c r="Z18" i="3" s="1"/>
  <c r="W23" i="3"/>
  <c r="Z23" i="3" s="1"/>
  <c r="N26" i="3"/>
  <c r="V26" i="3" s="1"/>
  <c r="M39" i="3"/>
  <c r="V54" i="3"/>
  <c r="V76" i="3"/>
  <c r="W76" i="3" s="1"/>
  <c r="Z76" i="3" s="1"/>
  <c r="V77" i="3"/>
  <c r="W77" i="3" s="1"/>
  <c r="Z77" i="3" s="1"/>
  <c r="W95" i="3"/>
  <c r="Z95" i="3" s="1"/>
  <c r="W96" i="3"/>
  <c r="Z96" i="3" s="1"/>
  <c r="M97" i="3"/>
  <c r="W97" i="3" s="1"/>
  <c r="Z97" i="3" s="1"/>
  <c r="W99" i="3"/>
  <c r="Z99" i="3" s="1"/>
  <c r="W100" i="3"/>
  <c r="Z100" i="3" s="1"/>
  <c r="W28" i="3"/>
  <c r="Z28" i="3" s="1"/>
  <c r="W46" i="3"/>
  <c r="Z46" i="3" s="1"/>
  <c r="W19" i="3"/>
  <c r="Z19" i="3" s="1"/>
  <c r="M26" i="3"/>
  <c r="W26" i="3" s="1"/>
  <c r="Z26" i="3" s="1"/>
  <c r="W38" i="3"/>
  <c r="Z38" i="3" s="1"/>
  <c r="W65" i="3"/>
  <c r="Z65" i="3" s="1"/>
  <c r="W73" i="3"/>
  <c r="Z73" i="3" s="1"/>
  <c r="W103" i="3"/>
  <c r="Z103" i="3" s="1"/>
  <c r="W105" i="3"/>
  <c r="Z105" i="3" s="1"/>
  <c r="W9" i="3"/>
  <c r="Z9" i="3" s="1"/>
  <c r="V17" i="3"/>
  <c r="W17" i="3" s="1"/>
  <c r="Z17" i="3" s="1"/>
  <c r="M24" i="3"/>
  <c r="V30" i="3"/>
  <c r="W30" i="3" s="1"/>
  <c r="Z30" i="3" s="1"/>
  <c r="V31" i="3"/>
  <c r="W31" i="3" s="1"/>
  <c r="Z31" i="3" s="1"/>
  <c r="V36" i="3"/>
  <c r="W36" i="3" s="1"/>
  <c r="Z36" i="3" s="1"/>
  <c r="V37" i="3"/>
  <c r="W42" i="3"/>
  <c r="Z42" i="3" s="1"/>
  <c r="M58" i="3"/>
  <c r="W58" i="3" s="1"/>
  <c r="Z58" i="3" s="1"/>
  <c r="W63" i="3"/>
  <c r="Z63" i="3" s="1"/>
  <c r="W69" i="3"/>
  <c r="Z69" i="3" s="1"/>
  <c r="V72" i="3"/>
  <c r="W72" i="3" s="1"/>
  <c r="Z72" i="3" s="1"/>
  <c r="M80" i="3"/>
  <c r="W80" i="3" s="1"/>
  <c r="Z80" i="3" s="1"/>
  <c r="V91" i="3"/>
  <c r="W93" i="3"/>
  <c r="Z93" i="3" s="1"/>
  <c r="V108" i="3"/>
  <c r="V13" i="2"/>
  <c r="M100" i="2"/>
  <c r="M82" i="2"/>
  <c r="V60" i="2"/>
  <c r="W60" i="2" s="1"/>
  <c r="Z60" i="2" s="1"/>
  <c r="V68" i="2"/>
  <c r="J108" i="2"/>
  <c r="V59" i="2"/>
  <c r="V65" i="2"/>
  <c r="W65" i="2" s="1"/>
  <c r="Z65" i="2" s="1"/>
  <c r="V67" i="2"/>
  <c r="V75" i="2"/>
  <c r="V83" i="2"/>
  <c r="V95" i="2"/>
  <c r="V103" i="2"/>
  <c r="W106" i="2"/>
  <c r="Z106" i="2" s="1"/>
  <c r="V11" i="2"/>
  <c r="V57" i="2"/>
  <c r="V82" i="2"/>
  <c r="V90" i="2"/>
  <c r="W16" i="2"/>
  <c r="Z16" i="2" s="1"/>
  <c r="V17" i="2"/>
  <c r="V41" i="2"/>
  <c r="V47" i="2"/>
  <c r="W47" i="2" s="1"/>
  <c r="Z47" i="2" s="1"/>
  <c r="V49" i="2"/>
  <c r="V52" i="2"/>
  <c r="V61" i="2"/>
  <c r="V63" i="2"/>
  <c r="V69" i="2"/>
  <c r="V81" i="2"/>
  <c r="W81" i="2" s="1"/>
  <c r="Z81" i="2" s="1"/>
  <c r="V89" i="2"/>
  <c r="V94" i="2"/>
  <c r="W94" i="2" s="1"/>
  <c r="Z94" i="2" s="1"/>
  <c r="V97" i="2"/>
  <c r="G108" i="2"/>
  <c r="G84" i="2"/>
  <c r="M84" i="2" s="1"/>
  <c r="W58" i="2"/>
  <c r="Z58" i="2" s="1"/>
  <c r="V70" i="2"/>
  <c r="W70" i="2" s="1"/>
  <c r="Z70" i="2" s="1"/>
  <c r="W17" i="2"/>
  <c r="Z17" i="2" s="1"/>
  <c r="W38" i="2"/>
  <c r="Z38" i="2" s="1"/>
  <c r="V43" i="2"/>
  <c r="W43" i="2" s="1"/>
  <c r="Z43" i="2" s="1"/>
  <c r="V48" i="2"/>
  <c r="V55" i="2"/>
  <c r="W55" i="2" s="1"/>
  <c r="Z55" i="2" s="1"/>
  <c r="V71" i="2"/>
  <c r="V74" i="2"/>
  <c r="W74" i="2" s="1"/>
  <c r="Z74" i="2" s="1"/>
  <c r="V80" i="2"/>
  <c r="V92" i="2"/>
  <c r="V96" i="2"/>
  <c r="V45" i="2"/>
  <c r="V51" i="2"/>
  <c r="V62" i="2"/>
  <c r="W62" i="2" s="1"/>
  <c r="Z62" i="2" s="1"/>
  <c r="W69" i="2"/>
  <c r="Z69" i="2" s="1"/>
  <c r="V76" i="2"/>
  <c r="W48" i="2"/>
  <c r="Z48" i="2" s="1"/>
  <c r="W41" i="2"/>
  <c r="Z41" i="2" s="1"/>
  <c r="V50" i="2"/>
  <c r="V66" i="2"/>
  <c r="W66" i="2" s="1"/>
  <c r="Z66" i="2" s="1"/>
  <c r="W68" i="2"/>
  <c r="Z68" i="2" s="1"/>
  <c r="W73" i="2"/>
  <c r="Z73" i="2" s="1"/>
  <c r="W105" i="2"/>
  <c r="Z105" i="2" s="1"/>
  <c r="W45" i="2"/>
  <c r="Z45" i="2" s="1"/>
  <c r="W72" i="2"/>
  <c r="Z72" i="2" s="1"/>
  <c r="W82" i="2"/>
  <c r="Z82" i="2" s="1"/>
  <c r="W97" i="2"/>
  <c r="Z97" i="2" s="1"/>
  <c r="V102" i="2"/>
  <c r="W102" i="2" s="1"/>
  <c r="Z102" i="2" s="1"/>
  <c r="W104" i="2"/>
  <c r="Z104" i="2" s="1"/>
  <c r="W42" i="2"/>
  <c r="Z42" i="2" s="1"/>
  <c r="L79" i="2"/>
  <c r="M79" i="2" s="1"/>
  <c r="O4" i="2"/>
  <c r="N4" i="2"/>
  <c r="W61" i="2"/>
  <c r="Z61" i="2" s="1"/>
  <c r="W64" i="2"/>
  <c r="Z64" i="2" s="1"/>
  <c r="W75" i="2"/>
  <c r="Z75" i="2" s="1"/>
  <c r="W76" i="2"/>
  <c r="Z76" i="2" s="1"/>
  <c r="W100" i="2"/>
  <c r="Z100" i="2" s="1"/>
  <c r="W12" i="2"/>
  <c r="Z12" i="2" s="1"/>
  <c r="W13" i="2"/>
  <c r="Z13" i="2" s="1"/>
  <c r="V14" i="2"/>
  <c r="W14" i="2" s="1"/>
  <c r="Z14" i="2" s="1"/>
  <c r="V18" i="2"/>
  <c r="W18" i="2" s="1"/>
  <c r="Z18" i="2" s="1"/>
  <c r="V24" i="2"/>
  <c r="W24" i="2" s="1"/>
  <c r="Z24" i="2" s="1"/>
  <c r="V33" i="2"/>
  <c r="W33" i="2" s="1"/>
  <c r="Z33" i="2" s="1"/>
  <c r="V34" i="2"/>
  <c r="W34" i="2" s="1"/>
  <c r="Z34" i="2" s="1"/>
  <c r="V35" i="2"/>
  <c r="W35" i="2" s="1"/>
  <c r="Z35" i="2" s="1"/>
  <c r="V36" i="2"/>
  <c r="W36" i="2" s="1"/>
  <c r="Z36" i="2" s="1"/>
  <c r="V40" i="2"/>
  <c r="W40" i="2" s="1"/>
  <c r="Z40" i="2" s="1"/>
  <c r="V44" i="2"/>
  <c r="W44" i="2" s="1"/>
  <c r="Z44" i="2" s="1"/>
  <c r="W49" i="2"/>
  <c r="Z49" i="2" s="1"/>
  <c r="W50" i="2"/>
  <c r="Z50" i="2" s="1"/>
  <c r="W51" i="2"/>
  <c r="Z51" i="2" s="1"/>
  <c r="M77" i="2"/>
  <c r="W77" i="2" s="1"/>
  <c r="Z77" i="2" s="1"/>
  <c r="AB77" i="2" s="1"/>
  <c r="V78" i="2"/>
  <c r="W78" i="2" s="1"/>
  <c r="L80" i="2"/>
  <c r="M80" i="2" s="1"/>
  <c r="L89" i="2"/>
  <c r="M89" i="2" s="1"/>
  <c r="W89" i="2" s="1"/>
  <c r="Z89" i="2" s="1"/>
  <c r="M90" i="2"/>
  <c r="W90" i="2" s="1"/>
  <c r="Z90" i="2" s="1"/>
  <c r="V98" i="2"/>
  <c r="W98" i="2" s="1"/>
  <c r="Z98" i="2" s="1"/>
  <c r="V6" i="2"/>
  <c r="W6" i="2" s="1"/>
  <c r="Z6" i="2" s="1"/>
  <c r="V7" i="2"/>
  <c r="W7" i="2" s="1"/>
  <c r="Z7" i="2" s="1"/>
  <c r="V8" i="2"/>
  <c r="W8" i="2" s="1"/>
  <c r="Z8" i="2" s="1"/>
  <c r="V9" i="2"/>
  <c r="W9" i="2" s="1"/>
  <c r="Z9" i="2" s="1"/>
  <c r="V10" i="2"/>
  <c r="W10" i="2" s="1"/>
  <c r="Z10" i="2" s="1"/>
  <c r="W11" i="2"/>
  <c r="Z11" i="2" s="1"/>
  <c r="V19" i="2"/>
  <c r="W19" i="2" s="1"/>
  <c r="Z19" i="2" s="1"/>
  <c r="V20" i="2"/>
  <c r="W20" i="2" s="1"/>
  <c r="Z20" i="2" s="1"/>
  <c r="V23" i="2"/>
  <c r="W23" i="2" s="1"/>
  <c r="Z23" i="2" s="1"/>
  <c r="V25" i="2"/>
  <c r="W25" i="2" s="1"/>
  <c r="Z25" i="2" s="1"/>
  <c r="V26" i="2"/>
  <c r="W26" i="2" s="1"/>
  <c r="Z26" i="2" s="1"/>
  <c r="V27" i="2"/>
  <c r="W27" i="2" s="1"/>
  <c r="Z27" i="2" s="1"/>
  <c r="V28" i="2"/>
  <c r="W28" i="2" s="1"/>
  <c r="Z28" i="2" s="1"/>
  <c r="V29" i="2"/>
  <c r="W29" i="2" s="1"/>
  <c r="Z29" i="2" s="1"/>
  <c r="V30" i="2"/>
  <c r="W30" i="2" s="1"/>
  <c r="Z30" i="2" s="1"/>
  <c r="V31" i="2"/>
  <c r="W31" i="2" s="1"/>
  <c r="Z31" i="2" s="1"/>
  <c r="V32" i="2"/>
  <c r="W32" i="2" s="1"/>
  <c r="Z32" i="2" s="1"/>
  <c r="W46" i="2"/>
  <c r="Z46" i="2" s="1"/>
  <c r="W52" i="2"/>
  <c r="Z52" i="2" s="1"/>
  <c r="W59" i="2"/>
  <c r="Z59" i="2" s="1"/>
  <c r="W63" i="2"/>
  <c r="Z63" i="2" s="1"/>
  <c r="W67" i="2"/>
  <c r="Z67" i="2" s="1"/>
  <c r="W71" i="2"/>
  <c r="Z71" i="2" s="1"/>
  <c r="V79" i="2"/>
  <c r="V85" i="2"/>
  <c r="W85" i="2" s="1"/>
  <c r="Z85" i="2" s="1"/>
  <c r="V86" i="2"/>
  <c r="W86" i="2" s="1"/>
  <c r="Z86" i="2" s="1"/>
  <c r="V87" i="2"/>
  <c r="W87" i="2" s="1"/>
  <c r="Z87" i="2" s="1"/>
  <c r="V99" i="2"/>
  <c r="W99" i="2" s="1"/>
  <c r="Z99" i="2" s="1"/>
  <c r="W103" i="2"/>
  <c r="Z103" i="2" s="1"/>
  <c r="L111" i="1"/>
  <c r="N91" i="1"/>
  <c r="O91" i="1"/>
  <c r="W26" i="1"/>
  <c r="Z26" i="1" s="1"/>
  <c r="W29" i="1"/>
  <c r="Z29" i="1" s="1"/>
  <c r="W52" i="1"/>
  <c r="Z52" i="1" s="1"/>
  <c r="M12" i="1"/>
  <c r="W18" i="1"/>
  <c r="Z18" i="1" s="1"/>
  <c r="W22" i="1"/>
  <c r="Z22" i="1" s="1"/>
  <c r="V23" i="1"/>
  <c r="W23" i="1" s="1"/>
  <c r="Z23" i="1" s="1"/>
  <c r="W31" i="1"/>
  <c r="Z31" i="1" s="1"/>
  <c r="V33" i="1"/>
  <c r="W36" i="1"/>
  <c r="Z36" i="1" s="1"/>
  <c r="V37" i="1"/>
  <c r="W37" i="1" s="1"/>
  <c r="Z37" i="1" s="1"/>
  <c r="W40" i="1"/>
  <c r="Z40" i="1" s="1"/>
  <c r="V41" i="1"/>
  <c r="W44" i="1"/>
  <c r="Z44" i="1" s="1"/>
  <c r="V45" i="1"/>
  <c r="W45" i="1" s="1"/>
  <c r="Z45" i="1" s="1"/>
  <c r="V47" i="1"/>
  <c r="V49" i="1"/>
  <c r="V53" i="1"/>
  <c r="V59" i="1"/>
  <c r="V62" i="1"/>
  <c r="W62" i="1" s="1"/>
  <c r="Z62" i="1" s="1"/>
  <c r="V64" i="1"/>
  <c r="W64" i="1" s="1"/>
  <c r="Z64" i="1" s="1"/>
  <c r="W69" i="1"/>
  <c r="Z69" i="1" s="1"/>
  <c r="V76" i="1"/>
  <c r="W76" i="1" s="1"/>
  <c r="Z76" i="1" s="1"/>
  <c r="V78" i="1"/>
  <c r="W89" i="1"/>
  <c r="Z89" i="1" s="1"/>
  <c r="V96" i="1"/>
  <c r="W96" i="1" s="1"/>
  <c r="Z96" i="1" s="1"/>
  <c r="V108" i="1"/>
  <c r="W108" i="1" s="1"/>
  <c r="Z108" i="1" s="1"/>
  <c r="W25" i="1"/>
  <c r="Z25" i="1" s="1"/>
  <c r="W28" i="1"/>
  <c r="Z28" i="1" s="1"/>
  <c r="W10" i="1"/>
  <c r="Z10" i="1" s="1"/>
  <c r="O12" i="1"/>
  <c r="V12" i="1" s="1"/>
  <c r="W12" i="1" s="1"/>
  <c r="Z12" i="1" s="1"/>
  <c r="W46" i="1"/>
  <c r="Z46" i="1" s="1"/>
  <c r="W48" i="1"/>
  <c r="Z48" i="1" s="1"/>
  <c r="W72" i="1"/>
  <c r="Z72" i="1" s="1"/>
  <c r="V83" i="1"/>
  <c r="W83" i="1" s="1"/>
  <c r="Z83" i="1" s="1"/>
  <c r="V85" i="1"/>
  <c r="W27" i="1"/>
  <c r="Z27" i="1" s="1"/>
  <c r="W94" i="1"/>
  <c r="Z94" i="1" s="1"/>
  <c r="W103" i="1"/>
  <c r="Z103" i="1" s="1"/>
  <c r="V6" i="1"/>
  <c r="W8" i="1"/>
  <c r="Z8" i="1" s="1"/>
  <c r="W34" i="1"/>
  <c r="Z34" i="1" s="1"/>
  <c r="V35" i="1"/>
  <c r="W38" i="1"/>
  <c r="Z38" i="1" s="1"/>
  <c r="V39" i="1"/>
  <c r="W42" i="1"/>
  <c r="Z42" i="1" s="1"/>
  <c r="V43" i="1"/>
  <c r="V50" i="1"/>
  <c r="W54" i="1"/>
  <c r="Z54" i="1" s="1"/>
  <c r="W55" i="1"/>
  <c r="Z55" i="1" s="1"/>
  <c r="W61" i="1"/>
  <c r="Z61" i="1" s="1"/>
  <c r="V67" i="1"/>
  <c r="W67" i="1" s="1"/>
  <c r="Z67" i="1" s="1"/>
  <c r="V70" i="1"/>
  <c r="W70" i="1" s="1"/>
  <c r="Z70" i="1" s="1"/>
  <c r="M71" i="1"/>
  <c r="W71" i="1" s="1"/>
  <c r="Z71" i="1" s="1"/>
  <c r="V72" i="1"/>
  <c r="W86" i="1"/>
  <c r="Z86" i="1" s="1"/>
  <c r="W88" i="1"/>
  <c r="Z88" i="1" s="1"/>
  <c r="V92" i="1"/>
  <c r="M93" i="1"/>
  <c r="W93" i="1" s="1"/>
  <c r="Z93" i="1" s="1"/>
  <c r="W98" i="1"/>
  <c r="Z98" i="1" s="1"/>
  <c r="V102" i="1"/>
  <c r="W102" i="1" s="1"/>
  <c r="Z102" i="1" s="1"/>
  <c r="O5" i="6"/>
  <c r="N5" i="6"/>
  <c r="G118" i="6"/>
  <c r="M5" i="6"/>
  <c r="W10" i="6"/>
  <c r="W27" i="6"/>
  <c r="O36" i="6"/>
  <c r="N36" i="6"/>
  <c r="W40" i="6"/>
  <c r="W65" i="6"/>
  <c r="W82" i="6"/>
  <c r="O7" i="6"/>
  <c r="N7" i="6"/>
  <c r="V7" i="6" s="1"/>
  <c r="W7" i="6" s="1"/>
  <c r="W71" i="6"/>
  <c r="V4" i="6"/>
  <c r="W4" i="6" s="1"/>
  <c r="W6" i="6"/>
  <c r="O9" i="6"/>
  <c r="M9" i="6"/>
  <c r="N9" i="6"/>
  <c r="U118" i="6"/>
  <c r="V11" i="6"/>
  <c r="W11" i="6" s="1"/>
  <c r="W20" i="6"/>
  <c r="W52" i="6"/>
  <c r="W59" i="6"/>
  <c r="W78" i="6"/>
  <c r="W98" i="6"/>
  <c r="N106" i="6"/>
  <c r="O106" i="6"/>
  <c r="W34" i="6"/>
  <c r="W45" i="6"/>
  <c r="W60" i="6"/>
  <c r="W79" i="6"/>
  <c r="M24" i="6"/>
  <c r="M70" i="6"/>
  <c r="W70" i="6" s="1"/>
  <c r="N83" i="6"/>
  <c r="M13" i="6"/>
  <c r="M19" i="6"/>
  <c r="W54" i="6"/>
  <c r="W62" i="6"/>
  <c r="M67" i="6"/>
  <c r="W68" i="6"/>
  <c r="W81" i="6"/>
  <c r="O83" i="6"/>
  <c r="W102" i="6"/>
  <c r="W113" i="6"/>
  <c r="L118" i="6"/>
  <c r="W47" i="6"/>
  <c r="N34" i="6"/>
  <c r="V34" i="6" s="1"/>
  <c r="M35" i="6"/>
  <c r="W35" i="6" s="1"/>
  <c r="W53" i="6"/>
  <c r="W56" i="6"/>
  <c r="W66" i="6"/>
  <c r="W95" i="6"/>
  <c r="W99" i="6"/>
  <c r="M104" i="6"/>
  <c r="W104" i="6" s="1"/>
  <c r="W111" i="6"/>
  <c r="N24" i="6"/>
  <c r="V24" i="6" s="1"/>
  <c r="O34" i="6"/>
  <c r="M41" i="6"/>
  <c r="N29" i="6"/>
  <c r="V29" i="6" s="1"/>
  <c r="W29" i="6" s="1"/>
  <c r="W32" i="6"/>
  <c r="W39" i="6"/>
  <c r="V41" i="6"/>
  <c r="W44" i="6"/>
  <c r="M50" i="6"/>
  <c r="W50" i="6" s="1"/>
  <c r="W51" i="6"/>
  <c r="W58" i="6"/>
  <c r="M63" i="6"/>
  <c r="W63" i="6" s="1"/>
  <c r="W64" i="6"/>
  <c r="N67" i="6"/>
  <c r="V67" i="6" s="1"/>
  <c r="V89" i="6"/>
  <c r="W89" i="6" s="1"/>
  <c r="W93" i="6"/>
  <c r="W97" i="6"/>
  <c r="V107" i="6"/>
  <c r="W107" i="6" s="1"/>
  <c r="W5" i="5"/>
  <c r="W50" i="5"/>
  <c r="M21" i="5"/>
  <c r="W21" i="5" s="1"/>
  <c r="O23" i="5"/>
  <c r="M23" i="5"/>
  <c r="O33" i="5"/>
  <c r="M33" i="5"/>
  <c r="M4" i="5"/>
  <c r="M11" i="5"/>
  <c r="O12" i="5"/>
  <c r="V12" i="5" s="1"/>
  <c r="W12" i="5" s="1"/>
  <c r="M13" i="5"/>
  <c r="M15" i="5"/>
  <c r="W15" i="5" s="1"/>
  <c r="M17" i="5"/>
  <c r="O18" i="5"/>
  <c r="V18" i="5" s="1"/>
  <c r="W18" i="5" s="1"/>
  <c r="M19" i="5"/>
  <c r="N23" i="5"/>
  <c r="V23" i="5" s="1"/>
  <c r="W29" i="5"/>
  <c r="W30" i="5"/>
  <c r="O31" i="5"/>
  <c r="V31" i="5" s="1"/>
  <c r="M31" i="5"/>
  <c r="N33" i="5"/>
  <c r="M40" i="5"/>
  <c r="W40" i="5" s="1"/>
  <c r="V50" i="5"/>
  <c r="W51" i="5"/>
  <c r="V52" i="5"/>
  <c r="W72" i="5"/>
  <c r="W73" i="5"/>
  <c r="V77" i="5"/>
  <c r="W77" i="5" s="1"/>
  <c r="W79" i="5"/>
  <c r="V104" i="5"/>
  <c r="W110" i="5"/>
  <c r="W39" i="5"/>
  <c r="L104" i="5"/>
  <c r="L116" i="5" s="1"/>
  <c r="N11" i="5"/>
  <c r="V11" i="5" s="1"/>
  <c r="N13" i="5"/>
  <c r="V13" i="5" s="1"/>
  <c r="N17" i="5"/>
  <c r="V17" i="5" s="1"/>
  <c r="N19" i="5"/>
  <c r="V19" i="5" s="1"/>
  <c r="M28" i="5"/>
  <c r="O28" i="5"/>
  <c r="W38" i="5"/>
  <c r="M24" i="5"/>
  <c r="O24" i="5"/>
  <c r="V24" i="5" s="1"/>
  <c r="N28" i="5"/>
  <c r="V28" i="5" s="1"/>
  <c r="V36" i="5"/>
  <c r="W36" i="5" s="1"/>
  <c r="V41" i="5"/>
  <c r="W41" i="5" s="1"/>
  <c r="V48" i="5"/>
  <c r="W48" i="5" s="1"/>
  <c r="M52" i="5"/>
  <c r="W52" i="5" s="1"/>
  <c r="V81" i="5"/>
  <c r="W81" i="5" s="1"/>
  <c r="W86" i="5"/>
  <c r="W87" i="5"/>
  <c r="V91" i="5"/>
  <c r="W91" i="5" s="1"/>
  <c r="W93" i="5"/>
  <c r="W114" i="5"/>
  <c r="W115" i="5"/>
  <c r="X8" i="4"/>
  <c r="X24" i="4"/>
  <c r="M37" i="4"/>
  <c r="N37" i="4" s="1"/>
  <c r="X37" i="4" s="1"/>
  <c r="X77" i="4"/>
  <c r="W4" i="4"/>
  <c r="X26" i="4"/>
  <c r="P53" i="4"/>
  <c r="O53" i="4"/>
  <c r="W53" i="4" s="1"/>
  <c r="X68" i="4"/>
  <c r="N4" i="4"/>
  <c r="W7" i="4"/>
  <c r="W21" i="4"/>
  <c r="X21" i="4" s="1"/>
  <c r="O28" i="4"/>
  <c r="N28" i="4"/>
  <c r="O30" i="4"/>
  <c r="W30" i="4" s="1"/>
  <c r="N30" i="4"/>
  <c r="X30" i="4" s="1"/>
  <c r="W32" i="4"/>
  <c r="N35" i="4"/>
  <c r="X35" i="4" s="1"/>
  <c r="X44" i="4"/>
  <c r="N53" i="4"/>
  <c r="X53" i="4" s="1"/>
  <c r="X73" i="4"/>
  <c r="X81" i="4"/>
  <c r="X84" i="4"/>
  <c r="W86" i="4"/>
  <c r="X86" i="4" s="1"/>
  <c r="X88" i="4"/>
  <c r="N97" i="4"/>
  <c r="X97" i="4" s="1"/>
  <c r="N99" i="4"/>
  <c r="X99" i="4" s="1"/>
  <c r="M113" i="4"/>
  <c r="X20" i="4"/>
  <c r="O22" i="4"/>
  <c r="W22" i="4" s="1"/>
  <c r="N22" i="4"/>
  <c r="X22" i="4" s="1"/>
  <c r="N5" i="4"/>
  <c r="X5" i="4" s="1"/>
  <c r="X9" i="4"/>
  <c r="X32" i="4"/>
  <c r="P61" i="4"/>
  <c r="O61" i="4"/>
  <c r="W61" i="4" s="1"/>
  <c r="X61" i="4" s="1"/>
  <c r="X65" i="4"/>
  <c r="X71" i="4"/>
  <c r="X79" i="4"/>
  <c r="N102" i="4"/>
  <c r="X102" i="4" s="1"/>
  <c r="W10" i="4"/>
  <c r="X10" i="4" s="1"/>
  <c r="N12" i="4"/>
  <c r="X7" i="4"/>
  <c r="P12" i="4"/>
  <c r="W12" i="4" s="1"/>
  <c r="W15" i="4"/>
  <c r="X15" i="4" s="1"/>
  <c r="P28" i="4"/>
  <c r="X34" i="4"/>
  <c r="W40" i="4"/>
  <c r="X40" i="4" s="1"/>
  <c r="W44" i="4"/>
  <c r="W48" i="4"/>
  <c r="X48" i="4" s="1"/>
  <c r="W52" i="4"/>
  <c r="X52" i="4" s="1"/>
  <c r="W54" i="4"/>
  <c r="X54" i="4" s="1"/>
  <c r="P57" i="4"/>
  <c r="O57" i="4"/>
  <c r="W57" i="4" s="1"/>
  <c r="X57" i="4" s="1"/>
  <c r="W60" i="4"/>
  <c r="X60" i="4" s="1"/>
  <c r="W62" i="4"/>
  <c r="X62" i="4" s="1"/>
  <c r="X75" i="4"/>
  <c r="W88" i="4"/>
  <c r="X90" i="4"/>
  <c r="N96" i="4"/>
  <c r="X96" i="4" s="1"/>
  <c r="W101" i="4"/>
  <c r="X101" i="4" s="1"/>
  <c r="W103" i="4"/>
  <c r="X103" i="4" s="1"/>
  <c r="W106" i="4"/>
  <c r="X106" i="4" s="1"/>
  <c r="X108" i="4"/>
  <c r="W7" i="3"/>
  <c r="Z7" i="3" s="1"/>
  <c r="W8" i="3"/>
  <c r="Z8" i="3" s="1"/>
  <c r="W27" i="3"/>
  <c r="Z27" i="3" s="1"/>
  <c r="W40" i="3"/>
  <c r="Z40" i="3" s="1"/>
  <c r="W41" i="3"/>
  <c r="Z41" i="3" s="1"/>
  <c r="W49" i="3"/>
  <c r="Z49" i="3" s="1"/>
  <c r="W50" i="3"/>
  <c r="Z50" i="3" s="1"/>
  <c r="W54" i="3"/>
  <c r="Z54" i="3" s="1"/>
  <c r="G111" i="3"/>
  <c r="N24" i="3"/>
  <c r="V24" i="3" s="1"/>
  <c r="W24" i="3" s="1"/>
  <c r="Z24" i="3" s="1"/>
  <c r="N39" i="3"/>
  <c r="V39" i="3" s="1"/>
  <c r="W39" i="3" s="1"/>
  <c r="Z39" i="3" s="1"/>
  <c r="M51" i="3"/>
  <c r="N55" i="3"/>
  <c r="V55" i="3" s="1"/>
  <c r="W55" i="3" s="1"/>
  <c r="Z55" i="3" s="1"/>
  <c r="W57" i="3"/>
  <c r="Z57" i="3" s="1"/>
  <c r="W64" i="3"/>
  <c r="Z64" i="3" s="1"/>
  <c r="W66" i="3"/>
  <c r="Z66" i="3" s="1"/>
  <c r="W70" i="3"/>
  <c r="Z70" i="3" s="1"/>
  <c r="W74" i="3"/>
  <c r="Z74" i="3" s="1"/>
  <c r="W79" i="3"/>
  <c r="Z79" i="3" s="1"/>
  <c r="W87" i="3"/>
  <c r="Z87" i="3" s="1"/>
  <c r="W92" i="3"/>
  <c r="Z92" i="3" s="1"/>
  <c r="V109" i="3"/>
  <c r="W109" i="3" s="1"/>
  <c r="Z109" i="3" s="1"/>
  <c r="W4" i="3"/>
  <c r="N51" i="3"/>
  <c r="V51" i="3" s="1"/>
  <c r="V56" i="3"/>
  <c r="W56" i="3" s="1"/>
  <c r="Z56" i="3" s="1"/>
  <c r="W59" i="3"/>
  <c r="Z59" i="3" s="1"/>
  <c r="W67" i="3"/>
  <c r="Z67" i="3" s="1"/>
  <c r="W71" i="3"/>
  <c r="Z71" i="3" s="1"/>
  <c r="W78" i="3"/>
  <c r="Z78" i="3" s="1"/>
  <c r="M82" i="3"/>
  <c r="W82" i="3" s="1"/>
  <c r="Z82" i="3" s="1"/>
  <c r="AB82" i="3" s="1"/>
  <c r="W83" i="3"/>
  <c r="W88" i="3"/>
  <c r="Z88" i="3" s="1"/>
  <c r="M98" i="3"/>
  <c r="W98" i="3" s="1"/>
  <c r="Z98" i="3" s="1"/>
  <c r="V106" i="3"/>
  <c r="W106" i="3" s="1"/>
  <c r="Z106" i="3" s="1"/>
  <c r="V110" i="3"/>
  <c r="W110" i="3" s="1"/>
  <c r="Z110" i="3" s="1"/>
  <c r="J111" i="3"/>
  <c r="O111" i="3"/>
  <c r="U111" i="3"/>
  <c r="W60" i="3"/>
  <c r="Z60" i="3" s="1"/>
  <c r="W62" i="3"/>
  <c r="Z62" i="3" s="1"/>
  <c r="W68" i="3"/>
  <c r="Z68" i="3" s="1"/>
  <c r="W84" i="3"/>
  <c r="Z84" i="3" s="1"/>
  <c r="L85" i="3"/>
  <c r="L111" i="3" s="1"/>
  <c r="L94" i="3"/>
  <c r="M94" i="3" s="1"/>
  <c r="W94" i="3" s="1"/>
  <c r="Z94" i="3" s="1"/>
  <c r="L101" i="3"/>
  <c r="M101" i="3" s="1"/>
  <c r="W101" i="3" s="1"/>
  <c r="Z101" i="3" s="1"/>
  <c r="V107" i="3"/>
  <c r="W107" i="3" s="1"/>
  <c r="Z107" i="3" s="1"/>
  <c r="W108" i="3"/>
  <c r="Z108" i="3" s="1"/>
  <c r="N21" i="2"/>
  <c r="V21" i="2" s="1"/>
  <c r="W21" i="2" s="1"/>
  <c r="Z21" i="2" s="1"/>
  <c r="O5" i="2"/>
  <c r="V5" i="2" s="1"/>
  <c r="W5" i="2" s="1"/>
  <c r="Z5" i="2" s="1"/>
  <c r="W15" i="2"/>
  <c r="Z15" i="2" s="1"/>
  <c r="W22" i="2"/>
  <c r="Z22" i="2" s="1"/>
  <c r="V39" i="2"/>
  <c r="W39" i="2" s="1"/>
  <c r="Z39" i="2" s="1"/>
  <c r="M53" i="2"/>
  <c r="V54" i="2"/>
  <c r="W54" i="2" s="1"/>
  <c r="Z54" i="2" s="1"/>
  <c r="W83" i="2"/>
  <c r="Z83" i="2" s="1"/>
  <c r="L92" i="2"/>
  <c r="M92" i="2" s="1"/>
  <c r="W95" i="2"/>
  <c r="Z95" i="2" s="1"/>
  <c r="U108" i="2"/>
  <c r="L91" i="2"/>
  <c r="M91" i="2" s="1"/>
  <c r="W91" i="2" s="1"/>
  <c r="Z91" i="2" s="1"/>
  <c r="W96" i="2"/>
  <c r="Z96" i="2" s="1"/>
  <c r="V107" i="2"/>
  <c r="W107" i="2" s="1"/>
  <c r="Z107" i="2" s="1"/>
  <c r="M4" i="2"/>
  <c r="V37" i="2"/>
  <c r="W37" i="2" s="1"/>
  <c r="Z37" i="2" s="1"/>
  <c r="V53" i="2"/>
  <c r="V56" i="2"/>
  <c r="W56" i="2" s="1"/>
  <c r="Z56" i="2" s="1"/>
  <c r="W57" i="2"/>
  <c r="Z57" i="2" s="1"/>
  <c r="V84" i="2"/>
  <c r="W84" i="2" s="1"/>
  <c r="Z84" i="2" s="1"/>
  <c r="V88" i="2"/>
  <c r="W88" i="2" s="1"/>
  <c r="Z88" i="2" s="1"/>
  <c r="W93" i="2"/>
  <c r="Z93" i="2" s="1"/>
  <c r="N101" i="2"/>
  <c r="V101" i="2" s="1"/>
  <c r="W101" i="2" s="1"/>
  <c r="Z101" i="2" s="1"/>
  <c r="W14" i="1"/>
  <c r="Z14" i="1" s="1"/>
  <c r="W35" i="1"/>
  <c r="Z35" i="1" s="1"/>
  <c r="W39" i="1"/>
  <c r="Z39" i="1" s="1"/>
  <c r="W43" i="1"/>
  <c r="Z43" i="1" s="1"/>
  <c r="O32" i="1"/>
  <c r="N32" i="1"/>
  <c r="V32" i="1" s="1"/>
  <c r="W32" i="1" s="1"/>
  <c r="Z32" i="1" s="1"/>
  <c r="O16" i="1"/>
  <c r="W47" i="1"/>
  <c r="Z47" i="1" s="1"/>
  <c r="W53" i="1"/>
  <c r="Z53" i="1" s="1"/>
  <c r="V4" i="1"/>
  <c r="W5" i="1"/>
  <c r="Z5" i="1" s="1"/>
  <c r="W6" i="1"/>
  <c r="Z6" i="1" s="1"/>
  <c r="O7" i="1"/>
  <c r="V7" i="1" s="1"/>
  <c r="W7" i="1" s="1"/>
  <c r="Z7" i="1" s="1"/>
  <c r="N9" i="1"/>
  <c r="V9" i="1" s="1"/>
  <c r="W9" i="1" s="1"/>
  <c r="Z9" i="1" s="1"/>
  <c r="N16" i="1"/>
  <c r="O30" i="1"/>
  <c r="N30" i="1"/>
  <c r="W33" i="1"/>
  <c r="Z33" i="1" s="1"/>
  <c r="W41" i="1"/>
  <c r="Z41" i="1" s="1"/>
  <c r="O17" i="1"/>
  <c r="V17" i="1" s="1"/>
  <c r="W17" i="1" s="1"/>
  <c r="Z17" i="1" s="1"/>
  <c r="G20" i="1"/>
  <c r="O21" i="1"/>
  <c r="V21" i="1" s="1"/>
  <c r="W21" i="1" s="1"/>
  <c r="Z21" i="1" s="1"/>
  <c r="M24" i="1"/>
  <c r="W24" i="1" s="1"/>
  <c r="Z24" i="1" s="1"/>
  <c r="W58" i="1"/>
  <c r="Z58" i="1" s="1"/>
  <c r="W82" i="1"/>
  <c r="Z82" i="1" s="1"/>
  <c r="O99" i="1"/>
  <c r="N99" i="1"/>
  <c r="W109" i="1"/>
  <c r="Z109" i="1" s="1"/>
  <c r="W49" i="1"/>
  <c r="Z49" i="1" s="1"/>
  <c r="G59" i="1"/>
  <c r="G111" i="1" s="1"/>
  <c r="W81" i="1"/>
  <c r="Z81" i="1" s="1"/>
  <c r="G87" i="1"/>
  <c r="M87" i="1"/>
  <c r="W92" i="1"/>
  <c r="Z92" i="1" s="1"/>
  <c r="W105" i="1"/>
  <c r="Z105" i="1" s="1"/>
  <c r="W50" i="1"/>
  <c r="Z50" i="1" s="1"/>
  <c r="M4" i="1"/>
  <c r="M15" i="1"/>
  <c r="W15" i="1" s="1"/>
  <c r="Z15" i="1" s="1"/>
  <c r="N51" i="1"/>
  <c r="V51" i="1" s="1"/>
  <c r="W51" i="1" s="1"/>
  <c r="Z51" i="1" s="1"/>
  <c r="V56" i="1"/>
  <c r="W56" i="1" s="1"/>
  <c r="Z56" i="1" s="1"/>
  <c r="W60" i="1"/>
  <c r="Z60" i="1" s="1"/>
  <c r="W63" i="1"/>
  <c r="Z63" i="1" s="1"/>
  <c r="W65" i="1"/>
  <c r="Z65" i="1" s="1"/>
  <c r="W73" i="1"/>
  <c r="Z73" i="1" s="1"/>
  <c r="W78" i="1"/>
  <c r="Z78" i="1" s="1"/>
  <c r="AB78" i="1" s="1"/>
  <c r="W80" i="1"/>
  <c r="Z80" i="1" s="1"/>
  <c r="W85" i="1"/>
  <c r="Z85" i="1" s="1"/>
  <c r="W90" i="1"/>
  <c r="Z90" i="1" s="1"/>
  <c r="W95" i="1"/>
  <c r="Z95" i="1" s="1"/>
  <c r="W100" i="1"/>
  <c r="Z100" i="1" s="1"/>
  <c r="W13" i="6" l="1"/>
  <c r="O118" i="6"/>
  <c r="W5" i="6"/>
  <c r="W19" i="6"/>
  <c r="W41" i="6"/>
  <c r="V106" i="6"/>
  <c r="W106" i="6" s="1"/>
  <c r="V9" i="6"/>
  <c r="V36" i="6"/>
  <c r="W36" i="6" s="1"/>
  <c r="V5" i="6"/>
  <c r="W14" i="6"/>
  <c r="V33" i="5"/>
  <c r="W28" i="5"/>
  <c r="W13" i="5"/>
  <c r="W33" i="5"/>
  <c r="W57" i="5"/>
  <c r="V62" i="5"/>
  <c r="W62" i="5" s="1"/>
  <c r="V4" i="2"/>
  <c r="W4" i="2" s="1"/>
  <c r="L108" i="2"/>
  <c r="W80" i="2"/>
  <c r="Z80" i="2" s="1"/>
  <c r="W92" i="2"/>
  <c r="Z92" i="2" s="1"/>
  <c r="W79" i="2"/>
  <c r="Z79" i="2" s="1"/>
  <c r="W53" i="2"/>
  <c r="Z53" i="2" s="1"/>
  <c r="O108" i="2"/>
  <c r="M59" i="1"/>
  <c r="W59" i="1" s="1"/>
  <c r="Z59" i="1" s="1"/>
  <c r="V91" i="1"/>
  <c r="W91" i="1" s="1"/>
  <c r="Z91" i="1" s="1"/>
  <c r="V30" i="1"/>
  <c r="W30" i="1" s="1"/>
  <c r="Z30" i="1" s="1"/>
  <c r="V83" i="6"/>
  <c r="W83" i="6" s="1"/>
  <c r="W9" i="6"/>
  <c r="N118" i="6"/>
  <c r="M118" i="6"/>
  <c r="W67" i="6"/>
  <c r="W24" i="6"/>
  <c r="O116" i="5"/>
  <c r="M104" i="5"/>
  <c r="W104" i="5" s="1"/>
  <c r="W24" i="5"/>
  <c r="W19" i="5"/>
  <c r="W17" i="5"/>
  <c r="W11" i="5"/>
  <c r="W23" i="5"/>
  <c r="W31" i="5"/>
  <c r="W4" i="5"/>
  <c r="N116" i="5"/>
  <c r="X12" i="4"/>
  <c r="N113" i="4"/>
  <c r="X4" i="4"/>
  <c r="P113" i="4"/>
  <c r="W28" i="4"/>
  <c r="W113" i="4" s="1"/>
  <c r="O113" i="4"/>
  <c r="M85" i="3"/>
  <c r="W85" i="3" s="1"/>
  <c r="Z85" i="3" s="1"/>
  <c r="Z4" i="3"/>
  <c r="V111" i="3"/>
  <c r="W51" i="3"/>
  <c r="Z51" i="3" s="1"/>
  <c r="N111" i="3"/>
  <c r="M108" i="2"/>
  <c r="N108" i="2"/>
  <c r="W4" i="1"/>
  <c r="V99" i="1"/>
  <c r="W99" i="1" s="1"/>
  <c r="Z99" i="1" s="1"/>
  <c r="O111" i="1"/>
  <c r="V16" i="1"/>
  <c r="W16" i="1" s="1"/>
  <c r="Z16" i="1" s="1"/>
  <c r="W87" i="1"/>
  <c r="X87" i="1" s="1"/>
  <c r="AA87" i="1" s="1"/>
  <c r="M20" i="1"/>
  <c r="O20" i="1"/>
  <c r="N20" i="1"/>
  <c r="V118" i="6" l="1"/>
  <c r="W118" i="6"/>
  <c r="V116" i="5"/>
  <c r="M116" i="5"/>
  <c r="M111" i="3"/>
  <c r="V108" i="2"/>
  <c r="V20" i="1"/>
  <c r="W116" i="5"/>
  <c r="X28" i="4"/>
  <c r="X113" i="4"/>
  <c r="Z111" i="3"/>
  <c r="W111" i="3"/>
  <c r="W108" i="2"/>
  <c r="Z4" i="2"/>
  <c r="Z108" i="2" s="1"/>
  <c r="W20" i="1"/>
  <c r="Z20" i="1" s="1"/>
  <c r="Z4" i="1"/>
  <c r="V111" i="1"/>
  <c r="N111" i="1"/>
  <c r="M111" i="1"/>
  <c r="W11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V32" authorId="0" shapeId="0" xr:uid="{F97114C5-436A-4776-B499-5B3C4C1E2C9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DECONTO LA MITAD EN AFC Y PRESTAMO; SIGUIENTE MES SERIA NORMAL
</t>
        </r>
      </text>
    </comment>
    <comment ref="K95" authorId="0" shapeId="0" xr:uid="{EDA48E5B-A876-4FF6-867E-A0D05F25AC2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anticipo de dividendos hasta diciembre</t>
        </r>
      </text>
    </comment>
    <comment ref="L95" authorId="0" shapeId="0" xr:uid="{29AF8323-F4A1-45B2-9A95-2E3C44DC8AD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anticipo de dividendos hasta diciembre</t>
        </r>
      </text>
    </comment>
    <comment ref="U98" authorId="0" shapeId="0" xr:uid="{B4BB45BA-F867-4407-B2D2-DDE927FFFD2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la cuota de la libranza es de 514,771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R5" authorId="0" shapeId="0" xr:uid="{F4057D4A-6B0A-418E-AD25-3B2FBAA6496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la retencion en la fuente es de 30.672</t>
        </r>
      </text>
    </comment>
    <comment ref="R21" authorId="0" shapeId="0" xr:uid="{A0AEFED4-D3B2-484E-9650-07E8F21719C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La retencion en la fuente es 269.359, hay una excepcion por que se realizo un pago adicional de horas extras.
</t>
        </r>
      </text>
    </comment>
    <comment ref="V32" authorId="0" shapeId="0" xr:uid="{3F8915B6-98A5-454E-B15B-CB059023F26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DECONTO LA MITAD EN AFC Y PRESTAMO; SIGUIENTE MES SERIA NORMAL
</t>
        </r>
      </text>
    </comment>
    <comment ref="L92" authorId="0" shapeId="0" xr:uid="{5AF93C32-14EC-4674-BA12-050632CAB9D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anticipo de dividendos hasta diciembre</t>
        </r>
      </text>
    </comment>
    <comment ref="U95" authorId="0" shapeId="0" xr:uid="{E4683B05-EA0F-401E-8407-47F655C191C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la cuota de la libranza es de 514,771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V34" authorId="0" shapeId="0" xr:uid="{175CCC1B-283C-4CF1-A33B-E532FE91A21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DECONTO LA MITAD EN AFC Y PRESTAMO; SIGUIENTE MES SERIA NORMAL
</t>
        </r>
      </text>
    </comment>
    <comment ref="H75" authorId="0" shapeId="0" xr:uid="{A0A2963B-858E-4639-9206-F8D45ADF0E9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ENERO FEBRERO Y MARZO</t>
        </r>
      </text>
    </comment>
    <comment ref="H105" authorId="0" shapeId="0" xr:uid="{86F0C35A-8AA4-44E1-8192-C3C08A829D3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aux transp febrero por 15 dias +aux completo de marzo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W39" authorId="0" shapeId="0" xr:uid="{572FF192-8612-4523-9460-6C92C1C0A4F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DECONTO LA MITAD EN AFC Y PRESTAMO; SIGUIENTE MES SERIA NORMAL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V42" authorId="0" shapeId="0" xr:uid="{098C2621-5606-494B-BCA2-D92C7D710DF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DECONTO LA MITAD EN AFC Y PRESTAMO; SIGUIENTE MES SERIA NORMAL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V45" authorId="0" shapeId="0" xr:uid="{1E9672A9-CB56-41A0-A571-6D335869025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DECONTO LA MITAD EN AFC Y PRESTAMO; SIGUIENTE MES SERIA NORMAL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V48" authorId="0" shapeId="0" xr:uid="{D4D12E8F-50C0-4136-8142-FFAD5F4EE48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DECONTO LA MITAD EN AFC Y PRESTAMO; SIGUIENTE MES SERIA NORMAL
</t>
        </r>
      </text>
    </comment>
    <comment ref="Q49" authorId="0" shapeId="0" xr:uid="{E3672F56-893A-4F8C-AB96-F49EFE570B53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termina de pagar en Octubre 18
</t>
        </r>
      </text>
    </comment>
    <comment ref="Q98" authorId="0" shapeId="0" xr:uid="{BF84F06E-E1CB-4DBB-AE53-F4A961FDCC9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Termina en Octubre y la cuota es por 453,600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A48" authorId="0" shapeId="0" xr:uid="{01313902-04E0-4677-8E5D-B2906011FB0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DECONTO LA MITAD EN AFC Y PRESTAMO; SIGUIENTE MES SERIA NORMAL
</t>
        </r>
      </text>
    </comment>
    <comment ref="V49" authorId="0" shapeId="0" xr:uid="{2189759C-49FB-4AB8-9640-B25536D7BF8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termina de pagar en Octubre 18
</t>
        </r>
      </text>
    </comment>
    <comment ref="V96" authorId="0" shapeId="0" xr:uid="{C7D5B133-F2CA-44E4-8EA4-DAC01FBD836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Termina en Octubre y la cuota es por 453,600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B48" authorId="0" shapeId="0" xr:uid="{A370CD26-2961-4F46-AA5B-57EA9C11AB5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DECONTO LA MITAD EN AFC Y PRESTAMO; SIGUIENTE MES SERIA NORMAL
</t>
        </r>
      </text>
    </comment>
    <comment ref="W49" authorId="0" shapeId="0" xr:uid="{AFC05FEC-BEC7-40F9-92F8-48E3D237475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termina de pagar en Octubre 18
</t>
        </r>
      </text>
    </comment>
    <comment ref="L60" authorId="0" shapeId="0" xr:uid="{0BBD00C1-1063-49A6-9CD8-5D2CAEE1D42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5,350000
</t>
        </r>
      </text>
    </comment>
    <comment ref="X60" authorId="0" shapeId="0" xr:uid="{73757E6E-CACC-41FB-8756-8522540E5B2A}">
      <text>
        <r>
          <rPr>
            <b/>
            <sz val="9"/>
            <color indexed="81"/>
            <rFont val="Tahoma"/>
            <family val="2"/>
          </rPr>
          <t>Maira Claro:RF 95,000</t>
        </r>
      </text>
    </comment>
    <comment ref="W98" authorId="0" shapeId="0" xr:uid="{6270591F-6366-444F-8DC3-5739868B8D6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Termina en Octubre y la cuota es por 453,600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B48" authorId="0" shapeId="0" xr:uid="{24BDC60A-DC6B-4CF7-B6AD-A612F16F3D4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DECONTO LA MITAD EN AFC Y PRESTAMO; SIGUIENTE MES SERIA NORMAL
</t>
        </r>
      </text>
    </comment>
    <comment ref="W49" authorId="0" shapeId="0" xr:uid="{6518559B-F1AE-4CBA-996C-BDA41D4E748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termina de pagar en Octubre 18
</t>
        </r>
      </text>
    </comment>
    <comment ref="L59" authorId="0" shapeId="0" xr:uid="{5B72DDBF-5B1E-4024-A0EB-04C53D0A2C7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5,350000
</t>
        </r>
      </text>
    </comment>
    <comment ref="X59" authorId="0" shapeId="0" xr:uid="{0B2F171C-5381-4466-95AC-9FCBD0F16811}">
      <text>
        <r>
          <rPr>
            <b/>
            <sz val="9"/>
            <color indexed="81"/>
            <rFont val="Tahoma"/>
            <family val="2"/>
          </rPr>
          <t>Maira Claro:RF 95,000</t>
        </r>
      </text>
    </comment>
    <comment ref="W99" authorId="0" shapeId="0" xr:uid="{080A08A0-6CBE-41C3-8134-34A5EBEB050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Termina en Octubre y la cuota es por 453,600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X48" authorId="0" shapeId="0" xr:uid="{1C020AA5-78ED-4359-A214-7BE42E7C651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DECONTO LA MITAD EN AFC Y PRESTAMO; SIGUIENTE MES SERIA NORMAL
</t>
        </r>
      </text>
    </comment>
    <comment ref="S49" authorId="0" shapeId="0" xr:uid="{057CED78-974B-49EC-918C-AD773D4B317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termina de pagar en Octubre 18
</t>
        </r>
      </text>
    </comment>
    <comment ref="H60" authorId="0" shapeId="0" xr:uid="{20375F7D-68D1-4A6C-AC3D-936C962EA75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5,350000
</t>
        </r>
      </text>
    </comment>
    <comment ref="T60" authorId="0" shapeId="0" xr:uid="{20BC29B7-F3E6-4846-AD27-20FF5F9FD8CC}">
      <text>
        <r>
          <rPr>
            <b/>
            <sz val="9"/>
            <color indexed="81"/>
            <rFont val="Tahoma"/>
            <family val="2"/>
          </rPr>
          <t>Maira Claro:RF 95,000</t>
        </r>
      </text>
    </comment>
    <comment ref="S99" authorId="0" shapeId="0" xr:uid="{E4E5DD21-4F26-4660-B2E9-0618270C506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Termina en Octubre y la cuota es por 453,600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X45" authorId="0" shapeId="0" xr:uid="{09A77043-A581-4478-BDD9-AFEFB31916E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DECONTO LA MITAD EN AFC Y PRESTAMO; SIGUIENTE MES SERIA NORMAL
</t>
        </r>
      </text>
    </comment>
    <comment ref="S46" authorId="0" shapeId="0" xr:uid="{BE1BE888-34CC-4396-BB14-57B3E0955AE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termina de pagar en Octubre 18
</t>
        </r>
      </text>
    </comment>
    <comment ref="H57" authorId="0" shapeId="0" xr:uid="{E0B4B5E6-0C04-460A-BEE6-B35CF66CFC2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5,350000
</t>
        </r>
      </text>
    </comment>
    <comment ref="T57" authorId="0" shapeId="0" xr:uid="{67D42F1C-27E9-4192-ABA4-36B3FFFC6839}">
      <text>
        <r>
          <rPr>
            <b/>
            <sz val="9"/>
            <color indexed="81"/>
            <rFont val="Tahoma"/>
            <family val="2"/>
          </rPr>
          <t>Maira Claro:RF 95,000</t>
        </r>
      </text>
    </comment>
    <comment ref="S97" authorId="0" shapeId="0" xr:uid="{91630CE6-0C54-4790-BBDD-D8F647B381B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Termina en Octubre y la cuota es por 453,600</t>
        </r>
      </text>
    </comment>
  </commentList>
</comments>
</file>

<file path=xl/sharedStrings.xml><?xml version="1.0" encoding="utf-8"?>
<sst xmlns="http://schemas.openxmlformats.org/spreadsheetml/2006/main" count="4634" uniqueCount="261">
  <si>
    <t>NOMINA MES DE ENERO 2018</t>
  </si>
  <si>
    <t xml:space="preserve"> </t>
  </si>
  <si>
    <t>DEVENGOS</t>
  </si>
  <si>
    <t>DEDUCCIONES</t>
  </si>
  <si>
    <t>No.</t>
  </si>
  <si>
    <t>Nombre</t>
  </si>
  <si>
    <t>MODALIDAD</t>
  </si>
  <si>
    <t>TIPO DE CONTRATO</t>
  </si>
  <si>
    <t>CARGO</t>
  </si>
  <si>
    <t>SUELDO MES</t>
  </si>
  <si>
    <t>No. Dìas</t>
  </si>
  <si>
    <t xml:space="preserve">SUELDO MES </t>
  </si>
  <si>
    <t>Subsidio Transporte</t>
  </si>
  <si>
    <t>Incapacidad</t>
  </si>
  <si>
    <t>Auxilios</t>
  </si>
  <si>
    <t>INT/ CESANTIAS</t>
  </si>
  <si>
    <t>VACACIONES Y/O CESANTIAS</t>
  </si>
  <si>
    <t>Devengos</t>
  </si>
  <si>
    <t>Salud</t>
  </si>
  <si>
    <t>PENSION+ FONDO DE SOLIDARIDAD</t>
  </si>
  <si>
    <t>Cooperativa</t>
  </si>
  <si>
    <t>DESCUENTO PRESTAMO</t>
  </si>
  <si>
    <t>RETENCION</t>
  </si>
  <si>
    <t>CUENTA AFC</t>
  </si>
  <si>
    <t>ANTICIPOS/ PREPAGADA</t>
  </si>
  <si>
    <t>Descuento por Prestamos</t>
  </si>
  <si>
    <t>Total Deducciones</t>
  </si>
  <si>
    <t>TOTAL A PAGAR</t>
  </si>
  <si>
    <t>NETO A PAGAR OCTUBRE</t>
  </si>
  <si>
    <t>ACE</t>
  </si>
  <si>
    <t>ALBERTO ALBEIRO ALMARIO VALBUENA</t>
  </si>
  <si>
    <t>NOMINA</t>
  </si>
  <si>
    <t>INDEFINIDO</t>
  </si>
  <si>
    <t>ALEJANDRO TOVAR ALVARADO</t>
  </si>
  <si>
    <t>ANA LUCIA ARBELAEZ BARBOSA</t>
  </si>
  <si>
    <t>ANA MARIA BARRIOS LEGIZAMON</t>
  </si>
  <si>
    <t>ANDRES HERRERA MALDONADO</t>
  </si>
  <si>
    <t>ANGELA ENITH RODRGUEZ MORENO</t>
  </si>
  <si>
    <t>OBRA LABOR</t>
  </si>
  <si>
    <t>AURORA VARGAS MORENO</t>
  </si>
  <si>
    <t>CARMEN ALEIDA QUINTERO REYES</t>
  </si>
  <si>
    <t>CHRYSTIAM DAVID MARTINEZ AVILA</t>
  </si>
  <si>
    <t>DIEGO ANDRES MONCADA VEGA</t>
  </si>
  <si>
    <t>EDGAR ALEXANDER ESPINOSA GONZALEZ</t>
  </si>
  <si>
    <t>EDISON DAVID TORRES RUIZ</t>
  </si>
  <si>
    <t xml:space="preserve">NOMINA </t>
  </si>
  <si>
    <t>EDWIN CIFUENTES GUERRERO</t>
  </si>
  <si>
    <t>GUSTAVO ANDRES CAMARGO DUQUE</t>
  </si>
  <si>
    <t>GUSTAVO IGNACIO MAGGI WULFF</t>
  </si>
  <si>
    <t>HECTOR GERMAN CHAPARRO RODRIGUEZ</t>
  </si>
  <si>
    <t>JAIME CARLOS SANMARTIN DAZA</t>
  </si>
  <si>
    <t>JAIRO ERNESTO MALAGON GAITAN</t>
  </si>
  <si>
    <t>JHON DAVID CARVAJAL RIVERA</t>
  </si>
  <si>
    <t>JIMMY ALEXANDER CIFUENTES</t>
  </si>
  <si>
    <t>JOHANA KARINA PELAEZ PUENTES</t>
  </si>
  <si>
    <t>JONATHAN MEZA SANTOS</t>
  </si>
  <si>
    <t>JOSE ANDRES MENESES QUINTERO</t>
  </si>
  <si>
    <t>JOSE GABRIEL AHUMADA SOTO</t>
  </si>
  <si>
    <t>JOSE RAFAEL GOMEZ GONZALEZ</t>
  </si>
  <si>
    <t>JUAN CAMILO MENDIETA SILVA</t>
  </si>
  <si>
    <t>JUAN MANUEL DIAZ ORTIZ</t>
  </si>
  <si>
    <t>JUAN PABLO VIVAS REINOSO</t>
  </si>
  <si>
    <t>JUAN RAMON BELTRAN ALFARO</t>
  </si>
  <si>
    <t>JULIAN ANDRES RAMIREZ CELIS</t>
  </si>
  <si>
    <t>KATTYA ALEXANDRA PEÑA NIETO</t>
  </si>
  <si>
    <t>LEIDY DIANA RODRIGUEZ SUAREZ</t>
  </si>
  <si>
    <t>LEONEL SIERRA MARTINEZ</t>
  </si>
  <si>
    <t xml:space="preserve">LUIS DANIEL HERRERA MALDONADO </t>
  </si>
  <si>
    <t>+</t>
  </si>
  <si>
    <t>LUISA FERNANDA GALINDO HIGUERA</t>
  </si>
  <si>
    <t>MANUEL EDUARDO HERNANDEZ RODRIGUEZ</t>
  </si>
  <si>
    <t>MANUELA RODRIGUEZ BENITEZ</t>
  </si>
  <si>
    <t>MONICA JULIETH SANCHEZ FUENTES</t>
  </si>
  <si>
    <t xml:space="preserve">NYDIA CASTILBLANCO MARIN </t>
  </si>
  <si>
    <t>OLIMARY GOMEZ CORONEL</t>
  </si>
  <si>
    <t>ORLANDO SUAREZ LABOTON</t>
  </si>
  <si>
    <t>OTTO DARLING NIETO GUERRERO</t>
  </si>
  <si>
    <t>RAMON ANTONIO SUAREZ BUITRAGO</t>
  </si>
  <si>
    <t>ROGER BARRIOS AMOROCHO</t>
  </si>
  <si>
    <t>SANDRA MILENA MENDEZ SASTRE</t>
  </si>
  <si>
    <t>SERGIO BAYARDO CORDOBA</t>
  </si>
  <si>
    <t>WILLIAM JOSE VIVAS ESCALANTE</t>
  </si>
  <si>
    <t>YOLIMA ROCIO MARTINEZ PULIDO</t>
  </si>
  <si>
    <t>EXSIS</t>
  </si>
  <si>
    <t>ADRIANA CAMILA LOAIZA</t>
  </si>
  <si>
    <t>ALVARO JAVIER BARBOSA</t>
  </si>
  <si>
    <t>ANGEL JULIAN  GONZALEZ PINZON</t>
  </si>
  <si>
    <t>ARIANA VALENTINA JIMENEZ PEDRAZA</t>
  </si>
  <si>
    <t>20 n</t>
  </si>
  <si>
    <t>CHABELI GINETH SINISTERRA PUSSEY</t>
  </si>
  <si>
    <t>CINDY VIVIANA MENDOZA VILLATE</t>
  </si>
  <si>
    <t>CLARA ISABEL PEDRAZA RUEDA</t>
  </si>
  <si>
    <t>CLARA MARIA VASQUEZ MOSQUERA</t>
  </si>
  <si>
    <t>CRISTHIAN CAMILO JIMENEZ VARON</t>
  </si>
  <si>
    <t>CRISTHIAN FELIPE GUERRERO PINEROS</t>
  </si>
  <si>
    <t>DAVID ALEXANDER OCAMPO</t>
  </si>
  <si>
    <t>DAVID CELIANO HERRERA  GUTIERREZ</t>
  </si>
  <si>
    <t>DAVID ENRIQUE MAHECHA SARMIENTO</t>
  </si>
  <si>
    <t>DAVID JAVIER AGUILAR RODRIGUEZ</t>
  </si>
  <si>
    <t>DAVID OBREGON SANCHEZ</t>
  </si>
  <si>
    <t>DIEGO MAURICIO ORTIZ PARADA</t>
  </si>
  <si>
    <t>DULIETH SANCHEZ PINTO</t>
  </si>
  <si>
    <t>APRENDIZ</t>
  </si>
  <si>
    <t>EDWAR CAMILO LONDOÑO SANCHEZ</t>
  </si>
  <si>
    <t>ELVER YESID MELO MONROY</t>
  </si>
  <si>
    <t xml:space="preserve">ERVID ALFRED MOLINA BARRIOS </t>
  </si>
  <si>
    <t xml:space="preserve">GERARDO ENRIQUE MENDEZ </t>
  </si>
  <si>
    <t>GINNA PAOLA CEPEDA LOMBANA</t>
  </si>
  <si>
    <t>JEAN JAIVER ORTIZ HENAO</t>
  </si>
  <si>
    <t>JEFFERSON STIVENS RODRIGUEZ RODRI</t>
  </si>
  <si>
    <t>JONATHAN BARICOT HERNANDEZ</t>
  </si>
  <si>
    <t>JOSE JAVIER SASTOQUE SANCHEZ</t>
  </si>
  <si>
    <t>JUAN CAMILO LARA LEON</t>
  </si>
  <si>
    <t>JUAN CARLOS RAMIREZ CASTRO</t>
  </si>
  <si>
    <t>JUAN DAVID MONROY</t>
  </si>
  <si>
    <t>JUAN FELIPE ARANGO MANRIQUE</t>
  </si>
  <si>
    <t>JUAN MANUEL CUESTAS BELTRAN</t>
  </si>
  <si>
    <t>JULI ANDREA AVILA GUTIERREZ</t>
  </si>
  <si>
    <t>JULIAN SEBASTIAN PEÑA CASTELLANOS</t>
  </si>
  <si>
    <t>KAREN ELIZABETH MORA DIAZ</t>
  </si>
  <si>
    <t>LEONARDO ARMERO BARBOSA</t>
  </si>
  <si>
    <t>LUIS EDGAR BERNAL CORREDOR</t>
  </si>
  <si>
    <t>MAIRA ALEJANDRA CLARO ROPERO</t>
  </si>
  <si>
    <t>MANUEL FERNANDO MUÑOZ GARCES</t>
  </si>
  <si>
    <t>MARIA TRANSITO PULIDO PARRA</t>
  </si>
  <si>
    <t xml:space="preserve">MENAJEM MENDEL SCHEJTER </t>
  </si>
  <si>
    <t>MERCEDES SALAMANCA CASTAÑEDA</t>
  </si>
  <si>
    <t>MICHAEL STEVEN BONILLA OROZCO</t>
  </si>
  <si>
    <t>MIGUEL ANGEL JIMENEZ NUÑEZ</t>
  </si>
  <si>
    <t>MIGUEL SEBASTIAN JIMENEZ</t>
  </si>
  <si>
    <t>NADIA CATALINA VELASQUEZ CENDALES</t>
  </si>
  <si>
    <t>NELSON JAVIER PINZON LOPEZ</t>
  </si>
  <si>
    <t>NESTOR FABIAN CASTILLO ROZO</t>
  </si>
  <si>
    <t>PATRICIA ISABEL PAIVA</t>
  </si>
  <si>
    <t>RAFAEL LEONARDO GONZALEZ CELIS</t>
  </si>
  <si>
    <t>RICARDO JAVIER ESTRADA SANCHEZ</t>
  </si>
  <si>
    <t>ROBERTO JOSE DUQUE DIASGRANADOS</t>
  </si>
  <si>
    <t>RONALD ANTONY ROJAS FORIGUA</t>
  </si>
  <si>
    <t>SANTIAGO ALVAREZ PORRAS</t>
  </si>
  <si>
    <t>SERGIO ANDRES RODRIGUEZ RODRIGUEZ</t>
  </si>
  <si>
    <t>SOFIA LORENA FAJARDO ESTEBAN</t>
  </si>
  <si>
    <t>TULIO ESTEBAN JIMENEZ VILLANUEVA</t>
  </si>
  <si>
    <t xml:space="preserve">WILLIAM ALEXANDER SIERRA GONZALEZ </t>
  </si>
  <si>
    <t xml:space="preserve">YERALDINE BONILLA BARRERA </t>
  </si>
  <si>
    <t xml:space="preserve">YULY ANDREA RIOS TAPIERO </t>
  </si>
  <si>
    <t>NOMINA MES DE FEBRERO 2018</t>
  </si>
  <si>
    <t>REEMBOLSO</t>
  </si>
  <si>
    <t>ADRIANA PILAR SOCHE CHAPARRO</t>
  </si>
  <si>
    <t>SEHILA SNEIDER LEON MARQUEZ</t>
  </si>
  <si>
    <t>NOMINA MES DE MARZO 2018</t>
  </si>
  <si>
    <t>GUILLERMO JUNIOR MENDOZA CANTILLO</t>
  </si>
  <si>
    <t>JESUS ALBERTO FLOREZ BARRIOS</t>
  </si>
  <si>
    <t>JHON JAIVER URQUIJO RODRIGUEZ</t>
  </si>
  <si>
    <t>LISSETTE TATIANA MORENO BOGOTA</t>
  </si>
  <si>
    <t>ROSMERY PERILLA GALINDO</t>
  </si>
  <si>
    <t>YAIR CASTRO RINCON</t>
  </si>
  <si>
    <t>CARLOS FERNANDO URIBE GUERRERO</t>
  </si>
  <si>
    <t>MAYRA ALEJANDRA AREVALO ALVAREZ</t>
  </si>
  <si>
    <t>NOMINA MES DE ABRIL DE  2018</t>
  </si>
  <si>
    <t>DESCUENTOS VARIOS</t>
  </si>
  <si>
    <t>BLANCA LIDIA ZABIETA GUERRERO</t>
  </si>
  <si>
    <t xml:space="preserve">DIEGO FERNEY CABEZAS MATTA </t>
  </si>
  <si>
    <t>FREDDY ALEXANDER MONTAÑA RAMIREZ</t>
  </si>
  <si>
    <t>OSIRIZ MATIZ ZAPATA</t>
  </si>
  <si>
    <t>ROSA MARIA LOPEZ URBANO</t>
  </si>
  <si>
    <t>NOMINA MES DE MAYO DE  2018</t>
  </si>
  <si>
    <t>CARLOS ENRIQUE MARIN MONRROY</t>
  </si>
  <si>
    <t>DIEGO ALEJANDRO AGUAS RAMIREZ</t>
  </si>
  <si>
    <t>HELVERT GIOVANNY WIESNER GONZALEZ</t>
  </si>
  <si>
    <t>MARCY VIVIANA DIAZ RIVERA</t>
  </si>
  <si>
    <t>DYLAN ANDREY HENAO BELLO</t>
  </si>
  <si>
    <t>NOMINA MES DE JUNIO DE  2018</t>
  </si>
  <si>
    <t>Vacaciones</t>
  </si>
  <si>
    <t>Prima</t>
  </si>
  <si>
    <t>Bonos Horas</t>
  </si>
  <si>
    <t>ANDRES ALFONSO JIMENEZ MEZA</t>
  </si>
  <si>
    <t>HUMBERTO JOSE ORTIZ LOPEZ</t>
  </si>
  <si>
    <t>JENNYFER PAOLA OLARTE CASTILLO</t>
  </si>
  <si>
    <t>SANDRA LUCIA RODRIGUEZ TORRES</t>
  </si>
  <si>
    <t>SIRLEY ZUBIETA MAHECHA</t>
  </si>
  <si>
    <t>PREPAGADA</t>
  </si>
  <si>
    <t>CARLOS ALFONSO FABREGAS MERIÑO</t>
  </si>
  <si>
    <t>CARLOS ARTURO PINZON MENDEZ</t>
  </si>
  <si>
    <t>CRYSTIAN JAIR VELANDIA CASTRO</t>
  </si>
  <si>
    <t>JULIO CESAR QUINTERO MARTINEZ</t>
  </si>
  <si>
    <t xml:space="preserve">                         </t>
  </si>
  <si>
    <t xml:space="preserve">                             </t>
  </si>
  <si>
    <t>DANIELA ANDREA CORDOBA ACOSTA</t>
  </si>
  <si>
    <t>JUAN DAVID ROJAS SANCHEZ</t>
  </si>
  <si>
    <t>NOMINA MES DE AGOSTO DE  2018</t>
  </si>
  <si>
    <t>EDAD</t>
  </si>
  <si>
    <t>AREA</t>
  </si>
  <si>
    <t xml:space="preserve">Ingeniero Senior </t>
  </si>
  <si>
    <t>OPERATIVO</t>
  </si>
  <si>
    <t>F</t>
  </si>
  <si>
    <t>M</t>
  </si>
  <si>
    <t>Analista de Negocios</t>
  </si>
  <si>
    <t xml:space="preserve">Analista de Negocios </t>
  </si>
  <si>
    <t>Ingeniero Senior</t>
  </si>
  <si>
    <t xml:space="preserve">OPERATIVO </t>
  </si>
  <si>
    <t>Gerente de Proyectos</t>
  </si>
  <si>
    <t>DIEGO FERNANDO BERNAL BARACALDO</t>
  </si>
  <si>
    <t xml:space="preserve">Gerente de Proyectos </t>
  </si>
  <si>
    <t xml:space="preserve">Lider Tecnico </t>
  </si>
  <si>
    <t xml:space="preserve">Arquitecto de Soluciones </t>
  </si>
  <si>
    <t xml:space="preserve">Ingeniero Junior </t>
  </si>
  <si>
    <t>FABRICA</t>
  </si>
  <si>
    <t xml:space="preserve">Ingeniera Senior </t>
  </si>
  <si>
    <t>Senior Project Manager(Budget and Quality Control)</t>
  </si>
  <si>
    <t xml:space="preserve">Ingeniero Senior/Biztalk </t>
  </si>
  <si>
    <t xml:space="preserve">Analista de Sistemas </t>
  </si>
  <si>
    <t>Administrador de Seguridad de la Información</t>
  </si>
  <si>
    <t>ADMINISTRATIVO</t>
  </si>
  <si>
    <t>Asistente comercial</t>
  </si>
  <si>
    <t xml:space="preserve">Aprendiz SENA  </t>
  </si>
  <si>
    <t>Ingeniera Junior</t>
  </si>
  <si>
    <t xml:space="preserve">Ejecutivo de Cuenta </t>
  </si>
  <si>
    <t xml:space="preserve">Ingeniero Semi Senior </t>
  </si>
  <si>
    <t>Diseñador Grafico</t>
  </si>
  <si>
    <t xml:space="preserve">Director de la Oficina de Poryectos e Innovación </t>
  </si>
  <si>
    <t xml:space="preserve">Analista de Recursos Humanos </t>
  </si>
  <si>
    <t>Ingeniero Junior</t>
  </si>
  <si>
    <t>Aprendiz SENA</t>
  </si>
  <si>
    <t>Coordinador de Proyectos</t>
  </si>
  <si>
    <t xml:space="preserve">Director de Operaciones y Recursos Humanos </t>
  </si>
  <si>
    <t xml:space="preserve">Director Financiero y Administrativo </t>
  </si>
  <si>
    <t xml:space="preserve">Auxiliar de Servicios Generales </t>
  </si>
  <si>
    <t xml:space="preserve">Gerente </t>
  </si>
  <si>
    <t xml:space="preserve">Director Comercial </t>
  </si>
  <si>
    <t xml:space="preserve">Director de Calidad </t>
  </si>
  <si>
    <t>SANDRA JULIETH GARCIA</t>
  </si>
  <si>
    <t xml:space="preserve">Analista de Operaciones y Servicios </t>
  </si>
  <si>
    <t>Servicios Generales</t>
  </si>
  <si>
    <t xml:space="preserve">Auxiliar Contable </t>
  </si>
  <si>
    <t>NOMINA MES DE SEPTIEMBRE DE  2018</t>
  </si>
  <si>
    <t>DUILYAN RODRIGUEZ BARRETO</t>
  </si>
  <si>
    <t>JOHN JULIO HERNANDEZ QUITIAN</t>
  </si>
  <si>
    <t>LUIS BERNARDO GOMEZ ESQUIVEL</t>
  </si>
  <si>
    <t>WALTER ANAIDO PINEDA GARCIA</t>
  </si>
  <si>
    <t>WILLIAM JESUS GINEZ MORENO</t>
  </si>
  <si>
    <t>WILSON OSWALDOMOSCOSO GUTIERREZ</t>
  </si>
  <si>
    <t>CRISTHIAN DAVID MARTINEZ MARTINEZ</t>
  </si>
  <si>
    <t>LAURA JULIANA GARCIA PINZON</t>
  </si>
  <si>
    <t>YOLLIANY ESTELA OYOLA PALENCIA</t>
  </si>
  <si>
    <t>NOMINA MES DE OCTUBRE DE  2018</t>
  </si>
  <si>
    <t>INCAPACIDADES</t>
  </si>
  <si>
    <t>CATHERINE GÓMEZ CESPEDES</t>
  </si>
  <si>
    <t>ERIKA ROCIO GOMEZ NUÑEZ</t>
  </si>
  <si>
    <t xml:space="preserve">ANGIE KATERINE VERGARA </t>
  </si>
  <si>
    <t xml:space="preserve">ANGIE TATIANA POSSO </t>
  </si>
  <si>
    <t>BRANDON SMITH BRAVO ORTIZ</t>
  </si>
  <si>
    <t>DAIRON ARTURO PERILLA LOPEZ</t>
  </si>
  <si>
    <t>MARIA LAURA JINETH RAMIREZ MENDEZ</t>
  </si>
  <si>
    <t>PAOLA JINETH ALVIS VALENCIA</t>
  </si>
  <si>
    <t>NOMINA MES DE NOVIEMBRE DE  2018</t>
  </si>
  <si>
    <t>LUZ ADRIANA MARTINEZ PAREDES</t>
  </si>
  <si>
    <t>APRENDIZAJE</t>
  </si>
  <si>
    <t>NELSON ENRIQUE HERRERA NOVOA</t>
  </si>
  <si>
    <t>NOMINA MES DE DICIEMBRE DE  2018</t>
  </si>
  <si>
    <t>LINA PATRICIA RAMIREZ TORO</t>
  </si>
  <si>
    <t>DAVID HERNANDEZ 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</si>
</sst>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5" formatCode="_-&quot;$&quot;* #,##0_-;\-&quot;$&quot;* #,##0_-;_-&quot;$&quot;* &quot;-&quot;??_-;_-@_-"/>
    <numFmt numFmtId="166" formatCode="_-[$$-240A]\ * #,##0_ ;_-[$$-240A]\ * \-#,##0\ ;_-[$$-240A]\ * &quot;-&quot;_ ;_-@_ "/>
    <numFmt numFmtId="168" formatCode="_(&quot;€&quot;* #,##0.00_);_(&quot;€&quot;* \(#,##0.00\);_(&quot;€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25">
    <xf numFmtId="0" fontId="0" fillId="0" borderId="0" xfId="0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/>
    </xf>
    <xf numFmtId="166" fontId="4" fillId="0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center" vertical="center"/>
    </xf>
    <xf numFmtId="3" fontId="4" fillId="0" borderId="4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center" vertical="center" wrapText="1"/>
    </xf>
    <xf numFmtId="166" fontId="3" fillId="3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3" fontId="4" fillId="0" borderId="1" xfId="1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3" borderId="1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168" fontId="3" fillId="0" borderId="0" xfId="1" applyNumberFormat="1" applyFont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43" fontId="3" fillId="0" borderId="0" xfId="1" applyFont="1" applyAlignment="1">
      <alignment horizontal="left" vertical="center"/>
    </xf>
    <xf numFmtId="3" fontId="3" fillId="0" borderId="0" xfId="2" applyNumberFormat="1" applyFont="1" applyAlignment="1">
      <alignment horizontal="center" vertical="center"/>
    </xf>
    <xf numFmtId="3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5" fontId="4" fillId="0" borderId="1" xfId="2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16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5" fontId="4" fillId="0" borderId="0" xfId="2" applyNumberFormat="1" applyFont="1" applyFill="1" applyAlignment="1">
      <alignment horizontal="center" vertical="center"/>
    </xf>
    <xf numFmtId="165" fontId="4" fillId="0" borderId="0" xfId="2" applyNumberFormat="1" applyFont="1" applyFill="1" applyBorder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165" fontId="4" fillId="0" borderId="0" xfId="2" applyNumberFormat="1" applyFont="1" applyFill="1" applyBorder="1" applyAlignment="1">
      <alignment horizontal="center" vertical="center" wrapText="1"/>
    </xf>
    <xf numFmtId="168" fontId="4" fillId="0" borderId="0" xfId="1" applyNumberFormat="1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 wrapText="1"/>
    </xf>
    <xf numFmtId="3" fontId="4" fillId="0" borderId="0" xfId="2" applyNumberFormat="1" applyFont="1" applyFill="1" applyBorder="1" applyAlignment="1">
      <alignment horizontal="center" vertical="center"/>
    </xf>
    <xf numFmtId="3" fontId="4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165" fontId="4" fillId="0" borderId="1" xfId="2" applyNumberFormat="1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horizontal="right" vertical="center"/>
    </xf>
    <xf numFmtId="3" fontId="4" fillId="0" borderId="0" xfId="0" applyNumberFormat="1" applyFont="1" applyFill="1" applyBorder="1" applyAlignment="1">
      <alignment vertical="center" wrapText="1"/>
    </xf>
    <xf numFmtId="3" fontId="4" fillId="0" borderId="0" xfId="0" applyNumberFormat="1" applyFont="1" applyFill="1" applyBorder="1" applyAlignment="1">
      <alignment horizontal="left" vertical="center"/>
    </xf>
    <xf numFmtId="43" fontId="4" fillId="0" borderId="0" xfId="1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3" fontId="4" fillId="0" borderId="5" xfId="0" applyNumberFormat="1" applyFont="1" applyFill="1" applyBorder="1" applyAlignment="1">
      <alignment horizontal="center" vertical="center"/>
    </xf>
    <xf numFmtId="3" fontId="4" fillId="0" borderId="8" xfId="0" applyNumberFormat="1" applyFont="1" applyFill="1" applyBorder="1" applyAlignment="1">
      <alignment horizontal="center" vertical="center"/>
    </xf>
    <xf numFmtId="3" fontId="4" fillId="0" borderId="9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1" fontId="5" fillId="0" borderId="1" xfId="4" applyNumberFormat="1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1" fontId="5" fillId="0" borderId="3" xfId="4" applyNumberFormat="1" applyFont="1" applyFill="1" applyBorder="1" applyAlignment="1">
      <alignment horizontal="center" vertical="center" wrapText="1"/>
    </xf>
    <xf numFmtId="0" fontId="5" fillId="0" borderId="3" xfId="4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5" fillId="0" borderId="1" xfId="4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/>
    </xf>
    <xf numFmtId="166" fontId="4" fillId="0" borderId="16" xfId="0" applyNumberFormat="1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3" fontId="4" fillId="0" borderId="19" xfId="0" applyNumberFormat="1" applyFont="1" applyFill="1" applyBorder="1" applyAlignment="1">
      <alignment horizontal="center" vertical="center"/>
    </xf>
    <xf numFmtId="3" fontId="4" fillId="0" borderId="20" xfId="0" applyNumberFormat="1" applyFont="1" applyFill="1" applyBorder="1" applyAlignment="1">
      <alignment horizontal="center" vertical="center"/>
    </xf>
    <xf numFmtId="42" fontId="4" fillId="0" borderId="0" xfId="3" applyFont="1" applyFill="1" applyAlignment="1">
      <alignment horizontal="center" vertical="center"/>
    </xf>
  </cellXfs>
  <cellStyles count="5">
    <cellStyle name="Bueno" xfId="4" builtinId="26"/>
    <cellStyle name="Millares" xfId="1" builtinId="3"/>
    <cellStyle name="Moneda" xfId="2" builtinId="4"/>
    <cellStyle name="Moneda [0]" xfId="3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uarios\maira%20claro\Downloads\Copia%20de%20FT_135%20Perfil%20Sociodemografico%20Enero%20-%20Junio%20de%202018.xlsx-revHEAD.svn002.t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fil Sociodemografico"/>
      <sheetName val="Perfil Sociede. Retirado"/>
      <sheetName val="Hoja1"/>
    </sheetNames>
    <sheetDataSet>
      <sheetData sheetId="0">
        <row r="8">
          <cell r="F8" t="str">
            <v>CALLE 95 # 71-75 INT 6 APT 1501</v>
          </cell>
          <cell r="G8" t="str">
            <v xml:space="preserve">Pontevedra </v>
          </cell>
        </row>
        <row r="9">
          <cell r="F9" t="str">
            <v>DIAGONAL 44S # 23-40</v>
          </cell>
          <cell r="G9" t="str">
            <v>Tunal</v>
          </cell>
        </row>
        <row r="11">
          <cell r="F11" t="str">
            <v>CALLE 68 SUR # 95-80 TORRE 3 APT 401</v>
          </cell>
          <cell r="G11" t="str">
            <v>Julio Flores</v>
          </cell>
        </row>
        <row r="12">
          <cell r="F12" t="str">
            <v>CALLE 36 SUR # 68G - 29</v>
          </cell>
          <cell r="G12" t="str">
            <v xml:space="preserve">Floralia </v>
          </cell>
        </row>
        <row r="13">
          <cell r="F13" t="str">
            <v xml:space="preserve">CARRERA 103 # 74-74 SUR </v>
          </cell>
          <cell r="G13" t="str">
            <v xml:space="preserve">Metrovivienda </v>
          </cell>
        </row>
        <row r="14">
          <cell r="F14" t="str">
            <v xml:space="preserve">AV CALE 63 # 73A -31 APTO 601 </v>
          </cell>
          <cell r="G14" t="str">
            <v xml:space="preserve">Normadia </v>
          </cell>
        </row>
        <row r="15">
          <cell r="F15" t="str">
            <v>CALLE 14A # 81-23</v>
          </cell>
          <cell r="G15" t="str">
            <v>Favidi</v>
          </cell>
        </row>
        <row r="17">
          <cell r="F17" t="str">
            <v>CALLE 169 # 48-10 TORRE 2 APT 202</v>
          </cell>
          <cell r="G17" t="str">
            <v xml:space="preserve">Granada Norte </v>
          </cell>
        </row>
        <row r="18">
          <cell r="F18" t="str">
            <v>CALLE 63A # 68G-16</v>
          </cell>
          <cell r="G18" t="str">
            <v xml:space="preserve">Bosque Popular </v>
          </cell>
        </row>
        <row r="19">
          <cell r="F19" t="str">
            <v xml:space="preserve">CARRERA 15 # 29-49 </v>
          </cell>
          <cell r="G19" t="str">
            <v xml:space="preserve">Funza </v>
          </cell>
        </row>
        <row r="21">
          <cell r="F21" t="str">
            <v>CARRERA 71 # 58- 50 SUR INT 4 APT 202</v>
          </cell>
          <cell r="G21" t="str">
            <v xml:space="preserve">Balmoral </v>
          </cell>
        </row>
        <row r="23">
          <cell r="F23" t="str">
            <v xml:space="preserve">CALLE 18 SUR # 69 - 70 </v>
          </cell>
          <cell r="G23" t="str">
            <v xml:space="preserve">Villa Claudia </v>
          </cell>
        </row>
        <row r="24">
          <cell r="F24" t="str">
            <v>Carrera 22 # 63 A -41</v>
          </cell>
          <cell r="G24" t="str">
            <v>La Soledad</v>
          </cell>
        </row>
        <row r="25">
          <cell r="F25" t="str">
            <v xml:space="preserve">CARRERA 55 # 149-09 CASA 20 </v>
          </cell>
          <cell r="G25" t="str">
            <v xml:space="preserve">Mazuren </v>
          </cell>
        </row>
        <row r="26">
          <cell r="F26" t="str">
            <v xml:space="preserve">CARRERA 78 K # 50-54 SUR </v>
          </cell>
          <cell r="G26" t="str">
            <v>Catalina I</v>
          </cell>
        </row>
        <row r="27">
          <cell r="F27" t="str">
            <v xml:space="preserve">CARRERA 90 A# 5A -45 SUR </v>
          </cell>
          <cell r="G27" t="str">
            <v xml:space="preserve">Primavera del Tintal </v>
          </cell>
        </row>
        <row r="28">
          <cell r="F28" t="str">
            <v>CALLE 152 # 56-75  INT 5 APT 204</v>
          </cell>
          <cell r="G28" t="str">
            <v>Mazuren 23</v>
          </cell>
        </row>
        <row r="29">
          <cell r="F29" t="str">
            <v xml:space="preserve">CALLE 64i # 76a - 43  </v>
          </cell>
          <cell r="G29" t="str">
            <v xml:space="preserve">Villa Luz </v>
          </cell>
        </row>
        <row r="30">
          <cell r="F30" t="str">
            <v>CALLE 29A SUR #35-10 APTO 501</v>
          </cell>
          <cell r="G30" t="str">
            <v>Los sauces</v>
          </cell>
        </row>
        <row r="32">
          <cell r="F32" t="str">
            <v xml:space="preserve">CARRERA 57 B # 65 - 55 INT 7 APT 203 </v>
          </cell>
          <cell r="G32" t="str">
            <v>Modelo Norte</v>
          </cell>
        </row>
        <row r="33">
          <cell r="F33" t="str">
            <v>CARRERA 69H # 63C-75</v>
          </cell>
          <cell r="G33" t="str">
            <v>Bosque Popular</v>
          </cell>
        </row>
        <row r="34">
          <cell r="F34" t="str">
            <v>CARRERRA 58C # 152B-22</v>
          </cell>
          <cell r="G34" t="str">
            <v xml:space="preserve">Colina </v>
          </cell>
        </row>
        <row r="36">
          <cell r="F36" t="str">
            <v xml:space="preserve">CARRERA 12 # 140-42 </v>
          </cell>
          <cell r="G36" t="str">
            <v>Cedritos</v>
          </cell>
        </row>
        <row r="37">
          <cell r="F37" t="str">
            <v xml:space="preserve">CARRERA 8F # 166 - 34 </v>
          </cell>
          <cell r="G37" t="str">
            <v>Santa Teresa</v>
          </cell>
        </row>
        <row r="38">
          <cell r="F38" t="str">
            <v>CALLE 45 # 98B-65 TORRE 6 APTO. 104</v>
          </cell>
          <cell r="G38" t="str">
            <v>Valle de Lili</v>
          </cell>
        </row>
        <row r="39">
          <cell r="F39" t="str">
            <v>CALLE 153 # 97B - 63</v>
          </cell>
          <cell r="G39" t="str">
            <v xml:space="preserve">Pinar de Suba </v>
          </cell>
        </row>
        <row r="40">
          <cell r="F40" t="str">
            <v>CALLE 71A # 17 - 15 APT 101</v>
          </cell>
          <cell r="G40" t="str">
            <v xml:space="preserve">Colombia Barrio </v>
          </cell>
        </row>
        <row r="41">
          <cell r="F41" t="str">
            <v>CARRERA 98 # 2-44 APT 1005 TORRE 3</v>
          </cell>
          <cell r="G41" t="str">
            <v>Calandamia</v>
          </cell>
        </row>
        <row r="42">
          <cell r="F42" t="str">
            <v>CALLE 65B # 8-59 INTE 3 APTA 503</v>
          </cell>
          <cell r="G42" t="str">
            <v>Alamos Norte</v>
          </cell>
        </row>
        <row r="43">
          <cell r="F43" t="str">
            <v xml:space="preserve">CALLE 185 # 17 - 22 </v>
          </cell>
          <cell r="G43" t="str">
            <v>Verbenal</v>
          </cell>
        </row>
        <row r="45">
          <cell r="F45" t="str">
            <v>CARRERA 17 # 173-52 TORRE 5 APTO 401</v>
          </cell>
          <cell r="G45" t="str">
            <v>Batán</v>
          </cell>
        </row>
        <row r="46">
          <cell r="F46" t="str">
            <v xml:space="preserve">CALLE 44 # 17-20 ESTE  </v>
          </cell>
          <cell r="G46" t="str">
            <v xml:space="preserve">Julio Rincon </v>
          </cell>
        </row>
        <row r="47">
          <cell r="F47" t="str">
            <v>DIAGONAL 77 B # 120A - 45 APTO 1201</v>
          </cell>
          <cell r="G47" t="str">
            <v xml:space="preserve">Villas de Granada </v>
          </cell>
        </row>
        <row r="48">
          <cell r="F48" t="str">
            <v xml:space="preserve">CARRERA 9 ESTE # 38- 60 </v>
          </cell>
          <cell r="G48" t="str">
            <v xml:space="preserve">San Mateo </v>
          </cell>
        </row>
        <row r="49">
          <cell r="F49" t="str">
            <v xml:space="preserve">DIAGONAL 51 A # 25-15 SUR </v>
          </cell>
          <cell r="G49" t="str">
            <v>Tunal</v>
          </cell>
        </row>
        <row r="50">
          <cell r="F50" t="str">
            <v>DIAGONAL 52 SUR # 28-31</v>
          </cell>
          <cell r="G50" t="str">
            <v>El Carmen</v>
          </cell>
        </row>
        <row r="52">
          <cell r="F52" t="str">
            <v>CARRERA 23 # 137-16 APT 505</v>
          </cell>
          <cell r="G52" t="str">
            <v xml:space="preserve">Alkala </v>
          </cell>
        </row>
        <row r="53">
          <cell r="F53" t="str">
            <v>CALLE 163 # 64C -85</v>
          </cell>
          <cell r="G53" t="str">
            <v xml:space="preserve">San Cipriano </v>
          </cell>
        </row>
        <row r="54">
          <cell r="F54" t="str">
            <v>CALLE 74 SUR # 78F-70</v>
          </cell>
          <cell r="G54" t="str">
            <v>Bosa Villa Anny</v>
          </cell>
        </row>
        <row r="55">
          <cell r="F55" t="str">
            <v xml:space="preserve">CALLE 16 SUR # 28 -18 </v>
          </cell>
          <cell r="G55" t="str">
            <v>Fragua</v>
          </cell>
        </row>
        <row r="56">
          <cell r="F56" t="str">
            <v xml:space="preserve">CALLE 45 # 25ª – 59 </v>
          </cell>
          <cell r="G56" t="str">
            <v>Villa María</v>
          </cell>
        </row>
        <row r="57">
          <cell r="F57" t="str">
            <v xml:space="preserve">CALLE 19 # 18A - 02 </v>
          </cell>
          <cell r="G57" t="str">
            <v xml:space="preserve">Remanso </v>
          </cell>
        </row>
        <row r="58">
          <cell r="F58" t="str">
            <v xml:space="preserve">CARRERA 4 BIS # 56 -18 SUR </v>
          </cell>
          <cell r="G58" t="str">
            <v>Danubio Azul</v>
          </cell>
        </row>
        <row r="59">
          <cell r="F59" t="str">
            <v xml:space="preserve">CARRERA 112 ABIS # 71 C -18 </v>
          </cell>
          <cell r="G59" t="str">
            <v xml:space="preserve">Villas de Granada </v>
          </cell>
        </row>
        <row r="60">
          <cell r="F60" t="str">
            <v xml:space="preserve">CALLE 156 A # 105-11 </v>
          </cell>
          <cell r="G60" t="str">
            <v xml:space="preserve">Villa Esperanza </v>
          </cell>
        </row>
        <row r="61">
          <cell r="F61" t="str">
            <v>CALLE 187 # 19 A - 85 APT 306</v>
          </cell>
          <cell r="G61" t="str">
            <v>Verbenal</v>
          </cell>
        </row>
        <row r="62">
          <cell r="F62" t="str">
            <v xml:space="preserve">CALLE 25 C BIS # 73B- 15 </v>
          </cell>
          <cell r="G62" t="str">
            <v xml:space="preserve">Modelia </v>
          </cell>
        </row>
        <row r="63">
          <cell r="F63" t="str">
            <v>CALLE 86 # 69 H - 40 TORRE 2 APT 1610</v>
          </cell>
          <cell r="G63" t="str">
            <v>Santa Rosa</v>
          </cell>
        </row>
        <row r="64">
          <cell r="F64" t="str">
            <v>CARRERA 18 # 23A - 04 APT 101</v>
          </cell>
          <cell r="G64" t="str">
            <v>Santafe</v>
          </cell>
        </row>
        <row r="65">
          <cell r="F65" t="str">
            <v xml:space="preserve">CARRERA 102 # 86A -46 INTE 16 APT 402 </v>
          </cell>
          <cell r="G65" t="str">
            <v xml:space="preserve">Bochica </v>
          </cell>
        </row>
        <row r="66">
          <cell r="F66" t="str">
            <v>CARRERA 68B # 75A - 17 Interior 3 Apar 401</v>
          </cell>
          <cell r="G66" t="str">
            <v xml:space="preserve">Metropolis </v>
          </cell>
        </row>
        <row r="67">
          <cell r="F67" t="str">
            <v>CALLE 24 BIS # 85B- 55</v>
          </cell>
          <cell r="G67" t="str">
            <v xml:space="preserve">Modelia </v>
          </cell>
        </row>
        <row r="68">
          <cell r="F68" t="str">
            <v xml:space="preserve">CALLE 58 A SUR # 99 B - 21 </v>
          </cell>
          <cell r="G68" t="str">
            <v>Bosa Santa Barbara</v>
          </cell>
        </row>
        <row r="69">
          <cell r="F69" t="str">
            <v>CALLE 29 SUR # 29C-59 INTERIOR 4 PISO 3</v>
          </cell>
          <cell r="G69" t="str">
            <v>Santander</v>
          </cell>
        </row>
        <row r="70">
          <cell r="F70" t="str">
            <v>CARRERA 53C # 129B-37</v>
          </cell>
          <cell r="G70" t="str">
            <v xml:space="preserve">Prado Veraniego </v>
          </cell>
        </row>
        <row r="71">
          <cell r="F71" t="str">
            <v>CARRERA 51 # 176 - 66  PISO 2</v>
          </cell>
          <cell r="G71" t="str">
            <v xml:space="preserve">Nueva Zelandia </v>
          </cell>
        </row>
        <row r="72">
          <cell r="F72" t="str">
            <v xml:space="preserve">CALLE 145 # 46-13 INT 3 APT 601 </v>
          </cell>
          <cell r="G72" t="str">
            <v xml:space="preserve">Prado Pinzon </v>
          </cell>
        </row>
        <row r="73">
          <cell r="F73" t="str">
            <v xml:space="preserve">CALLE 152 # 53- 60 INT 13 APT 301 </v>
          </cell>
          <cell r="G73" t="str">
            <v>Mazuren</v>
          </cell>
        </row>
        <row r="75">
          <cell r="F75" t="str">
            <v xml:space="preserve">CARRERA 81 B # 11D-14 </v>
          </cell>
          <cell r="G75" t="str">
            <v>Santa Catalina</v>
          </cell>
        </row>
        <row r="76">
          <cell r="F76" t="str">
            <v>CARRERA 2B # 17-17</v>
          </cell>
          <cell r="G76" t="str">
            <v xml:space="preserve">El Dorado </v>
          </cell>
        </row>
        <row r="77">
          <cell r="F77" t="str">
            <v>CARRERA 6 # 21A -41 Casa 7</v>
          </cell>
          <cell r="G77" t="str">
            <v>Chía</v>
          </cell>
        </row>
        <row r="78">
          <cell r="F78" t="str">
            <v>CARRERA 53 C # 134 - 29</v>
          </cell>
          <cell r="G78" t="str">
            <v xml:space="preserve">Colina </v>
          </cell>
        </row>
        <row r="79">
          <cell r="F79" t="str">
            <v>CALLE 58 # 18-43</v>
          </cell>
          <cell r="G79" t="str">
            <v xml:space="preserve">San Luis </v>
          </cell>
        </row>
        <row r="80">
          <cell r="F80" t="str">
            <v>Calle 30D SUR #5A 20 PISO 1</v>
          </cell>
          <cell r="G80" t="str">
            <v xml:space="preserve">Modelia </v>
          </cell>
        </row>
        <row r="81">
          <cell r="F81" t="str">
            <v xml:space="preserve">CALLE 30 D SUR # 5A -20 </v>
          </cell>
          <cell r="G81" t="str">
            <v xml:space="preserve">20 de Julio </v>
          </cell>
        </row>
        <row r="82">
          <cell r="F82" t="str">
            <v>CARRERA 61 # 103B - 60</v>
          </cell>
          <cell r="G82" t="str">
            <v xml:space="preserve">Pasadena </v>
          </cell>
        </row>
        <row r="83">
          <cell r="F83" t="str">
            <v>CALLE 43B # 3-27</v>
          </cell>
          <cell r="G83" t="str">
            <v xml:space="preserve">San Miguel </v>
          </cell>
        </row>
        <row r="86">
          <cell r="F86" t="str">
            <v xml:space="preserve">CALLE 22 SUR # 68 H -15 </v>
          </cell>
          <cell r="G86" t="str">
            <v xml:space="preserve">Villa Claudia </v>
          </cell>
        </row>
        <row r="88">
          <cell r="F88" t="str">
            <v>CALLE 162 # 55C -80</v>
          </cell>
          <cell r="G88" t="str">
            <v>Cantalejo</v>
          </cell>
        </row>
        <row r="89">
          <cell r="F89" t="str">
            <v xml:space="preserve">CARRERA 88 # 26 -47 SUR </v>
          </cell>
          <cell r="G89" t="str">
            <v xml:space="preserve">Patio Bonito </v>
          </cell>
        </row>
        <row r="90">
          <cell r="F90" t="str">
            <v>TRANSVERSAL 5C # 127- 70</v>
          </cell>
          <cell r="G90" t="str">
            <v xml:space="preserve">Tibavita </v>
          </cell>
        </row>
        <row r="91">
          <cell r="F91" t="str">
            <v>CALLE 187 # 55 -55 INT 6 APT 302</v>
          </cell>
          <cell r="G91" t="str">
            <v xml:space="preserve">Mirandela </v>
          </cell>
        </row>
        <row r="92">
          <cell r="F92" t="str">
            <v>CARRERA 54A BIS # 174 A -22</v>
          </cell>
          <cell r="G92" t="str">
            <v xml:space="preserve">Villa del Prado </v>
          </cell>
        </row>
        <row r="93">
          <cell r="F93" t="str">
            <v xml:space="preserve">CALLE 77 B # 129 - 70 TORRE 2 APTO 605 </v>
          </cell>
          <cell r="G93" t="str">
            <v xml:space="preserve">Villas de Granada </v>
          </cell>
        </row>
        <row r="94">
          <cell r="F94" t="str">
            <v xml:space="preserve">CALLE 58F SUR # 48-02 </v>
          </cell>
          <cell r="G94" t="str">
            <v xml:space="preserve">La Coruña </v>
          </cell>
        </row>
        <row r="95">
          <cell r="F95" t="str">
            <v>CALLE 40 J # 74 -95 SUR</v>
          </cell>
          <cell r="G95" t="str">
            <v xml:space="preserve">Timiza </v>
          </cell>
        </row>
        <row r="96">
          <cell r="F96" t="str">
            <v>CARRERA 16 ESTE # 36 -95  CASA 2208</v>
          </cell>
          <cell r="G96" t="str">
            <v xml:space="preserve">San Mateo </v>
          </cell>
        </row>
        <row r="97">
          <cell r="F97" t="str">
            <v xml:space="preserve">CARRERA 4 BIS ESTE # 82 - 46 SUR </v>
          </cell>
          <cell r="G97" t="str">
            <v>Yomasa Sector 2</v>
          </cell>
        </row>
        <row r="98">
          <cell r="F98" t="str">
            <v>CALLE 191 A # 11A - 25</v>
          </cell>
          <cell r="G98" t="str">
            <v xml:space="preserve">Tibavita </v>
          </cell>
        </row>
        <row r="99">
          <cell r="F99" t="str">
            <v xml:space="preserve">CARRERA 11A # 191A -52 INTE 8 APART 204 </v>
          </cell>
          <cell r="G99" t="str">
            <v xml:space="preserve">San Carlos </v>
          </cell>
        </row>
        <row r="100">
          <cell r="F100" t="str">
            <v>CALLE 117 A # 9-21 APT 305</v>
          </cell>
          <cell r="G100" t="str">
            <v xml:space="preserve">Santa Barbara </v>
          </cell>
        </row>
        <row r="101">
          <cell r="F101" t="str">
            <v xml:space="preserve">CARRERA 1 ESTE # 47 -27 SUR </v>
          </cell>
          <cell r="G101" t="str">
            <v xml:space="preserve">Peninsula </v>
          </cell>
        </row>
        <row r="102">
          <cell r="F102" t="str">
            <v>CALLE 20B # 104 -30</v>
          </cell>
          <cell r="G102"/>
        </row>
        <row r="103">
          <cell r="F103" t="str">
            <v>CALLE 11A # 79A - 60 APTO 103</v>
          </cell>
          <cell r="G103" t="str">
            <v xml:space="preserve">Castilla </v>
          </cell>
        </row>
        <row r="104">
          <cell r="F104" t="str">
            <v xml:space="preserve">CARRERA 72 H # 56-43 SUR </v>
          </cell>
          <cell r="G104" t="str">
            <v>Nuevo Chile</v>
          </cell>
        </row>
        <row r="105">
          <cell r="F105" t="str">
            <v>TRANSVERSAL 5C # 127- 70</v>
          </cell>
          <cell r="G105" t="str">
            <v xml:space="preserve">Bella Suiza </v>
          </cell>
        </row>
        <row r="106">
          <cell r="F106" t="str">
            <v>CARRERA 10A # 52-10 SUR</v>
          </cell>
          <cell r="G106" t="str">
            <v>Abraham Lincoln</v>
          </cell>
        </row>
        <row r="107">
          <cell r="F107" t="str">
            <v>CALLE 9C BIS # 68G-29 TORRE 4 APT 1204</v>
          </cell>
          <cell r="G107" t="str">
            <v xml:space="preserve">Marsella </v>
          </cell>
        </row>
        <row r="108">
          <cell r="F108" t="str">
            <v xml:space="preserve">CALLE 67 # 65-25 SUR </v>
          </cell>
          <cell r="G108" t="str">
            <v xml:space="preserve">Madelena </v>
          </cell>
        </row>
        <row r="109">
          <cell r="F109" t="str">
            <v>CARRERA 112 A BIS # 71 C - 96 ETAPA I, CASA 218</v>
          </cell>
          <cell r="G109" t="str">
            <v>Villas de Alcalá</v>
          </cell>
        </row>
        <row r="110">
          <cell r="F110" t="str">
            <v>CALLE 163B #50 - 80 INT 5 APTO 115</v>
          </cell>
          <cell r="G110" t="str">
            <v xml:space="preserve">Granada Norte </v>
          </cell>
        </row>
        <row r="111">
          <cell r="F111" t="str">
            <v>CARRERA 80 B # 6 -25 APT 404 INT 1</v>
          </cell>
          <cell r="G111" t="str">
            <v xml:space="preserve">Castilla </v>
          </cell>
        </row>
        <row r="112">
          <cell r="F112" t="str">
            <v>CARRERA 92 # 74-46 SUR TA 8 APT103</v>
          </cell>
          <cell r="G112" t="str">
            <v xml:space="preserve">Bosa </v>
          </cell>
        </row>
        <row r="113">
          <cell r="F113" t="str">
            <v xml:space="preserve">CALLE 22 BIS # 48 - 65 APT 505 </v>
          </cell>
          <cell r="G113" t="str">
            <v xml:space="preserve">Quinta Paredes </v>
          </cell>
        </row>
        <row r="114">
          <cell r="F114" t="str">
            <v xml:space="preserve">CARRERA 13 # 17 - 18 </v>
          </cell>
          <cell r="G114" t="str">
            <v xml:space="preserve">Centro </v>
          </cell>
        </row>
        <row r="115">
          <cell r="F115" t="str">
            <v xml:space="preserve">CALLE 72 B # 90-53 </v>
          </cell>
          <cell r="G115" t="str">
            <v xml:space="preserve">Los Campos </v>
          </cell>
        </row>
        <row r="116">
          <cell r="F116" t="str">
            <v xml:space="preserve">CARRERA 77 Y BIS # 45-47 </v>
          </cell>
          <cell r="G116" t="str">
            <v xml:space="preserve">Kennedy </v>
          </cell>
        </row>
        <row r="118">
          <cell r="F118" t="str">
            <v>Cra 109A # 150B-79</v>
          </cell>
          <cell r="G118" t="str">
            <v>Suba</v>
          </cell>
        </row>
        <row r="120">
          <cell r="F120" t="str">
            <v>CALLE 134 A # 53-82</v>
          </cell>
          <cell r="G120" t="str">
            <v xml:space="preserve">Prado Veraniego </v>
          </cell>
        </row>
        <row r="121">
          <cell r="F121" t="str">
            <v xml:space="preserve">CARRERRA 75 # 57 R- 15 SUR </v>
          </cell>
          <cell r="G121" t="str">
            <v xml:space="preserve">Galicia </v>
          </cell>
        </row>
        <row r="122">
          <cell r="F122" t="str">
            <v xml:space="preserve">CALLE 5 # 1 - 00 </v>
          </cell>
          <cell r="G122" t="str">
            <v xml:space="preserve">San Miguel </v>
          </cell>
        </row>
        <row r="123">
          <cell r="F123" t="str">
            <v>CALLE 74 # 80-46</v>
          </cell>
          <cell r="G123" t="str">
            <v xml:space="preserve">Tabora 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2"/>
  <sheetViews>
    <sheetView workbookViewId="0">
      <selection activeCell="C5" sqref="C5"/>
    </sheetView>
  </sheetViews>
  <sheetFormatPr baseColWidth="10" defaultRowHeight="12" x14ac:dyDescent="0.25"/>
  <cols>
    <col min="1" max="1" width="6.7109375" style="62" customWidth="1"/>
    <col min="2" max="2" width="4.85546875" style="62" customWidth="1"/>
    <col min="3" max="3" width="32.28515625" style="13" customWidth="1"/>
    <col min="4" max="4" width="8.5703125" style="62" customWidth="1"/>
    <col min="5" max="5" width="10.85546875" style="71" customWidth="1"/>
    <col min="6" max="6" width="4.42578125" style="71" customWidth="1"/>
    <col min="7" max="7" width="14.42578125" style="71" bestFit="1" customWidth="1"/>
    <col min="8" max="8" width="11.42578125" style="71" bestFit="1" customWidth="1"/>
    <col min="9" max="9" width="11.28515625" style="71" customWidth="1"/>
    <col min="10" max="12" width="12.42578125" style="71" bestFit="1" customWidth="1"/>
    <col min="13" max="13" width="13.42578125" style="71" bestFit="1" customWidth="1"/>
    <col min="14" max="15" width="12.42578125" style="71" bestFit="1" customWidth="1"/>
    <col min="16" max="16" width="11.42578125" style="71" bestFit="1" customWidth="1"/>
    <col min="17" max="17" width="11.28515625" style="71" hidden="1" customWidth="1"/>
    <col min="18" max="18" width="11.42578125" style="71" bestFit="1" customWidth="1"/>
    <col min="19" max="19" width="12.42578125" style="71" bestFit="1" customWidth="1"/>
    <col min="20" max="20" width="11.42578125" style="71" bestFit="1" customWidth="1"/>
    <col min="21" max="21" width="15.85546875" style="71" bestFit="1" customWidth="1"/>
    <col min="22" max="22" width="12.42578125" style="71" bestFit="1" customWidth="1"/>
    <col min="23" max="23" width="18" style="62" bestFit="1" customWidth="1"/>
    <col min="24" max="24" width="1.7109375" style="62" customWidth="1"/>
    <col min="25" max="25" width="1.85546875" style="69" customWidth="1"/>
    <col min="26" max="26" width="27.28515625" style="62" customWidth="1"/>
    <col min="27" max="27" width="11.5703125" style="62" bestFit="1" customWidth="1"/>
    <col min="28" max="28" width="11.85546875" style="62" bestFit="1" customWidth="1"/>
    <col min="29" max="29" width="11.5703125" style="62" bestFit="1" customWidth="1"/>
    <col min="30" max="248" width="11.42578125" style="62"/>
    <col min="249" max="249" width="10.5703125" style="62" customWidth="1"/>
    <col min="250" max="250" width="4.85546875" style="62" customWidth="1"/>
    <col min="251" max="251" width="32.42578125" style="62" customWidth="1"/>
    <col min="252" max="252" width="9.85546875" style="62" customWidth="1"/>
    <col min="253" max="253" width="10.140625" style="62" customWidth="1"/>
    <col min="254" max="254" width="12.28515625" style="62" customWidth="1"/>
    <col min="255" max="255" width="15.42578125" style="62" customWidth="1"/>
    <col min="256" max="256" width="11.85546875" style="62" customWidth="1"/>
    <col min="257" max="257" width="13.28515625" style="62" customWidth="1"/>
    <col min="258" max="258" width="15.28515625" style="62" customWidth="1"/>
    <col min="259" max="259" width="11.85546875" style="62" customWidth="1"/>
    <col min="260" max="260" width="6.140625" style="62" customWidth="1"/>
    <col min="261" max="261" width="11.85546875" style="62" customWidth="1"/>
    <col min="262" max="262" width="9.42578125" style="62" customWidth="1"/>
    <col min="263" max="263" width="14.7109375" style="62" customWidth="1"/>
    <col min="264" max="264" width="11.5703125" style="62" customWidth="1"/>
    <col min="265" max="265" width="0.42578125" style="62" customWidth="1"/>
    <col min="266" max="266" width="10.5703125" style="62" bestFit="1" customWidth="1"/>
    <col min="267" max="267" width="12.28515625" style="62" customWidth="1"/>
    <col min="268" max="268" width="12.5703125" style="62" customWidth="1"/>
    <col min="269" max="269" width="10.5703125" style="62" customWidth="1"/>
    <col min="270" max="270" width="10.140625" style="62" customWidth="1"/>
    <col min="271" max="271" width="8.42578125" style="62" customWidth="1"/>
    <col min="272" max="272" width="18.85546875" style="62" customWidth="1"/>
    <col min="273" max="273" width="10.28515625" style="62" customWidth="1"/>
    <col min="274" max="274" width="11.42578125" style="62"/>
    <col min="275" max="275" width="12.140625" style="62" customWidth="1"/>
    <col min="276" max="276" width="10.5703125" style="62" customWidth="1"/>
    <col min="277" max="277" width="12.42578125" style="62" customWidth="1"/>
    <col min="278" max="278" width="15.140625" style="62" customWidth="1"/>
    <col min="279" max="279" width="13.5703125" style="62" customWidth="1"/>
    <col min="280" max="280" width="13.140625" style="62" customWidth="1"/>
    <col min="281" max="281" width="15.7109375" style="62" customWidth="1"/>
    <col min="282" max="282" width="37.5703125" style="62" customWidth="1"/>
    <col min="283" max="504" width="11.42578125" style="62"/>
    <col min="505" max="505" width="10.5703125" style="62" customWidth="1"/>
    <col min="506" max="506" width="4.85546875" style="62" customWidth="1"/>
    <col min="507" max="507" width="32.42578125" style="62" customWidth="1"/>
    <col min="508" max="508" width="9.85546875" style="62" customWidth="1"/>
    <col min="509" max="509" width="10.140625" style="62" customWidth="1"/>
    <col min="510" max="510" width="12.28515625" style="62" customWidth="1"/>
    <col min="511" max="511" width="15.42578125" style="62" customWidth="1"/>
    <col min="512" max="512" width="11.85546875" style="62" customWidth="1"/>
    <col min="513" max="513" width="13.28515625" style="62" customWidth="1"/>
    <col min="514" max="514" width="15.28515625" style="62" customWidth="1"/>
    <col min="515" max="515" width="11.85546875" style="62" customWidth="1"/>
    <col min="516" max="516" width="6.140625" style="62" customWidth="1"/>
    <col min="517" max="517" width="11.85546875" style="62" customWidth="1"/>
    <col min="518" max="518" width="9.42578125" style="62" customWidth="1"/>
    <col min="519" max="519" width="14.7109375" style="62" customWidth="1"/>
    <col min="520" max="520" width="11.5703125" style="62" customWidth="1"/>
    <col min="521" max="521" width="0.42578125" style="62" customWidth="1"/>
    <col min="522" max="522" width="10.5703125" style="62" bestFit="1" customWidth="1"/>
    <col min="523" max="523" width="12.28515625" style="62" customWidth="1"/>
    <col min="524" max="524" width="12.5703125" style="62" customWidth="1"/>
    <col min="525" max="525" width="10.5703125" style="62" customWidth="1"/>
    <col min="526" max="526" width="10.140625" style="62" customWidth="1"/>
    <col min="527" max="527" width="8.42578125" style="62" customWidth="1"/>
    <col min="528" max="528" width="18.85546875" style="62" customWidth="1"/>
    <col min="529" max="529" width="10.28515625" style="62" customWidth="1"/>
    <col min="530" max="530" width="11.42578125" style="62"/>
    <col min="531" max="531" width="12.140625" style="62" customWidth="1"/>
    <col min="532" max="532" width="10.5703125" style="62" customWidth="1"/>
    <col min="533" max="533" width="12.42578125" style="62" customWidth="1"/>
    <col min="534" max="534" width="15.140625" style="62" customWidth="1"/>
    <col min="535" max="535" width="13.5703125" style="62" customWidth="1"/>
    <col min="536" max="536" width="13.140625" style="62" customWidth="1"/>
    <col min="537" max="537" width="15.7109375" style="62" customWidth="1"/>
    <col min="538" max="538" width="37.5703125" style="62" customWidth="1"/>
    <col min="539" max="760" width="11.42578125" style="62"/>
    <col min="761" max="761" width="10.5703125" style="62" customWidth="1"/>
    <col min="762" max="762" width="4.85546875" style="62" customWidth="1"/>
    <col min="763" max="763" width="32.42578125" style="62" customWidth="1"/>
    <col min="764" max="764" width="9.85546875" style="62" customWidth="1"/>
    <col min="765" max="765" width="10.140625" style="62" customWidth="1"/>
    <col min="766" max="766" width="12.28515625" style="62" customWidth="1"/>
    <col min="767" max="767" width="15.42578125" style="62" customWidth="1"/>
    <col min="768" max="768" width="11.85546875" style="62" customWidth="1"/>
    <col min="769" max="769" width="13.28515625" style="62" customWidth="1"/>
    <col min="770" max="770" width="15.28515625" style="62" customWidth="1"/>
    <col min="771" max="771" width="11.85546875" style="62" customWidth="1"/>
    <col min="772" max="772" width="6.140625" style="62" customWidth="1"/>
    <col min="773" max="773" width="11.85546875" style="62" customWidth="1"/>
    <col min="774" max="774" width="9.42578125" style="62" customWidth="1"/>
    <col min="775" max="775" width="14.7109375" style="62" customWidth="1"/>
    <col min="776" max="776" width="11.5703125" style="62" customWidth="1"/>
    <col min="777" max="777" width="0.42578125" style="62" customWidth="1"/>
    <col min="778" max="778" width="10.5703125" style="62" bestFit="1" customWidth="1"/>
    <col min="779" max="779" width="12.28515625" style="62" customWidth="1"/>
    <col min="780" max="780" width="12.5703125" style="62" customWidth="1"/>
    <col min="781" max="781" width="10.5703125" style="62" customWidth="1"/>
    <col min="782" max="782" width="10.140625" style="62" customWidth="1"/>
    <col min="783" max="783" width="8.42578125" style="62" customWidth="1"/>
    <col min="784" max="784" width="18.85546875" style="62" customWidth="1"/>
    <col min="785" max="785" width="10.28515625" style="62" customWidth="1"/>
    <col min="786" max="786" width="11.42578125" style="62"/>
    <col min="787" max="787" width="12.140625" style="62" customWidth="1"/>
    <col min="788" max="788" width="10.5703125" style="62" customWidth="1"/>
    <col min="789" max="789" width="12.42578125" style="62" customWidth="1"/>
    <col min="790" max="790" width="15.140625" style="62" customWidth="1"/>
    <col min="791" max="791" width="13.5703125" style="62" customWidth="1"/>
    <col min="792" max="792" width="13.140625" style="62" customWidth="1"/>
    <col min="793" max="793" width="15.7109375" style="62" customWidth="1"/>
    <col min="794" max="794" width="37.5703125" style="62" customWidth="1"/>
    <col min="795" max="1016" width="11.42578125" style="62"/>
    <col min="1017" max="1017" width="10.5703125" style="62" customWidth="1"/>
    <col min="1018" max="1018" width="4.85546875" style="62" customWidth="1"/>
    <col min="1019" max="1019" width="32.42578125" style="62" customWidth="1"/>
    <col min="1020" max="1020" width="9.85546875" style="62" customWidth="1"/>
    <col min="1021" max="1021" width="10.140625" style="62" customWidth="1"/>
    <col min="1022" max="1022" width="12.28515625" style="62" customWidth="1"/>
    <col min="1023" max="1023" width="15.42578125" style="62" customWidth="1"/>
    <col min="1024" max="1024" width="11.85546875" style="62" customWidth="1"/>
    <col min="1025" max="1025" width="13.28515625" style="62" customWidth="1"/>
    <col min="1026" max="1026" width="15.28515625" style="62" customWidth="1"/>
    <col min="1027" max="1027" width="11.85546875" style="62" customWidth="1"/>
    <col min="1028" max="1028" width="6.140625" style="62" customWidth="1"/>
    <col min="1029" max="1029" width="11.85546875" style="62" customWidth="1"/>
    <col min="1030" max="1030" width="9.42578125" style="62" customWidth="1"/>
    <col min="1031" max="1031" width="14.7109375" style="62" customWidth="1"/>
    <col min="1032" max="1032" width="11.5703125" style="62" customWidth="1"/>
    <col min="1033" max="1033" width="0.42578125" style="62" customWidth="1"/>
    <col min="1034" max="1034" width="10.5703125" style="62" bestFit="1" customWidth="1"/>
    <col min="1035" max="1035" width="12.28515625" style="62" customWidth="1"/>
    <col min="1036" max="1036" width="12.5703125" style="62" customWidth="1"/>
    <col min="1037" max="1037" width="10.5703125" style="62" customWidth="1"/>
    <col min="1038" max="1038" width="10.140625" style="62" customWidth="1"/>
    <col min="1039" max="1039" width="8.42578125" style="62" customWidth="1"/>
    <col min="1040" max="1040" width="18.85546875" style="62" customWidth="1"/>
    <col min="1041" max="1041" width="10.28515625" style="62" customWidth="1"/>
    <col min="1042" max="1042" width="11.42578125" style="62"/>
    <col min="1043" max="1043" width="12.140625" style="62" customWidth="1"/>
    <col min="1044" max="1044" width="10.5703125" style="62" customWidth="1"/>
    <col min="1045" max="1045" width="12.42578125" style="62" customWidth="1"/>
    <col min="1046" max="1046" width="15.140625" style="62" customWidth="1"/>
    <col min="1047" max="1047" width="13.5703125" style="62" customWidth="1"/>
    <col min="1048" max="1048" width="13.140625" style="62" customWidth="1"/>
    <col min="1049" max="1049" width="15.7109375" style="62" customWidth="1"/>
    <col min="1050" max="1050" width="37.5703125" style="62" customWidth="1"/>
    <col min="1051" max="1272" width="11.42578125" style="62"/>
    <col min="1273" max="1273" width="10.5703125" style="62" customWidth="1"/>
    <col min="1274" max="1274" width="4.85546875" style="62" customWidth="1"/>
    <col min="1275" max="1275" width="32.42578125" style="62" customWidth="1"/>
    <col min="1276" max="1276" width="9.85546875" style="62" customWidth="1"/>
    <col min="1277" max="1277" width="10.140625" style="62" customWidth="1"/>
    <col min="1278" max="1278" width="12.28515625" style="62" customWidth="1"/>
    <col min="1279" max="1279" width="15.42578125" style="62" customWidth="1"/>
    <col min="1280" max="1280" width="11.85546875" style="62" customWidth="1"/>
    <col min="1281" max="1281" width="13.28515625" style="62" customWidth="1"/>
    <col min="1282" max="1282" width="15.28515625" style="62" customWidth="1"/>
    <col min="1283" max="1283" width="11.85546875" style="62" customWidth="1"/>
    <col min="1284" max="1284" width="6.140625" style="62" customWidth="1"/>
    <col min="1285" max="1285" width="11.85546875" style="62" customWidth="1"/>
    <col min="1286" max="1286" width="9.42578125" style="62" customWidth="1"/>
    <col min="1287" max="1287" width="14.7109375" style="62" customWidth="1"/>
    <col min="1288" max="1288" width="11.5703125" style="62" customWidth="1"/>
    <col min="1289" max="1289" width="0.42578125" style="62" customWidth="1"/>
    <col min="1290" max="1290" width="10.5703125" style="62" bestFit="1" customWidth="1"/>
    <col min="1291" max="1291" width="12.28515625" style="62" customWidth="1"/>
    <col min="1292" max="1292" width="12.5703125" style="62" customWidth="1"/>
    <col min="1293" max="1293" width="10.5703125" style="62" customWidth="1"/>
    <col min="1294" max="1294" width="10.140625" style="62" customWidth="1"/>
    <col min="1295" max="1295" width="8.42578125" style="62" customWidth="1"/>
    <col min="1296" max="1296" width="18.85546875" style="62" customWidth="1"/>
    <col min="1297" max="1297" width="10.28515625" style="62" customWidth="1"/>
    <col min="1298" max="1298" width="11.42578125" style="62"/>
    <col min="1299" max="1299" width="12.140625" style="62" customWidth="1"/>
    <col min="1300" max="1300" width="10.5703125" style="62" customWidth="1"/>
    <col min="1301" max="1301" width="12.42578125" style="62" customWidth="1"/>
    <col min="1302" max="1302" width="15.140625" style="62" customWidth="1"/>
    <col min="1303" max="1303" width="13.5703125" style="62" customWidth="1"/>
    <col min="1304" max="1304" width="13.140625" style="62" customWidth="1"/>
    <col min="1305" max="1305" width="15.7109375" style="62" customWidth="1"/>
    <col min="1306" max="1306" width="37.5703125" style="62" customWidth="1"/>
    <col min="1307" max="1528" width="11.42578125" style="62"/>
    <col min="1529" max="1529" width="10.5703125" style="62" customWidth="1"/>
    <col min="1530" max="1530" width="4.85546875" style="62" customWidth="1"/>
    <col min="1531" max="1531" width="32.42578125" style="62" customWidth="1"/>
    <col min="1532" max="1532" width="9.85546875" style="62" customWidth="1"/>
    <col min="1533" max="1533" width="10.140625" style="62" customWidth="1"/>
    <col min="1534" max="1534" width="12.28515625" style="62" customWidth="1"/>
    <col min="1535" max="1535" width="15.42578125" style="62" customWidth="1"/>
    <col min="1536" max="1536" width="11.85546875" style="62" customWidth="1"/>
    <col min="1537" max="1537" width="13.28515625" style="62" customWidth="1"/>
    <col min="1538" max="1538" width="15.28515625" style="62" customWidth="1"/>
    <col min="1539" max="1539" width="11.85546875" style="62" customWidth="1"/>
    <col min="1540" max="1540" width="6.140625" style="62" customWidth="1"/>
    <col min="1541" max="1541" width="11.85546875" style="62" customWidth="1"/>
    <col min="1542" max="1542" width="9.42578125" style="62" customWidth="1"/>
    <col min="1543" max="1543" width="14.7109375" style="62" customWidth="1"/>
    <col min="1544" max="1544" width="11.5703125" style="62" customWidth="1"/>
    <col min="1545" max="1545" width="0.42578125" style="62" customWidth="1"/>
    <col min="1546" max="1546" width="10.5703125" style="62" bestFit="1" customWidth="1"/>
    <col min="1547" max="1547" width="12.28515625" style="62" customWidth="1"/>
    <col min="1548" max="1548" width="12.5703125" style="62" customWidth="1"/>
    <col min="1549" max="1549" width="10.5703125" style="62" customWidth="1"/>
    <col min="1550" max="1550" width="10.140625" style="62" customWidth="1"/>
    <col min="1551" max="1551" width="8.42578125" style="62" customWidth="1"/>
    <col min="1552" max="1552" width="18.85546875" style="62" customWidth="1"/>
    <col min="1553" max="1553" width="10.28515625" style="62" customWidth="1"/>
    <col min="1554" max="1554" width="11.42578125" style="62"/>
    <col min="1555" max="1555" width="12.140625" style="62" customWidth="1"/>
    <col min="1556" max="1556" width="10.5703125" style="62" customWidth="1"/>
    <col min="1557" max="1557" width="12.42578125" style="62" customWidth="1"/>
    <col min="1558" max="1558" width="15.140625" style="62" customWidth="1"/>
    <col min="1559" max="1559" width="13.5703125" style="62" customWidth="1"/>
    <col min="1560" max="1560" width="13.140625" style="62" customWidth="1"/>
    <col min="1561" max="1561" width="15.7109375" style="62" customWidth="1"/>
    <col min="1562" max="1562" width="37.5703125" style="62" customWidth="1"/>
    <col min="1563" max="1784" width="11.42578125" style="62"/>
    <col min="1785" max="1785" width="10.5703125" style="62" customWidth="1"/>
    <col min="1786" max="1786" width="4.85546875" style="62" customWidth="1"/>
    <col min="1787" max="1787" width="32.42578125" style="62" customWidth="1"/>
    <col min="1788" max="1788" width="9.85546875" style="62" customWidth="1"/>
    <col min="1789" max="1789" width="10.140625" style="62" customWidth="1"/>
    <col min="1790" max="1790" width="12.28515625" style="62" customWidth="1"/>
    <col min="1791" max="1791" width="15.42578125" style="62" customWidth="1"/>
    <col min="1792" max="1792" width="11.85546875" style="62" customWidth="1"/>
    <col min="1793" max="1793" width="13.28515625" style="62" customWidth="1"/>
    <col min="1794" max="1794" width="15.28515625" style="62" customWidth="1"/>
    <col min="1795" max="1795" width="11.85546875" style="62" customWidth="1"/>
    <col min="1796" max="1796" width="6.140625" style="62" customWidth="1"/>
    <col min="1797" max="1797" width="11.85546875" style="62" customWidth="1"/>
    <col min="1798" max="1798" width="9.42578125" style="62" customWidth="1"/>
    <col min="1799" max="1799" width="14.7109375" style="62" customWidth="1"/>
    <col min="1800" max="1800" width="11.5703125" style="62" customWidth="1"/>
    <col min="1801" max="1801" width="0.42578125" style="62" customWidth="1"/>
    <col min="1802" max="1802" width="10.5703125" style="62" bestFit="1" customWidth="1"/>
    <col min="1803" max="1803" width="12.28515625" style="62" customWidth="1"/>
    <col min="1804" max="1804" width="12.5703125" style="62" customWidth="1"/>
    <col min="1805" max="1805" width="10.5703125" style="62" customWidth="1"/>
    <col min="1806" max="1806" width="10.140625" style="62" customWidth="1"/>
    <col min="1807" max="1807" width="8.42578125" style="62" customWidth="1"/>
    <col min="1808" max="1808" width="18.85546875" style="62" customWidth="1"/>
    <col min="1809" max="1809" width="10.28515625" style="62" customWidth="1"/>
    <col min="1810" max="1810" width="11.42578125" style="62"/>
    <col min="1811" max="1811" width="12.140625" style="62" customWidth="1"/>
    <col min="1812" max="1812" width="10.5703125" style="62" customWidth="1"/>
    <col min="1813" max="1813" width="12.42578125" style="62" customWidth="1"/>
    <col min="1814" max="1814" width="15.140625" style="62" customWidth="1"/>
    <col min="1815" max="1815" width="13.5703125" style="62" customWidth="1"/>
    <col min="1816" max="1816" width="13.140625" style="62" customWidth="1"/>
    <col min="1817" max="1817" width="15.7109375" style="62" customWidth="1"/>
    <col min="1818" max="1818" width="37.5703125" style="62" customWidth="1"/>
    <col min="1819" max="2040" width="11.42578125" style="62"/>
    <col min="2041" max="2041" width="10.5703125" style="62" customWidth="1"/>
    <col min="2042" max="2042" width="4.85546875" style="62" customWidth="1"/>
    <col min="2043" max="2043" width="32.42578125" style="62" customWidth="1"/>
    <col min="2044" max="2044" width="9.85546875" style="62" customWidth="1"/>
    <col min="2045" max="2045" width="10.140625" style="62" customWidth="1"/>
    <col min="2046" max="2046" width="12.28515625" style="62" customWidth="1"/>
    <col min="2047" max="2047" width="15.42578125" style="62" customWidth="1"/>
    <col min="2048" max="2048" width="11.85546875" style="62" customWidth="1"/>
    <col min="2049" max="2049" width="13.28515625" style="62" customWidth="1"/>
    <col min="2050" max="2050" width="15.28515625" style="62" customWidth="1"/>
    <col min="2051" max="2051" width="11.85546875" style="62" customWidth="1"/>
    <col min="2052" max="2052" width="6.140625" style="62" customWidth="1"/>
    <col min="2053" max="2053" width="11.85546875" style="62" customWidth="1"/>
    <col min="2054" max="2054" width="9.42578125" style="62" customWidth="1"/>
    <col min="2055" max="2055" width="14.7109375" style="62" customWidth="1"/>
    <col min="2056" max="2056" width="11.5703125" style="62" customWidth="1"/>
    <col min="2057" max="2057" width="0.42578125" style="62" customWidth="1"/>
    <col min="2058" max="2058" width="10.5703125" style="62" bestFit="1" customWidth="1"/>
    <col min="2059" max="2059" width="12.28515625" style="62" customWidth="1"/>
    <col min="2060" max="2060" width="12.5703125" style="62" customWidth="1"/>
    <col min="2061" max="2061" width="10.5703125" style="62" customWidth="1"/>
    <col min="2062" max="2062" width="10.140625" style="62" customWidth="1"/>
    <col min="2063" max="2063" width="8.42578125" style="62" customWidth="1"/>
    <col min="2064" max="2064" width="18.85546875" style="62" customWidth="1"/>
    <col min="2065" max="2065" width="10.28515625" style="62" customWidth="1"/>
    <col min="2066" max="2066" width="11.42578125" style="62"/>
    <col min="2067" max="2067" width="12.140625" style="62" customWidth="1"/>
    <col min="2068" max="2068" width="10.5703125" style="62" customWidth="1"/>
    <col min="2069" max="2069" width="12.42578125" style="62" customWidth="1"/>
    <col min="2070" max="2070" width="15.140625" style="62" customWidth="1"/>
    <col min="2071" max="2071" width="13.5703125" style="62" customWidth="1"/>
    <col min="2072" max="2072" width="13.140625" style="62" customWidth="1"/>
    <col min="2073" max="2073" width="15.7109375" style="62" customWidth="1"/>
    <col min="2074" max="2074" width="37.5703125" style="62" customWidth="1"/>
    <col min="2075" max="2296" width="11.42578125" style="62"/>
    <col min="2297" max="2297" width="10.5703125" style="62" customWidth="1"/>
    <col min="2298" max="2298" width="4.85546875" style="62" customWidth="1"/>
    <col min="2299" max="2299" width="32.42578125" style="62" customWidth="1"/>
    <col min="2300" max="2300" width="9.85546875" style="62" customWidth="1"/>
    <col min="2301" max="2301" width="10.140625" style="62" customWidth="1"/>
    <col min="2302" max="2302" width="12.28515625" style="62" customWidth="1"/>
    <col min="2303" max="2303" width="15.42578125" style="62" customWidth="1"/>
    <col min="2304" max="2304" width="11.85546875" style="62" customWidth="1"/>
    <col min="2305" max="2305" width="13.28515625" style="62" customWidth="1"/>
    <col min="2306" max="2306" width="15.28515625" style="62" customWidth="1"/>
    <col min="2307" max="2307" width="11.85546875" style="62" customWidth="1"/>
    <col min="2308" max="2308" width="6.140625" style="62" customWidth="1"/>
    <col min="2309" max="2309" width="11.85546875" style="62" customWidth="1"/>
    <col min="2310" max="2310" width="9.42578125" style="62" customWidth="1"/>
    <col min="2311" max="2311" width="14.7109375" style="62" customWidth="1"/>
    <col min="2312" max="2312" width="11.5703125" style="62" customWidth="1"/>
    <col min="2313" max="2313" width="0.42578125" style="62" customWidth="1"/>
    <col min="2314" max="2314" width="10.5703125" style="62" bestFit="1" customWidth="1"/>
    <col min="2315" max="2315" width="12.28515625" style="62" customWidth="1"/>
    <col min="2316" max="2316" width="12.5703125" style="62" customWidth="1"/>
    <col min="2317" max="2317" width="10.5703125" style="62" customWidth="1"/>
    <col min="2318" max="2318" width="10.140625" style="62" customWidth="1"/>
    <col min="2319" max="2319" width="8.42578125" style="62" customWidth="1"/>
    <col min="2320" max="2320" width="18.85546875" style="62" customWidth="1"/>
    <col min="2321" max="2321" width="10.28515625" style="62" customWidth="1"/>
    <col min="2322" max="2322" width="11.42578125" style="62"/>
    <col min="2323" max="2323" width="12.140625" style="62" customWidth="1"/>
    <col min="2324" max="2324" width="10.5703125" style="62" customWidth="1"/>
    <col min="2325" max="2325" width="12.42578125" style="62" customWidth="1"/>
    <col min="2326" max="2326" width="15.140625" style="62" customWidth="1"/>
    <col min="2327" max="2327" width="13.5703125" style="62" customWidth="1"/>
    <col min="2328" max="2328" width="13.140625" style="62" customWidth="1"/>
    <col min="2329" max="2329" width="15.7109375" style="62" customWidth="1"/>
    <col min="2330" max="2330" width="37.5703125" style="62" customWidth="1"/>
    <col min="2331" max="2552" width="11.42578125" style="62"/>
    <col min="2553" max="2553" width="10.5703125" style="62" customWidth="1"/>
    <col min="2554" max="2554" width="4.85546875" style="62" customWidth="1"/>
    <col min="2555" max="2555" width="32.42578125" style="62" customWidth="1"/>
    <col min="2556" max="2556" width="9.85546875" style="62" customWidth="1"/>
    <col min="2557" max="2557" width="10.140625" style="62" customWidth="1"/>
    <col min="2558" max="2558" width="12.28515625" style="62" customWidth="1"/>
    <col min="2559" max="2559" width="15.42578125" style="62" customWidth="1"/>
    <col min="2560" max="2560" width="11.85546875" style="62" customWidth="1"/>
    <col min="2561" max="2561" width="13.28515625" style="62" customWidth="1"/>
    <col min="2562" max="2562" width="15.28515625" style="62" customWidth="1"/>
    <col min="2563" max="2563" width="11.85546875" style="62" customWidth="1"/>
    <col min="2564" max="2564" width="6.140625" style="62" customWidth="1"/>
    <col min="2565" max="2565" width="11.85546875" style="62" customWidth="1"/>
    <col min="2566" max="2566" width="9.42578125" style="62" customWidth="1"/>
    <col min="2567" max="2567" width="14.7109375" style="62" customWidth="1"/>
    <col min="2568" max="2568" width="11.5703125" style="62" customWidth="1"/>
    <col min="2569" max="2569" width="0.42578125" style="62" customWidth="1"/>
    <col min="2570" max="2570" width="10.5703125" style="62" bestFit="1" customWidth="1"/>
    <col min="2571" max="2571" width="12.28515625" style="62" customWidth="1"/>
    <col min="2572" max="2572" width="12.5703125" style="62" customWidth="1"/>
    <col min="2573" max="2573" width="10.5703125" style="62" customWidth="1"/>
    <col min="2574" max="2574" width="10.140625" style="62" customWidth="1"/>
    <col min="2575" max="2575" width="8.42578125" style="62" customWidth="1"/>
    <col min="2576" max="2576" width="18.85546875" style="62" customWidth="1"/>
    <col min="2577" max="2577" width="10.28515625" style="62" customWidth="1"/>
    <col min="2578" max="2578" width="11.42578125" style="62"/>
    <col min="2579" max="2579" width="12.140625" style="62" customWidth="1"/>
    <col min="2580" max="2580" width="10.5703125" style="62" customWidth="1"/>
    <col min="2581" max="2581" width="12.42578125" style="62" customWidth="1"/>
    <col min="2582" max="2582" width="15.140625" style="62" customWidth="1"/>
    <col min="2583" max="2583" width="13.5703125" style="62" customWidth="1"/>
    <col min="2584" max="2584" width="13.140625" style="62" customWidth="1"/>
    <col min="2585" max="2585" width="15.7109375" style="62" customWidth="1"/>
    <col min="2586" max="2586" width="37.5703125" style="62" customWidth="1"/>
    <col min="2587" max="2808" width="11.42578125" style="62"/>
    <col min="2809" max="2809" width="10.5703125" style="62" customWidth="1"/>
    <col min="2810" max="2810" width="4.85546875" style="62" customWidth="1"/>
    <col min="2811" max="2811" width="32.42578125" style="62" customWidth="1"/>
    <col min="2812" max="2812" width="9.85546875" style="62" customWidth="1"/>
    <col min="2813" max="2813" width="10.140625" style="62" customWidth="1"/>
    <col min="2814" max="2814" width="12.28515625" style="62" customWidth="1"/>
    <col min="2815" max="2815" width="15.42578125" style="62" customWidth="1"/>
    <col min="2816" max="2816" width="11.85546875" style="62" customWidth="1"/>
    <col min="2817" max="2817" width="13.28515625" style="62" customWidth="1"/>
    <col min="2818" max="2818" width="15.28515625" style="62" customWidth="1"/>
    <col min="2819" max="2819" width="11.85546875" style="62" customWidth="1"/>
    <col min="2820" max="2820" width="6.140625" style="62" customWidth="1"/>
    <col min="2821" max="2821" width="11.85546875" style="62" customWidth="1"/>
    <col min="2822" max="2822" width="9.42578125" style="62" customWidth="1"/>
    <col min="2823" max="2823" width="14.7109375" style="62" customWidth="1"/>
    <col min="2824" max="2824" width="11.5703125" style="62" customWidth="1"/>
    <col min="2825" max="2825" width="0.42578125" style="62" customWidth="1"/>
    <col min="2826" max="2826" width="10.5703125" style="62" bestFit="1" customWidth="1"/>
    <col min="2827" max="2827" width="12.28515625" style="62" customWidth="1"/>
    <col min="2828" max="2828" width="12.5703125" style="62" customWidth="1"/>
    <col min="2829" max="2829" width="10.5703125" style="62" customWidth="1"/>
    <col min="2830" max="2830" width="10.140625" style="62" customWidth="1"/>
    <col min="2831" max="2831" width="8.42578125" style="62" customWidth="1"/>
    <col min="2832" max="2832" width="18.85546875" style="62" customWidth="1"/>
    <col min="2833" max="2833" width="10.28515625" style="62" customWidth="1"/>
    <col min="2834" max="2834" width="11.42578125" style="62"/>
    <col min="2835" max="2835" width="12.140625" style="62" customWidth="1"/>
    <col min="2836" max="2836" width="10.5703125" style="62" customWidth="1"/>
    <col min="2837" max="2837" width="12.42578125" style="62" customWidth="1"/>
    <col min="2838" max="2838" width="15.140625" style="62" customWidth="1"/>
    <col min="2839" max="2839" width="13.5703125" style="62" customWidth="1"/>
    <col min="2840" max="2840" width="13.140625" style="62" customWidth="1"/>
    <col min="2841" max="2841" width="15.7109375" style="62" customWidth="1"/>
    <col min="2842" max="2842" width="37.5703125" style="62" customWidth="1"/>
    <col min="2843" max="3064" width="11.42578125" style="62"/>
    <col min="3065" max="3065" width="10.5703125" style="62" customWidth="1"/>
    <col min="3066" max="3066" width="4.85546875" style="62" customWidth="1"/>
    <col min="3067" max="3067" width="32.42578125" style="62" customWidth="1"/>
    <col min="3068" max="3068" width="9.85546875" style="62" customWidth="1"/>
    <col min="3069" max="3069" width="10.140625" style="62" customWidth="1"/>
    <col min="3070" max="3070" width="12.28515625" style="62" customWidth="1"/>
    <col min="3071" max="3071" width="15.42578125" style="62" customWidth="1"/>
    <col min="3072" max="3072" width="11.85546875" style="62" customWidth="1"/>
    <col min="3073" max="3073" width="13.28515625" style="62" customWidth="1"/>
    <col min="3074" max="3074" width="15.28515625" style="62" customWidth="1"/>
    <col min="3075" max="3075" width="11.85546875" style="62" customWidth="1"/>
    <col min="3076" max="3076" width="6.140625" style="62" customWidth="1"/>
    <col min="3077" max="3077" width="11.85546875" style="62" customWidth="1"/>
    <col min="3078" max="3078" width="9.42578125" style="62" customWidth="1"/>
    <col min="3079" max="3079" width="14.7109375" style="62" customWidth="1"/>
    <col min="3080" max="3080" width="11.5703125" style="62" customWidth="1"/>
    <col min="3081" max="3081" width="0.42578125" style="62" customWidth="1"/>
    <col min="3082" max="3082" width="10.5703125" style="62" bestFit="1" customWidth="1"/>
    <col min="3083" max="3083" width="12.28515625" style="62" customWidth="1"/>
    <col min="3084" max="3084" width="12.5703125" style="62" customWidth="1"/>
    <col min="3085" max="3085" width="10.5703125" style="62" customWidth="1"/>
    <col min="3086" max="3086" width="10.140625" style="62" customWidth="1"/>
    <col min="3087" max="3087" width="8.42578125" style="62" customWidth="1"/>
    <col min="3088" max="3088" width="18.85546875" style="62" customWidth="1"/>
    <col min="3089" max="3089" width="10.28515625" style="62" customWidth="1"/>
    <col min="3090" max="3090" width="11.42578125" style="62"/>
    <col min="3091" max="3091" width="12.140625" style="62" customWidth="1"/>
    <col min="3092" max="3092" width="10.5703125" style="62" customWidth="1"/>
    <col min="3093" max="3093" width="12.42578125" style="62" customWidth="1"/>
    <col min="3094" max="3094" width="15.140625" style="62" customWidth="1"/>
    <col min="3095" max="3095" width="13.5703125" style="62" customWidth="1"/>
    <col min="3096" max="3096" width="13.140625" style="62" customWidth="1"/>
    <col min="3097" max="3097" width="15.7109375" style="62" customWidth="1"/>
    <col min="3098" max="3098" width="37.5703125" style="62" customWidth="1"/>
    <col min="3099" max="3320" width="11.42578125" style="62"/>
    <col min="3321" max="3321" width="10.5703125" style="62" customWidth="1"/>
    <col min="3322" max="3322" width="4.85546875" style="62" customWidth="1"/>
    <col min="3323" max="3323" width="32.42578125" style="62" customWidth="1"/>
    <col min="3324" max="3324" width="9.85546875" style="62" customWidth="1"/>
    <col min="3325" max="3325" width="10.140625" style="62" customWidth="1"/>
    <col min="3326" max="3326" width="12.28515625" style="62" customWidth="1"/>
    <col min="3327" max="3327" width="15.42578125" style="62" customWidth="1"/>
    <col min="3328" max="3328" width="11.85546875" style="62" customWidth="1"/>
    <col min="3329" max="3329" width="13.28515625" style="62" customWidth="1"/>
    <col min="3330" max="3330" width="15.28515625" style="62" customWidth="1"/>
    <col min="3331" max="3331" width="11.85546875" style="62" customWidth="1"/>
    <col min="3332" max="3332" width="6.140625" style="62" customWidth="1"/>
    <col min="3333" max="3333" width="11.85546875" style="62" customWidth="1"/>
    <col min="3334" max="3334" width="9.42578125" style="62" customWidth="1"/>
    <col min="3335" max="3335" width="14.7109375" style="62" customWidth="1"/>
    <col min="3336" max="3336" width="11.5703125" style="62" customWidth="1"/>
    <col min="3337" max="3337" width="0.42578125" style="62" customWidth="1"/>
    <col min="3338" max="3338" width="10.5703125" style="62" bestFit="1" customWidth="1"/>
    <col min="3339" max="3339" width="12.28515625" style="62" customWidth="1"/>
    <col min="3340" max="3340" width="12.5703125" style="62" customWidth="1"/>
    <col min="3341" max="3341" width="10.5703125" style="62" customWidth="1"/>
    <col min="3342" max="3342" width="10.140625" style="62" customWidth="1"/>
    <col min="3343" max="3343" width="8.42578125" style="62" customWidth="1"/>
    <col min="3344" max="3344" width="18.85546875" style="62" customWidth="1"/>
    <col min="3345" max="3345" width="10.28515625" style="62" customWidth="1"/>
    <col min="3346" max="3346" width="11.42578125" style="62"/>
    <col min="3347" max="3347" width="12.140625" style="62" customWidth="1"/>
    <col min="3348" max="3348" width="10.5703125" style="62" customWidth="1"/>
    <col min="3349" max="3349" width="12.42578125" style="62" customWidth="1"/>
    <col min="3350" max="3350" width="15.140625" style="62" customWidth="1"/>
    <col min="3351" max="3351" width="13.5703125" style="62" customWidth="1"/>
    <col min="3352" max="3352" width="13.140625" style="62" customWidth="1"/>
    <col min="3353" max="3353" width="15.7109375" style="62" customWidth="1"/>
    <col min="3354" max="3354" width="37.5703125" style="62" customWidth="1"/>
    <col min="3355" max="3576" width="11.42578125" style="62"/>
    <col min="3577" max="3577" width="10.5703125" style="62" customWidth="1"/>
    <col min="3578" max="3578" width="4.85546875" style="62" customWidth="1"/>
    <col min="3579" max="3579" width="32.42578125" style="62" customWidth="1"/>
    <col min="3580" max="3580" width="9.85546875" style="62" customWidth="1"/>
    <col min="3581" max="3581" width="10.140625" style="62" customWidth="1"/>
    <col min="3582" max="3582" width="12.28515625" style="62" customWidth="1"/>
    <col min="3583" max="3583" width="15.42578125" style="62" customWidth="1"/>
    <col min="3584" max="3584" width="11.85546875" style="62" customWidth="1"/>
    <col min="3585" max="3585" width="13.28515625" style="62" customWidth="1"/>
    <col min="3586" max="3586" width="15.28515625" style="62" customWidth="1"/>
    <col min="3587" max="3587" width="11.85546875" style="62" customWidth="1"/>
    <col min="3588" max="3588" width="6.140625" style="62" customWidth="1"/>
    <col min="3589" max="3589" width="11.85546875" style="62" customWidth="1"/>
    <col min="3590" max="3590" width="9.42578125" style="62" customWidth="1"/>
    <col min="3591" max="3591" width="14.7109375" style="62" customWidth="1"/>
    <col min="3592" max="3592" width="11.5703125" style="62" customWidth="1"/>
    <col min="3593" max="3593" width="0.42578125" style="62" customWidth="1"/>
    <col min="3594" max="3594" width="10.5703125" style="62" bestFit="1" customWidth="1"/>
    <col min="3595" max="3595" width="12.28515625" style="62" customWidth="1"/>
    <col min="3596" max="3596" width="12.5703125" style="62" customWidth="1"/>
    <col min="3597" max="3597" width="10.5703125" style="62" customWidth="1"/>
    <col min="3598" max="3598" width="10.140625" style="62" customWidth="1"/>
    <col min="3599" max="3599" width="8.42578125" style="62" customWidth="1"/>
    <col min="3600" max="3600" width="18.85546875" style="62" customWidth="1"/>
    <col min="3601" max="3601" width="10.28515625" style="62" customWidth="1"/>
    <col min="3602" max="3602" width="11.42578125" style="62"/>
    <col min="3603" max="3603" width="12.140625" style="62" customWidth="1"/>
    <col min="3604" max="3604" width="10.5703125" style="62" customWidth="1"/>
    <col min="3605" max="3605" width="12.42578125" style="62" customWidth="1"/>
    <col min="3606" max="3606" width="15.140625" style="62" customWidth="1"/>
    <col min="3607" max="3607" width="13.5703125" style="62" customWidth="1"/>
    <col min="3608" max="3608" width="13.140625" style="62" customWidth="1"/>
    <col min="3609" max="3609" width="15.7109375" style="62" customWidth="1"/>
    <col min="3610" max="3610" width="37.5703125" style="62" customWidth="1"/>
    <col min="3611" max="3832" width="11.42578125" style="62"/>
    <col min="3833" max="3833" width="10.5703125" style="62" customWidth="1"/>
    <col min="3834" max="3834" width="4.85546875" style="62" customWidth="1"/>
    <col min="3835" max="3835" width="32.42578125" style="62" customWidth="1"/>
    <col min="3836" max="3836" width="9.85546875" style="62" customWidth="1"/>
    <col min="3837" max="3837" width="10.140625" style="62" customWidth="1"/>
    <col min="3838" max="3838" width="12.28515625" style="62" customWidth="1"/>
    <col min="3839" max="3839" width="15.42578125" style="62" customWidth="1"/>
    <col min="3840" max="3840" width="11.85546875" style="62" customWidth="1"/>
    <col min="3841" max="3841" width="13.28515625" style="62" customWidth="1"/>
    <col min="3842" max="3842" width="15.28515625" style="62" customWidth="1"/>
    <col min="3843" max="3843" width="11.85546875" style="62" customWidth="1"/>
    <col min="3844" max="3844" width="6.140625" style="62" customWidth="1"/>
    <col min="3845" max="3845" width="11.85546875" style="62" customWidth="1"/>
    <col min="3846" max="3846" width="9.42578125" style="62" customWidth="1"/>
    <col min="3847" max="3847" width="14.7109375" style="62" customWidth="1"/>
    <col min="3848" max="3848" width="11.5703125" style="62" customWidth="1"/>
    <col min="3849" max="3849" width="0.42578125" style="62" customWidth="1"/>
    <col min="3850" max="3850" width="10.5703125" style="62" bestFit="1" customWidth="1"/>
    <col min="3851" max="3851" width="12.28515625" style="62" customWidth="1"/>
    <col min="3852" max="3852" width="12.5703125" style="62" customWidth="1"/>
    <col min="3853" max="3853" width="10.5703125" style="62" customWidth="1"/>
    <col min="3854" max="3854" width="10.140625" style="62" customWidth="1"/>
    <col min="3855" max="3855" width="8.42578125" style="62" customWidth="1"/>
    <col min="3856" max="3856" width="18.85546875" style="62" customWidth="1"/>
    <col min="3857" max="3857" width="10.28515625" style="62" customWidth="1"/>
    <col min="3858" max="3858" width="11.42578125" style="62"/>
    <col min="3859" max="3859" width="12.140625" style="62" customWidth="1"/>
    <col min="3860" max="3860" width="10.5703125" style="62" customWidth="1"/>
    <col min="3861" max="3861" width="12.42578125" style="62" customWidth="1"/>
    <col min="3862" max="3862" width="15.140625" style="62" customWidth="1"/>
    <col min="3863" max="3863" width="13.5703125" style="62" customWidth="1"/>
    <col min="3864" max="3864" width="13.140625" style="62" customWidth="1"/>
    <col min="3865" max="3865" width="15.7109375" style="62" customWidth="1"/>
    <col min="3866" max="3866" width="37.5703125" style="62" customWidth="1"/>
    <col min="3867" max="4088" width="11.42578125" style="62"/>
    <col min="4089" max="4089" width="10.5703125" style="62" customWidth="1"/>
    <col min="4090" max="4090" width="4.85546875" style="62" customWidth="1"/>
    <col min="4091" max="4091" width="32.42578125" style="62" customWidth="1"/>
    <col min="4092" max="4092" width="9.85546875" style="62" customWidth="1"/>
    <col min="4093" max="4093" width="10.140625" style="62" customWidth="1"/>
    <col min="4094" max="4094" width="12.28515625" style="62" customWidth="1"/>
    <col min="4095" max="4095" width="15.42578125" style="62" customWidth="1"/>
    <col min="4096" max="4096" width="11.85546875" style="62" customWidth="1"/>
    <col min="4097" max="4097" width="13.28515625" style="62" customWidth="1"/>
    <col min="4098" max="4098" width="15.28515625" style="62" customWidth="1"/>
    <col min="4099" max="4099" width="11.85546875" style="62" customWidth="1"/>
    <col min="4100" max="4100" width="6.140625" style="62" customWidth="1"/>
    <col min="4101" max="4101" width="11.85546875" style="62" customWidth="1"/>
    <col min="4102" max="4102" width="9.42578125" style="62" customWidth="1"/>
    <col min="4103" max="4103" width="14.7109375" style="62" customWidth="1"/>
    <col min="4104" max="4104" width="11.5703125" style="62" customWidth="1"/>
    <col min="4105" max="4105" width="0.42578125" style="62" customWidth="1"/>
    <col min="4106" max="4106" width="10.5703125" style="62" bestFit="1" customWidth="1"/>
    <col min="4107" max="4107" width="12.28515625" style="62" customWidth="1"/>
    <col min="4108" max="4108" width="12.5703125" style="62" customWidth="1"/>
    <col min="4109" max="4109" width="10.5703125" style="62" customWidth="1"/>
    <col min="4110" max="4110" width="10.140625" style="62" customWidth="1"/>
    <col min="4111" max="4111" width="8.42578125" style="62" customWidth="1"/>
    <col min="4112" max="4112" width="18.85546875" style="62" customWidth="1"/>
    <col min="4113" max="4113" width="10.28515625" style="62" customWidth="1"/>
    <col min="4114" max="4114" width="11.42578125" style="62"/>
    <col min="4115" max="4115" width="12.140625" style="62" customWidth="1"/>
    <col min="4116" max="4116" width="10.5703125" style="62" customWidth="1"/>
    <col min="4117" max="4117" width="12.42578125" style="62" customWidth="1"/>
    <col min="4118" max="4118" width="15.140625" style="62" customWidth="1"/>
    <col min="4119" max="4119" width="13.5703125" style="62" customWidth="1"/>
    <col min="4120" max="4120" width="13.140625" style="62" customWidth="1"/>
    <col min="4121" max="4121" width="15.7109375" style="62" customWidth="1"/>
    <col min="4122" max="4122" width="37.5703125" style="62" customWidth="1"/>
    <col min="4123" max="4344" width="11.42578125" style="62"/>
    <col min="4345" max="4345" width="10.5703125" style="62" customWidth="1"/>
    <col min="4346" max="4346" width="4.85546875" style="62" customWidth="1"/>
    <col min="4347" max="4347" width="32.42578125" style="62" customWidth="1"/>
    <col min="4348" max="4348" width="9.85546875" style="62" customWidth="1"/>
    <col min="4349" max="4349" width="10.140625" style="62" customWidth="1"/>
    <col min="4350" max="4350" width="12.28515625" style="62" customWidth="1"/>
    <col min="4351" max="4351" width="15.42578125" style="62" customWidth="1"/>
    <col min="4352" max="4352" width="11.85546875" style="62" customWidth="1"/>
    <col min="4353" max="4353" width="13.28515625" style="62" customWidth="1"/>
    <col min="4354" max="4354" width="15.28515625" style="62" customWidth="1"/>
    <col min="4355" max="4355" width="11.85546875" style="62" customWidth="1"/>
    <col min="4356" max="4356" width="6.140625" style="62" customWidth="1"/>
    <col min="4357" max="4357" width="11.85546875" style="62" customWidth="1"/>
    <col min="4358" max="4358" width="9.42578125" style="62" customWidth="1"/>
    <col min="4359" max="4359" width="14.7109375" style="62" customWidth="1"/>
    <col min="4360" max="4360" width="11.5703125" style="62" customWidth="1"/>
    <col min="4361" max="4361" width="0.42578125" style="62" customWidth="1"/>
    <col min="4362" max="4362" width="10.5703125" style="62" bestFit="1" customWidth="1"/>
    <col min="4363" max="4363" width="12.28515625" style="62" customWidth="1"/>
    <col min="4364" max="4364" width="12.5703125" style="62" customWidth="1"/>
    <col min="4365" max="4365" width="10.5703125" style="62" customWidth="1"/>
    <col min="4366" max="4366" width="10.140625" style="62" customWidth="1"/>
    <col min="4367" max="4367" width="8.42578125" style="62" customWidth="1"/>
    <col min="4368" max="4368" width="18.85546875" style="62" customWidth="1"/>
    <col min="4369" max="4369" width="10.28515625" style="62" customWidth="1"/>
    <col min="4370" max="4370" width="11.42578125" style="62"/>
    <col min="4371" max="4371" width="12.140625" style="62" customWidth="1"/>
    <col min="4372" max="4372" width="10.5703125" style="62" customWidth="1"/>
    <col min="4373" max="4373" width="12.42578125" style="62" customWidth="1"/>
    <col min="4374" max="4374" width="15.140625" style="62" customWidth="1"/>
    <col min="4375" max="4375" width="13.5703125" style="62" customWidth="1"/>
    <col min="4376" max="4376" width="13.140625" style="62" customWidth="1"/>
    <col min="4377" max="4377" width="15.7109375" style="62" customWidth="1"/>
    <col min="4378" max="4378" width="37.5703125" style="62" customWidth="1"/>
    <col min="4379" max="4600" width="11.42578125" style="62"/>
    <col min="4601" max="4601" width="10.5703125" style="62" customWidth="1"/>
    <col min="4602" max="4602" width="4.85546875" style="62" customWidth="1"/>
    <col min="4603" max="4603" width="32.42578125" style="62" customWidth="1"/>
    <col min="4604" max="4604" width="9.85546875" style="62" customWidth="1"/>
    <col min="4605" max="4605" width="10.140625" style="62" customWidth="1"/>
    <col min="4606" max="4606" width="12.28515625" style="62" customWidth="1"/>
    <col min="4607" max="4607" width="15.42578125" style="62" customWidth="1"/>
    <col min="4608" max="4608" width="11.85546875" style="62" customWidth="1"/>
    <col min="4609" max="4609" width="13.28515625" style="62" customWidth="1"/>
    <col min="4610" max="4610" width="15.28515625" style="62" customWidth="1"/>
    <col min="4611" max="4611" width="11.85546875" style="62" customWidth="1"/>
    <col min="4612" max="4612" width="6.140625" style="62" customWidth="1"/>
    <col min="4613" max="4613" width="11.85546875" style="62" customWidth="1"/>
    <col min="4614" max="4614" width="9.42578125" style="62" customWidth="1"/>
    <col min="4615" max="4615" width="14.7109375" style="62" customWidth="1"/>
    <col min="4616" max="4616" width="11.5703125" style="62" customWidth="1"/>
    <col min="4617" max="4617" width="0.42578125" style="62" customWidth="1"/>
    <col min="4618" max="4618" width="10.5703125" style="62" bestFit="1" customWidth="1"/>
    <col min="4619" max="4619" width="12.28515625" style="62" customWidth="1"/>
    <col min="4620" max="4620" width="12.5703125" style="62" customWidth="1"/>
    <col min="4621" max="4621" width="10.5703125" style="62" customWidth="1"/>
    <col min="4622" max="4622" width="10.140625" style="62" customWidth="1"/>
    <col min="4623" max="4623" width="8.42578125" style="62" customWidth="1"/>
    <col min="4624" max="4624" width="18.85546875" style="62" customWidth="1"/>
    <col min="4625" max="4625" width="10.28515625" style="62" customWidth="1"/>
    <col min="4626" max="4626" width="11.42578125" style="62"/>
    <col min="4627" max="4627" width="12.140625" style="62" customWidth="1"/>
    <col min="4628" max="4628" width="10.5703125" style="62" customWidth="1"/>
    <col min="4629" max="4629" width="12.42578125" style="62" customWidth="1"/>
    <col min="4630" max="4630" width="15.140625" style="62" customWidth="1"/>
    <col min="4631" max="4631" width="13.5703125" style="62" customWidth="1"/>
    <col min="4632" max="4632" width="13.140625" style="62" customWidth="1"/>
    <col min="4633" max="4633" width="15.7109375" style="62" customWidth="1"/>
    <col min="4634" max="4634" width="37.5703125" style="62" customWidth="1"/>
    <col min="4635" max="4856" width="11.42578125" style="62"/>
    <col min="4857" max="4857" width="10.5703125" style="62" customWidth="1"/>
    <col min="4858" max="4858" width="4.85546875" style="62" customWidth="1"/>
    <col min="4859" max="4859" width="32.42578125" style="62" customWidth="1"/>
    <col min="4860" max="4860" width="9.85546875" style="62" customWidth="1"/>
    <col min="4861" max="4861" width="10.140625" style="62" customWidth="1"/>
    <col min="4862" max="4862" width="12.28515625" style="62" customWidth="1"/>
    <col min="4863" max="4863" width="15.42578125" style="62" customWidth="1"/>
    <col min="4864" max="4864" width="11.85546875" style="62" customWidth="1"/>
    <col min="4865" max="4865" width="13.28515625" style="62" customWidth="1"/>
    <col min="4866" max="4866" width="15.28515625" style="62" customWidth="1"/>
    <col min="4867" max="4867" width="11.85546875" style="62" customWidth="1"/>
    <col min="4868" max="4868" width="6.140625" style="62" customWidth="1"/>
    <col min="4869" max="4869" width="11.85546875" style="62" customWidth="1"/>
    <col min="4870" max="4870" width="9.42578125" style="62" customWidth="1"/>
    <col min="4871" max="4871" width="14.7109375" style="62" customWidth="1"/>
    <col min="4872" max="4872" width="11.5703125" style="62" customWidth="1"/>
    <col min="4873" max="4873" width="0.42578125" style="62" customWidth="1"/>
    <col min="4874" max="4874" width="10.5703125" style="62" bestFit="1" customWidth="1"/>
    <col min="4875" max="4875" width="12.28515625" style="62" customWidth="1"/>
    <col min="4876" max="4876" width="12.5703125" style="62" customWidth="1"/>
    <col min="4877" max="4877" width="10.5703125" style="62" customWidth="1"/>
    <col min="4878" max="4878" width="10.140625" style="62" customWidth="1"/>
    <col min="4879" max="4879" width="8.42578125" style="62" customWidth="1"/>
    <col min="4880" max="4880" width="18.85546875" style="62" customWidth="1"/>
    <col min="4881" max="4881" width="10.28515625" style="62" customWidth="1"/>
    <col min="4882" max="4882" width="11.42578125" style="62"/>
    <col min="4883" max="4883" width="12.140625" style="62" customWidth="1"/>
    <col min="4884" max="4884" width="10.5703125" style="62" customWidth="1"/>
    <col min="4885" max="4885" width="12.42578125" style="62" customWidth="1"/>
    <col min="4886" max="4886" width="15.140625" style="62" customWidth="1"/>
    <col min="4887" max="4887" width="13.5703125" style="62" customWidth="1"/>
    <col min="4888" max="4888" width="13.140625" style="62" customWidth="1"/>
    <col min="4889" max="4889" width="15.7109375" style="62" customWidth="1"/>
    <col min="4890" max="4890" width="37.5703125" style="62" customWidth="1"/>
    <col min="4891" max="5112" width="11.42578125" style="62"/>
    <col min="5113" max="5113" width="10.5703125" style="62" customWidth="1"/>
    <col min="5114" max="5114" width="4.85546875" style="62" customWidth="1"/>
    <col min="5115" max="5115" width="32.42578125" style="62" customWidth="1"/>
    <col min="5116" max="5116" width="9.85546875" style="62" customWidth="1"/>
    <col min="5117" max="5117" width="10.140625" style="62" customWidth="1"/>
    <col min="5118" max="5118" width="12.28515625" style="62" customWidth="1"/>
    <col min="5119" max="5119" width="15.42578125" style="62" customWidth="1"/>
    <col min="5120" max="5120" width="11.85546875" style="62" customWidth="1"/>
    <col min="5121" max="5121" width="13.28515625" style="62" customWidth="1"/>
    <col min="5122" max="5122" width="15.28515625" style="62" customWidth="1"/>
    <col min="5123" max="5123" width="11.85546875" style="62" customWidth="1"/>
    <col min="5124" max="5124" width="6.140625" style="62" customWidth="1"/>
    <col min="5125" max="5125" width="11.85546875" style="62" customWidth="1"/>
    <col min="5126" max="5126" width="9.42578125" style="62" customWidth="1"/>
    <col min="5127" max="5127" width="14.7109375" style="62" customWidth="1"/>
    <col min="5128" max="5128" width="11.5703125" style="62" customWidth="1"/>
    <col min="5129" max="5129" width="0.42578125" style="62" customWidth="1"/>
    <col min="5130" max="5130" width="10.5703125" style="62" bestFit="1" customWidth="1"/>
    <col min="5131" max="5131" width="12.28515625" style="62" customWidth="1"/>
    <col min="5132" max="5132" width="12.5703125" style="62" customWidth="1"/>
    <col min="5133" max="5133" width="10.5703125" style="62" customWidth="1"/>
    <col min="5134" max="5134" width="10.140625" style="62" customWidth="1"/>
    <col min="5135" max="5135" width="8.42578125" style="62" customWidth="1"/>
    <col min="5136" max="5136" width="18.85546875" style="62" customWidth="1"/>
    <col min="5137" max="5137" width="10.28515625" style="62" customWidth="1"/>
    <col min="5138" max="5138" width="11.42578125" style="62"/>
    <col min="5139" max="5139" width="12.140625" style="62" customWidth="1"/>
    <col min="5140" max="5140" width="10.5703125" style="62" customWidth="1"/>
    <col min="5141" max="5141" width="12.42578125" style="62" customWidth="1"/>
    <col min="5142" max="5142" width="15.140625" style="62" customWidth="1"/>
    <col min="5143" max="5143" width="13.5703125" style="62" customWidth="1"/>
    <col min="5144" max="5144" width="13.140625" style="62" customWidth="1"/>
    <col min="5145" max="5145" width="15.7109375" style="62" customWidth="1"/>
    <col min="5146" max="5146" width="37.5703125" style="62" customWidth="1"/>
    <col min="5147" max="5368" width="11.42578125" style="62"/>
    <col min="5369" max="5369" width="10.5703125" style="62" customWidth="1"/>
    <col min="5370" max="5370" width="4.85546875" style="62" customWidth="1"/>
    <col min="5371" max="5371" width="32.42578125" style="62" customWidth="1"/>
    <col min="5372" max="5372" width="9.85546875" style="62" customWidth="1"/>
    <col min="5373" max="5373" width="10.140625" style="62" customWidth="1"/>
    <col min="5374" max="5374" width="12.28515625" style="62" customWidth="1"/>
    <col min="5375" max="5375" width="15.42578125" style="62" customWidth="1"/>
    <col min="5376" max="5376" width="11.85546875" style="62" customWidth="1"/>
    <col min="5377" max="5377" width="13.28515625" style="62" customWidth="1"/>
    <col min="5378" max="5378" width="15.28515625" style="62" customWidth="1"/>
    <col min="5379" max="5379" width="11.85546875" style="62" customWidth="1"/>
    <col min="5380" max="5380" width="6.140625" style="62" customWidth="1"/>
    <col min="5381" max="5381" width="11.85546875" style="62" customWidth="1"/>
    <col min="5382" max="5382" width="9.42578125" style="62" customWidth="1"/>
    <col min="5383" max="5383" width="14.7109375" style="62" customWidth="1"/>
    <col min="5384" max="5384" width="11.5703125" style="62" customWidth="1"/>
    <col min="5385" max="5385" width="0.42578125" style="62" customWidth="1"/>
    <col min="5386" max="5386" width="10.5703125" style="62" bestFit="1" customWidth="1"/>
    <col min="5387" max="5387" width="12.28515625" style="62" customWidth="1"/>
    <col min="5388" max="5388" width="12.5703125" style="62" customWidth="1"/>
    <col min="5389" max="5389" width="10.5703125" style="62" customWidth="1"/>
    <col min="5390" max="5390" width="10.140625" style="62" customWidth="1"/>
    <col min="5391" max="5391" width="8.42578125" style="62" customWidth="1"/>
    <col min="5392" max="5392" width="18.85546875" style="62" customWidth="1"/>
    <col min="5393" max="5393" width="10.28515625" style="62" customWidth="1"/>
    <col min="5394" max="5394" width="11.42578125" style="62"/>
    <col min="5395" max="5395" width="12.140625" style="62" customWidth="1"/>
    <col min="5396" max="5396" width="10.5703125" style="62" customWidth="1"/>
    <col min="5397" max="5397" width="12.42578125" style="62" customWidth="1"/>
    <col min="5398" max="5398" width="15.140625" style="62" customWidth="1"/>
    <col min="5399" max="5399" width="13.5703125" style="62" customWidth="1"/>
    <col min="5400" max="5400" width="13.140625" style="62" customWidth="1"/>
    <col min="5401" max="5401" width="15.7109375" style="62" customWidth="1"/>
    <col min="5402" max="5402" width="37.5703125" style="62" customWidth="1"/>
    <col min="5403" max="5624" width="11.42578125" style="62"/>
    <col min="5625" max="5625" width="10.5703125" style="62" customWidth="1"/>
    <col min="5626" max="5626" width="4.85546875" style="62" customWidth="1"/>
    <col min="5627" max="5627" width="32.42578125" style="62" customWidth="1"/>
    <col min="5628" max="5628" width="9.85546875" style="62" customWidth="1"/>
    <col min="5629" max="5629" width="10.140625" style="62" customWidth="1"/>
    <col min="5630" max="5630" width="12.28515625" style="62" customWidth="1"/>
    <col min="5631" max="5631" width="15.42578125" style="62" customWidth="1"/>
    <col min="5632" max="5632" width="11.85546875" style="62" customWidth="1"/>
    <col min="5633" max="5633" width="13.28515625" style="62" customWidth="1"/>
    <col min="5634" max="5634" width="15.28515625" style="62" customWidth="1"/>
    <col min="5635" max="5635" width="11.85546875" style="62" customWidth="1"/>
    <col min="5636" max="5636" width="6.140625" style="62" customWidth="1"/>
    <col min="5637" max="5637" width="11.85546875" style="62" customWidth="1"/>
    <col min="5638" max="5638" width="9.42578125" style="62" customWidth="1"/>
    <col min="5639" max="5639" width="14.7109375" style="62" customWidth="1"/>
    <col min="5640" max="5640" width="11.5703125" style="62" customWidth="1"/>
    <col min="5641" max="5641" width="0.42578125" style="62" customWidth="1"/>
    <col min="5642" max="5642" width="10.5703125" style="62" bestFit="1" customWidth="1"/>
    <col min="5643" max="5643" width="12.28515625" style="62" customWidth="1"/>
    <col min="5644" max="5644" width="12.5703125" style="62" customWidth="1"/>
    <col min="5645" max="5645" width="10.5703125" style="62" customWidth="1"/>
    <col min="5646" max="5646" width="10.140625" style="62" customWidth="1"/>
    <col min="5647" max="5647" width="8.42578125" style="62" customWidth="1"/>
    <col min="5648" max="5648" width="18.85546875" style="62" customWidth="1"/>
    <col min="5649" max="5649" width="10.28515625" style="62" customWidth="1"/>
    <col min="5650" max="5650" width="11.42578125" style="62"/>
    <col min="5651" max="5651" width="12.140625" style="62" customWidth="1"/>
    <col min="5652" max="5652" width="10.5703125" style="62" customWidth="1"/>
    <col min="5653" max="5653" width="12.42578125" style="62" customWidth="1"/>
    <col min="5654" max="5654" width="15.140625" style="62" customWidth="1"/>
    <col min="5655" max="5655" width="13.5703125" style="62" customWidth="1"/>
    <col min="5656" max="5656" width="13.140625" style="62" customWidth="1"/>
    <col min="5657" max="5657" width="15.7109375" style="62" customWidth="1"/>
    <col min="5658" max="5658" width="37.5703125" style="62" customWidth="1"/>
    <col min="5659" max="5880" width="11.42578125" style="62"/>
    <col min="5881" max="5881" width="10.5703125" style="62" customWidth="1"/>
    <col min="5882" max="5882" width="4.85546875" style="62" customWidth="1"/>
    <col min="5883" max="5883" width="32.42578125" style="62" customWidth="1"/>
    <col min="5884" max="5884" width="9.85546875" style="62" customWidth="1"/>
    <col min="5885" max="5885" width="10.140625" style="62" customWidth="1"/>
    <col min="5886" max="5886" width="12.28515625" style="62" customWidth="1"/>
    <col min="5887" max="5887" width="15.42578125" style="62" customWidth="1"/>
    <col min="5888" max="5888" width="11.85546875" style="62" customWidth="1"/>
    <col min="5889" max="5889" width="13.28515625" style="62" customWidth="1"/>
    <col min="5890" max="5890" width="15.28515625" style="62" customWidth="1"/>
    <col min="5891" max="5891" width="11.85546875" style="62" customWidth="1"/>
    <col min="5892" max="5892" width="6.140625" style="62" customWidth="1"/>
    <col min="5893" max="5893" width="11.85546875" style="62" customWidth="1"/>
    <col min="5894" max="5894" width="9.42578125" style="62" customWidth="1"/>
    <col min="5895" max="5895" width="14.7109375" style="62" customWidth="1"/>
    <col min="5896" max="5896" width="11.5703125" style="62" customWidth="1"/>
    <col min="5897" max="5897" width="0.42578125" style="62" customWidth="1"/>
    <col min="5898" max="5898" width="10.5703125" style="62" bestFit="1" customWidth="1"/>
    <col min="5899" max="5899" width="12.28515625" style="62" customWidth="1"/>
    <col min="5900" max="5900" width="12.5703125" style="62" customWidth="1"/>
    <col min="5901" max="5901" width="10.5703125" style="62" customWidth="1"/>
    <col min="5902" max="5902" width="10.140625" style="62" customWidth="1"/>
    <col min="5903" max="5903" width="8.42578125" style="62" customWidth="1"/>
    <col min="5904" max="5904" width="18.85546875" style="62" customWidth="1"/>
    <col min="5905" max="5905" width="10.28515625" style="62" customWidth="1"/>
    <col min="5906" max="5906" width="11.42578125" style="62"/>
    <col min="5907" max="5907" width="12.140625" style="62" customWidth="1"/>
    <col min="5908" max="5908" width="10.5703125" style="62" customWidth="1"/>
    <col min="5909" max="5909" width="12.42578125" style="62" customWidth="1"/>
    <col min="5910" max="5910" width="15.140625" style="62" customWidth="1"/>
    <col min="5911" max="5911" width="13.5703125" style="62" customWidth="1"/>
    <col min="5912" max="5912" width="13.140625" style="62" customWidth="1"/>
    <col min="5913" max="5913" width="15.7109375" style="62" customWidth="1"/>
    <col min="5914" max="5914" width="37.5703125" style="62" customWidth="1"/>
    <col min="5915" max="6136" width="11.42578125" style="62"/>
    <col min="6137" max="6137" width="10.5703125" style="62" customWidth="1"/>
    <col min="6138" max="6138" width="4.85546875" style="62" customWidth="1"/>
    <col min="6139" max="6139" width="32.42578125" style="62" customWidth="1"/>
    <col min="6140" max="6140" width="9.85546875" style="62" customWidth="1"/>
    <col min="6141" max="6141" width="10.140625" style="62" customWidth="1"/>
    <col min="6142" max="6142" width="12.28515625" style="62" customWidth="1"/>
    <col min="6143" max="6143" width="15.42578125" style="62" customWidth="1"/>
    <col min="6144" max="6144" width="11.85546875" style="62" customWidth="1"/>
    <col min="6145" max="6145" width="13.28515625" style="62" customWidth="1"/>
    <col min="6146" max="6146" width="15.28515625" style="62" customWidth="1"/>
    <col min="6147" max="6147" width="11.85546875" style="62" customWidth="1"/>
    <col min="6148" max="6148" width="6.140625" style="62" customWidth="1"/>
    <col min="6149" max="6149" width="11.85546875" style="62" customWidth="1"/>
    <col min="6150" max="6150" width="9.42578125" style="62" customWidth="1"/>
    <col min="6151" max="6151" width="14.7109375" style="62" customWidth="1"/>
    <col min="6152" max="6152" width="11.5703125" style="62" customWidth="1"/>
    <col min="6153" max="6153" width="0.42578125" style="62" customWidth="1"/>
    <col min="6154" max="6154" width="10.5703125" style="62" bestFit="1" customWidth="1"/>
    <col min="6155" max="6155" width="12.28515625" style="62" customWidth="1"/>
    <col min="6156" max="6156" width="12.5703125" style="62" customWidth="1"/>
    <col min="6157" max="6157" width="10.5703125" style="62" customWidth="1"/>
    <col min="6158" max="6158" width="10.140625" style="62" customWidth="1"/>
    <col min="6159" max="6159" width="8.42578125" style="62" customWidth="1"/>
    <col min="6160" max="6160" width="18.85546875" style="62" customWidth="1"/>
    <col min="6161" max="6161" width="10.28515625" style="62" customWidth="1"/>
    <col min="6162" max="6162" width="11.42578125" style="62"/>
    <col min="6163" max="6163" width="12.140625" style="62" customWidth="1"/>
    <col min="6164" max="6164" width="10.5703125" style="62" customWidth="1"/>
    <col min="6165" max="6165" width="12.42578125" style="62" customWidth="1"/>
    <col min="6166" max="6166" width="15.140625" style="62" customWidth="1"/>
    <col min="6167" max="6167" width="13.5703125" style="62" customWidth="1"/>
    <col min="6168" max="6168" width="13.140625" style="62" customWidth="1"/>
    <col min="6169" max="6169" width="15.7109375" style="62" customWidth="1"/>
    <col min="6170" max="6170" width="37.5703125" style="62" customWidth="1"/>
    <col min="6171" max="6392" width="11.42578125" style="62"/>
    <col min="6393" max="6393" width="10.5703125" style="62" customWidth="1"/>
    <col min="6394" max="6394" width="4.85546875" style="62" customWidth="1"/>
    <col min="6395" max="6395" width="32.42578125" style="62" customWidth="1"/>
    <col min="6396" max="6396" width="9.85546875" style="62" customWidth="1"/>
    <col min="6397" max="6397" width="10.140625" style="62" customWidth="1"/>
    <col min="6398" max="6398" width="12.28515625" style="62" customWidth="1"/>
    <col min="6399" max="6399" width="15.42578125" style="62" customWidth="1"/>
    <col min="6400" max="6400" width="11.85546875" style="62" customWidth="1"/>
    <col min="6401" max="6401" width="13.28515625" style="62" customWidth="1"/>
    <col min="6402" max="6402" width="15.28515625" style="62" customWidth="1"/>
    <col min="6403" max="6403" width="11.85546875" style="62" customWidth="1"/>
    <col min="6404" max="6404" width="6.140625" style="62" customWidth="1"/>
    <col min="6405" max="6405" width="11.85546875" style="62" customWidth="1"/>
    <col min="6406" max="6406" width="9.42578125" style="62" customWidth="1"/>
    <col min="6407" max="6407" width="14.7109375" style="62" customWidth="1"/>
    <col min="6408" max="6408" width="11.5703125" style="62" customWidth="1"/>
    <col min="6409" max="6409" width="0.42578125" style="62" customWidth="1"/>
    <col min="6410" max="6410" width="10.5703125" style="62" bestFit="1" customWidth="1"/>
    <col min="6411" max="6411" width="12.28515625" style="62" customWidth="1"/>
    <col min="6412" max="6412" width="12.5703125" style="62" customWidth="1"/>
    <col min="6413" max="6413" width="10.5703125" style="62" customWidth="1"/>
    <col min="6414" max="6414" width="10.140625" style="62" customWidth="1"/>
    <col min="6415" max="6415" width="8.42578125" style="62" customWidth="1"/>
    <col min="6416" max="6416" width="18.85546875" style="62" customWidth="1"/>
    <col min="6417" max="6417" width="10.28515625" style="62" customWidth="1"/>
    <col min="6418" max="6418" width="11.42578125" style="62"/>
    <col min="6419" max="6419" width="12.140625" style="62" customWidth="1"/>
    <col min="6420" max="6420" width="10.5703125" style="62" customWidth="1"/>
    <col min="6421" max="6421" width="12.42578125" style="62" customWidth="1"/>
    <col min="6422" max="6422" width="15.140625" style="62" customWidth="1"/>
    <col min="6423" max="6423" width="13.5703125" style="62" customWidth="1"/>
    <col min="6424" max="6424" width="13.140625" style="62" customWidth="1"/>
    <col min="6425" max="6425" width="15.7109375" style="62" customWidth="1"/>
    <col min="6426" max="6426" width="37.5703125" style="62" customWidth="1"/>
    <col min="6427" max="6648" width="11.42578125" style="62"/>
    <col min="6649" max="6649" width="10.5703125" style="62" customWidth="1"/>
    <col min="6650" max="6650" width="4.85546875" style="62" customWidth="1"/>
    <col min="6651" max="6651" width="32.42578125" style="62" customWidth="1"/>
    <col min="6652" max="6652" width="9.85546875" style="62" customWidth="1"/>
    <col min="6653" max="6653" width="10.140625" style="62" customWidth="1"/>
    <col min="6654" max="6654" width="12.28515625" style="62" customWidth="1"/>
    <col min="6655" max="6655" width="15.42578125" style="62" customWidth="1"/>
    <col min="6656" max="6656" width="11.85546875" style="62" customWidth="1"/>
    <col min="6657" max="6657" width="13.28515625" style="62" customWidth="1"/>
    <col min="6658" max="6658" width="15.28515625" style="62" customWidth="1"/>
    <col min="6659" max="6659" width="11.85546875" style="62" customWidth="1"/>
    <col min="6660" max="6660" width="6.140625" style="62" customWidth="1"/>
    <col min="6661" max="6661" width="11.85546875" style="62" customWidth="1"/>
    <col min="6662" max="6662" width="9.42578125" style="62" customWidth="1"/>
    <col min="6663" max="6663" width="14.7109375" style="62" customWidth="1"/>
    <col min="6664" max="6664" width="11.5703125" style="62" customWidth="1"/>
    <col min="6665" max="6665" width="0.42578125" style="62" customWidth="1"/>
    <col min="6666" max="6666" width="10.5703125" style="62" bestFit="1" customWidth="1"/>
    <col min="6667" max="6667" width="12.28515625" style="62" customWidth="1"/>
    <col min="6668" max="6668" width="12.5703125" style="62" customWidth="1"/>
    <col min="6669" max="6669" width="10.5703125" style="62" customWidth="1"/>
    <col min="6670" max="6670" width="10.140625" style="62" customWidth="1"/>
    <col min="6671" max="6671" width="8.42578125" style="62" customWidth="1"/>
    <col min="6672" max="6672" width="18.85546875" style="62" customWidth="1"/>
    <col min="6673" max="6673" width="10.28515625" style="62" customWidth="1"/>
    <col min="6674" max="6674" width="11.42578125" style="62"/>
    <col min="6675" max="6675" width="12.140625" style="62" customWidth="1"/>
    <col min="6676" max="6676" width="10.5703125" style="62" customWidth="1"/>
    <col min="6677" max="6677" width="12.42578125" style="62" customWidth="1"/>
    <col min="6678" max="6678" width="15.140625" style="62" customWidth="1"/>
    <col min="6679" max="6679" width="13.5703125" style="62" customWidth="1"/>
    <col min="6680" max="6680" width="13.140625" style="62" customWidth="1"/>
    <col min="6681" max="6681" width="15.7109375" style="62" customWidth="1"/>
    <col min="6682" max="6682" width="37.5703125" style="62" customWidth="1"/>
    <col min="6683" max="6904" width="11.42578125" style="62"/>
    <col min="6905" max="6905" width="10.5703125" style="62" customWidth="1"/>
    <col min="6906" max="6906" width="4.85546875" style="62" customWidth="1"/>
    <col min="6907" max="6907" width="32.42578125" style="62" customWidth="1"/>
    <col min="6908" max="6908" width="9.85546875" style="62" customWidth="1"/>
    <col min="6909" max="6909" width="10.140625" style="62" customWidth="1"/>
    <col min="6910" max="6910" width="12.28515625" style="62" customWidth="1"/>
    <col min="6911" max="6911" width="15.42578125" style="62" customWidth="1"/>
    <col min="6912" max="6912" width="11.85546875" style="62" customWidth="1"/>
    <col min="6913" max="6913" width="13.28515625" style="62" customWidth="1"/>
    <col min="6914" max="6914" width="15.28515625" style="62" customWidth="1"/>
    <col min="6915" max="6915" width="11.85546875" style="62" customWidth="1"/>
    <col min="6916" max="6916" width="6.140625" style="62" customWidth="1"/>
    <col min="6917" max="6917" width="11.85546875" style="62" customWidth="1"/>
    <col min="6918" max="6918" width="9.42578125" style="62" customWidth="1"/>
    <col min="6919" max="6919" width="14.7109375" style="62" customWidth="1"/>
    <col min="6920" max="6920" width="11.5703125" style="62" customWidth="1"/>
    <col min="6921" max="6921" width="0.42578125" style="62" customWidth="1"/>
    <col min="6922" max="6922" width="10.5703125" style="62" bestFit="1" customWidth="1"/>
    <col min="6923" max="6923" width="12.28515625" style="62" customWidth="1"/>
    <col min="6924" max="6924" width="12.5703125" style="62" customWidth="1"/>
    <col min="6925" max="6925" width="10.5703125" style="62" customWidth="1"/>
    <col min="6926" max="6926" width="10.140625" style="62" customWidth="1"/>
    <col min="6927" max="6927" width="8.42578125" style="62" customWidth="1"/>
    <col min="6928" max="6928" width="18.85546875" style="62" customWidth="1"/>
    <col min="6929" max="6929" width="10.28515625" style="62" customWidth="1"/>
    <col min="6930" max="6930" width="11.42578125" style="62"/>
    <col min="6931" max="6931" width="12.140625" style="62" customWidth="1"/>
    <col min="6932" max="6932" width="10.5703125" style="62" customWidth="1"/>
    <col min="6933" max="6933" width="12.42578125" style="62" customWidth="1"/>
    <col min="6934" max="6934" width="15.140625" style="62" customWidth="1"/>
    <col min="6935" max="6935" width="13.5703125" style="62" customWidth="1"/>
    <col min="6936" max="6936" width="13.140625" style="62" customWidth="1"/>
    <col min="6937" max="6937" width="15.7109375" style="62" customWidth="1"/>
    <col min="6938" max="6938" width="37.5703125" style="62" customWidth="1"/>
    <col min="6939" max="7160" width="11.42578125" style="62"/>
    <col min="7161" max="7161" width="10.5703125" style="62" customWidth="1"/>
    <col min="7162" max="7162" width="4.85546875" style="62" customWidth="1"/>
    <col min="7163" max="7163" width="32.42578125" style="62" customWidth="1"/>
    <col min="7164" max="7164" width="9.85546875" style="62" customWidth="1"/>
    <col min="7165" max="7165" width="10.140625" style="62" customWidth="1"/>
    <col min="7166" max="7166" width="12.28515625" style="62" customWidth="1"/>
    <col min="7167" max="7167" width="15.42578125" style="62" customWidth="1"/>
    <col min="7168" max="7168" width="11.85546875" style="62" customWidth="1"/>
    <col min="7169" max="7169" width="13.28515625" style="62" customWidth="1"/>
    <col min="7170" max="7170" width="15.28515625" style="62" customWidth="1"/>
    <col min="7171" max="7171" width="11.85546875" style="62" customWidth="1"/>
    <col min="7172" max="7172" width="6.140625" style="62" customWidth="1"/>
    <col min="7173" max="7173" width="11.85546875" style="62" customWidth="1"/>
    <col min="7174" max="7174" width="9.42578125" style="62" customWidth="1"/>
    <col min="7175" max="7175" width="14.7109375" style="62" customWidth="1"/>
    <col min="7176" max="7176" width="11.5703125" style="62" customWidth="1"/>
    <col min="7177" max="7177" width="0.42578125" style="62" customWidth="1"/>
    <col min="7178" max="7178" width="10.5703125" style="62" bestFit="1" customWidth="1"/>
    <col min="7179" max="7179" width="12.28515625" style="62" customWidth="1"/>
    <col min="7180" max="7180" width="12.5703125" style="62" customWidth="1"/>
    <col min="7181" max="7181" width="10.5703125" style="62" customWidth="1"/>
    <col min="7182" max="7182" width="10.140625" style="62" customWidth="1"/>
    <col min="7183" max="7183" width="8.42578125" style="62" customWidth="1"/>
    <col min="7184" max="7184" width="18.85546875" style="62" customWidth="1"/>
    <col min="7185" max="7185" width="10.28515625" style="62" customWidth="1"/>
    <col min="7186" max="7186" width="11.42578125" style="62"/>
    <col min="7187" max="7187" width="12.140625" style="62" customWidth="1"/>
    <col min="7188" max="7188" width="10.5703125" style="62" customWidth="1"/>
    <col min="7189" max="7189" width="12.42578125" style="62" customWidth="1"/>
    <col min="7190" max="7190" width="15.140625" style="62" customWidth="1"/>
    <col min="7191" max="7191" width="13.5703125" style="62" customWidth="1"/>
    <col min="7192" max="7192" width="13.140625" style="62" customWidth="1"/>
    <col min="7193" max="7193" width="15.7109375" style="62" customWidth="1"/>
    <col min="7194" max="7194" width="37.5703125" style="62" customWidth="1"/>
    <col min="7195" max="7416" width="11.42578125" style="62"/>
    <col min="7417" max="7417" width="10.5703125" style="62" customWidth="1"/>
    <col min="7418" max="7418" width="4.85546875" style="62" customWidth="1"/>
    <col min="7419" max="7419" width="32.42578125" style="62" customWidth="1"/>
    <col min="7420" max="7420" width="9.85546875" style="62" customWidth="1"/>
    <col min="7421" max="7421" width="10.140625" style="62" customWidth="1"/>
    <col min="7422" max="7422" width="12.28515625" style="62" customWidth="1"/>
    <col min="7423" max="7423" width="15.42578125" style="62" customWidth="1"/>
    <col min="7424" max="7424" width="11.85546875" style="62" customWidth="1"/>
    <col min="7425" max="7425" width="13.28515625" style="62" customWidth="1"/>
    <col min="7426" max="7426" width="15.28515625" style="62" customWidth="1"/>
    <col min="7427" max="7427" width="11.85546875" style="62" customWidth="1"/>
    <col min="7428" max="7428" width="6.140625" style="62" customWidth="1"/>
    <col min="7429" max="7429" width="11.85546875" style="62" customWidth="1"/>
    <col min="7430" max="7430" width="9.42578125" style="62" customWidth="1"/>
    <col min="7431" max="7431" width="14.7109375" style="62" customWidth="1"/>
    <col min="7432" max="7432" width="11.5703125" style="62" customWidth="1"/>
    <col min="7433" max="7433" width="0.42578125" style="62" customWidth="1"/>
    <col min="7434" max="7434" width="10.5703125" style="62" bestFit="1" customWidth="1"/>
    <col min="7435" max="7435" width="12.28515625" style="62" customWidth="1"/>
    <col min="7436" max="7436" width="12.5703125" style="62" customWidth="1"/>
    <col min="7437" max="7437" width="10.5703125" style="62" customWidth="1"/>
    <col min="7438" max="7438" width="10.140625" style="62" customWidth="1"/>
    <col min="7439" max="7439" width="8.42578125" style="62" customWidth="1"/>
    <col min="7440" max="7440" width="18.85546875" style="62" customWidth="1"/>
    <col min="7441" max="7441" width="10.28515625" style="62" customWidth="1"/>
    <col min="7442" max="7442" width="11.42578125" style="62"/>
    <col min="7443" max="7443" width="12.140625" style="62" customWidth="1"/>
    <col min="7444" max="7444" width="10.5703125" style="62" customWidth="1"/>
    <col min="7445" max="7445" width="12.42578125" style="62" customWidth="1"/>
    <col min="7446" max="7446" width="15.140625" style="62" customWidth="1"/>
    <col min="7447" max="7447" width="13.5703125" style="62" customWidth="1"/>
    <col min="7448" max="7448" width="13.140625" style="62" customWidth="1"/>
    <col min="7449" max="7449" width="15.7109375" style="62" customWidth="1"/>
    <col min="7450" max="7450" width="37.5703125" style="62" customWidth="1"/>
    <col min="7451" max="7672" width="11.42578125" style="62"/>
    <col min="7673" max="7673" width="10.5703125" style="62" customWidth="1"/>
    <col min="7674" max="7674" width="4.85546875" style="62" customWidth="1"/>
    <col min="7675" max="7675" width="32.42578125" style="62" customWidth="1"/>
    <col min="7676" max="7676" width="9.85546875" style="62" customWidth="1"/>
    <col min="7677" max="7677" width="10.140625" style="62" customWidth="1"/>
    <col min="7678" max="7678" width="12.28515625" style="62" customWidth="1"/>
    <col min="7679" max="7679" width="15.42578125" style="62" customWidth="1"/>
    <col min="7680" max="7680" width="11.85546875" style="62" customWidth="1"/>
    <col min="7681" max="7681" width="13.28515625" style="62" customWidth="1"/>
    <col min="7682" max="7682" width="15.28515625" style="62" customWidth="1"/>
    <col min="7683" max="7683" width="11.85546875" style="62" customWidth="1"/>
    <col min="7684" max="7684" width="6.140625" style="62" customWidth="1"/>
    <col min="7685" max="7685" width="11.85546875" style="62" customWidth="1"/>
    <col min="7686" max="7686" width="9.42578125" style="62" customWidth="1"/>
    <col min="7687" max="7687" width="14.7109375" style="62" customWidth="1"/>
    <col min="7688" max="7688" width="11.5703125" style="62" customWidth="1"/>
    <col min="7689" max="7689" width="0.42578125" style="62" customWidth="1"/>
    <col min="7690" max="7690" width="10.5703125" style="62" bestFit="1" customWidth="1"/>
    <col min="7691" max="7691" width="12.28515625" style="62" customWidth="1"/>
    <col min="7692" max="7692" width="12.5703125" style="62" customWidth="1"/>
    <col min="7693" max="7693" width="10.5703125" style="62" customWidth="1"/>
    <col min="7694" max="7694" width="10.140625" style="62" customWidth="1"/>
    <col min="7695" max="7695" width="8.42578125" style="62" customWidth="1"/>
    <col min="7696" max="7696" width="18.85546875" style="62" customWidth="1"/>
    <col min="7697" max="7697" width="10.28515625" style="62" customWidth="1"/>
    <col min="7698" max="7698" width="11.42578125" style="62"/>
    <col min="7699" max="7699" width="12.140625" style="62" customWidth="1"/>
    <col min="7700" max="7700" width="10.5703125" style="62" customWidth="1"/>
    <col min="7701" max="7701" width="12.42578125" style="62" customWidth="1"/>
    <col min="7702" max="7702" width="15.140625" style="62" customWidth="1"/>
    <col min="7703" max="7703" width="13.5703125" style="62" customWidth="1"/>
    <col min="7704" max="7704" width="13.140625" style="62" customWidth="1"/>
    <col min="7705" max="7705" width="15.7109375" style="62" customWidth="1"/>
    <col min="7706" max="7706" width="37.5703125" style="62" customWidth="1"/>
    <col min="7707" max="7928" width="11.42578125" style="62"/>
    <col min="7929" max="7929" width="10.5703125" style="62" customWidth="1"/>
    <col min="7930" max="7930" width="4.85546875" style="62" customWidth="1"/>
    <col min="7931" max="7931" width="32.42578125" style="62" customWidth="1"/>
    <col min="7932" max="7932" width="9.85546875" style="62" customWidth="1"/>
    <col min="7933" max="7933" width="10.140625" style="62" customWidth="1"/>
    <col min="7934" max="7934" width="12.28515625" style="62" customWidth="1"/>
    <col min="7935" max="7935" width="15.42578125" style="62" customWidth="1"/>
    <col min="7936" max="7936" width="11.85546875" style="62" customWidth="1"/>
    <col min="7937" max="7937" width="13.28515625" style="62" customWidth="1"/>
    <col min="7938" max="7938" width="15.28515625" style="62" customWidth="1"/>
    <col min="7939" max="7939" width="11.85546875" style="62" customWidth="1"/>
    <col min="7940" max="7940" width="6.140625" style="62" customWidth="1"/>
    <col min="7941" max="7941" width="11.85546875" style="62" customWidth="1"/>
    <col min="7942" max="7942" width="9.42578125" style="62" customWidth="1"/>
    <col min="7943" max="7943" width="14.7109375" style="62" customWidth="1"/>
    <col min="7944" max="7944" width="11.5703125" style="62" customWidth="1"/>
    <col min="7945" max="7945" width="0.42578125" style="62" customWidth="1"/>
    <col min="7946" max="7946" width="10.5703125" style="62" bestFit="1" customWidth="1"/>
    <col min="7947" max="7947" width="12.28515625" style="62" customWidth="1"/>
    <col min="7948" max="7948" width="12.5703125" style="62" customWidth="1"/>
    <col min="7949" max="7949" width="10.5703125" style="62" customWidth="1"/>
    <col min="7950" max="7950" width="10.140625" style="62" customWidth="1"/>
    <col min="7951" max="7951" width="8.42578125" style="62" customWidth="1"/>
    <col min="7952" max="7952" width="18.85546875" style="62" customWidth="1"/>
    <col min="7953" max="7953" width="10.28515625" style="62" customWidth="1"/>
    <col min="7954" max="7954" width="11.42578125" style="62"/>
    <col min="7955" max="7955" width="12.140625" style="62" customWidth="1"/>
    <col min="7956" max="7956" width="10.5703125" style="62" customWidth="1"/>
    <col min="7957" max="7957" width="12.42578125" style="62" customWidth="1"/>
    <col min="7958" max="7958" width="15.140625" style="62" customWidth="1"/>
    <col min="7959" max="7959" width="13.5703125" style="62" customWidth="1"/>
    <col min="7960" max="7960" width="13.140625" style="62" customWidth="1"/>
    <col min="7961" max="7961" width="15.7109375" style="62" customWidth="1"/>
    <col min="7962" max="7962" width="37.5703125" style="62" customWidth="1"/>
    <col min="7963" max="8184" width="11.42578125" style="62"/>
    <col min="8185" max="8185" width="10.5703125" style="62" customWidth="1"/>
    <col min="8186" max="8186" width="4.85546875" style="62" customWidth="1"/>
    <col min="8187" max="8187" width="32.42578125" style="62" customWidth="1"/>
    <col min="8188" max="8188" width="9.85546875" style="62" customWidth="1"/>
    <col min="8189" max="8189" width="10.140625" style="62" customWidth="1"/>
    <col min="8190" max="8190" width="12.28515625" style="62" customWidth="1"/>
    <col min="8191" max="8191" width="15.42578125" style="62" customWidth="1"/>
    <col min="8192" max="8192" width="11.85546875" style="62" customWidth="1"/>
    <col min="8193" max="8193" width="13.28515625" style="62" customWidth="1"/>
    <col min="8194" max="8194" width="15.28515625" style="62" customWidth="1"/>
    <col min="8195" max="8195" width="11.85546875" style="62" customWidth="1"/>
    <col min="8196" max="8196" width="6.140625" style="62" customWidth="1"/>
    <col min="8197" max="8197" width="11.85546875" style="62" customWidth="1"/>
    <col min="8198" max="8198" width="9.42578125" style="62" customWidth="1"/>
    <col min="8199" max="8199" width="14.7109375" style="62" customWidth="1"/>
    <col min="8200" max="8200" width="11.5703125" style="62" customWidth="1"/>
    <col min="8201" max="8201" width="0.42578125" style="62" customWidth="1"/>
    <col min="8202" max="8202" width="10.5703125" style="62" bestFit="1" customWidth="1"/>
    <col min="8203" max="8203" width="12.28515625" style="62" customWidth="1"/>
    <col min="8204" max="8204" width="12.5703125" style="62" customWidth="1"/>
    <col min="8205" max="8205" width="10.5703125" style="62" customWidth="1"/>
    <col min="8206" max="8206" width="10.140625" style="62" customWidth="1"/>
    <col min="8207" max="8207" width="8.42578125" style="62" customWidth="1"/>
    <col min="8208" max="8208" width="18.85546875" style="62" customWidth="1"/>
    <col min="8209" max="8209" width="10.28515625" style="62" customWidth="1"/>
    <col min="8210" max="8210" width="11.42578125" style="62"/>
    <col min="8211" max="8211" width="12.140625" style="62" customWidth="1"/>
    <col min="8212" max="8212" width="10.5703125" style="62" customWidth="1"/>
    <col min="8213" max="8213" width="12.42578125" style="62" customWidth="1"/>
    <col min="8214" max="8214" width="15.140625" style="62" customWidth="1"/>
    <col min="8215" max="8215" width="13.5703125" style="62" customWidth="1"/>
    <col min="8216" max="8216" width="13.140625" style="62" customWidth="1"/>
    <col min="8217" max="8217" width="15.7109375" style="62" customWidth="1"/>
    <col min="8218" max="8218" width="37.5703125" style="62" customWidth="1"/>
    <col min="8219" max="8440" width="11.42578125" style="62"/>
    <col min="8441" max="8441" width="10.5703125" style="62" customWidth="1"/>
    <col min="8442" max="8442" width="4.85546875" style="62" customWidth="1"/>
    <col min="8443" max="8443" width="32.42578125" style="62" customWidth="1"/>
    <col min="8444" max="8444" width="9.85546875" style="62" customWidth="1"/>
    <col min="8445" max="8445" width="10.140625" style="62" customWidth="1"/>
    <col min="8446" max="8446" width="12.28515625" style="62" customWidth="1"/>
    <col min="8447" max="8447" width="15.42578125" style="62" customWidth="1"/>
    <col min="8448" max="8448" width="11.85546875" style="62" customWidth="1"/>
    <col min="8449" max="8449" width="13.28515625" style="62" customWidth="1"/>
    <col min="8450" max="8450" width="15.28515625" style="62" customWidth="1"/>
    <col min="8451" max="8451" width="11.85546875" style="62" customWidth="1"/>
    <col min="8452" max="8452" width="6.140625" style="62" customWidth="1"/>
    <col min="8453" max="8453" width="11.85546875" style="62" customWidth="1"/>
    <col min="8454" max="8454" width="9.42578125" style="62" customWidth="1"/>
    <col min="8455" max="8455" width="14.7109375" style="62" customWidth="1"/>
    <col min="8456" max="8456" width="11.5703125" style="62" customWidth="1"/>
    <col min="8457" max="8457" width="0.42578125" style="62" customWidth="1"/>
    <col min="8458" max="8458" width="10.5703125" style="62" bestFit="1" customWidth="1"/>
    <col min="8459" max="8459" width="12.28515625" style="62" customWidth="1"/>
    <col min="8460" max="8460" width="12.5703125" style="62" customWidth="1"/>
    <col min="8461" max="8461" width="10.5703125" style="62" customWidth="1"/>
    <col min="8462" max="8462" width="10.140625" style="62" customWidth="1"/>
    <col min="8463" max="8463" width="8.42578125" style="62" customWidth="1"/>
    <col min="8464" max="8464" width="18.85546875" style="62" customWidth="1"/>
    <col min="8465" max="8465" width="10.28515625" style="62" customWidth="1"/>
    <col min="8466" max="8466" width="11.42578125" style="62"/>
    <col min="8467" max="8467" width="12.140625" style="62" customWidth="1"/>
    <col min="8468" max="8468" width="10.5703125" style="62" customWidth="1"/>
    <col min="8469" max="8469" width="12.42578125" style="62" customWidth="1"/>
    <col min="8470" max="8470" width="15.140625" style="62" customWidth="1"/>
    <col min="8471" max="8471" width="13.5703125" style="62" customWidth="1"/>
    <col min="8472" max="8472" width="13.140625" style="62" customWidth="1"/>
    <col min="8473" max="8473" width="15.7109375" style="62" customWidth="1"/>
    <col min="8474" max="8474" width="37.5703125" style="62" customWidth="1"/>
    <col min="8475" max="8696" width="11.42578125" style="62"/>
    <col min="8697" max="8697" width="10.5703125" style="62" customWidth="1"/>
    <col min="8698" max="8698" width="4.85546875" style="62" customWidth="1"/>
    <col min="8699" max="8699" width="32.42578125" style="62" customWidth="1"/>
    <col min="8700" max="8700" width="9.85546875" style="62" customWidth="1"/>
    <col min="8701" max="8701" width="10.140625" style="62" customWidth="1"/>
    <col min="8702" max="8702" width="12.28515625" style="62" customWidth="1"/>
    <col min="8703" max="8703" width="15.42578125" style="62" customWidth="1"/>
    <col min="8704" max="8704" width="11.85546875" style="62" customWidth="1"/>
    <col min="8705" max="8705" width="13.28515625" style="62" customWidth="1"/>
    <col min="8706" max="8706" width="15.28515625" style="62" customWidth="1"/>
    <col min="8707" max="8707" width="11.85546875" style="62" customWidth="1"/>
    <col min="8708" max="8708" width="6.140625" style="62" customWidth="1"/>
    <col min="8709" max="8709" width="11.85546875" style="62" customWidth="1"/>
    <col min="8710" max="8710" width="9.42578125" style="62" customWidth="1"/>
    <col min="8711" max="8711" width="14.7109375" style="62" customWidth="1"/>
    <col min="8712" max="8712" width="11.5703125" style="62" customWidth="1"/>
    <col min="8713" max="8713" width="0.42578125" style="62" customWidth="1"/>
    <col min="8714" max="8714" width="10.5703125" style="62" bestFit="1" customWidth="1"/>
    <col min="8715" max="8715" width="12.28515625" style="62" customWidth="1"/>
    <col min="8716" max="8716" width="12.5703125" style="62" customWidth="1"/>
    <col min="8717" max="8717" width="10.5703125" style="62" customWidth="1"/>
    <col min="8718" max="8718" width="10.140625" style="62" customWidth="1"/>
    <col min="8719" max="8719" width="8.42578125" style="62" customWidth="1"/>
    <col min="8720" max="8720" width="18.85546875" style="62" customWidth="1"/>
    <col min="8721" max="8721" width="10.28515625" style="62" customWidth="1"/>
    <col min="8722" max="8722" width="11.42578125" style="62"/>
    <col min="8723" max="8723" width="12.140625" style="62" customWidth="1"/>
    <col min="8724" max="8724" width="10.5703125" style="62" customWidth="1"/>
    <col min="8725" max="8725" width="12.42578125" style="62" customWidth="1"/>
    <col min="8726" max="8726" width="15.140625" style="62" customWidth="1"/>
    <col min="8727" max="8727" width="13.5703125" style="62" customWidth="1"/>
    <col min="8728" max="8728" width="13.140625" style="62" customWidth="1"/>
    <col min="8729" max="8729" width="15.7109375" style="62" customWidth="1"/>
    <col min="8730" max="8730" width="37.5703125" style="62" customWidth="1"/>
    <col min="8731" max="8952" width="11.42578125" style="62"/>
    <col min="8953" max="8953" width="10.5703125" style="62" customWidth="1"/>
    <col min="8954" max="8954" width="4.85546875" style="62" customWidth="1"/>
    <col min="8955" max="8955" width="32.42578125" style="62" customWidth="1"/>
    <col min="8956" max="8956" width="9.85546875" style="62" customWidth="1"/>
    <col min="8957" max="8957" width="10.140625" style="62" customWidth="1"/>
    <col min="8958" max="8958" width="12.28515625" style="62" customWidth="1"/>
    <col min="8959" max="8959" width="15.42578125" style="62" customWidth="1"/>
    <col min="8960" max="8960" width="11.85546875" style="62" customWidth="1"/>
    <col min="8961" max="8961" width="13.28515625" style="62" customWidth="1"/>
    <col min="8962" max="8962" width="15.28515625" style="62" customWidth="1"/>
    <col min="8963" max="8963" width="11.85546875" style="62" customWidth="1"/>
    <col min="8964" max="8964" width="6.140625" style="62" customWidth="1"/>
    <col min="8965" max="8965" width="11.85546875" style="62" customWidth="1"/>
    <col min="8966" max="8966" width="9.42578125" style="62" customWidth="1"/>
    <col min="8967" max="8967" width="14.7109375" style="62" customWidth="1"/>
    <col min="8968" max="8968" width="11.5703125" style="62" customWidth="1"/>
    <col min="8969" max="8969" width="0.42578125" style="62" customWidth="1"/>
    <col min="8970" max="8970" width="10.5703125" style="62" bestFit="1" customWidth="1"/>
    <col min="8971" max="8971" width="12.28515625" style="62" customWidth="1"/>
    <col min="8972" max="8972" width="12.5703125" style="62" customWidth="1"/>
    <col min="8973" max="8973" width="10.5703125" style="62" customWidth="1"/>
    <col min="8974" max="8974" width="10.140625" style="62" customWidth="1"/>
    <col min="8975" max="8975" width="8.42578125" style="62" customWidth="1"/>
    <col min="8976" max="8976" width="18.85546875" style="62" customWidth="1"/>
    <col min="8977" max="8977" width="10.28515625" style="62" customWidth="1"/>
    <col min="8978" max="8978" width="11.42578125" style="62"/>
    <col min="8979" max="8979" width="12.140625" style="62" customWidth="1"/>
    <col min="8980" max="8980" width="10.5703125" style="62" customWidth="1"/>
    <col min="8981" max="8981" width="12.42578125" style="62" customWidth="1"/>
    <col min="8982" max="8982" width="15.140625" style="62" customWidth="1"/>
    <col min="8983" max="8983" width="13.5703125" style="62" customWidth="1"/>
    <col min="8984" max="8984" width="13.140625" style="62" customWidth="1"/>
    <col min="8985" max="8985" width="15.7109375" style="62" customWidth="1"/>
    <col min="8986" max="8986" width="37.5703125" style="62" customWidth="1"/>
    <col min="8987" max="9208" width="11.42578125" style="62"/>
    <col min="9209" max="9209" width="10.5703125" style="62" customWidth="1"/>
    <col min="9210" max="9210" width="4.85546875" style="62" customWidth="1"/>
    <col min="9211" max="9211" width="32.42578125" style="62" customWidth="1"/>
    <col min="9212" max="9212" width="9.85546875" style="62" customWidth="1"/>
    <col min="9213" max="9213" width="10.140625" style="62" customWidth="1"/>
    <col min="9214" max="9214" width="12.28515625" style="62" customWidth="1"/>
    <col min="9215" max="9215" width="15.42578125" style="62" customWidth="1"/>
    <col min="9216" max="9216" width="11.85546875" style="62" customWidth="1"/>
    <col min="9217" max="9217" width="13.28515625" style="62" customWidth="1"/>
    <col min="9218" max="9218" width="15.28515625" style="62" customWidth="1"/>
    <col min="9219" max="9219" width="11.85546875" style="62" customWidth="1"/>
    <col min="9220" max="9220" width="6.140625" style="62" customWidth="1"/>
    <col min="9221" max="9221" width="11.85546875" style="62" customWidth="1"/>
    <col min="9222" max="9222" width="9.42578125" style="62" customWidth="1"/>
    <col min="9223" max="9223" width="14.7109375" style="62" customWidth="1"/>
    <col min="9224" max="9224" width="11.5703125" style="62" customWidth="1"/>
    <col min="9225" max="9225" width="0.42578125" style="62" customWidth="1"/>
    <col min="9226" max="9226" width="10.5703125" style="62" bestFit="1" customWidth="1"/>
    <col min="9227" max="9227" width="12.28515625" style="62" customWidth="1"/>
    <col min="9228" max="9228" width="12.5703125" style="62" customWidth="1"/>
    <col min="9229" max="9229" width="10.5703125" style="62" customWidth="1"/>
    <col min="9230" max="9230" width="10.140625" style="62" customWidth="1"/>
    <col min="9231" max="9231" width="8.42578125" style="62" customWidth="1"/>
    <col min="9232" max="9232" width="18.85546875" style="62" customWidth="1"/>
    <col min="9233" max="9233" width="10.28515625" style="62" customWidth="1"/>
    <col min="9234" max="9234" width="11.42578125" style="62"/>
    <col min="9235" max="9235" width="12.140625" style="62" customWidth="1"/>
    <col min="9236" max="9236" width="10.5703125" style="62" customWidth="1"/>
    <col min="9237" max="9237" width="12.42578125" style="62" customWidth="1"/>
    <col min="9238" max="9238" width="15.140625" style="62" customWidth="1"/>
    <col min="9239" max="9239" width="13.5703125" style="62" customWidth="1"/>
    <col min="9240" max="9240" width="13.140625" style="62" customWidth="1"/>
    <col min="9241" max="9241" width="15.7109375" style="62" customWidth="1"/>
    <col min="9242" max="9242" width="37.5703125" style="62" customWidth="1"/>
    <col min="9243" max="9464" width="11.42578125" style="62"/>
    <col min="9465" max="9465" width="10.5703125" style="62" customWidth="1"/>
    <col min="9466" max="9466" width="4.85546875" style="62" customWidth="1"/>
    <col min="9467" max="9467" width="32.42578125" style="62" customWidth="1"/>
    <col min="9468" max="9468" width="9.85546875" style="62" customWidth="1"/>
    <col min="9469" max="9469" width="10.140625" style="62" customWidth="1"/>
    <col min="9470" max="9470" width="12.28515625" style="62" customWidth="1"/>
    <col min="9471" max="9471" width="15.42578125" style="62" customWidth="1"/>
    <col min="9472" max="9472" width="11.85546875" style="62" customWidth="1"/>
    <col min="9473" max="9473" width="13.28515625" style="62" customWidth="1"/>
    <col min="9474" max="9474" width="15.28515625" style="62" customWidth="1"/>
    <col min="9475" max="9475" width="11.85546875" style="62" customWidth="1"/>
    <col min="9476" max="9476" width="6.140625" style="62" customWidth="1"/>
    <col min="9477" max="9477" width="11.85546875" style="62" customWidth="1"/>
    <col min="9478" max="9478" width="9.42578125" style="62" customWidth="1"/>
    <col min="9479" max="9479" width="14.7109375" style="62" customWidth="1"/>
    <col min="9480" max="9480" width="11.5703125" style="62" customWidth="1"/>
    <col min="9481" max="9481" width="0.42578125" style="62" customWidth="1"/>
    <col min="9482" max="9482" width="10.5703125" style="62" bestFit="1" customWidth="1"/>
    <col min="9483" max="9483" width="12.28515625" style="62" customWidth="1"/>
    <col min="9484" max="9484" width="12.5703125" style="62" customWidth="1"/>
    <col min="9485" max="9485" width="10.5703125" style="62" customWidth="1"/>
    <col min="9486" max="9486" width="10.140625" style="62" customWidth="1"/>
    <col min="9487" max="9487" width="8.42578125" style="62" customWidth="1"/>
    <col min="9488" max="9488" width="18.85546875" style="62" customWidth="1"/>
    <col min="9489" max="9489" width="10.28515625" style="62" customWidth="1"/>
    <col min="9490" max="9490" width="11.42578125" style="62"/>
    <col min="9491" max="9491" width="12.140625" style="62" customWidth="1"/>
    <col min="9492" max="9492" width="10.5703125" style="62" customWidth="1"/>
    <col min="9493" max="9493" width="12.42578125" style="62" customWidth="1"/>
    <col min="9494" max="9494" width="15.140625" style="62" customWidth="1"/>
    <col min="9495" max="9495" width="13.5703125" style="62" customWidth="1"/>
    <col min="9496" max="9496" width="13.140625" style="62" customWidth="1"/>
    <col min="9497" max="9497" width="15.7109375" style="62" customWidth="1"/>
    <col min="9498" max="9498" width="37.5703125" style="62" customWidth="1"/>
    <col min="9499" max="9720" width="11.42578125" style="62"/>
    <col min="9721" max="9721" width="10.5703125" style="62" customWidth="1"/>
    <col min="9722" max="9722" width="4.85546875" style="62" customWidth="1"/>
    <col min="9723" max="9723" width="32.42578125" style="62" customWidth="1"/>
    <col min="9724" max="9724" width="9.85546875" style="62" customWidth="1"/>
    <col min="9725" max="9725" width="10.140625" style="62" customWidth="1"/>
    <col min="9726" max="9726" width="12.28515625" style="62" customWidth="1"/>
    <col min="9727" max="9727" width="15.42578125" style="62" customWidth="1"/>
    <col min="9728" max="9728" width="11.85546875" style="62" customWidth="1"/>
    <col min="9729" max="9729" width="13.28515625" style="62" customWidth="1"/>
    <col min="9730" max="9730" width="15.28515625" style="62" customWidth="1"/>
    <col min="9731" max="9731" width="11.85546875" style="62" customWidth="1"/>
    <col min="9732" max="9732" width="6.140625" style="62" customWidth="1"/>
    <col min="9733" max="9733" width="11.85546875" style="62" customWidth="1"/>
    <col min="9734" max="9734" width="9.42578125" style="62" customWidth="1"/>
    <col min="9735" max="9735" width="14.7109375" style="62" customWidth="1"/>
    <col min="9736" max="9736" width="11.5703125" style="62" customWidth="1"/>
    <col min="9737" max="9737" width="0.42578125" style="62" customWidth="1"/>
    <col min="9738" max="9738" width="10.5703125" style="62" bestFit="1" customWidth="1"/>
    <col min="9739" max="9739" width="12.28515625" style="62" customWidth="1"/>
    <col min="9740" max="9740" width="12.5703125" style="62" customWidth="1"/>
    <col min="9741" max="9741" width="10.5703125" style="62" customWidth="1"/>
    <col min="9742" max="9742" width="10.140625" style="62" customWidth="1"/>
    <col min="9743" max="9743" width="8.42578125" style="62" customWidth="1"/>
    <col min="9744" max="9744" width="18.85546875" style="62" customWidth="1"/>
    <col min="9745" max="9745" width="10.28515625" style="62" customWidth="1"/>
    <col min="9746" max="9746" width="11.42578125" style="62"/>
    <col min="9747" max="9747" width="12.140625" style="62" customWidth="1"/>
    <col min="9748" max="9748" width="10.5703125" style="62" customWidth="1"/>
    <col min="9749" max="9749" width="12.42578125" style="62" customWidth="1"/>
    <col min="9750" max="9750" width="15.140625" style="62" customWidth="1"/>
    <col min="9751" max="9751" width="13.5703125" style="62" customWidth="1"/>
    <col min="9752" max="9752" width="13.140625" style="62" customWidth="1"/>
    <col min="9753" max="9753" width="15.7109375" style="62" customWidth="1"/>
    <col min="9754" max="9754" width="37.5703125" style="62" customWidth="1"/>
    <col min="9755" max="9976" width="11.42578125" style="62"/>
    <col min="9977" max="9977" width="10.5703125" style="62" customWidth="1"/>
    <col min="9978" max="9978" width="4.85546875" style="62" customWidth="1"/>
    <col min="9979" max="9979" width="32.42578125" style="62" customWidth="1"/>
    <col min="9980" max="9980" width="9.85546875" style="62" customWidth="1"/>
    <col min="9981" max="9981" width="10.140625" style="62" customWidth="1"/>
    <col min="9982" max="9982" width="12.28515625" style="62" customWidth="1"/>
    <col min="9983" max="9983" width="15.42578125" style="62" customWidth="1"/>
    <col min="9984" max="9984" width="11.85546875" style="62" customWidth="1"/>
    <col min="9985" max="9985" width="13.28515625" style="62" customWidth="1"/>
    <col min="9986" max="9986" width="15.28515625" style="62" customWidth="1"/>
    <col min="9987" max="9987" width="11.85546875" style="62" customWidth="1"/>
    <col min="9988" max="9988" width="6.140625" style="62" customWidth="1"/>
    <col min="9989" max="9989" width="11.85546875" style="62" customWidth="1"/>
    <col min="9990" max="9990" width="9.42578125" style="62" customWidth="1"/>
    <col min="9991" max="9991" width="14.7109375" style="62" customWidth="1"/>
    <col min="9992" max="9992" width="11.5703125" style="62" customWidth="1"/>
    <col min="9993" max="9993" width="0.42578125" style="62" customWidth="1"/>
    <col min="9994" max="9994" width="10.5703125" style="62" bestFit="1" customWidth="1"/>
    <col min="9995" max="9995" width="12.28515625" style="62" customWidth="1"/>
    <col min="9996" max="9996" width="12.5703125" style="62" customWidth="1"/>
    <col min="9997" max="9997" width="10.5703125" style="62" customWidth="1"/>
    <col min="9998" max="9998" width="10.140625" style="62" customWidth="1"/>
    <col min="9999" max="9999" width="8.42578125" style="62" customWidth="1"/>
    <col min="10000" max="10000" width="18.85546875" style="62" customWidth="1"/>
    <col min="10001" max="10001" width="10.28515625" style="62" customWidth="1"/>
    <col min="10002" max="10002" width="11.42578125" style="62"/>
    <col min="10003" max="10003" width="12.140625" style="62" customWidth="1"/>
    <col min="10004" max="10004" width="10.5703125" style="62" customWidth="1"/>
    <col min="10005" max="10005" width="12.42578125" style="62" customWidth="1"/>
    <col min="10006" max="10006" width="15.140625" style="62" customWidth="1"/>
    <col min="10007" max="10007" width="13.5703125" style="62" customWidth="1"/>
    <col min="10008" max="10008" width="13.140625" style="62" customWidth="1"/>
    <col min="10009" max="10009" width="15.7109375" style="62" customWidth="1"/>
    <col min="10010" max="10010" width="37.5703125" style="62" customWidth="1"/>
    <col min="10011" max="10232" width="11.42578125" style="62"/>
    <col min="10233" max="10233" width="10.5703125" style="62" customWidth="1"/>
    <col min="10234" max="10234" width="4.85546875" style="62" customWidth="1"/>
    <col min="10235" max="10235" width="32.42578125" style="62" customWidth="1"/>
    <col min="10236" max="10236" width="9.85546875" style="62" customWidth="1"/>
    <col min="10237" max="10237" width="10.140625" style="62" customWidth="1"/>
    <col min="10238" max="10238" width="12.28515625" style="62" customWidth="1"/>
    <col min="10239" max="10239" width="15.42578125" style="62" customWidth="1"/>
    <col min="10240" max="10240" width="11.85546875" style="62" customWidth="1"/>
    <col min="10241" max="10241" width="13.28515625" style="62" customWidth="1"/>
    <col min="10242" max="10242" width="15.28515625" style="62" customWidth="1"/>
    <col min="10243" max="10243" width="11.85546875" style="62" customWidth="1"/>
    <col min="10244" max="10244" width="6.140625" style="62" customWidth="1"/>
    <col min="10245" max="10245" width="11.85546875" style="62" customWidth="1"/>
    <col min="10246" max="10246" width="9.42578125" style="62" customWidth="1"/>
    <col min="10247" max="10247" width="14.7109375" style="62" customWidth="1"/>
    <col min="10248" max="10248" width="11.5703125" style="62" customWidth="1"/>
    <col min="10249" max="10249" width="0.42578125" style="62" customWidth="1"/>
    <col min="10250" max="10250" width="10.5703125" style="62" bestFit="1" customWidth="1"/>
    <col min="10251" max="10251" width="12.28515625" style="62" customWidth="1"/>
    <col min="10252" max="10252" width="12.5703125" style="62" customWidth="1"/>
    <col min="10253" max="10253" width="10.5703125" style="62" customWidth="1"/>
    <col min="10254" max="10254" width="10.140625" style="62" customWidth="1"/>
    <col min="10255" max="10255" width="8.42578125" style="62" customWidth="1"/>
    <col min="10256" max="10256" width="18.85546875" style="62" customWidth="1"/>
    <col min="10257" max="10257" width="10.28515625" style="62" customWidth="1"/>
    <col min="10258" max="10258" width="11.42578125" style="62"/>
    <col min="10259" max="10259" width="12.140625" style="62" customWidth="1"/>
    <col min="10260" max="10260" width="10.5703125" style="62" customWidth="1"/>
    <col min="10261" max="10261" width="12.42578125" style="62" customWidth="1"/>
    <col min="10262" max="10262" width="15.140625" style="62" customWidth="1"/>
    <col min="10263" max="10263" width="13.5703125" style="62" customWidth="1"/>
    <col min="10264" max="10264" width="13.140625" style="62" customWidth="1"/>
    <col min="10265" max="10265" width="15.7109375" style="62" customWidth="1"/>
    <col min="10266" max="10266" width="37.5703125" style="62" customWidth="1"/>
    <col min="10267" max="10488" width="11.42578125" style="62"/>
    <col min="10489" max="10489" width="10.5703125" style="62" customWidth="1"/>
    <col min="10490" max="10490" width="4.85546875" style="62" customWidth="1"/>
    <col min="10491" max="10491" width="32.42578125" style="62" customWidth="1"/>
    <col min="10492" max="10492" width="9.85546875" style="62" customWidth="1"/>
    <col min="10493" max="10493" width="10.140625" style="62" customWidth="1"/>
    <col min="10494" max="10494" width="12.28515625" style="62" customWidth="1"/>
    <col min="10495" max="10495" width="15.42578125" style="62" customWidth="1"/>
    <col min="10496" max="10496" width="11.85546875" style="62" customWidth="1"/>
    <col min="10497" max="10497" width="13.28515625" style="62" customWidth="1"/>
    <col min="10498" max="10498" width="15.28515625" style="62" customWidth="1"/>
    <col min="10499" max="10499" width="11.85546875" style="62" customWidth="1"/>
    <col min="10500" max="10500" width="6.140625" style="62" customWidth="1"/>
    <col min="10501" max="10501" width="11.85546875" style="62" customWidth="1"/>
    <col min="10502" max="10502" width="9.42578125" style="62" customWidth="1"/>
    <col min="10503" max="10503" width="14.7109375" style="62" customWidth="1"/>
    <col min="10504" max="10504" width="11.5703125" style="62" customWidth="1"/>
    <col min="10505" max="10505" width="0.42578125" style="62" customWidth="1"/>
    <col min="10506" max="10506" width="10.5703125" style="62" bestFit="1" customWidth="1"/>
    <col min="10507" max="10507" width="12.28515625" style="62" customWidth="1"/>
    <col min="10508" max="10508" width="12.5703125" style="62" customWidth="1"/>
    <col min="10509" max="10509" width="10.5703125" style="62" customWidth="1"/>
    <col min="10510" max="10510" width="10.140625" style="62" customWidth="1"/>
    <col min="10511" max="10511" width="8.42578125" style="62" customWidth="1"/>
    <col min="10512" max="10512" width="18.85546875" style="62" customWidth="1"/>
    <col min="10513" max="10513" width="10.28515625" style="62" customWidth="1"/>
    <col min="10514" max="10514" width="11.42578125" style="62"/>
    <col min="10515" max="10515" width="12.140625" style="62" customWidth="1"/>
    <col min="10516" max="10516" width="10.5703125" style="62" customWidth="1"/>
    <col min="10517" max="10517" width="12.42578125" style="62" customWidth="1"/>
    <col min="10518" max="10518" width="15.140625" style="62" customWidth="1"/>
    <col min="10519" max="10519" width="13.5703125" style="62" customWidth="1"/>
    <col min="10520" max="10520" width="13.140625" style="62" customWidth="1"/>
    <col min="10521" max="10521" width="15.7109375" style="62" customWidth="1"/>
    <col min="10522" max="10522" width="37.5703125" style="62" customWidth="1"/>
    <col min="10523" max="10744" width="11.42578125" style="62"/>
    <col min="10745" max="10745" width="10.5703125" style="62" customWidth="1"/>
    <col min="10746" max="10746" width="4.85546875" style="62" customWidth="1"/>
    <col min="10747" max="10747" width="32.42578125" style="62" customWidth="1"/>
    <col min="10748" max="10748" width="9.85546875" style="62" customWidth="1"/>
    <col min="10749" max="10749" width="10.140625" style="62" customWidth="1"/>
    <col min="10750" max="10750" width="12.28515625" style="62" customWidth="1"/>
    <col min="10751" max="10751" width="15.42578125" style="62" customWidth="1"/>
    <col min="10752" max="10752" width="11.85546875" style="62" customWidth="1"/>
    <col min="10753" max="10753" width="13.28515625" style="62" customWidth="1"/>
    <col min="10754" max="10754" width="15.28515625" style="62" customWidth="1"/>
    <col min="10755" max="10755" width="11.85546875" style="62" customWidth="1"/>
    <col min="10756" max="10756" width="6.140625" style="62" customWidth="1"/>
    <col min="10757" max="10757" width="11.85546875" style="62" customWidth="1"/>
    <col min="10758" max="10758" width="9.42578125" style="62" customWidth="1"/>
    <col min="10759" max="10759" width="14.7109375" style="62" customWidth="1"/>
    <col min="10760" max="10760" width="11.5703125" style="62" customWidth="1"/>
    <col min="10761" max="10761" width="0.42578125" style="62" customWidth="1"/>
    <col min="10762" max="10762" width="10.5703125" style="62" bestFit="1" customWidth="1"/>
    <col min="10763" max="10763" width="12.28515625" style="62" customWidth="1"/>
    <col min="10764" max="10764" width="12.5703125" style="62" customWidth="1"/>
    <col min="10765" max="10765" width="10.5703125" style="62" customWidth="1"/>
    <col min="10766" max="10766" width="10.140625" style="62" customWidth="1"/>
    <col min="10767" max="10767" width="8.42578125" style="62" customWidth="1"/>
    <col min="10768" max="10768" width="18.85546875" style="62" customWidth="1"/>
    <col min="10769" max="10769" width="10.28515625" style="62" customWidth="1"/>
    <col min="10770" max="10770" width="11.42578125" style="62"/>
    <col min="10771" max="10771" width="12.140625" style="62" customWidth="1"/>
    <col min="10772" max="10772" width="10.5703125" style="62" customWidth="1"/>
    <col min="10773" max="10773" width="12.42578125" style="62" customWidth="1"/>
    <col min="10774" max="10774" width="15.140625" style="62" customWidth="1"/>
    <col min="10775" max="10775" width="13.5703125" style="62" customWidth="1"/>
    <col min="10776" max="10776" width="13.140625" style="62" customWidth="1"/>
    <col min="10777" max="10777" width="15.7109375" style="62" customWidth="1"/>
    <col min="10778" max="10778" width="37.5703125" style="62" customWidth="1"/>
    <col min="10779" max="11000" width="11.42578125" style="62"/>
    <col min="11001" max="11001" width="10.5703125" style="62" customWidth="1"/>
    <col min="11002" max="11002" width="4.85546875" style="62" customWidth="1"/>
    <col min="11003" max="11003" width="32.42578125" style="62" customWidth="1"/>
    <col min="11004" max="11004" width="9.85546875" style="62" customWidth="1"/>
    <col min="11005" max="11005" width="10.140625" style="62" customWidth="1"/>
    <col min="11006" max="11006" width="12.28515625" style="62" customWidth="1"/>
    <col min="11007" max="11007" width="15.42578125" style="62" customWidth="1"/>
    <col min="11008" max="11008" width="11.85546875" style="62" customWidth="1"/>
    <col min="11009" max="11009" width="13.28515625" style="62" customWidth="1"/>
    <col min="11010" max="11010" width="15.28515625" style="62" customWidth="1"/>
    <col min="11011" max="11011" width="11.85546875" style="62" customWidth="1"/>
    <col min="11012" max="11012" width="6.140625" style="62" customWidth="1"/>
    <col min="11013" max="11013" width="11.85546875" style="62" customWidth="1"/>
    <col min="11014" max="11014" width="9.42578125" style="62" customWidth="1"/>
    <col min="11015" max="11015" width="14.7109375" style="62" customWidth="1"/>
    <col min="11016" max="11016" width="11.5703125" style="62" customWidth="1"/>
    <col min="11017" max="11017" width="0.42578125" style="62" customWidth="1"/>
    <col min="11018" max="11018" width="10.5703125" style="62" bestFit="1" customWidth="1"/>
    <col min="11019" max="11019" width="12.28515625" style="62" customWidth="1"/>
    <col min="11020" max="11020" width="12.5703125" style="62" customWidth="1"/>
    <col min="11021" max="11021" width="10.5703125" style="62" customWidth="1"/>
    <col min="11022" max="11022" width="10.140625" style="62" customWidth="1"/>
    <col min="11023" max="11023" width="8.42578125" style="62" customWidth="1"/>
    <col min="11024" max="11024" width="18.85546875" style="62" customWidth="1"/>
    <col min="11025" max="11025" width="10.28515625" style="62" customWidth="1"/>
    <col min="11026" max="11026" width="11.42578125" style="62"/>
    <col min="11027" max="11027" width="12.140625" style="62" customWidth="1"/>
    <col min="11028" max="11028" width="10.5703125" style="62" customWidth="1"/>
    <col min="11029" max="11029" width="12.42578125" style="62" customWidth="1"/>
    <col min="11030" max="11030" width="15.140625" style="62" customWidth="1"/>
    <col min="11031" max="11031" width="13.5703125" style="62" customWidth="1"/>
    <col min="11032" max="11032" width="13.140625" style="62" customWidth="1"/>
    <col min="11033" max="11033" width="15.7109375" style="62" customWidth="1"/>
    <col min="11034" max="11034" width="37.5703125" style="62" customWidth="1"/>
    <col min="11035" max="11256" width="11.42578125" style="62"/>
    <col min="11257" max="11257" width="10.5703125" style="62" customWidth="1"/>
    <col min="11258" max="11258" width="4.85546875" style="62" customWidth="1"/>
    <col min="11259" max="11259" width="32.42578125" style="62" customWidth="1"/>
    <col min="11260" max="11260" width="9.85546875" style="62" customWidth="1"/>
    <col min="11261" max="11261" width="10.140625" style="62" customWidth="1"/>
    <col min="11262" max="11262" width="12.28515625" style="62" customWidth="1"/>
    <col min="11263" max="11263" width="15.42578125" style="62" customWidth="1"/>
    <col min="11264" max="11264" width="11.85546875" style="62" customWidth="1"/>
    <col min="11265" max="11265" width="13.28515625" style="62" customWidth="1"/>
    <col min="11266" max="11266" width="15.28515625" style="62" customWidth="1"/>
    <col min="11267" max="11267" width="11.85546875" style="62" customWidth="1"/>
    <col min="11268" max="11268" width="6.140625" style="62" customWidth="1"/>
    <col min="11269" max="11269" width="11.85546875" style="62" customWidth="1"/>
    <col min="11270" max="11270" width="9.42578125" style="62" customWidth="1"/>
    <col min="11271" max="11271" width="14.7109375" style="62" customWidth="1"/>
    <col min="11272" max="11272" width="11.5703125" style="62" customWidth="1"/>
    <col min="11273" max="11273" width="0.42578125" style="62" customWidth="1"/>
    <col min="11274" max="11274" width="10.5703125" style="62" bestFit="1" customWidth="1"/>
    <col min="11275" max="11275" width="12.28515625" style="62" customWidth="1"/>
    <col min="11276" max="11276" width="12.5703125" style="62" customWidth="1"/>
    <col min="11277" max="11277" width="10.5703125" style="62" customWidth="1"/>
    <col min="11278" max="11278" width="10.140625" style="62" customWidth="1"/>
    <col min="11279" max="11279" width="8.42578125" style="62" customWidth="1"/>
    <col min="11280" max="11280" width="18.85546875" style="62" customWidth="1"/>
    <col min="11281" max="11281" width="10.28515625" style="62" customWidth="1"/>
    <col min="11282" max="11282" width="11.42578125" style="62"/>
    <col min="11283" max="11283" width="12.140625" style="62" customWidth="1"/>
    <col min="11284" max="11284" width="10.5703125" style="62" customWidth="1"/>
    <col min="11285" max="11285" width="12.42578125" style="62" customWidth="1"/>
    <col min="11286" max="11286" width="15.140625" style="62" customWidth="1"/>
    <col min="11287" max="11287" width="13.5703125" style="62" customWidth="1"/>
    <col min="11288" max="11288" width="13.140625" style="62" customWidth="1"/>
    <col min="11289" max="11289" width="15.7109375" style="62" customWidth="1"/>
    <col min="11290" max="11290" width="37.5703125" style="62" customWidth="1"/>
    <col min="11291" max="11512" width="11.42578125" style="62"/>
    <col min="11513" max="11513" width="10.5703125" style="62" customWidth="1"/>
    <col min="11514" max="11514" width="4.85546875" style="62" customWidth="1"/>
    <col min="11515" max="11515" width="32.42578125" style="62" customWidth="1"/>
    <col min="11516" max="11516" width="9.85546875" style="62" customWidth="1"/>
    <col min="11517" max="11517" width="10.140625" style="62" customWidth="1"/>
    <col min="11518" max="11518" width="12.28515625" style="62" customWidth="1"/>
    <col min="11519" max="11519" width="15.42578125" style="62" customWidth="1"/>
    <col min="11520" max="11520" width="11.85546875" style="62" customWidth="1"/>
    <col min="11521" max="11521" width="13.28515625" style="62" customWidth="1"/>
    <col min="11522" max="11522" width="15.28515625" style="62" customWidth="1"/>
    <col min="11523" max="11523" width="11.85546875" style="62" customWidth="1"/>
    <col min="11524" max="11524" width="6.140625" style="62" customWidth="1"/>
    <col min="11525" max="11525" width="11.85546875" style="62" customWidth="1"/>
    <col min="11526" max="11526" width="9.42578125" style="62" customWidth="1"/>
    <col min="11527" max="11527" width="14.7109375" style="62" customWidth="1"/>
    <col min="11528" max="11528" width="11.5703125" style="62" customWidth="1"/>
    <col min="11529" max="11529" width="0.42578125" style="62" customWidth="1"/>
    <col min="11530" max="11530" width="10.5703125" style="62" bestFit="1" customWidth="1"/>
    <col min="11531" max="11531" width="12.28515625" style="62" customWidth="1"/>
    <col min="11532" max="11532" width="12.5703125" style="62" customWidth="1"/>
    <col min="11533" max="11533" width="10.5703125" style="62" customWidth="1"/>
    <col min="11534" max="11534" width="10.140625" style="62" customWidth="1"/>
    <col min="11535" max="11535" width="8.42578125" style="62" customWidth="1"/>
    <col min="11536" max="11536" width="18.85546875" style="62" customWidth="1"/>
    <col min="11537" max="11537" width="10.28515625" style="62" customWidth="1"/>
    <col min="11538" max="11538" width="11.42578125" style="62"/>
    <col min="11539" max="11539" width="12.140625" style="62" customWidth="1"/>
    <col min="11540" max="11540" width="10.5703125" style="62" customWidth="1"/>
    <col min="11541" max="11541" width="12.42578125" style="62" customWidth="1"/>
    <col min="11542" max="11542" width="15.140625" style="62" customWidth="1"/>
    <col min="11543" max="11543" width="13.5703125" style="62" customWidth="1"/>
    <col min="11544" max="11544" width="13.140625" style="62" customWidth="1"/>
    <col min="11545" max="11545" width="15.7109375" style="62" customWidth="1"/>
    <col min="11546" max="11546" width="37.5703125" style="62" customWidth="1"/>
    <col min="11547" max="11768" width="11.42578125" style="62"/>
    <col min="11769" max="11769" width="10.5703125" style="62" customWidth="1"/>
    <col min="11770" max="11770" width="4.85546875" style="62" customWidth="1"/>
    <col min="11771" max="11771" width="32.42578125" style="62" customWidth="1"/>
    <col min="11772" max="11772" width="9.85546875" style="62" customWidth="1"/>
    <col min="11773" max="11773" width="10.140625" style="62" customWidth="1"/>
    <col min="11774" max="11774" width="12.28515625" style="62" customWidth="1"/>
    <col min="11775" max="11775" width="15.42578125" style="62" customWidth="1"/>
    <col min="11776" max="11776" width="11.85546875" style="62" customWidth="1"/>
    <col min="11777" max="11777" width="13.28515625" style="62" customWidth="1"/>
    <col min="11778" max="11778" width="15.28515625" style="62" customWidth="1"/>
    <col min="11779" max="11779" width="11.85546875" style="62" customWidth="1"/>
    <col min="11780" max="11780" width="6.140625" style="62" customWidth="1"/>
    <col min="11781" max="11781" width="11.85546875" style="62" customWidth="1"/>
    <col min="11782" max="11782" width="9.42578125" style="62" customWidth="1"/>
    <col min="11783" max="11783" width="14.7109375" style="62" customWidth="1"/>
    <col min="11784" max="11784" width="11.5703125" style="62" customWidth="1"/>
    <col min="11785" max="11785" width="0.42578125" style="62" customWidth="1"/>
    <col min="11786" max="11786" width="10.5703125" style="62" bestFit="1" customWidth="1"/>
    <col min="11787" max="11787" width="12.28515625" style="62" customWidth="1"/>
    <col min="11788" max="11788" width="12.5703125" style="62" customWidth="1"/>
    <col min="11789" max="11789" width="10.5703125" style="62" customWidth="1"/>
    <col min="11790" max="11790" width="10.140625" style="62" customWidth="1"/>
    <col min="11791" max="11791" width="8.42578125" style="62" customWidth="1"/>
    <col min="11792" max="11792" width="18.85546875" style="62" customWidth="1"/>
    <col min="11793" max="11793" width="10.28515625" style="62" customWidth="1"/>
    <col min="11794" max="11794" width="11.42578125" style="62"/>
    <col min="11795" max="11795" width="12.140625" style="62" customWidth="1"/>
    <col min="11796" max="11796" width="10.5703125" style="62" customWidth="1"/>
    <col min="11797" max="11797" width="12.42578125" style="62" customWidth="1"/>
    <col min="11798" max="11798" width="15.140625" style="62" customWidth="1"/>
    <col min="11799" max="11799" width="13.5703125" style="62" customWidth="1"/>
    <col min="11800" max="11800" width="13.140625" style="62" customWidth="1"/>
    <col min="11801" max="11801" width="15.7109375" style="62" customWidth="1"/>
    <col min="11802" max="11802" width="37.5703125" style="62" customWidth="1"/>
    <col min="11803" max="12024" width="11.42578125" style="62"/>
    <col min="12025" max="12025" width="10.5703125" style="62" customWidth="1"/>
    <col min="12026" max="12026" width="4.85546875" style="62" customWidth="1"/>
    <col min="12027" max="12027" width="32.42578125" style="62" customWidth="1"/>
    <col min="12028" max="12028" width="9.85546875" style="62" customWidth="1"/>
    <col min="12029" max="12029" width="10.140625" style="62" customWidth="1"/>
    <col min="12030" max="12030" width="12.28515625" style="62" customWidth="1"/>
    <col min="12031" max="12031" width="15.42578125" style="62" customWidth="1"/>
    <col min="12032" max="12032" width="11.85546875" style="62" customWidth="1"/>
    <col min="12033" max="12033" width="13.28515625" style="62" customWidth="1"/>
    <col min="12034" max="12034" width="15.28515625" style="62" customWidth="1"/>
    <col min="12035" max="12035" width="11.85546875" style="62" customWidth="1"/>
    <col min="12036" max="12036" width="6.140625" style="62" customWidth="1"/>
    <col min="12037" max="12037" width="11.85546875" style="62" customWidth="1"/>
    <col min="12038" max="12038" width="9.42578125" style="62" customWidth="1"/>
    <col min="12039" max="12039" width="14.7109375" style="62" customWidth="1"/>
    <col min="12040" max="12040" width="11.5703125" style="62" customWidth="1"/>
    <col min="12041" max="12041" width="0.42578125" style="62" customWidth="1"/>
    <col min="12042" max="12042" width="10.5703125" style="62" bestFit="1" customWidth="1"/>
    <col min="12043" max="12043" width="12.28515625" style="62" customWidth="1"/>
    <col min="12044" max="12044" width="12.5703125" style="62" customWidth="1"/>
    <col min="12045" max="12045" width="10.5703125" style="62" customWidth="1"/>
    <col min="12046" max="12046" width="10.140625" style="62" customWidth="1"/>
    <col min="12047" max="12047" width="8.42578125" style="62" customWidth="1"/>
    <col min="12048" max="12048" width="18.85546875" style="62" customWidth="1"/>
    <col min="12049" max="12049" width="10.28515625" style="62" customWidth="1"/>
    <col min="12050" max="12050" width="11.42578125" style="62"/>
    <col min="12051" max="12051" width="12.140625" style="62" customWidth="1"/>
    <col min="12052" max="12052" width="10.5703125" style="62" customWidth="1"/>
    <col min="12053" max="12053" width="12.42578125" style="62" customWidth="1"/>
    <col min="12054" max="12054" width="15.140625" style="62" customWidth="1"/>
    <col min="12055" max="12055" width="13.5703125" style="62" customWidth="1"/>
    <col min="12056" max="12056" width="13.140625" style="62" customWidth="1"/>
    <col min="12057" max="12057" width="15.7109375" style="62" customWidth="1"/>
    <col min="12058" max="12058" width="37.5703125" style="62" customWidth="1"/>
    <col min="12059" max="12280" width="11.42578125" style="62"/>
    <col min="12281" max="12281" width="10.5703125" style="62" customWidth="1"/>
    <col min="12282" max="12282" width="4.85546875" style="62" customWidth="1"/>
    <col min="12283" max="12283" width="32.42578125" style="62" customWidth="1"/>
    <col min="12284" max="12284" width="9.85546875" style="62" customWidth="1"/>
    <col min="12285" max="12285" width="10.140625" style="62" customWidth="1"/>
    <col min="12286" max="12286" width="12.28515625" style="62" customWidth="1"/>
    <col min="12287" max="12287" width="15.42578125" style="62" customWidth="1"/>
    <col min="12288" max="12288" width="11.85546875" style="62" customWidth="1"/>
    <col min="12289" max="12289" width="13.28515625" style="62" customWidth="1"/>
    <col min="12290" max="12290" width="15.28515625" style="62" customWidth="1"/>
    <col min="12291" max="12291" width="11.85546875" style="62" customWidth="1"/>
    <col min="12292" max="12292" width="6.140625" style="62" customWidth="1"/>
    <col min="12293" max="12293" width="11.85546875" style="62" customWidth="1"/>
    <col min="12294" max="12294" width="9.42578125" style="62" customWidth="1"/>
    <col min="12295" max="12295" width="14.7109375" style="62" customWidth="1"/>
    <col min="12296" max="12296" width="11.5703125" style="62" customWidth="1"/>
    <col min="12297" max="12297" width="0.42578125" style="62" customWidth="1"/>
    <col min="12298" max="12298" width="10.5703125" style="62" bestFit="1" customWidth="1"/>
    <col min="12299" max="12299" width="12.28515625" style="62" customWidth="1"/>
    <col min="12300" max="12300" width="12.5703125" style="62" customWidth="1"/>
    <col min="12301" max="12301" width="10.5703125" style="62" customWidth="1"/>
    <col min="12302" max="12302" width="10.140625" style="62" customWidth="1"/>
    <col min="12303" max="12303" width="8.42578125" style="62" customWidth="1"/>
    <col min="12304" max="12304" width="18.85546875" style="62" customWidth="1"/>
    <col min="12305" max="12305" width="10.28515625" style="62" customWidth="1"/>
    <col min="12306" max="12306" width="11.42578125" style="62"/>
    <col min="12307" max="12307" width="12.140625" style="62" customWidth="1"/>
    <col min="12308" max="12308" width="10.5703125" style="62" customWidth="1"/>
    <col min="12309" max="12309" width="12.42578125" style="62" customWidth="1"/>
    <col min="12310" max="12310" width="15.140625" style="62" customWidth="1"/>
    <col min="12311" max="12311" width="13.5703125" style="62" customWidth="1"/>
    <col min="12312" max="12312" width="13.140625" style="62" customWidth="1"/>
    <col min="12313" max="12313" width="15.7109375" style="62" customWidth="1"/>
    <col min="12314" max="12314" width="37.5703125" style="62" customWidth="1"/>
    <col min="12315" max="12536" width="11.42578125" style="62"/>
    <col min="12537" max="12537" width="10.5703125" style="62" customWidth="1"/>
    <col min="12538" max="12538" width="4.85546875" style="62" customWidth="1"/>
    <col min="12539" max="12539" width="32.42578125" style="62" customWidth="1"/>
    <col min="12540" max="12540" width="9.85546875" style="62" customWidth="1"/>
    <col min="12541" max="12541" width="10.140625" style="62" customWidth="1"/>
    <col min="12542" max="12542" width="12.28515625" style="62" customWidth="1"/>
    <col min="12543" max="12543" width="15.42578125" style="62" customWidth="1"/>
    <col min="12544" max="12544" width="11.85546875" style="62" customWidth="1"/>
    <col min="12545" max="12545" width="13.28515625" style="62" customWidth="1"/>
    <col min="12546" max="12546" width="15.28515625" style="62" customWidth="1"/>
    <col min="12547" max="12547" width="11.85546875" style="62" customWidth="1"/>
    <col min="12548" max="12548" width="6.140625" style="62" customWidth="1"/>
    <col min="12549" max="12549" width="11.85546875" style="62" customWidth="1"/>
    <col min="12550" max="12550" width="9.42578125" style="62" customWidth="1"/>
    <col min="12551" max="12551" width="14.7109375" style="62" customWidth="1"/>
    <col min="12552" max="12552" width="11.5703125" style="62" customWidth="1"/>
    <col min="12553" max="12553" width="0.42578125" style="62" customWidth="1"/>
    <col min="12554" max="12554" width="10.5703125" style="62" bestFit="1" customWidth="1"/>
    <col min="12555" max="12555" width="12.28515625" style="62" customWidth="1"/>
    <col min="12556" max="12556" width="12.5703125" style="62" customWidth="1"/>
    <col min="12557" max="12557" width="10.5703125" style="62" customWidth="1"/>
    <col min="12558" max="12558" width="10.140625" style="62" customWidth="1"/>
    <col min="12559" max="12559" width="8.42578125" style="62" customWidth="1"/>
    <col min="12560" max="12560" width="18.85546875" style="62" customWidth="1"/>
    <col min="12561" max="12561" width="10.28515625" style="62" customWidth="1"/>
    <col min="12562" max="12562" width="11.42578125" style="62"/>
    <col min="12563" max="12563" width="12.140625" style="62" customWidth="1"/>
    <col min="12564" max="12564" width="10.5703125" style="62" customWidth="1"/>
    <col min="12565" max="12565" width="12.42578125" style="62" customWidth="1"/>
    <col min="12566" max="12566" width="15.140625" style="62" customWidth="1"/>
    <col min="12567" max="12567" width="13.5703125" style="62" customWidth="1"/>
    <col min="12568" max="12568" width="13.140625" style="62" customWidth="1"/>
    <col min="12569" max="12569" width="15.7109375" style="62" customWidth="1"/>
    <col min="12570" max="12570" width="37.5703125" style="62" customWidth="1"/>
    <col min="12571" max="12792" width="11.42578125" style="62"/>
    <col min="12793" max="12793" width="10.5703125" style="62" customWidth="1"/>
    <col min="12794" max="12794" width="4.85546875" style="62" customWidth="1"/>
    <col min="12795" max="12795" width="32.42578125" style="62" customWidth="1"/>
    <col min="12796" max="12796" width="9.85546875" style="62" customWidth="1"/>
    <col min="12797" max="12797" width="10.140625" style="62" customWidth="1"/>
    <col min="12798" max="12798" width="12.28515625" style="62" customWidth="1"/>
    <col min="12799" max="12799" width="15.42578125" style="62" customWidth="1"/>
    <col min="12800" max="12800" width="11.85546875" style="62" customWidth="1"/>
    <col min="12801" max="12801" width="13.28515625" style="62" customWidth="1"/>
    <col min="12802" max="12802" width="15.28515625" style="62" customWidth="1"/>
    <col min="12803" max="12803" width="11.85546875" style="62" customWidth="1"/>
    <col min="12804" max="12804" width="6.140625" style="62" customWidth="1"/>
    <col min="12805" max="12805" width="11.85546875" style="62" customWidth="1"/>
    <col min="12806" max="12806" width="9.42578125" style="62" customWidth="1"/>
    <col min="12807" max="12807" width="14.7109375" style="62" customWidth="1"/>
    <col min="12808" max="12808" width="11.5703125" style="62" customWidth="1"/>
    <col min="12809" max="12809" width="0.42578125" style="62" customWidth="1"/>
    <col min="12810" max="12810" width="10.5703125" style="62" bestFit="1" customWidth="1"/>
    <col min="12811" max="12811" width="12.28515625" style="62" customWidth="1"/>
    <col min="12812" max="12812" width="12.5703125" style="62" customWidth="1"/>
    <col min="12813" max="12813" width="10.5703125" style="62" customWidth="1"/>
    <col min="12814" max="12814" width="10.140625" style="62" customWidth="1"/>
    <col min="12815" max="12815" width="8.42578125" style="62" customWidth="1"/>
    <col min="12816" max="12816" width="18.85546875" style="62" customWidth="1"/>
    <col min="12817" max="12817" width="10.28515625" style="62" customWidth="1"/>
    <col min="12818" max="12818" width="11.42578125" style="62"/>
    <col min="12819" max="12819" width="12.140625" style="62" customWidth="1"/>
    <col min="12820" max="12820" width="10.5703125" style="62" customWidth="1"/>
    <col min="12821" max="12821" width="12.42578125" style="62" customWidth="1"/>
    <col min="12822" max="12822" width="15.140625" style="62" customWidth="1"/>
    <col min="12823" max="12823" width="13.5703125" style="62" customWidth="1"/>
    <col min="12824" max="12824" width="13.140625" style="62" customWidth="1"/>
    <col min="12825" max="12825" width="15.7109375" style="62" customWidth="1"/>
    <col min="12826" max="12826" width="37.5703125" style="62" customWidth="1"/>
    <col min="12827" max="13048" width="11.42578125" style="62"/>
    <col min="13049" max="13049" width="10.5703125" style="62" customWidth="1"/>
    <col min="13050" max="13050" width="4.85546875" style="62" customWidth="1"/>
    <col min="13051" max="13051" width="32.42578125" style="62" customWidth="1"/>
    <col min="13052" max="13052" width="9.85546875" style="62" customWidth="1"/>
    <col min="13053" max="13053" width="10.140625" style="62" customWidth="1"/>
    <col min="13054" max="13054" width="12.28515625" style="62" customWidth="1"/>
    <col min="13055" max="13055" width="15.42578125" style="62" customWidth="1"/>
    <col min="13056" max="13056" width="11.85546875" style="62" customWidth="1"/>
    <col min="13057" max="13057" width="13.28515625" style="62" customWidth="1"/>
    <col min="13058" max="13058" width="15.28515625" style="62" customWidth="1"/>
    <col min="13059" max="13059" width="11.85546875" style="62" customWidth="1"/>
    <col min="13060" max="13060" width="6.140625" style="62" customWidth="1"/>
    <col min="13061" max="13061" width="11.85546875" style="62" customWidth="1"/>
    <col min="13062" max="13062" width="9.42578125" style="62" customWidth="1"/>
    <col min="13063" max="13063" width="14.7109375" style="62" customWidth="1"/>
    <col min="13064" max="13064" width="11.5703125" style="62" customWidth="1"/>
    <col min="13065" max="13065" width="0.42578125" style="62" customWidth="1"/>
    <col min="13066" max="13066" width="10.5703125" style="62" bestFit="1" customWidth="1"/>
    <col min="13067" max="13067" width="12.28515625" style="62" customWidth="1"/>
    <col min="13068" max="13068" width="12.5703125" style="62" customWidth="1"/>
    <col min="13069" max="13069" width="10.5703125" style="62" customWidth="1"/>
    <col min="13070" max="13070" width="10.140625" style="62" customWidth="1"/>
    <col min="13071" max="13071" width="8.42578125" style="62" customWidth="1"/>
    <col min="13072" max="13072" width="18.85546875" style="62" customWidth="1"/>
    <col min="13073" max="13073" width="10.28515625" style="62" customWidth="1"/>
    <col min="13074" max="13074" width="11.42578125" style="62"/>
    <col min="13075" max="13075" width="12.140625" style="62" customWidth="1"/>
    <col min="13076" max="13076" width="10.5703125" style="62" customWidth="1"/>
    <col min="13077" max="13077" width="12.42578125" style="62" customWidth="1"/>
    <col min="13078" max="13078" width="15.140625" style="62" customWidth="1"/>
    <col min="13079" max="13079" width="13.5703125" style="62" customWidth="1"/>
    <col min="13080" max="13080" width="13.140625" style="62" customWidth="1"/>
    <col min="13081" max="13081" width="15.7109375" style="62" customWidth="1"/>
    <col min="13082" max="13082" width="37.5703125" style="62" customWidth="1"/>
    <col min="13083" max="13304" width="11.42578125" style="62"/>
    <col min="13305" max="13305" width="10.5703125" style="62" customWidth="1"/>
    <col min="13306" max="13306" width="4.85546875" style="62" customWidth="1"/>
    <col min="13307" max="13307" width="32.42578125" style="62" customWidth="1"/>
    <col min="13308" max="13308" width="9.85546875" style="62" customWidth="1"/>
    <col min="13309" max="13309" width="10.140625" style="62" customWidth="1"/>
    <col min="13310" max="13310" width="12.28515625" style="62" customWidth="1"/>
    <col min="13311" max="13311" width="15.42578125" style="62" customWidth="1"/>
    <col min="13312" max="13312" width="11.85546875" style="62" customWidth="1"/>
    <col min="13313" max="13313" width="13.28515625" style="62" customWidth="1"/>
    <col min="13314" max="13314" width="15.28515625" style="62" customWidth="1"/>
    <col min="13315" max="13315" width="11.85546875" style="62" customWidth="1"/>
    <col min="13316" max="13316" width="6.140625" style="62" customWidth="1"/>
    <col min="13317" max="13317" width="11.85546875" style="62" customWidth="1"/>
    <col min="13318" max="13318" width="9.42578125" style="62" customWidth="1"/>
    <col min="13319" max="13319" width="14.7109375" style="62" customWidth="1"/>
    <col min="13320" max="13320" width="11.5703125" style="62" customWidth="1"/>
    <col min="13321" max="13321" width="0.42578125" style="62" customWidth="1"/>
    <col min="13322" max="13322" width="10.5703125" style="62" bestFit="1" customWidth="1"/>
    <col min="13323" max="13323" width="12.28515625" style="62" customWidth="1"/>
    <col min="13324" max="13324" width="12.5703125" style="62" customWidth="1"/>
    <col min="13325" max="13325" width="10.5703125" style="62" customWidth="1"/>
    <col min="13326" max="13326" width="10.140625" style="62" customWidth="1"/>
    <col min="13327" max="13327" width="8.42578125" style="62" customWidth="1"/>
    <col min="13328" max="13328" width="18.85546875" style="62" customWidth="1"/>
    <col min="13329" max="13329" width="10.28515625" style="62" customWidth="1"/>
    <col min="13330" max="13330" width="11.42578125" style="62"/>
    <col min="13331" max="13331" width="12.140625" style="62" customWidth="1"/>
    <col min="13332" max="13332" width="10.5703125" style="62" customWidth="1"/>
    <col min="13333" max="13333" width="12.42578125" style="62" customWidth="1"/>
    <col min="13334" max="13334" width="15.140625" style="62" customWidth="1"/>
    <col min="13335" max="13335" width="13.5703125" style="62" customWidth="1"/>
    <col min="13336" max="13336" width="13.140625" style="62" customWidth="1"/>
    <col min="13337" max="13337" width="15.7109375" style="62" customWidth="1"/>
    <col min="13338" max="13338" width="37.5703125" style="62" customWidth="1"/>
    <col min="13339" max="13560" width="11.42578125" style="62"/>
    <col min="13561" max="13561" width="10.5703125" style="62" customWidth="1"/>
    <col min="13562" max="13562" width="4.85546875" style="62" customWidth="1"/>
    <col min="13563" max="13563" width="32.42578125" style="62" customWidth="1"/>
    <col min="13564" max="13564" width="9.85546875" style="62" customWidth="1"/>
    <col min="13565" max="13565" width="10.140625" style="62" customWidth="1"/>
    <col min="13566" max="13566" width="12.28515625" style="62" customWidth="1"/>
    <col min="13567" max="13567" width="15.42578125" style="62" customWidth="1"/>
    <col min="13568" max="13568" width="11.85546875" style="62" customWidth="1"/>
    <col min="13569" max="13569" width="13.28515625" style="62" customWidth="1"/>
    <col min="13570" max="13570" width="15.28515625" style="62" customWidth="1"/>
    <col min="13571" max="13571" width="11.85546875" style="62" customWidth="1"/>
    <col min="13572" max="13572" width="6.140625" style="62" customWidth="1"/>
    <col min="13573" max="13573" width="11.85546875" style="62" customWidth="1"/>
    <col min="13574" max="13574" width="9.42578125" style="62" customWidth="1"/>
    <col min="13575" max="13575" width="14.7109375" style="62" customWidth="1"/>
    <col min="13576" max="13576" width="11.5703125" style="62" customWidth="1"/>
    <col min="13577" max="13577" width="0.42578125" style="62" customWidth="1"/>
    <col min="13578" max="13578" width="10.5703125" style="62" bestFit="1" customWidth="1"/>
    <col min="13579" max="13579" width="12.28515625" style="62" customWidth="1"/>
    <col min="13580" max="13580" width="12.5703125" style="62" customWidth="1"/>
    <col min="13581" max="13581" width="10.5703125" style="62" customWidth="1"/>
    <col min="13582" max="13582" width="10.140625" style="62" customWidth="1"/>
    <col min="13583" max="13583" width="8.42578125" style="62" customWidth="1"/>
    <col min="13584" max="13584" width="18.85546875" style="62" customWidth="1"/>
    <col min="13585" max="13585" width="10.28515625" style="62" customWidth="1"/>
    <col min="13586" max="13586" width="11.42578125" style="62"/>
    <col min="13587" max="13587" width="12.140625" style="62" customWidth="1"/>
    <col min="13588" max="13588" width="10.5703125" style="62" customWidth="1"/>
    <col min="13589" max="13589" width="12.42578125" style="62" customWidth="1"/>
    <col min="13590" max="13590" width="15.140625" style="62" customWidth="1"/>
    <col min="13591" max="13591" width="13.5703125" style="62" customWidth="1"/>
    <col min="13592" max="13592" width="13.140625" style="62" customWidth="1"/>
    <col min="13593" max="13593" width="15.7109375" style="62" customWidth="1"/>
    <col min="13594" max="13594" width="37.5703125" style="62" customWidth="1"/>
    <col min="13595" max="13816" width="11.42578125" style="62"/>
    <col min="13817" max="13817" width="10.5703125" style="62" customWidth="1"/>
    <col min="13818" max="13818" width="4.85546875" style="62" customWidth="1"/>
    <col min="13819" max="13819" width="32.42578125" style="62" customWidth="1"/>
    <col min="13820" max="13820" width="9.85546875" style="62" customWidth="1"/>
    <col min="13821" max="13821" width="10.140625" style="62" customWidth="1"/>
    <col min="13822" max="13822" width="12.28515625" style="62" customWidth="1"/>
    <col min="13823" max="13823" width="15.42578125" style="62" customWidth="1"/>
    <col min="13824" max="13824" width="11.85546875" style="62" customWidth="1"/>
    <col min="13825" max="13825" width="13.28515625" style="62" customWidth="1"/>
    <col min="13826" max="13826" width="15.28515625" style="62" customWidth="1"/>
    <col min="13827" max="13827" width="11.85546875" style="62" customWidth="1"/>
    <col min="13828" max="13828" width="6.140625" style="62" customWidth="1"/>
    <col min="13829" max="13829" width="11.85546875" style="62" customWidth="1"/>
    <col min="13830" max="13830" width="9.42578125" style="62" customWidth="1"/>
    <col min="13831" max="13831" width="14.7109375" style="62" customWidth="1"/>
    <col min="13832" max="13832" width="11.5703125" style="62" customWidth="1"/>
    <col min="13833" max="13833" width="0.42578125" style="62" customWidth="1"/>
    <col min="13834" max="13834" width="10.5703125" style="62" bestFit="1" customWidth="1"/>
    <col min="13835" max="13835" width="12.28515625" style="62" customWidth="1"/>
    <col min="13836" max="13836" width="12.5703125" style="62" customWidth="1"/>
    <col min="13837" max="13837" width="10.5703125" style="62" customWidth="1"/>
    <col min="13838" max="13838" width="10.140625" style="62" customWidth="1"/>
    <col min="13839" max="13839" width="8.42578125" style="62" customWidth="1"/>
    <col min="13840" max="13840" width="18.85546875" style="62" customWidth="1"/>
    <col min="13841" max="13841" width="10.28515625" style="62" customWidth="1"/>
    <col min="13842" max="13842" width="11.42578125" style="62"/>
    <col min="13843" max="13843" width="12.140625" style="62" customWidth="1"/>
    <col min="13844" max="13844" width="10.5703125" style="62" customWidth="1"/>
    <col min="13845" max="13845" width="12.42578125" style="62" customWidth="1"/>
    <col min="13846" max="13846" width="15.140625" style="62" customWidth="1"/>
    <col min="13847" max="13847" width="13.5703125" style="62" customWidth="1"/>
    <col min="13848" max="13848" width="13.140625" style="62" customWidth="1"/>
    <col min="13849" max="13849" width="15.7109375" style="62" customWidth="1"/>
    <col min="13850" max="13850" width="37.5703125" style="62" customWidth="1"/>
    <col min="13851" max="14072" width="11.42578125" style="62"/>
    <col min="14073" max="14073" width="10.5703125" style="62" customWidth="1"/>
    <col min="14074" max="14074" width="4.85546875" style="62" customWidth="1"/>
    <col min="14075" max="14075" width="32.42578125" style="62" customWidth="1"/>
    <col min="14076" max="14076" width="9.85546875" style="62" customWidth="1"/>
    <col min="14077" max="14077" width="10.140625" style="62" customWidth="1"/>
    <col min="14078" max="14078" width="12.28515625" style="62" customWidth="1"/>
    <col min="14079" max="14079" width="15.42578125" style="62" customWidth="1"/>
    <col min="14080" max="14080" width="11.85546875" style="62" customWidth="1"/>
    <col min="14081" max="14081" width="13.28515625" style="62" customWidth="1"/>
    <col min="14082" max="14082" width="15.28515625" style="62" customWidth="1"/>
    <col min="14083" max="14083" width="11.85546875" style="62" customWidth="1"/>
    <col min="14084" max="14084" width="6.140625" style="62" customWidth="1"/>
    <col min="14085" max="14085" width="11.85546875" style="62" customWidth="1"/>
    <col min="14086" max="14086" width="9.42578125" style="62" customWidth="1"/>
    <col min="14087" max="14087" width="14.7109375" style="62" customWidth="1"/>
    <col min="14088" max="14088" width="11.5703125" style="62" customWidth="1"/>
    <col min="14089" max="14089" width="0.42578125" style="62" customWidth="1"/>
    <col min="14090" max="14090" width="10.5703125" style="62" bestFit="1" customWidth="1"/>
    <col min="14091" max="14091" width="12.28515625" style="62" customWidth="1"/>
    <col min="14092" max="14092" width="12.5703125" style="62" customWidth="1"/>
    <col min="14093" max="14093" width="10.5703125" style="62" customWidth="1"/>
    <col min="14094" max="14094" width="10.140625" style="62" customWidth="1"/>
    <col min="14095" max="14095" width="8.42578125" style="62" customWidth="1"/>
    <col min="14096" max="14096" width="18.85546875" style="62" customWidth="1"/>
    <col min="14097" max="14097" width="10.28515625" style="62" customWidth="1"/>
    <col min="14098" max="14098" width="11.42578125" style="62"/>
    <col min="14099" max="14099" width="12.140625" style="62" customWidth="1"/>
    <col min="14100" max="14100" width="10.5703125" style="62" customWidth="1"/>
    <col min="14101" max="14101" width="12.42578125" style="62" customWidth="1"/>
    <col min="14102" max="14102" width="15.140625" style="62" customWidth="1"/>
    <col min="14103" max="14103" width="13.5703125" style="62" customWidth="1"/>
    <col min="14104" max="14104" width="13.140625" style="62" customWidth="1"/>
    <col min="14105" max="14105" width="15.7109375" style="62" customWidth="1"/>
    <col min="14106" max="14106" width="37.5703125" style="62" customWidth="1"/>
    <col min="14107" max="14328" width="11.42578125" style="62"/>
    <col min="14329" max="14329" width="10.5703125" style="62" customWidth="1"/>
    <col min="14330" max="14330" width="4.85546875" style="62" customWidth="1"/>
    <col min="14331" max="14331" width="32.42578125" style="62" customWidth="1"/>
    <col min="14332" max="14332" width="9.85546875" style="62" customWidth="1"/>
    <col min="14333" max="14333" width="10.140625" style="62" customWidth="1"/>
    <col min="14334" max="14334" width="12.28515625" style="62" customWidth="1"/>
    <col min="14335" max="14335" width="15.42578125" style="62" customWidth="1"/>
    <col min="14336" max="14336" width="11.85546875" style="62" customWidth="1"/>
    <col min="14337" max="14337" width="13.28515625" style="62" customWidth="1"/>
    <col min="14338" max="14338" width="15.28515625" style="62" customWidth="1"/>
    <col min="14339" max="14339" width="11.85546875" style="62" customWidth="1"/>
    <col min="14340" max="14340" width="6.140625" style="62" customWidth="1"/>
    <col min="14341" max="14341" width="11.85546875" style="62" customWidth="1"/>
    <col min="14342" max="14342" width="9.42578125" style="62" customWidth="1"/>
    <col min="14343" max="14343" width="14.7109375" style="62" customWidth="1"/>
    <col min="14344" max="14344" width="11.5703125" style="62" customWidth="1"/>
    <col min="14345" max="14345" width="0.42578125" style="62" customWidth="1"/>
    <col min="14346" max="14346" width="10.5703125" style="62" bestFit="1" customWidth="1"/>
    <col min="14347" max="14347" width="12.28515625" style="62" customWidth="1"/>
    <col min="14348" max="14348" width="12.5703125" style="62" customWidth="1"/>
    <col min="14349" max="14349" width="10.5703125" style="62" customWidth="1"/>
    <col min="14350" max="14350" width="10.140625" style="62" customWidth="1"/>
    <col min="14351" max="14351" width="8.42578125" style="62" customWidth="1"/>
    <col min="14352" max="14352" width="18.85546875" style="62" customWidth="1"/>
    <col min="14353" max="14353" width="10.28515625" style="62" customWidth="1"/>
    <col min="14354" max="14354" width="11.42578125" style="62"/>
    <col min="14355" max="14355" width="12.140625" style="62" customWidth="1"/>
    <col min="14356" max="14356" width="10.5703125" style="62" customWidth="1"/>
    <col min="14357" max="14357" width="12.42578125" style="62" customWidth="1"/>
    <col min="14358" max="14358" width="15.140625" style="62" customWidth="1"/>
    <col min="14359" max="14359" width="13.5703125" style="62" customWidth="1"/>
    <col min="14360" max="14360" width="13.140625" style="62" customWidth="1"/>
    <col min="14361" max="14361" width="15.7109375" style="62" customWidth="1"/>
    <col min="14362" max="14362" width="37.5703125" style="62" customWidth="1"/>
    <col min="14363" max="14584" width="11.42578125" style="62"/>
    <col min="14585" max="14585" width="10.5703125" style="62" customWidth="1"/>
    <col min="14586" max="14586" width="4.85546875" style="62" customWidth="1"/>
    <col min="14587" max="14587" width="32.42578125" style="62" customWidth="1"/>
    <col min="14588" max="14588" width="9.85546875" style="62" customWidth="1"/>
    <col min="14589" max="14589" width="10.140625" style="62" customWidth="1"/>
    <col min="14590" max="14590" width="12.28515625" style="62" customWidth="1"/>
    <col min="14591" max="14591" width="15.42578125" style="62" customWidth="1"/>
    <col min="14592" max="14592" width="11.85546875" style="62" customWidth="1"/>
    <col min="14593" max="14593" width="13.28515625" style="62" customWidth="1"/>
    <col min="14594" max="14594" width="15.28515625" style="62" customWidth="1"/>
    <col min="14595" max="14595" width="11.85546875" style="62" customWidth="1"/>
    <col min="14596" max="14596" width="6.140625" style="62" customWidth="1"/>
    <col min="14597" max="14597" width="11.85546875" style="62" customWidth="1"/>
    <col min="14598" max="14598" width="9.42578125" style="62" customWidth="1"/>
    <col min="14599" max="14599" width="14.7109375" style="62" customWidth="1"/>
    <col min="14600" max="14600" width="11.5703125" style="62" customWidth="1"/>
    <col min="14601" max="14601" width="0.42578125" style="62" customWidth="1"/>
    <col min="14602" max="14602" width="10.5703125" style="62" bestFit="1" customWidth="1"/>
    <col min="14603" max="14603" width="12.28515625" style="62" customWidth="1"/>
    <col min="14604" max="14604" width="12.5703125" style="62" customWidth="1"/>
    <col min="14605" max="14605" width="10.5703125" style="62" customWidth="1"/>
    <col min="14606" max="14606" width="10.140625" style="62" customWidth="1"/>
    <col min="14607" max="14607" width="8.42578125" style="62" customWidth="1"/>
    <col min="14608" max="14608" width="18.85546875" style="62" customWidth="1"/>
    <col min="14609" max="14609" width="10.28515625" style="62" customWidth="1"/>
    <col min="14610" max="14610" width="11.42578125" style="62"/>
    <col min="14611" max="14611" width="12.140625" style="62" customWidth="1"/>
    <col min="14612" max="14612" width="10.5703125" style="62" customWidth="1"/>
    <col min="14613" max="14613" width="12.42578125" style="62" customWidth="1"/>
    <col min="14614" max="14614" width="15.140625" style="62" customWidth="1"/>
    <col min="14615" max="14615" width="13.5703125" style="62" customWidth="1"/>
    <col min="14616" max="14616" width="13.140625" style="62" customWidth="1"/>
    <col min="14617" max="14617" width="15.7109375" style="62" customWidth="1"/>
    <col min="14618" max="14618" width="37.5703125" style="62" customWidth="1"/>
    <col min="14619" max="14840" width="11.42578125" style="62"/>
    <col min="14841" max="14841" width="10.5703125" style="62" customWidth="1"/>
    <col min="14842" max="14842" width="4.85546875" style="62" customWidth="1"/>
    <col min="14843" max="14843" width="32.42578125" style="62" customWidth="1"/>
    <col min="14844" max="14844" width="9.85546875" style="62" customWidth="1"/>
    <col min="14845" max="14845" width="10.140625" style="62" customWidth="1"/>
    <col min="14846" max="14846" width="12.28515625" style="62" customWidth="1"/>
    <col min="14847" max="14847" width="15.42578125" style="62" customWidth="1"/>
    <col min="14848" max="14848" width="11.85546875" style="62" customWidth="1"/>
    <col min="14849" max="14849" width="13.28515625" style="62" customWidth="1"/>
    <col min="14850" max="14850" width="15.28515625" style="62" customWidth="1"/>
    <col min="14851" max="14851" width="11.85546875" style="62" customWidth="1"/>
    <col min="14852" max="14852" width="6.140625" style="62" customWidth="1"/>
    <col min="14853" max="14853" width="11.85546875" style="62" customWidth="1"/>
    <col min="14854" max="14854" width="9.42578125" style="62" customWidth="1"/>
    <col min="14855" max="14855" width="14.7109375" style="62" customWidth="1"/>
    <col min="14856" max="14856" width="11.5703125" style="62" customWidth="1"/>
    <col min="14857" max="14857" width="0.42578125" style="62" customWidth="1"/>
    <col min="14858" max="14858" width="10.5703125" style="62" bestFit="1" customWidth="1"/>
    <col min="14859" max="14859" width="12.28515625" style="62" customWidth="1"/>
    <col min="14860" max="14860" width="12.5703125" style="62" customWidth="1"/>
    <col min="14861" max="14861" width="10.5703125" style="62" customWidth="1"/>
    <col min="14862" max="14862" width="10.140625" style="62" customWidth="1"/>
    <col min="14863" max="14863" width="8.42578125" style="62" customWidth="1"/>
    <col min="14864" max="14864" width="18.85546875" style="62" customWidth="1"/>
    <col min="14865" max="14865" width="10.28515625" style="62" customWidth="1"/>
    <col min="14866" max="14866" width="11.42578125" style="62"/>
    <col min="14867" max="14867" width="12.140625" style="62" customWidth="1"/>
    <col min="14868" max="14868" width="10.5703125" style="62" customWidth="1"/>
    <col min="14869" max="14869" width="12.42578125" style="62" customWidth="1"/>
    <col min="14870" max="14870" width="15.140625" style="62" customWidth="1"/>
    <col min="14871" max="14871" width="13.5703125" style="62" customWidth="1"/>
    <col min="14872" max="14872" width="13.140625" style="62" customWidth="1"/>
    <col min="14873" max="14873" width="15.7109375" style="62" customWidth="1"/>
    <col min="14874" max="14874" width="37.5703125" style="62" customWidth="1"/>
    <col min="14875" max="15096" width="11.42578125" style="62"/>
    <col min="15097" max="15097" width="10.5703125" style="62" customWidth="1"/>
    <col min="15098" max="15098" width="4.85546875" style="62" customWidth="1"/>
    <col min="15099" max="15099" width="32.42578125" style="62" customWidth="1"/>
    <col min="15100" max="15100" width="9.85546875" style="62" customWidth="1"/>
    <col min="15101" max="15101" width="10.140625" style="62" customWidth="1"/>
    <col min="15102" max="15102" width="12.28515625" style="62" customWidth="1"/>
    <col min="15103" max="15103" width="15.42578125" style="62" customWidth="1"/>
    <col min="15104" max="15104" width="11.85546875" style="62" customWidth="1"/>
    <col min="15105" max="15105" width="13.28515625" style="62" customWidth="1"/>
    <col min="15106" max="15106" width="15.28515625" style="62" customWidth="1"/>
    <col min="15107" max="15107" width="11.85546875" style="62" customWidth="1"/>
    <col min="15108" max="15108" width="6.140625" style="62" customWidth="1"/>
    <col min="15109" max="15109" width="11.85546875" style="62" customWidth="1"/>
    <col min="15110" max="15110" width="9.42578125" style="62" customWidth="1"/>
    <col min="15111" max="15111" width="14.7109375" style="62" customWidth="1"/>
    <col min="15112" max="15112" width="11.5703125" style="62" customWidth="1"/>
    <col min="15113" max="15113" width="0.42578125" style="62" customWidth="1"/>
    <col min="15114" max="15114" width="10.5703125" style="62" bestFit="1" customWidth="1"/>
    <col min="15115" max="15115" width="12.28515625" style="62" customWidth="1"/>
    <col min="15116" max="15116" width="12.5703125" style="62" customWidth="1"/>
    <col min="15117" max="15117" width="10.5703125" style="62" customWidth="1"/>
    <col min="15118" max="15118" width="10.140625" style="62" customWidth="1"/>
    <col min="15119" max="15119" width="8.42578125" style="62" customWidth="1"/>
    <col min="15120" max="15120" width="18.85546875" style="62" customWidth="1"/>
    <col min="15121" max="15121" width="10.28515625" style="62" customWidth="1"/>
    <col min="15122" max="15122" width="11.42578125" style="62"/>
    <col min="15123" max="15123" width="12.140625" style="62" customWidth="1"/>
    <col min="15124" max="15124" width="10.5703125" style="62" customWidth="1"/>
    <col min="15125" max="15125" width="12.42578125" style="62" customWidth="1"/>
    <col min="15126" max="15126" width="15.140625" style="62" customWidth="1"/>
    <col min="15127" max="15127" width="13.5703125" style="62" customWidth="1"/>
    <col min="15128" max="15128" width="13.140625" style="62" customWidth="1"/>
    <col min="15129" max="15129" width="15.7109375" style="62" customWidth="1"/>
    <col min="15130" max="15130" width="37.5703125" style="62" customWidth="1"/>
    <col min="15131" max="15352" width="11.42578125" style="62"/>
    <col min="15353" max="15353" width="10.5703125" style="62" customWidth="1"/>
    <col min="15354" max="15354" width="4.85546875" style="62" customWidth="1"/>
    <col min="15355" max="15355" width="32.42578125" style="62" customWidth="1"/>
    <col min="15356" max="15356" width="9.85546875" style="62" customWidth="1"/>
    <col min="15357" max="15357" width="10.140625" style="62" customWidth="1"/>
    <col min="15358" max="15358" width="12.28515625" style="62" customWidth="1"/>
    <col min="15359" max="15359" width="15.42578125" style="62" customWidth="1"/>
    <col min="15360" max="15360" width="11.85546875" style="62" customWidth="1"/>
    <col min="15361" max="15361" width="13.28515625" style="62" customWidth="1"/>
    <col min="15362" max="15362" width="15.28515625" style="62" customWidth="1"/>
    <col min="15363" max="15363" width="11.85546875" style="62" customWidth="1"/>
    <col min="15364" max="15364" width="6.140625" style="62" customWidth="1"/>
    <col min="15365" max="15365" width="11.85546875" style="62" customWidth="1"/>
    <col min="15366" max="15366" width="9.42578125" style="62" customWidth="1"/>
    <col min="15367" max="15367" width="14.7109375" style="62" customWidth="1"/>
    <col min="15368" max="15368" width="11.5703125" style="62" customWidth="1"/>
    <col min="15369" max="15369" width="0.42578125" style="62" customWidth="1"/>
    <col min="15370" max="15370" width="10.5703125" style="62" bestFit="1" customWidth="1"/>
    <col min="15371" max="15371" width="12.28515625" style="62" customWidth="1"/>
    <col min="15372" max="15372" width="12.5703125" style="62" customWidth="1"/>
    <col min="15373" max="15373" width="10.5703125" style="62" customWidth="1"/>
    <col min="15374" max="15374" width="10.140625" style="62" customWidth="1"/>
    <col min="15375" max="15375" width="8.42578125" style="62" customWidth="1"/>
    <col min="15376" max="15376" width="18.85546875" style="62" customWidth="1"/>
    <col min="15377" max="15377" width="10.28515625" style="62" customWidth="1"/>
    <col min="15378" max="15378" width="11.42578125" style="62"/>
    <col min="15379" max="15379" width="12.140625" style="62" customWidth="1"/>
    <col min="15380" max="15380" width="10.5703125" style="62" customWidth="1"/>
    <col min="15381" max="15381" width="12.42578125" style="62" customWidth="1"/>
    <col min="15382" max="15382" width="15.140625" style="62" customWidth="1"/>
    <col min="15383" max="15383" width="13.5703125" style="62" customWidth="1"/>
    <col min="15384" max="15384" width="13.140625" style="62" customWidth="1"/>
    <col min="15385" max="15385" width="15.7109375" style="62" customWidth="1"/>
    <col min="15386" max="15386" width="37.5703125" style="62" customWidth="1"/>
    <col min="15387" max="15608" width="11.42578125" style="62"/>
    <col min="15609" max="15609" width="10.5703125" style="62" customWidth="1"/>
    <col min="15610" max="15610" width="4.85546875" style="62" customWidth="1"/>
    <col min="15611" max="15611" width="32.42578125" style="62" customWidth="1"/>
    <col min="15612" max="15612" width="9.85546875" style="62" customWidth="1"/>
    <col min="15613" max="15613" width="10.140625" style="62" customWidth="1"/>
    <col min="15614" max="15614" width="12.28515625" style="62" customWidth="1"/>
    <col min="15615" max="15615" width="15.42578125" style="62" customWidth="1"/>
    <col min="15616" max="15616" width="11.85546875" style="62" customWidth="1"/>
    <col min="15617" max="15617" width="13.28515625" style="62" customWidth="1"/>
    <col min="15618" max="15618" width="15.28515625" style="62" customWidth="1"/>
    <col min="15619" max="15619" width="11.85546875" style="62" customWidth="1"/>
    <col min="15620" max="15620" width="6.140625" style="62" customWidth="1"/>
    <col min="15621" max="15621" width="11.85546875" style="62" customWidth="1"/>
    <col min="15622" max="15622" width="9.42578125" style="62" customWidth="1"/>
    <col min="15623" max="15623" width="14.7109375" style="62" customWidth="1"/>
    <col min="15624" max="15624" width="11.5703125" style="62" customWidth="1"/>
    <col min="15625" max="15625" width="0.42578125" style="62" customWidth="1"/>
    <col min="15626" max="15626" width="10.5703125" style="62" bestFit="1" customWidth="1"/>
    <col min="15627" max="15627" width="12.28515625" style="62" customWidth="1"/>
    <col min="15628" max="15628" width="12.5703125" style="62" customWidth="1"/>
    <col min="15629" max="15629" width="10.5703125" style="62" customWidth="1"/>
    <col min="15630" max="15630" width="10.140625" style="62" customWidth="1"/>
    <col min="15631" max="15631" width="8.42578125" style="62" customWidth="1"/>
    <col min="15632" max="15632" width="18.85546875" style="62" customWidth="1"/>
    <col min="15633" max="15633" width="10.28515625" style="62" customWidth="1"/>
    <col min="15634" max="15634" width="11.42578125" style="62"/>
    <col min="15635" max="15635" width="12.140625" style="62" customWidth="1"/>
    <col min="15636" max="15636" width="10.5703125" style="62" customWidth="1"/>
    <col min="15637" max="15637" width="12.42578125" style="62" customWidth="1"/>
    <col min="15638" max="15638" width="15.140625" style="62" customWidth="1"/>
    <col min="15639" max="15639" width="13.5703125" style="62" customWidth="1"/>
    <col min="15640" max="15640" width="13.140625" style="62" customWidth="1"/>
    <col min="15641" max="15641" width="15.7109375" style="62" customWidth="1"/>
    <col min="15642" max="15642" width="37.5703125" style="62" customWidth="1"/>
    <col min="15643" max="15864" width="11.42578125" style="62"/>
    <col min="15865" max="15865" width="10.5703125" style="62" customWidth="1"/>
    <col min="15866" max="15866" width="4.85546875" style="62" customWidth="1"/>
    <col min="15867" max="15867" width="32.42578125" style="62" customWidth="1"/>
    <col min="15868" max="15868" width="9.85546875" style="62" customWidth="1"/>
    <col min="15869" max="15869" width="10.140625" style="62" customWidth="1"/>
    <col min="15870" max="15870" width="12.28515625" style="62" customWidth="1"/>
    <col min="15871" max="15871" width="15.42578125" style="62" customWidth="1"/>
    <col min="15872" max="15872" width="11.85546875" style="62" customWidth="1"/>
    <col min="15873" max="15873" width="13.28515625" style="62" customWidth="1"/>
    <col min="15874" max="15874" width="15.28515625" style="62" customWidth="1"/>
    <col min="15875" max="15875" width="11.85546875" style="62" customWidth="1"/>
    <col min="15876" max="15876" width="6.140625" style="62" customWidth="1"/>
    <col min="15877" max="15877" width="11.85546875" style="62" customWidth="1"/>
    <col min="15878" max="15878" width="9.42578125" style="62" customWidth="1"/>
    <col min="15879" max="15879" width="14.7109375" style="62" customWidth="1"/>
    <col min="15880" max="15880" width="11.5703125" style="62" customWidth="1"/>
    <col min="15881" max="15881" width="0.42578125" style="62" customWidth="1"/>
    <col min="15882" max="15882" width="10.5703125" style="62" bestFit="1" customWidth="1"/>
    <col min="15883" max="15883" width="12.28515625" style="62" customWidth="1"/>
    <col min="15884" max="15884" width="12.5703125" style="62" customWidth="1"/>
    <col min="15885" max="15885" width="10.5703125" style="62" customWidth="1"/>
    <col min="15886" max="15886" width="10.140625" style="62" customWidth="1"/>
    <col min="15887" max="15887" width="8.42578125" style="62" customWidth="1"/>
    <col min="15888" max="15888" width="18.85546875" style="62" customWidth="1"/>
    <col min="15889" max="15889" width="10.28515625" style="62" customWidth="1"/>
    <col min="15890" max="15890" width="11.42578125" style="62"/>
    <col min="15891" max="15891" width="12.140625" style="62" customWidth="1"/>
    <col min="15892" max="15892" width="10.5703125" style="62" customWidth="1"/>
    <col min="15893" max="15893" width="12.42578125" style="62" customWidth="1"/>
    <col min="15894" max="15894" width="15.140625" style="62" customWidth="1"/>
    <col min="15895" max="15895" width="13.5703125" style="62" customWidth="1"/>
    <col min="15896" max="15896" width="13.140625" style="62" customWidth="1"/>
    <col min="15897" max="15897" width="15.7109375" style="62" customWidth="1"/>
    <col min="15898" max="15898" width="37.5703125" style="62" customWidth="1"/>
    <col min="15899" max="16120" width="11.42578125" style="62"/>
    <col min="16121" max="16121" width="10.5703125" style="62" customWidth="1"/>
    <col min="16122" max="16122" width="4.85546875" style="62" customWidth="1"/>
    <col min="16123" max="16123" width="32.42578125" style="62" customWidth="1"/>
    <col min="16124" max="16124" width="9.85546875" style="62" customWidth="1"/>
    <col min="16125" max="16125" width="10.140625" style="62" customWidth="1"/>
    <col min="16126" max="16126" width="12.28515625" style="62" customWidth="1"/>
    <col min="16127" max="16127" width="15.42578125" style="62" customWidth="1"/>
    <col min="16128" max="16128" width="11.85546875" style="62" customWidth="1"/>
    <col min="16129" max="16129" width="13.28515625" style="62" customWidth="1"/>
    <col min="16130" max="16130" width="15.28515625" style="62" customWidth="1"/>
    <col min="16131" max="16131" width="11.85546875" style="62" customWidth="1"/>
    <col min="16132" max="16132" width="6.140625" style="62" customWidth="1"/>
    <col min="16133" max="16133" width="11.85546875" style="62" customWidth="1"/>
    <col min="16134" max="16134" width="9.42578125" style="62" customWidth="1"/>
    <col min="16135" max="16135" width="14.7109375" style="62" customWidth="1"/>
    <col min="16136" max="16136" width="11.5703125" style="62" customWidth="1"/>
    <col min="16137" max="16137" width="0.42578125" style="62" customWidth="1"/>
    <col min="16138" max="16138" width="10.5703125" style="62" bestFit="1" customWidth="1"/>
    <col min="16139" max="16139" width="12.28515625" style="62" customWidth="1"/>
    <col min="16140" max="16140" width="12.5703125" style="62" customWidth="1"/>
    <col min="16141" max="16141" width="10.5703125" style="62" customWidth="1"/>
    <col min="16142" max="16142" width="10.140625" style="62" customWidth="1"/>
    <col min="16143" max="16143" width="8.42578125" style="62" customWidth="1"/>
    <col min="16144" max="16144" width="18.85546875" style="62" customWidth="1"/>
    <col min="16145" max="16145" width="10.28515625" style="62" customWidth="1"/>
    <col min="16146" max="16146" width="11.42578125" style="62"/>
    <col min="16147" max="16147" width="12.140625" style="62" customWidth="1"/>
    <col min="16148" max="16148" width="10.5703125" style="62" customWidth="1"/>
    <col min="16149" max="16149" width="12.42578125" style="62" customWidth="1"/>
    <col min="16150" max="16150" width="15.140625" style="62" customWidth="1"/>
    <col min="16151" max="16151" width="13.5703125" style="62" customWidth="1"/>
    <col min="16152" max="16152" width="13.140625" style="62" customWidth="1"/>
    <col min="16153" max="16153" width="15.7109375" style="62" customWidth="1"/>
    <col min="16154" max="16154" width="37.5703125" style="62" customWidth="1"/>
    <col min="16155" max="16384" width="11.42578125" style="62"/>
  </cols>
  <sheetData>
    <row r="1" spans="1:26" x14ac:dyDescent="0.25">
      <c r="C1" s="63" t="s">
        <v>0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8"/>
      <c r="Y1" s="64"/>
      <c r="Z1" s="8"/>
    </row>
    <row r="2" spans="1:26" x14ac:dyDescent="0.25">
      <c r="C2" s="9" t="s">
        <v>1</v>
      </c>
      <c r="D2" s="8"/>
      <c r="E2" s="88" t="s">
        <v>2</v>
      </c>
      <c r="F2" s="88"/>
      <c r="G2" s="88"/>
      <c r="H2" s="88"/>
      <c r="I2" s="88"/>
      <c r="J2" s="88"/>
      <c r="K2" s="88"/>
      <c r="L2" s="88"/>
      <c r="M2" s="88"/>
      <c r="N2" s="88" t="s">
        <v>3</v>
      </c>
      <c r="O2" s="88"/>
      <c r="P2" s="88"/>
      <c r="Q2" s="88"/>
      <c r="R2" s="88"/>
      <c r="S2" s="88"/>
      <c r="T2" s="88"/>
      <c r="U2" s="88"/>
      <c r="V2" s="88"/>
      <c r="W2" s="8"/>
      <c r="X2" s="8"/>
      <c r="Y2" s="64"/>
      <c r="Z2" s="8"/>
    </row>
    <row r="3" spans="1:26" ht="24.95" customHeight="1" x14ac:dyDescent="0.25">
      <c r="B3" s="2" t="s">
        <v>4</v>
      </c>
      <c r="C3" s="2" t="s">
        <v>5</v>
      </c>
      <c r="D3" s="2" t="s">
        <v>6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2" t="s">
        <v>27</v>
      </c>
      <c r="X3" s="2"/>
      <c r="Y3" s="89"/>
      <c r="Z3" s="2" t="s">
        <v>28</v>
      </c>
    </row>
    <row r="4" spans="1:26" ht="24.95" customHeight="1" x14ac:dyDescent="0.25">
      <c r="A4" s="65" t="s">
        <v>29</v>
      </c>
      <c r="B4" s="2">
        <v>1</v>
      </c>
      <c r="C4" s="1" t="s">
        <v>30</v>
      </c>
      <c r="D4" s="2" t="s">
        <v>31</v>
      </c>
      <c r="E4" s="4">
        <v>4500000</v>
      </c>
      <c r="F4" s="3">
        <v>30</v>
      </c>
      <c r="G4" s="4">
        <f>+E4-L4</f>
        <v>4500000</v>
      </c>
      <c r="H4" s="4"/>
      <c r="I4" s="4"/>
      <c r="J4" s="4">
        <v>500000</v>
      </c>
      <c r="K4" s="4"/>
      <c r="L4" s="4"/>
      <c r="M4" s="4">
        <f>SUM(G4:J4)+L4+K4:K4</f>
        <v>5000000</v>
      </c>
      <c r="N4" s="4">
        <f>+E4*4%</f>
        <v>180000</v>
      </c>
      <c r="O4" s="4">
        <f>+E4*5%</f>
        <v>225000</v>
      </c>
      <c r="P4" s="4"/>
      <c r="Q4" s="4"/>
      <c r="R4" s="4">
        <v>30672</v>
      </c>
      <c r="S4" s="4"/>
      <c r="T4" s="4"/>
      <c r="U4" s="4"/>
      <c r="V4" s="4">
        <f t="shared" ref="V4:V9" si="0">SUM(N4:U4)</f>
        <v>435672</v>
      </c>
      <c r="W4" s="5">
        <f>+M4-V4</f>
        <v>4564328</v>
      </c>
      <c r="X4" s="5"/>
      <c r="Y4" s="64"/>
      <c r="Z4" s="5">
        <f t="shared" ref="Z4:Z67" si="1">W4+X4-Y4</f>
        <v>4564328</v>
      </c>
    </row>
    <row r="5" spans="1:26" ht="24.95" customHeight="1" x14ac:dyDescent="0.25">
      <c r="A5" s="65"/>
      <c r="B5" s="2">
        <f t="shared" ref="B5:B51" si="2">+B4+1</f>
        <v>2</v>
      </c>
      <c r="C5" s="1" t="s">
        <v>33</v>
      </c>
      <c r="D5" s="2" t="s">
        <v>31</v>
      </c>
      <c r="E5" s="4">
        <v>5500000</v>
      </c>
      <c r="F5" s="3">
        <v>30</v>
      </c>
      <c r="G5" s="4">
        <f>+E5-L5</f>
        <v>5500000</v>
      </c>
      <c r="H5" s="4"/>
      <c r="I5" s="4"/>
      <c r="J5" s="4">
        <v>500000</v>
      </c>
      <c r="K5" s="4"/>
      <c r="L5" s="4">
        <v>0</v>
      </c>
      <c r="M5" s="4">
        <f t="shared" ref="M5:M68" si="3">SUM(G5:J5)+L5+K5:K5</f>
        <v>6000000</v>
      </c>
      <c r="N5" s="4">
        <f>E5*4%</f>
        <v>220000</v>
      </c>
      <c r="O5" s="4">
        <f>E5*5%</f>
        <v>275000</v>
      </c>
      <c r="P5" s="4"/>
      <c r="Q5" s="4"/>
      <c r="R5" s="4">
        <v>102000</v>
      </c>
      <c r="S5" s="4"/>
      <c r="T5" s="4"/>
      <c r="U5" s="4">
        <v>1212777</v>
      </c>
      <c r="V5" s="4">
        <f t="shared" si="0"/>
        <v>1809777</v>
      </c>
      <c r="W5" s="5">
        <f t="shared" ref="W5:W6" si="4">+M5-V5</f>
        <v>4190223</v>
      </c>
      <c r="X5" s="5"/>
      <c r="Y5" s="64"/>
      <c r="Z5" s="5">
        <f t="shared" si="1"/>
        <v>4190223</v>
      </c>
    </row>
    <row r="6" spans="1:26" ht="24.95" customHeight="1" x14ac:dyDescent="0.25">
      <c r="A6" s="65"/>
      <c r="B6" s="2">
        <f t="shared" si="2"/>
        <v>3</v>
      </c>
      <c r="C6" s="1" t="s">
        <v>34</v>
      </c>
      <c r="D6" s="2" t="s">
        <v>31</v>
      </c>
      <c r="E6" s="4">
        <v>5492319</v>
      </c>
      <c r="F6" s="3">
        <v>30</v>
      </c>
      <c r="G6" s="4">
        <f>+E6-L6</f>
        <v>4393855</v>
      </c>
      <c r="H6" s="4"/>
      <c r="I6" s="4"/>
      <c r="J6" s="4"/>
      <c r="K6" s="4"/>
      <c r="L6" s="4">
        <v>1098464</v>
      </c>
      <c r="M6" s="4">
        <f t="shared" si="3"/>
        <v>5492319</v>
      </c>
      <c r="N6" s="4">
        <f>+E6*4%</f>
        <v>219692.76</v>
      </c>
      <c r="O6" s="4">
        <f>+E6*5%</f>
        <v>274615.95</v>
      </c>
      <c r="P6" s="4"/>
      <c r="Q6" s="4"/>
      <c r="R6" s="7">
        <v>98000</v>
      </c>
      <c r="S6" s="4"/>
      <c r="T6" s="4"/>
      <c r="U6" s="4">
        <v>726520</v>
      </c>
      <c r="V6" s="4">
        <f t="shared" si="0"/>
        <v>1318828.71</v>
      </c>
      <c r="W6" s="5">
        <f t="shared" si="4"/>
        <v>4173490.29</v>
      </c>
      <c r="X6" s="5"/>
      <c r="Y6" s="64"/>
      <c r="Z6" s="5">
        <f t="shared" si="1"/>
        <v>4173490.29</v>
      </c>
    </row>
    <row r="7" spans="1:26" ht="24.95" customHeight="1" x14ac:dyDescent="0.25">
      <c r="A7" s="65"/>
      <c r="B7" s="2">
        <f t="shared" si="2"/>
        <v>4</v>
      </c>
      <c r="C7" s="1" t="s">
        <v>35</v>
      </c>
      <c r="D7" s="2" t="s">
        <v>31</v>
      </c>
      <c r="E7" s="4">
        <v>5000000</v>
      </c>
      <c r="F7" s="3">
        <v>30</v>
      </c>
      <c r="G7" s="4">
        <f>+E7/30*F7</f>
        <v>5000000</v>
      </c>
      <c r="H7" s="4"/>
      <c r="I7" s="4"/>
      <c r="J7" s="4"/>
      <c r="K7" s="4"/>
      <c r="L7" s="4"/>
      <c r="M7" s="4">
        <f t="shared" si="3"/>
        <v>5000000</v>
      </c>
      <c r="N7" s="4">
        <f>+M7*4%</f>
        <v>200000</v>
      </c>
      <c r="O7" s="4">
        <f>+M7*5%</f>
        <v>250000</v>
      </c>
      <c r="P7" s="4"/>
      <c r="Q7" s="4"/>
      <c r="R7" s="7">
        <v>21409</v>
      </c>
      <c r="S7" s="4">
        <v>500000</v>
      </c>
      <c r="T7" s="4">
        <v>111000</v>
      </c>
      <c r="U7" s="4"/>
      <c r="V7" s="4">
        <f t="shared" si="0"/>
        <v>1082409</v>
      </c>
      <c r="W7" s="5">
        <f>+M7-V7</f>
        <v>3917591</v>
      </c>
      <c r="X7" s="5"/>
      <c r="Y7" s="64"/>
      <c r="Z7" s="5">
        <f t="shared" si="1"/>
        <v>3917591</v>
      </c>
    </row>
    <row r="8" spans="1:26" ht="24.95" customHeight="1" x14ac:dyDescent="0.25">
      <c r="A8" s="65"/>
      <c r="B8" s="2">
        <f t="shared" si="2"/>
        <v>5</v>
      </c>
      <c r="C8" s="1" t="s">
        <v>36</v>
      </c>
      <c r="D8" s="2" t="s">
        <v>31</v>
      </c>
      <c r="E8" s="4">
        <v>5300000</v>
      </c>
      <c r="F8" s="3">
        <v>30</v>
      </c>
      <c r="G8" s="4">
        <f>+E8/30*F8</f>
        <v>5300000</v>
      </c>
      <c r="H8" s="4"/>
      <c r="I8" s="4"/>
      <c r="J8" s="4">
        <v>2012670</v>
      </c>
      <c r="K8" s="4"/>
      <c r="L8" s="4"/>
      <c r="M8" s="4">
        <f t="shared" si="3"/>
        <v>7312670</v>
      </c>
      <c r="N8" s="4">
        <f>+E8*4%</f>
        <v>212000</v>
      </c>
      <c r="O8" s="4">
        <f>+E8*5%</f>
        <v>265000</v>
      </c>
      <c r="P8" s="4"/>
      <c r="Q8" s="4"/>
      <c r="R8" s="4">
        <v>100000</v>
      </c>
      <c r="S8" s="4">
        <v>700000</v>
      </c>
      <c r="T8" s="4"/>
      <c r="U8" s="4"/>
      <c r="V8" s="4">
        <f t="shared" si="0"/>
        <v>1277000</v>
      </c>
      <c r="W8" s="5">
        <f>+M8-V8</f>
        <v>6035670</v>
      </c>
      <c r="X8" s="5"/>
      <c r="Y8" s="64"/>
      <c r="Z8" s="5">
        <f t="shared" si="1"/>
        <v>6035670</v>
      </c>
    </row>
    <row r="9" spans="1:26" ht="24.95" customHeight="1" x14ac:dyDescent="0.25">
      <c r="A9" s="65"/>
      <c r="B9" s="2">
        <f t="shared" si="2"/>
        <v>6</v>
      </c>
      <c r="C9" s="1" t="s">
        <v>37</v>
      </c>
      <c r="D9" s="2" t="s">
        <v>31</v>
      </c>
      <c r="E9" s="4">
        <v>4500000</v>
      </c>
      <c r="F9" s="3">
        <v>30</v>
      </c>
      <c r="G9" s="4">
        <f>+E9/30*F9</f>
        <v>4500000</v>
      </c>
      <c r="H9" s="4"/>
      <c r="I9" s="4"/>
      <c r="J9" s="4"/>
      <c r="K9" s="4"/>
      <c r="L9" s="4">
        <v>0</v>
      </c>
      <c r="M9" s="4">
        <f t="shared" si="3"/>
        <v>4500000</v>
      </c>
      <c r="N9" s="4">
        <f>+M9*4%</f>
        <v>180000</v>
      </c>
      <c r="O9" s="4">
        <f>+M9*5%</f>
        <v>225000</v>
      </c>
      <c r="P9" s="4"/>
      <c r="Q9" s="4"/>
      <c r="R9" s="4">
        <v>0</v>
      </c>
      <c r="S9" s="4"/>
      <c r="T9" s="4"/>
      <c r="U9" s="4">
        <f>945750+420786</f>
        <v>1366536</v>
      </c>
      <c r="V9" s="4">
        <f t="shared" si="0"/>
        <v>1771536</v>
      </c>
      <c r="W9" s="5">
        <f>M9-V9</f>
        <v>2728464</v>
      </c>
      <c r="X9" s="5"/>
      <c r="Y9" s="64"/>
      <c r="Z9" s="5">
        <f t="shared" si="1"/>
        <v>2728464</v>
      </c>
    </row>
    <row r="10" spans="1:26" ht="24.95" customHeight="1" x14ac:dyDescent="0.25">
      <c r="A10" s="65"/>
      <c r="B10" s="2">
        <f t="shared" si="2"/>
        <v>7</v>
      </c>
      <c r="C10" s="1" t="s">
        <v>39</v>
      </c>
      <c r="D10" s="2" t="s">
        <v>31</v>
      </c>
      <c r="E10" s="4">
        <v>4500000</v>
      </c>
      <c r="F10" s="3">
        <v>30</v>
      </c>
      <c r="G10" s="4">
        <f>+E10/30*F10</f>
        <v>4500000</v>
      </c>
      <c r="H10" s="4"/>
      <c r="I10" s="4"/>
      <c r="J10" s="4"/>
      <c r="K10" s="4"/>
      <c r="L10" s="4"/>
      <c r="M10" s="4">
        <f t="shared" si="3"/>
        <v>4500000</v>
      </c>
      <c r="N10" s="4">
        <f>+E10*4%</f>
        <v>180000</v>
      </c>
      <c r="O10" s="4">
        <f>+E10*5%</f>
        <v>225000</v>
      </c>
      <c r="P10" s="4"/>
      <c r="Q10" s="4"/>
      <c r="R10" s="4">
        <v>0</v>
      </c>
      <c r="S10" s="4"/>
      <c r="T10" s="4"/>
      <c r="U10" s="4"/>
      <c r="V10" s="4">
        <f t="shared" ref="V10:V51" si="5">SUM(N10:U10)</f>
        <v>405000</v>
      </c>
      <c r="W10" s="5">
        <f>M10-V10</f>
        <v>4095000</v>
      </c>
      <c r="X10" s="5"/>
      <c r="Y10" s="64"/>
      <c r="Z10" s="5">
        <f t="shared" si="1"/>
        <v>4095000</v>
      </c>
    </row>
    <row r="11" spans="1:26" ht="24.95" customHeight="1" x14ac:dyDescent="0.25">
      <c r="A11" s="65"/>
      <c r="B11" s="2">
        <f t="shared" si="2"/>
        <v>8</v>
      </c>
      <c r="C11" s="1" t="s">
        <v>40</v>
      </c>
      <c r="D11" s="2" t="s">
        <v>31</v>
      </c>
      <c r="E11" s="4">
        <v>5400000</v>
      </c>
      <c r="F11" s="3">
        <v>30</v>
      </c>
      <c r="G11" s="4">
        <f>+E11-L11</f>
        <v>4140000</v>
      </c>
      <c r="H11" s="4"/>
      <c r="I11" s="4"/>
      <c r="J11" s="4"/>
      <c r="K11" s="4"/>
      <c r="L11" s="4">
        <v>1260000</v>
      </c>
      <c r="M11" s="4">
        <f t="shared" si="3"/>
        <v>5400000</v>
      </c>
      <c r="N11" s="4">
        <f>+E11*4%</f>
        <v>216000</v>
      </c>
      <c r="O11" s="4">
        <f>+E11*5%</f>
        <v>270000</v>
      </c>
      <c r="P11" s="4"/>
      <c r="Q11" s="4"/>
      <c r="R11" s="4">
        <v>0</v>
      </c>
      <c r="S11" s="4"/>
      <c r="T11" s="4"/>
      <c r="U11" s="4"/>
      <c r="V11" s="4">
        <f t="shared" si="5"/>
        <v>486000</v>
      </c>
      <c r="W11" s="5">
        <f t="shared" ref="W11:W18" si="6">+M11-V11</f>
        <v>4914000</v>
      </c>
      <c r="X11" s="5"/>
      <c r="Y11" s="64"/>
      <c r="Z11" s="5">
        <f t="shared" si="1"/>
        <v>4914000</v>
      </c>
    </row>
    <row r="12" spans="1:26" ht="24.95" customHeight="1" x14ac:dyDescent="0.25">
      <c r="A12" s="65"/>
      <c r="B12" s="2">
        <f t="shared" si="2"/>
        <v>9</v>
      </c>
      <c r="C12" s="1" t="s">
        <v>41</v>
      </c>
      <c r="D12" s="2" t="s">
        <v>31</v>
      </c>
      <c r="E12" s="4">
        <v>4500000</v>
      </c>
      <c r="F12" s="3">
        <v>30</v>
      </c>
      <c r="G12" s="4">
        <f>+E12/30*F12</f>
        <v>4500000</v>
      </c>
      <c r="H12" s="4"/>
      <c r="I12" s="4"/>
      <c r="J12" s="4"/>
      <c r="K12" s="4"/>
      <c r="L12" s="4"/>
      <c r="M12" s="4">
        <f t="shared" si="3"/>
        <v>4500000</v>
      </c>
      <c r="N12" s="4">
        <f>+G12*4%</f>
        <v>180000</v>
      </c>
      <c r="O12" s="4">
        <f>+G12*5%</f>
        <v>225000</v>
      </c>
      <c r="P12" s="4"/>
      <c r="Q12" s="4"/>
      <c r="R12" s="7">
        <v>0</v>
      </c>
      <c r="S12" s="4"/>
      <c r="T12" s="4"/>
      <c r="U12" s="4"/>
      <c r="V12" s="4">
        <f t="shared" si="5"/>
        <v>405000</v>
      </c>
      <c r="W12" s="5">
        <f t="shared" si="6"/>
        <v>4095000</v>
      </c>
      <c r="X12" s="5"/>
      <c r="Y12" s="64"/>
      <c r="Z12" s="5">
        <f t="shared" si="1"/>
        <v>4095000</v>
      </c>
    </row>
    <row r="13" spans="1:26" ht="24.95" customHeight="1" x14ac:dyDescent="0.25">
      <c r="A13" s="65"/>
      <c r="B13" s="2">
        <f t="shared" si="2"/>
        <v>10</v>
      </c>
      <c r="C13" s="9" t="s">
        <v>42</v>
      </c>
      <c r="D13" s="8" t="s">
        <v>31</v>
      </c>
      <c r="E13" s="4">
        <v>4500000</v>
      </c>
      <c r="F13" s="3">
        <v>30</v>
      </c>
      <c r="G13" s="4">
        <f>+E13/30*F13</f>
        <v>4500000</v>
      </c>
      <c r="H13" s="4"/>
      <c r="I13" s="4"/>
      <c r="J13" s="4"/>
      <c r="K13" s="4"/>
      <c r="L13" s="4"/>
      <c r="M13" s="4">
        <f t="shared" si="3"/>
        <v>4500000</v>
      </c>
      <c r="N13" s="4">
        <v>180000</v>
      </c>
      <c r="O13" s="4">
        <v>225000</v>
      </c>
      <c r="P13" s="4"/>
      <c r="Q13" s="4"/>
      <c r="R13" s="4">
        <v>0</v>
      </c>
      <c r="S13" s="4"/>
      <c r="T13" s="4"/>
      <c r="U13" s="4"/>
      <c r="V13" s="4">
        <f t="shared" si="5"/>
        <v>405000</v>
      </c>
      <c r="W13" s="5">
        <f t="shared" si="6"/>
        <v>4095000</v>
      </c>
      <c r="X13" s="5"/>
      <c r="Y13" s="64"/>
      <c r="Z13" s="5">
        <f t="shared" si="1"/>
        <v>4095000</v>
      </c>
    </row>
    <row r="14" spans="1:26" ht="24.95" customHeight="1" x14ac:dyDescent="0.25">
      <c r="A14" s="65"/>
      <c r="B14" s="2">
        <f t="shared" si="2"/>
        <v>11</v>
      </c>
      <c r="C14" s="9" t="s">
        <v>43</v>
      </c>
      <c r="D14" s="8" t="s">
        <v>31</v>
      </c>
      <c r="E14" s="4">
        <v>4500000</v>
      </c>
      <c r="F14" s="3">
        <v>30</v>
      </c>
      <c r="G14" s="4">
        <f>+E14-L14</f>
        <v>3450000</v>
      </c>
      <c r="H14" s="4"/>
      <c r="I14" s="4"/>
      <c r="J14" s="4"/>
      <c r="K14" s="4"/>
      <c r="L14" s="4">
        <v>1050000</v>
      </c>
      <c r="M14" s="4">
        <f t="shared" si="3"/>
        <v>4500000</v>
      </c>
      <c r="N14" s="4">
        <f>+E14*4%</f>
        <v>180000</v>
      </c>
      <c r="O14" s="4">
        <f>+E14*5%</f>
        <v>225000</v>
      </c>
      <c r="P14" s="4"/>
      <c r="Q14" s="4"/>
      <c r="R14" s="4">
        <v>0</v>
      </c>
      <c r="S14" s="4"/>
      <c r="T14" s="4"/>
      <c r="U14" s="4">
        <v>838529</v>
      </c>
      <c r="V14" s="4">
        <f t="shared" si="5"/>
        <v>1243529</v>
      </c>
      <c r="W14" s="5">
        <f t="shared" si="6"/>
        <v>3256471</v>
      </c>
      <c r="X14" s="5"/>
      <c r="Y14" s="64"/>
      <c r="Z14" s="5">
        <f t="shared" si="1"/>
        <v>3256471</v>
      </c>
    </row>
    <row r="15" spans="1:26" ht="24.95" customHeight="1" x14ac:dyDescent="0.25">
      <c r="A15" s="65"/>
      <c r="B15" s="2">
        <f t="shared" si="2"/>
        <v>12</v>
      </c>
      <c r="C15" s="9" t="s">
        <v>44</v>
      </c>
      <c r="D15" s="8" t="s">
        <v>45</v>
      </c>
      <c r="E15" s="4">
        <v>4000000</v>
      </c>
      <c r="F15" s="3">
        <v>30</v>
      </c>
      <c r="G15" s="4">
        <f>+E15/30*F15</f>
        <v>4000000.0000000005</v>
      </c>
      <c r="H15" s="4"/>
      <c r="I15" s="4"/>
      <c r="J15" s="4"/>
      <c r="K15" s="4"/>
      <c r="L15" s="4">
        <f>+E15-G15</f>
        <v>0</v>
      </c>
      <c r="M15" s="4">
        <f t="shared" si="3"/>
        <v>4000000.0000000005</v>
      </c>
      <c r="N15" s="4">
        <f>+E15*0.04</f>
        <v>160000</v>
      </c>
      <c r="O15" s="4">
        <f>+E15*0.05</f>
        <v>200000</v>
      </c>
      <c r="P15" s="4"/>
      <c r="Q15" s="4"/>
      <c r="R15" s="4"/>
      <c r="S15" s="4"/>
      <c r="T15" s="4"/>
      <c r="U15" s="4"/>
      <c r="V15" s="4">
        <f t="shared" si="5"/>
        <v>360000</v>
      </c>
      <c r="W15" s="5">
        <f t="shared" si="6"/>
        <v>3640000.0000000005</v>
      </c>
      <c r="X15" s="5"/>
      <c r="Y15" s="64"/>
      <c r="Z15" s="5">
        <f t="shared" si="1"/>
        <v>3640000.0000000005</v>
      </c>
    </row>
    <row r="16" spans="1:26" ht="24.95" customHeight="1" x14ac:dyDescent="0.25">
      <c r="A16" s="65"/>
      <c r="B16" s="2">
        <f t="shared" si="2"/>
        <v>13</v>
      </c>
      <c r="C16" s="9" t="s">
        <v>46</v>
      </c>
      <c r="D16" s="8"/>
      <c r="E16" s="4">
        <v>5500000</v>
      </c>
      <c r="F16" s="3">
        <v>29</v>
      </c>
      <c r="G16" s="4">
        <f>+E16/30*F16</f>
        <v>5316666.666666667</v>
      </c>
      <c r="H16" s="4"/>
      <c r="I16" s="4"/>
      <c r="J16" s="4"/>
      <c r="K16" s="4"/>
      <c r="L16" s="4"/>
      <c r="M16" s="4">
        <f t="shared" si="3"/>
        <v>5316666.666666667</v>
      </c>
      <c r="N16" s="4">
        <f>+M16*0.04</f>
        <v>212666.66666666669</v>
      </c>
      <c r="O16" s="4">
        <f>+M16*0.05</f>
        <v>265833.33333333337</v>
      </c>
      <c r="P16" s="4"/>
      <c r="Q16" s="4"/>
      <c r="R16" s="4">
        <v>83397</v>
      </c>
      <c r="S16" s="4"/>
      <c r="T16" s="4"/>
      <c r="U16" s="4"/>
      <c r="V16" s="4">
        <f t="shared" si="5"/>
        <v>561897</v>
      </c>
      <c r="W16" s="5">
        <f t="shared" si="6"/>
        <v>4754769.666666667</v>
      </c>
      <c r="X16" s="5"/>
      <c r="Y16" s="64"/>
      <c r="Z16" s="5">
        <f t="shared" si="1"/>
        <v>4754769.666666667</v>
      </c>
    </row>
    <row r="17" spans="1:26" ht="24.95" customHeight="1" x14ac:dyDescent="0.25">
      <c r="A17" s="65"/>
      <c r="B17" s="2">
        <f t="shared" si="2"/>
        <v>14</v>
      </c>
      <c r="C17" s="9" t="s">
        <v>47</v>
      </c>
      <c r="D17" s="8" t="s">
        <v>45</v>
      </c>
      <c r="E17" s="4">
        <v>5200000</v>
      </c>
      <c r="F17" s="3">
        <v>30</v>
      </c>
      <c r="G17" s="4">
        <f>+E17/30*F17</f>
        <v>5200000</v>
      </c>
      <c r="H17" s="4"/>
      <c r="I17" s="4"/>
      <c r="J17" s="4"/>
      <c r="K17" s="4"/>
      <c r="L17" s="4">
        <v>0</v>
      </c>
      <c r="M17" s="4">
        <f t="shared" si="3"/>
        <v>5200000</v>
      </c>
      <c r="N17" s="4">
        <f>+G17*4%</f>
        <v>208000</v>
      </c>
      <c r="O17" s="4">
        <f>+G17*5%</f>
        <v>260000</v>
      </c>
      <c r="P17" s="4"/>
      <c r="Q17" s="4"/>
      <c r="R17" s="4">
        <v>46204</v>
      </c>
      <c r="S17" s="4"/>
      <c r="T17" s="4"/>
      <c r="U17" s="4"/>
      <c r="V17" s="4">
        <f t="shared" si="5"/>
        <v>514204</v>
      </c>
      <c r="W17" s="5">
        <f t="shared" si="6"/>
        <v>4685796</v>
      </c>
      <c r="X17" s="5"/>
      <c r="Y17" s="64"/>
      <c r="Z17" s="5">
        <f t="shared" si="1"/>
        <v>4685796</v>
      </c>
    </row>
    <row r="18" spans="1:26" ht="24.95" customHeight="1" x14ac:dyDescent="0.25">
      <c r="A18" s="65"/>
      <c r="B18" s="2">
        <f t="shared" si="2"/>
        <v>15</v>
      </c>
      <c r="C18" s="1" t="s">
        <v>48</v>
      </c>
      <c r="D18" s="2" t="s">
        <v>31</v>
      </c>
      <c r="E18" s="4">
        <v>5500000</v>
      </c>
      <c r="F18" s="3">
        <v>30</v>
      </c>
      <c r="G18" s="4">
        <f>+E18-L18</f>
        <v>2750000</v>
      </c>
      <c r="H18" s="4"/>
      <c r="I18" s="4"/>
      <c r="J18" s="4">
        <v>450000</v>
      </c>
      <c r="K18" s="4"/>
      <c r="L18" s="4">
        <v>2750000</v>
      </c>
      <c r="M18" s="4">
        <f t="shared" si="3"/>
        <v>5950000</v>
      </c>
      <c r="N18" s="4">
        <f>+E18*4%</f>
        <v>220000</v>
      </c>
      <c r="O18" s="4">
        <f>+E18*5%</f>
        <v>275000</v>
      </c>
      <c r="P18" s="4"/>
      <c r="Q18" s="4"/>
      <c r="R18" s="7">
        <v>150521</v>
      </c>
      <c r="S18" s="4">
        <v>1365000</v>
      </c>
      <c r="T18" s="4"/>
      <c r="U18" s="4"/>
      <c r="V18" s="4">
        <f t="shared" si="5"/>
        <v>2010521</v>
      </c>
      <c r="W18" s="5">
        <f t="shared" si="6"/>
        <v>3939479</v>
      </c>
      <c r="X18" s="5"/>
      <c r="Y18" s="64"/>
      <c r="Z18" s="5">
        <f t="shared" si="1"/>
        <v>3939479</v>
      </c>
    </row>
    <row r="19" spans="1:26" ht="24.95" customHeight="1" x14ac:dyDescent="0.25">
      <c r="A19" s="65"/>
      <c r="B19" s="2">
        <f t="shared" si="2"/>
        <v>16</v>
      </c>
      <c r="C19" s="1" t="s">
        <v>49</v>
      </c>
      <c r="D19" s="2" t="s">
        <v>31</v>
      </c>
      <c r="E19" s="4">
        <v>5350000</v>
      </c>
      <c r="F19" s="3">
        <v>30</v>
      </c>
      <c r="G19" s="4">
        <f>+E19/30*F19</f>
        <v>5350000</v>
      </c>
      <c r="H19" s="4"/>
      <c r="I19" s="4"/>
      <c r="J19" s="4">
        <v>1000000</v>
      </c>
      <c r="K19" s="4"/>
      <c r="L19" s="4"/>
      <c r="M19" s="4">
        <f t="shared" si="3"/>
        <v>6350000</v>
      </c>
      <c r="N19" s="4">
        <v>214000</v>
      </c>
      <c r="O19" s="4">
        <f>214000+53500</f>
        <v>267500</v>
      </c>
      <c r="P19" s="4"/>
      <c r="Q19" s="4"/>
      <c r="R19" s="7">
        <v>116813</v>
      </c>
      <c r="S19" s="4"/>
      <c r="T19" s="4"/>
      <c r="U19" s="4">
        <v>810005</v>
      </c>
      <c r="V19" s="4">
        <f t="shared" si="5"/>
        <v>1408318</v>
      </c>
      <c r="W19" s="5">
        <f>M19-V19</f>
        <v>4941682</v>
      </c>
      <c r="X19" s="5"/>
      <c r="Y19" s="64"/>
      <c r="Z19" s="5">
        <f t="shared" si="1"/>
        <v>4941682</v>
      </c>
    </row>
    <row r="20" spans="1:26" ht="24.95" customHeight="1" x14ac:dyDescent="0.25">
      <c r="A20" s="65"/>
      <c r="B20" s="2">
        <f t="shared" si="2"/>
        <v>17</v>
      </c>
      <c r="C20" s="1" t="s">
        <v>50</v>
      </c>
      <c r="D20" s="2" t="s">
        <v>31</v>
      </c>
      <c r="E20" s="4">
        <v>7000000</v>
      </c>
      <c r="F20" s="3">
        <v>30</v>
      </c>
      <c r="G20" s="4">
        <f>+E20-I20</f>
        <v>6766666.666666667</v>
      </c>
      <c r="H20" s="4"/>
      <c r="I20" s="4">
        <f>+E20/30</f>
        <v>233333.33333333334</v>
      </c>
      <c r="J20" s="4"/>
      <c r="K20" s="4"/>
      <c r="L20" s="4"/>
      <c r="M20" s="4">
        <f t="shared" si="3"/>
        <v>7000000</v>
      </c>
      <c r="N20" s="4">
        <f>+G20*4%</f>
        <v>270666.66666666669</v>
      </c>
      <c r="O20" s="4">
        <f>+G20*5%</f>
        <v>338333.33333333337</v>
      </c>
      <c r="P20" s="4"/>
      <c r="Q20" s="4"/>
      <c r="R20" s="7">
        <v>269359</v>
      </c>
      <c r="S20" s="4"/>
      <c r="T20" s="4"/>
      <c r="U20" s="4"/>
      <c r="V20" s="4">
        <f t="shared" si="5"/>
        <v>878359</v>
      </c>
      <c r="W20" s="5">
        <f>M20-V20</f>
        <v>6121641</v>
      </c>
      <c r="X20" s="5"/>
      <c r="Y20" s="64"/>
      <c r="Z20" s="5">
        <f t="shared" si="1"/>
        <v>6121641</v>
      </c>
    </row>
    <row r="21" spans="1:26" ht="24.95" customHeight="1" x14ac:dyDescent="0.25">
      <c r="A21" s="65"/>
      <c r="B21" s="2">
        <f t="shared" si="2"/>
        <v>18</v>
      </c>
      <c r="C21" s="1" t="s">
        <v>51</v>
      </c>
      <c r="D21" s="2" t="s">
        <v>31</v>
      </c>
      <c r="E21" s="4">
        <v>6900000</v>
      </c>
      <c r="F21" s="3">
        <v>30</v>
      </c>
      <c r="G21" s="4">
        <f>+E21/30*F21</f>
        <v>6900000</v>
      </c>
      <c r="H21" s="4"/>
      <c r="I21" s="4"/>
      <c r="J21" s="4">
        <v>1400000</v>
      </c>
      <c r="K21" s="10"/>
      <c r="L21" s="10"/>
      <c r="M21" s="4">
        <f t="shared" si="3"/>
        <v>8300000</v>
      </c>
      <c r="N21" s="4">
        <f>+G21*4%</f>
        <v>276000</v>
      </c>
      <c r="O21" s="4">
        <f>+G21*5%</f>
        <v>345000</v>
      </c>
      <c r="P21" s="4"/>
      <c r="Q21" s="4"/>
      <c r="R21" s="7">
        <v>113000</v>
      </c>
      <c r="S21" s="4">
        <v>1300000</v>
      </c>
      <c r="T21" s="4"/>
      <c r="U21" s="4"/>
      <c r="V21" s="4">
        <f t="shared" si="5"/>
        <v>2034000</v>
      </c>
      <c r="W21" s="5">
        <f>M21-V21</f>
        <v>6266000</v>
      </c>
      <c r="X21" s="5"/>
      <c r="Y21" s="64"/>
      <c r="Z21" s="5">
        <f t="shared" si="1"/>
        <v>6266000</v>
      </c>
    </row>
    <row r="22" spans="1:26" ht="24.95" customHeight="1" x14ac:dyDescent="0.25">
      <c r="A22" s="65"/>
      <c r="B22" s="2">
        <f t="shared" si="2"/>
        <v>19</v>
      </c>
      <c r="C22" s="1" t="s">
        <v>52</v>
      </c>
      <c r="D22" s="2"/>
      <c r="E22" s="4">
        <v>3500000</v>
      </c>
      <c r="F22" s="3">
        <v>30</v>
      </c>
      <c r="G22" s="4">
        <f>+E22/30*F22</f>
        <v>3500000</v>
      </c>
      <c r="H22" s="4"/>
      <c r="I22" s="4"/>
      <c r="J22" s="4"/>
      <c r="K22" s="4"/>
      <c r="L22" s="4"/>
      <c r="M22" s="4">
        <f t="shared" si="3"/>
        <v>3500000</v>
      </c>
      <c r="N22" s="4">
        <f t="shared" ref="N22:N29" si="7">E22*4/100</f>
        <v>140000</v>
      </c>
      <c r="O22" s="4">
        <f t="shared" ref="O22:O29" si="8">+E22*0.05</f>
        <v>175000</v>
      </c>
      <c r="P22" s="4"/>
      <c r="Q22" s="4"/>
      <c r="R22" s="4"/>
      <c r="S22" s="4"/>
      <c r="T22" s="4"/>
      <c r="U22" s="4"/>
      <c r="V22" s="4">
        <f t="shared" si="5"/>
        <v>315000</v>
      </c>
      <c r="W22" s="5">
        <f t="shared" ref="W22:W28" si="9">+M22-V22</f>
        <v>3185000</v>
      </c>
      <c r="X22" s="5"/>
      <c r="Y22" s="64"/>
      <c r="Z22" s="5">
        <f t="shared" si="1"/>
        <v>3185000</v>
      </c>
    </row>
    <row r="23" spans="1:26" ht="24.95" customHeight="1" x14ac:dyDescent="0.25">
      <c r="A23" s="65"/>
      <c r="B23" s="2">
        <f t="shared" si="2"/>
        <v>20</v>
      </c>
      <c r="C23" s="1" t="s">
        <v>53</v>
      </c>
      <c r="D23" s="2" t="s">
        <v>31</v>
      </c>
      <c r="E23" s="4">
        <v>5300000</v>
      </c>
      <c r="F23" s="3">
        <v>30</v>
      </c>
      <c r="G23" s="4">
        <f>+E23/30*F23</f>
        <v>5300000</v>
      </c>
      <c r="H23" s="4"/>
      <c r="I23" s="4"/>
      <c r="J23" s="4">
        <v>1621317</v>
      </c>
      <c r="K23" s="4"/>
      <c r="L23" s="4"/>
      <c r="M23" s="4">
        <f t="shared" si="3"/>
        <v>6921317</v>
      </c>
      <c r="N23" s="4">
        <f t="shared" si="7"/>
        <v>212000</v>
      </c>
      <c r="O23" s="4">
        <f t="shared" si="8"/>
        <v>265000</v>
      </c>
      <c r="P23" s="4"/>
      <c r="Q23" s="4"/>
      <c r="R23" s="7">
        <v>100000</v>
      </c>
      <c r="S23" s="4"/>
      <c r="T23" s="4"/>
      <c r="U23" s="4">
        <f>884747</f>
        <v>884747</v>
      </c>
      <c r="V23" s="4">
        <f t="shared" si="5"/>
        <v>1461747</v>
      </c>
      <c r="W23" s="5">
        <f t="shared" si="9"/>
        <v>5459570</v>
      </c>
      <c r="X23" s="5"/>
      <c r="Y23" s="64"/>
      <c r="Z23" s="5">
        <f t="shared" si="1"/>
        <v>5459570</v>
      </c>
    </row>
    <row r="24" spans="1:26" ht="24.95" customHeight="1" x14ac:dyDescent="0.25">
      <c r="A24" s="65"/>
      <c r="B24" s="2">
        <f t="shared" si="2"/>
        <v>21</v>
      </c>
      <c r="C24" s="1" t="s">
        <v>54</v>
      </c>
      <c r="D24" s="2" t="s">
        <v>31</v>
      </c>
      <c r="E24" s="4">
        <v>4500000</v>
      </c>
      <c r="F24" s="3">
        <v>30</v>
      </c>
      <c r="G24" s="4">
        <f>+E24-L24</f>
        <v>2400000</v>
      </c>
      <c r="H24" s="4"/>
      <c r="I24" s="4"/>
      <c r="J24" s="4"/>
      <c r="K24" s="4"/>
      <c r="L24" s="4">
        <f>600000+1500000</f>
        <v>2100000</v>
      </c>
      <c r="M24" s="4">
        <f t="shared" si="3"/>
        <v>4500000</v>
      </c>
      <c r="N24" s="4">
        <f t="shared" si="7"/>
        <v>180000</v>
      </c>
      <c r="O24" s="4">
        <f t="shared" si="8"/>
        <v>225000</v>
      </c>
      <c r="P24" s="4"/>
      <c r="Q24" s="4"/>
      <c r="R24" s="7">
        <v>0</v>
      </c>
      <c r="S24" s="4"/>
      <c r="T24" s="4"/>
      <c r="U24" s="4"/>
      <c r="V24" s="4">
        <f t="shared" si="5"/>
        <v>405000</v>
      </c>
      <c r="W24" s="5">
        <f t="shared" si="9"/>
        <v>4095000</v>
      </c>
      <c r="X24" s="5"/>
      <c r="Y24" s="64"/>
      <c r="Z24" s="5">
        <f t="shared" si="1"/>
        <v>4095000</v>
      </c>
    </row>
    <row r="25" spans="1:26" ht="24.95" customHeight="1" x14ac:dyDescent="0.25">
      <c r="A25" s="65"/>
      <c r="B25" s="2">
        <f t="shared" si="2"/>
        <v>22</v>
      </c>
      <c r="C25" s="1" t="s">
        <v>55</v>
      </c>
      <c r="D25" s="2" t="s">
        <v>31</v>
      </c>
      <c r="E25" s="4">
        <v>5500000</v>
      </c>
      <c r="F25" s="3">
        <v>30</v>
      </c>
      <c r="G25" s="4">
        <f>+E25-I25</f>
        <v>5500000</v>
      </c>
      <c r="H25" s="4"/>
      <c r="I25" s="4"/>
      <c r="J25" s="4"/>
      <c r="K25" s="4"/>
      <c r="L25" s="4"/>
      <c r="M25" s="4">
        <f t="shared" si="3"/>
        <v>5500000</v>
      </c>
      <c r="N25" s="4">
        <f t="shared" si="7"/>
        <v>220000</v>
      </c>
      <c r="O25" s="4">
        <f t="shared" si="8"/>
        <v>275000</v>
      </c>
      <c r="P25" s="4"/>
      <c r="Q25" s="4"/>
      <c r="R25" s="4">
        <v>5022</v>
      </c>
      <c r="S25" s="4"/>
      <c r="T25" s="4"/>
      <c r="U25" s="4"/>
      <c r="V25" s="4">
        <f t="shared" si="5"/>
        <v>500022</v>
      </c>
      <c r="W25" s="5">
        <f t="shared" si="9"/>
        <v>4999978</v>
      </c>
      <c r="X25" s="5"/>
      <c r="Y25" s="64"/>
      <c r="Z25" s="5">
        <f t="shared" si="1"/>
        <v>4999978</v>
      </c>
    </row>
    <row r="26" spans="1:26" ht="24.95" customHeight="1" x14ac:dyDescent="0.25">
      <c r="A26" s="65"/>
      <c r="B26" s="2">
        <f t="shared" si="2"/>
        <v>23</v>
      </c>
      <c r="C26" s="1" t="s">
        <v>56</v>
      </c>
      <c r="D26" s="2" t="s">
        <v>31</v>
      </c>
      <c r="E26" s="4">
        <v>5500000</v>
      </c>
      <c r="F26" s="3">
        <v>30</v>
      </c>
      <c r="G26" s="4">
        <f>+E26/30*F26</f>
        <v>5500000</v>
      </c>
      <c r="H26" s="4"/>
      <c r="I26" s="4"/>
      <c r="J26" s="4"/>
      <c r="K26" s="4"/>
      <c r="L26" s="4"/>
      <c r="M26" s="4">
        <f t="shared" si="3"/>
        <v>5500000</v>
      </c>
      <c r="N26" s="4">
        <f t="shared" si="7"/>
        <v>220000</v>
      </c>
      <c r="O26" s="4">
        <f t="shared" si="8"/>
        <v>275000</v>
      </c>
      <c r="P26" s="4"/>
      <c r="Q26" s="4"/>
      <c r="R26" s="7">
        <v>141000</v>
      </c>
      <c r="S26" s="4"/>
      <c r="T26" s="4"/>
      <c r="U26" s="4"/>
      <c r="V26" s="4">
        <f t="shared" si="5"/>
        <v>636000</v>
      </c>
      <c r="W26" s="5">
        <f t="shared" si="9"/>
        <v>4864000</v>
      </c>
      <c r="X26" s="5"/>
      <c r="Y26" s="64"/>
      <c r="Z26" s="5">
        <f t="shared" si="1"/>
        <v>4864000</v>
      </c>
    </row>
    <row r="27" spans="1:26" ht="24.95" customHeight="1" x14ac:dyDescent="0.25">
      <c r="A27" s="65"/>
      <c r="B27" s="2">
        <f t="shared" si="2"/>
        <v>24</v>
      </c>
      <c r="C27" s="1" t="s">
        <v>57</v>
      </c>
      <c r="D27" s="2"/>
      <c r="E27" s="4">
        <v>6600000</v>
      </c>
      <c r="F27" s="3">
        <v>30</v>
      </c>
      <c r="G27" s="4">
        <f>+E27/30*F27</f>
        <v>6600000</v>
      </c>
      <c r="H27" s="4"/>
      <c r="I27" s="4"/>
      <c r="J27" s="4"/>
      <c r="K27" s="4"/>
      <c r="L27" s="4"/>
      <c r="M27" s="4">
        <f t="shared" si="3"/>
        <v>6600000</v>
      </c>
      <c r="N27" s="4">
        <f t="shared" si="7"/>
        <v>264000</v>
      </c>
      <c r="O27" s="4">
        <f t="shared" si="8"/>
        <v>330000</v>
      </c>
      <c r="P27" s="4"/>
      <c r="Q27" s="4"/>
      <c r="R27" s="7">
        <v>281000</v>
      </c>
      <c r="S27" s="4"/>
      <c r="T27" s="4"/>
      <c r="U27" s="4"/>
      <c r="V27" s="4">
        <f t="shared" si="5"/>
        <v>875000</v>
      </c>
      <c r="W27" s="5">
        <f t="shared" si="9"/>
        <v>5725000</v>
      </c>
      <c r="X27" s="5"/>
      <c r="Y27" s="64"/>
      <c r="Z27" s="5">
        <f t="shared" si="1"/>
        <v>5725000</v>
      </c>
    </row>
    <row r="28" spans="1:26" ht="24.95" customHeight="1" x14ac:dyDescent="0.25">
      <c r="A28" s="65"/>
      <c r="B28" s="2">
        <f t="shared" si="2"/>
        <v>25</v>
      </c>
      <c r="C28" s="1" t="s">
        <v>58</v>
      </c>
      <c r="D28" s="2" t="s">
        <v>31</v>
      </c>
      <c r="E28" s="4">
        <v>4500000</v>
      </c>
      <c r="F28" s="3">
        <v>30</v>
      </c>
      <c r="G28" s="4">
        <f>+E28-L28</f>
        <v>3450000</v>
      </c>
      <c r="H28" s="4"/>
      <c r="I28" s="4"/>
      <c r="J28" s="4"/>
      <c r="K28" s="4"/>
      <c r="L28" s="4">
        <v>1050000</v>
      </c>
      <c r="M28" s="4">
        <f t="shared" si="3"/>
        <v>4500000</v>
      </c>
      <c r="N28" s="4">
        <f t="shared" si="7"/>
        <v>180000</v>
      </c>
      <c r="O28" s="4">
        <f t="shared" si="8"/>
        <v>225000</v>
      </c>
      <c r="P28" s="4"/>
      <c r="Q28" s="4"/>
      <c r="R28" s="7">
        <v>0</v>
      </c>
      <c r="S28" s="4"/>
      <c r="T28" s="4"/>
      <c r="U28" s="4"/>
      <c r="V28" s="4">
        <f t="shared" si="5"/>
        <v>405000</v>
      </c>
      <c r="W28" s="5">
        <f t="shared" si="9"/>
        <v>4095000</v>
      </c>
      <c r="X28" s="5"/>
      <c r="Y28" s="64"/>
      <c r="Z28" s="5">
        <f t="shared" si="1"/>
        <v>4095000</v>
      </c>
    </row>
    <row r="29" spans="1:26" ht="24.95" customHeight="1" x14ac:dyDescent="0.25">
      <c r="A29" s="65"/>
      <c r="B29" s="2">
        <f t="shared" si="2"/>
        <v>26</v>
      </c>
      <c r="C29" s="1" t="s">
        <v>59</v>
      </c>
      <c r="D29" s="2" t="s">
        <v>31</v>
      </c>
      <c r="E29" s="4">
        <v>6600000</v>
      </c>
      <c r="F29" s="3">
        <v>30</v>
      </c>
      <c r="G29" s="4">
        <f>+E29/30*F29</f>
        <v>6600000</v>
      </c>
      <c r="H29" s="4"/>
      <c r="I29" s="4"/>
      <c r="J29" s="4"/>
      <c r="K29" s="10"/>
      <c r="L29" s="10"/>
      <c r="M29" s="4">
        <f t="shared" si="3"/>
        <v>6600000</v>
      </c>
      <c r="N29" s="4">
        <f t="shared" si="7"/>
        <v>264000</v>
      </c>
      <c r="O29" s="4">
        <f t="shared" si="8"/>
        <v>330000</v>
      </c>
      <c r="P29" s="4"/>
      <c r="Q29" s="4"/>
      <c r="R29" s="7">
        <v>126000</v>
      </c>
      <c r="S29" s="4"/>
      <c r="T29" s="4"/>
      <c r="U29" s="4"/>
      <c r="V29" s="4">
        <f t="shared" si="5"/>
        <v>720000</v>
      </c>
      <c r="W29" s="5">
        <f>M29-V29</f>
        <v>5880000</v>
      </c>
      <c r="X29" s="5"/>
      <c r="Y29" s="64"/>
      <c r="Z29" s="5">
        <f t="shared" si="1"/>
        <v>5880000</v>
      </c>
    </row>
    <row r="30" spans="1:26" ht="24.95" customHeight="1" x14ac:dyDescent="0.25">
      <c r="A30" s="65"/>
      <c r="B30" s="2">
        <f t="shared" si="2"/>
        <v>27</v>
      </c>
      <c r="C30" s="1" t="s">
        <v>60</v>
      </c>
      <c r="D30" s="2"/>
      <c r="E30" s="4">
        <v>7000000</v>
      </c>
      <c r="F30" s="3">
        <v>16</v>
      </c>
      <c r="G30" s="4">
        <f>+E30/30*F30</f>
        <v>3733333.3333333335</v>
      </c>
      <c r="H30" s="4"/>
      <c r="I30" s="4"/>
      <c r="J30" s="4"/>
      <c r="K30" s="11"/>
      <c r="L30" s="11"/>
      <c r="M30" s="4">
        <f t="shared" si="3"/>
        <v>3733333.3333333335</v>
      </c>
      <c r="N30" s="4">
        <f>M30*4/100</f>
        <v>149333.33333333334</v>
      </c>
      <c r="O30" s="4">
        <f>+M30*0.05</f>
        <v>186666.66666666669</v>
      </c>
      <c r="P30" s="4"/>
      <c r="Q30" s="4"/>
      <c r="R30" s="7">
        <v>269359</v>
      </c>
      <c r="S30" s="4"/>
      <c r="T30" s="4"/>
      <c r="U30" s="4"/>
      <c r="V30" s="4">
        <f t="shared" si="5"/>
        <v>605359</v>
      </c>
      <c r="W30" s="5">
        <f>M30-V30</f>
        <v>3127974.3333333335</v>
      </c>
      <c r="X30" s="5"/>
      <c r="Y30" s="64"/>
      <c r="Z30" s="5">
        <f t="shared" si="1"/>
        <v>3127974.3333333335</v>
      </c>
    </row>
    <row r="31" spans="1:26" ht="24.95" customHeight="1" x14ac:dyDescent="0.25">
      <c r="A31" s="65"/>
      <c r="B31" s="2">
        <f t="shared" si="2"/>
        <v>28</v>
      </c>
      <c r="C31" s="1" t="s">
        <v>61</v>
      </c>
      <c r="D31" s="2" t="s">
        <v>31</v>
      </c>
      <c r="E31" s="4">
        <v>3500000</v>
      </c>
      <c r="F31" s="3">
        <v>30</v>
      </c>
      <c r="G31" s="4">
        <f>+E31-L31</f>
        <v>2683333</v>
      </c>
      <c r="H31" s="4"/>
      <c r="I31" s="4"/>
      <c r="J31" s="4"/>
      <c r="K31" s="4"/>
      <c r="L31" s="4">
        <v>816667</v>
      </c>
      <c r="M31" s="4">
        <f t="shared" si="3"/>
        <v>3500000</v>
      </c>
      <c r="N31" s="4">
        <f>E31*4/100</f>
        <v>140000</v>
      </c>
      <c r="O31" s="4">
        <f>+E31*0.05</f>
        <v>175000</v>
      </c>
      <c r="P31" s="4"/>
      <c r="Q31" s="4"/>
      <c r="R31" s="7">
        <v>0</v>
      </c>
      <c r="S31" s="4"/>
      <c r="T31" s="4">
        <v>111000</v>
      </c>
      <c r="U31" s="4"/>
      <c r="V31" s="4">
        <f t="shared" si="5"/>
        <v>426000</v>
      </c>
      <c r="W31" s="5">
        <f>M31-V31</f>
        <v>3074000</v>
      </c>
      <c r="X31" s="5"/>
      <c r="Y31" s="64"/>
      <c r="Z31" s="5">
        <f t="shared" si="1"/>
        <v>3074000</v>
      </c>
    </row>
    <row r="32" spans="1:26" ht="24.95" customHeight="1" x14ac:dyDescent="0.25">
      <c r="A32" s="65"/>
      <c r="B32" s="2">
        <f t="shared" si="2"/>
        <v>29</v>
      </c>
      <c r="C32" s="1" t="s">
        <v>62</v>
      </c>
      <c r="D32" s="2" t="s">
        <v>31</v>
      </c>
      <c r="E32" s="4">
        <v>4800000</v>
      </c>
      <c r="F32" s="3">
        <v>16</v>
      </c>
      <c r="G32" s="4">
        <f>2560000-L32</f>
        <v>160000</v>
      </c>
      <c r="H32" s="4"/>
      <c r="I32" s="4"/>
      <c r="J32" s="4"/>
      <c r="K32" s="4"/>
      <c r="L32" s="4">
        <v>2400000</v>
      </c>
      <c r="M32" s="4">
        <f t="shared" si="3"/>
        <v>2560000</v>
      </c>
      <c r="N32" s="4">
        <f>M32*4/100</f>
        <v>102400</v>
      </c>
      <c r="O32" s="4">
        <f>+M32*0.05</f>
        <v>128000</v>
      </c>
      <c r="P32" s="4"/>
      <c r="Q32" s="4"/>
      <c r="R32" s="4">
        <v>0</v>
      </c>
      <c r="S32" s="4">
        <f>1150000/2</f>
        <v>575000</v>
      </c>
      <c r="T32" s="4"/>
      <c r="U32" s="4">
        <f>209579/2</f>
        <v>104789.5</v>
      </c>
      <c r="V32" s="4">
        <f t="shared" si="5"/>
        <v>910189.5</v>
      </c>
      <c r="W32" s="5">
        <f>M32-V32</f>
        <v>1649810.5</v>
      </c>
      <c r="X32" s="5"/>
      <c r="Y32" s="64"/>
      <c r="Z32" s="5">
        <f t="shared" si="1"/>
        <v>1649810.5</v>
      </c>
    </row>
    <row r="33" spans="1:29" ht="24.95" customHeight="1" x14ac:dyDescent="0.25">
      <c r="A33" s="65"/>
      <c r="B33" s="2">
        <f t="shared" si="2"/>
        <v>30</v>
      </c>
      <c r="C33" s="1" t="s">
        <v>63</v>
      </c>
      <c r="D33" s="2" t="s">
        <v>31</v>
      </c>
      <c r="E33" s="4">
        <v>4540000</v>
      </c>
      <c r="F33" s="3">
        <v>30</v>
      </c>
      <c r="G33" s="4">
        <f>+E33/30*F33</f>
        <v>4540000</v>
      </c>
      <c r="H33" s="4"/>
      <c r="I33" s="4"/>
      <c r="J33" s="4"/>
      <c r="K33" s="4"/>
      <c r="L33" s="4"/>
      <c r="M33" s="4">
        <f t="shared" si="3"/>
        <v>4540000</v>
      </c>
      <c r="N33" s="4">
        <f t="shared" ref="N33:N49" si="10">E33*4/100</f>
        <v>181600</v>
      </c>
      <c r="O33" s="4">
        <f t="shared" ref="O33:O49" si="11">+E33*0.05</f>
        <v>227000</v>
      </c>
      <c r="P33" s="4"/>
      <c r="Q33" s="4"/>
      <c r="R33" s="7">
        <v>0</v>
      </c>
      <c r="S33" s="4"/>
      <c r="T33" s="4"/>
      <c r="U33" s="4"/>
      <c r="V33" s="4">
        <f t="shared" si="5"/>
        <v>408600</v>
      </c>
      <c r="W33" s="5">
        <f>M33-V33</f>
        <v>4131400</v>
      </c>
      <c r="X33" s="5"/>
      <c r="Y33" s="64"/>
      <c r="Z33" s="5">
        <f t="shared" si="1"/>
        <v>4131400</v>
      </c>
    </row>
    <row r="34" spans="1:29" ht="24.95" customHeight="1" x14ac:dyDescent="0.25">
      <c r="A34" s="65"/>
      <c r="B34" s="2">
        <f t="shared" si="2"/>
        <v>31</v>
      </c>
      <c r="C34" s="1" t="s">
        <v>64</v>
      </c>
      <c r="D34" s="2" t="s">
        <v>31</v>
      </c>
      <c r="E34" s="4">
        <v>3500000</v>
      </c>
      <c r="F34" s="3">
        <v>30</v>
      </c>
      <c r="G34" s="4">
        <f>+E34/30*F34</f>
        <v>3500000</v>
      </c>
      <c r="H34" s="4"/>
      <c r="I34" s="4"/>
      <c r="J34" s="4"/>
      <c r="K34" s="4"/>
      <c r="L34" s="4"/>
      <c r="M34" s="4">
        <f t="shared" si="3"/>
        <v>3500000</v>
      </c>
      <c r="N34" s="4">
        <f t="shared" si="10"/>
        <v>140000</v>
      </c>
      <c r="O34" s="4">
        <f t="shared" si="11"/>
        <v>175000</v>
      </c>
      <c r="P34" s="4"/>
      <c r="Q34" s="4"/>
      <c r="R34" s="4">
        <v>0</v>
      </c>
      <c r="S34" s="4"/>
      <c r="T34" s="4"/>
      <c r="U34" s="4">
        <v>257196</v>
      </c>
      <c r="V34" s="4">
        <f t="shared" si="5"/>
        <v>572196</v>
      </c>
      <c r="W34" s="5">
        <f>+M34-V34</f>
        <v>2927804</v>
      </c>
      <c r="X34" s="5"/>
      <c r="Y34" s="64"/>
      <c r="Z34" s="5">
        <f t="shared" si="1"/>
        <v>2927804</v>
      </c>
    </row>
    <row r="35" spans="1:29" ht="24.95" customHeight="1" x14ac:dyDescent="0.25">
      <c r="A35" s="65"/>
      <c r="B35" s="2">
        <f t="shared" si="2"/>
        <v>32</v>
      </c>
      <c r="C35" s="1" t="s">
        <v>65</v>
      </c>
      <c r="D35" s="2"/>
      <c r="E35" s="4">
        <v>4500000</v>
      </c>
      <c r="F35" s="3">
        <v>30</v>
      </c>
      <c r="G35" s="4">
        <f>+E35/30*F35</f>
        <v>4500000</v>
      </c>
      <c r="H35" s="4"/>
      <c r="I35" s="4"/>
      <c r="J35" s="4"/>
      <c r="K35" s="4"/>
      <c r="L35" s="4"/>
      <c r="M35" s="4">
        <f t="shared" si="3"/>
        <v>4500000</v>
      </c>
      <c r="N35" s="4">
        <f t="shared" si="10"/>
        <v>180000</v>
      </c>
      <c r="O35" s="4">
        <f t="shared" si="11"/>
        <v>225000</v>
      </c>
      <c r="P35" s="4"/>
      <c r="Q35" s="4"/>
      <c r="R35" s="4">
        <v>0</v>
      </c>
      <c r="S35" s="4"/>
      <c r="T35" s="4"/>
      <c r="U35" s="4"/>
      <c r="V35" s="4">
        <f t="shared" si="5"/>
        <v>405000</v>
      </c>
      <c r="W35" s="5">
        <f>+M35-V35</f>
        <v>4095000</v>
      </c>
      <c r="X35" s="5"/>
      <c r="Y35" s="64"/>
      <c r="Z35" s="5">
        <f t="shared" si="1"/>
        <v>4095000</v>
      </c>
    </row>
    <row r="36" spans="1:29" ht="24.95" customHeight="1" x14ac:dyDescent="0.25">
      <c r="A36" s="65"/>
      <c r="B36" s="2">
        <f t="shared" si="2"/>
        <v>33</v>
      </c>
      <c r="C36" s="1" t="s">
        <v>66</v>
      </c>
      <c r="D36" s="2" t="s">
        <v>31</v>
      </c>
      <c r="E36" s="4">
        <v>6360000</v>
      </c>
      <c r="F36" s="3">
        <v>30</v>
      </c>
      <c r="G36" s="4">
        <f>+E36/30*F36</f>
        <v>6360000</v>
      </c>
      <c r="H36" s="4"/>
      <c r="I36" s="12"/>
      <c r="J36" s="4"/>
      <c r="K36" s="4"/>
      <c r="L36" s="4"/>
      <c r="M36" s="4">
        <f t="shared" si="3"/>
        <v>6360000</v>
      </c>
      <c r="N36" s="4">
        <f t="shared" si="10"/>
        <v>254400</v>
      </c>
      <c r="O36" s="4">
        <f t="shared" si="11"/>
        <v>318000</v>
      </c>
      <c r="P36" s="4"/>
      <c r="Q36" s="4"/>
      <c r="R36" s="4">
        <v>208000</v>
      </c>
      <c r="S36" s="4"/>
      <c r="T36" s="4">
        <v>122614</v>
      </c>
      <c r="U36" s="4"/>
      <c r="V36" s="4">
        <f t="shared" si="5"/>
        <v>903014</v>
      </c>
      <c r="W36" s="5">
        <f>+M36-V36</f>
        <v>5456986</v>
      </c>
      <c r="X36" s="5"/>
      <c r="Y36" s="64"/>
      <c r="Z36" s="5">
        <f t="shared" si="1"/>
        <v>5456986</v>
      </c>
    </row>
    <row r="37" spans="1:29" ht="24.95" customHeight="1" x14ac:dyDescent="0.25">
      <c r="A37" s="65"/>
      <c r="B37" s="2">
        <f t="shared" si="2"/>
        <v>34</v>
      </c>
      <c r="C37" s="1" t="s">
        <v>67</v>
      </c>
      <c r="D37" s="2" t="s">
        <v>31</v>
      </c>
      <c r="E37" s="4">
        <v>4770000</v>
      </c>
      <c r="F37" s="3">
        <v>30</v>
      </c>
      <c r="G37" s="4">
        <f>+E37/30*F37</f>
        <v>4770000</v>
      </c>
      <c r="H37" s="4"/>
      <c r="I37" s="4"/>
      <c r="J37" s="4">
        <v>500000</v>
      </c>
      <c r="K37" s="4"/>
      <c r="L37" s="4"/>
      <c r="M37" s="4">
        <f t="shared" si="3"/>
        <v>5270000</v>
      </c>
      <c r="N37" s="4">
        <f t="shared" si="10"/>
        <v>190800</v>
      </c>
      <c r="O37" s="4">
        <f t="shared" si="11"/>
        <v>238500</v>
      </c>
      <c r="P37" s="4"/>
      <c r="Q37" s="4"/>
      <c r="R37" s="4">
        <v>0</v>
      </c>
      <c r="S37" s="4"/>
      <c r="T37" s="4"/>
      <c r="U37" s="4">
        <v>551399</v>
      </c>
      <c r="V37" s="4">
        <f t="shared" si="5"/>
        <v>980699</v>
      </c>
      <c r="W37" s="5">
        <f>+M37-V37</f>
        <v>4289301</v>
      </c>
      <c r="X37" s="5"/>
      <c r="Y37" s="64"/>
      <c r="Z37" s="5">
        <f t="shared" si="1"/>
        <v>4289301</v>
      </c>
      <c r="AA37" s="62" t="s">
        <v>68</v>
      </c>
    </row>
    <row r="38" spans="1:29" ht="24.95" customHeight="1" x14ac:dyDescent="0.25">
      <c r="A38" s="65"/>
      <c r="B38" s="2">
        <f t="shared" si="2"/>
        <v>35</v>
      </c>
      <c r="C38" s="1" t="s">
        <v>69</v>
      </c>
      <c r="D38" s="2" t="s">
        <v>31</v>
      </c>
      <c r="E38" s="4">
        <v>6000000</v>
      </c>
      <c r="F38" s="3">
        <v>30</v>
      </c>
      <c r="G38" s="4">
        <f>+E38-L38</f>
        <v>4600000</v>
      </c>
      <c r="H38" s="4"/>
      <c r="I38" s="4"/>
      <c r="J38" s="4"/>
      <c r="K38" s="4"/>
      <c r="L38" s="4">
        <v>1400000</v>
      </c>
      <c r="M38" s="4">
        <f t="shared" si="3"/>
        <v>6000000</v>
      </c>
      <c r="N38" s="4">
        <f t="shared" si="10"/>
        <v>240000</v>
      </c>
      <c r="O38" s="4">
        <f t="shared" si="11"/>
        <v>300000</v>
      </c>
      <c r="P38" s="4">
        <v>0</v>
      </c>
      <c r="Q38" s="4"/>
      <c r="R38" s="4">
        <v>59884</v>
      </c>
      <c r="S38" s="4"/>
      <c r="T38" s="4"/>
      <c r="U38" s="4"/>
      <c r="V38" s="4">
        <f t="shared" si="5"/>
        <v>599884</v>
      </c>
      <c r="W38" s="5">
        <f>M38-V38</f>
        <v>5400116</v>
      </c>
      <c r="X38" s="5"/>
      <c r="Y38" s="64"/>
      <c r="Z38" s="5">
        <f t="shared" si="1"/>
        <v>5400116</v>
      </c>
    </row>
    <row r="39" spans="1:29" ht="24.95" customHeight="1" x14ac:dyDescent="0.25">
      <c r="A39" s="65"/>
      <c r="B39" s="2">
        <f t="shared" si="2"/>
        <v>36</v>
      </c>
      <c r="C39" s="1" t="s">
        <v>70</v>
      </c>
      <c r="D39" s="2" t="s">
        <v>31</v>
      </c>
      <c r="E39" s="4">
        <v>6420000</v>
      </c>
      <c r="F39" s="3">
        <v>30</v>
      </c>
      <c r="G39" s="4">
        <f>+E39/30*F39</f>
        <v>6420000</v>
      </c>
      <c r="H39" s="4"/>
      <c r="I39" s="4"/>
      <c r="J39" s="4"/>
      <c r="K39" s="4"/>
      <c r="L39" s="4"/>
      <c r="M39" s="4">
        <f t="shared" si="3"/>
        <v>6420000</v>
      </c>
      <c r="N39" s="4">
        <f t="shared" si="10"/>
        <v>256800</v>
      </c>
      <c r="O39" s="4">
        <f t="shared" si="11"/>
        <v>321000</v>
      </c>
      <c r="P39" s="4"/>
      <c r="Q39" s="4"/>
      <c r="R39" s="4">
        <v>231000</v>
      </c>
      <c r="S39" s="4"/>
      <c r="T39" s="4"/>
      <c r="U39" s="4"/>
      <c r="V39" s="4">
        <f t="shared" si="5"/>
        <v>808800</v>
      </c>
      <c r="W39" s="5">
        <f>+M39-V39</f>
        <v>5611200</v>
      </c>
      <c r="X39" s="5"/>
      <c r="Y39" s="64"/>
      <c r="Z39" s="5">
        <f t="shared" si="1"/>
        <v>5611200</v>
      </c>
    </row>
    <row r="40" spans="1:29" ht="24.95" customHeight="1" x14ac:dyDescent="0.25">
      <c r="A40" s="65"/>
      <c r="B40" s="2">
        <f t="shared" si="2"/>
        <v>37</v>
      </c>
      <c r="C40" s="9" t="s">
        <v>71</v>
      </c>
      <c r="D40" s="8" t="s">
        <v>31</v>
      </c>
      <c r="E40" s="4">
        <v>7590000</v>
      </c>
      <c r="F40" s="3">
        <v>30</v>
      </c>
      <c r="G40" s="4">
        <f>+E40/30*F40</f>
        <v>7590000</v>
      </c>
      <c r="H40" s="4"/>
      <c r="I40" s="4"/>
      <c r="J40" s="4">
        <v>1500000</v>
      </c>
      <c r="K40" s="11"/>
      <c r="L40" s="11"/>
      <c r="M40" s="4">
        <f t="shared" si="3"/>
        <v>9090000</v>
      </c>
      <c r="N40" s="4">
        <f t="shared" si="10"/>
        <v>303600</v>
      </c>
      <c r="O40" s="4">
        <f t="shared" si="11"/>
        <v>379500</v>
      </c>
      <c r="P40" s="4"/>
      <c r="Q40" s="4"/>
      <c r="R40" s="4">
        <v>449811</v>
      </c>
      <c r="S40" s="4"/>
      <c r="T40" s="4"/>
      <c r="U40" s="4"/>
      <c r="V40" s="4">
        <f t="shared" si="5"/>
        <v>1132911</v>
      </c>
      <c r="W40" s="5">
        <f>M40-V40</f>
        <v>7957089</v>
      </c>
      <c r="X40" s="5"/>
      <c r="Y40" s="64"/>
      <c r="Z40" s="5">
        <f t="shared" si="1"/>
        <v>7957089</v>
      </c>
    </row>
    <row r="41" spans="1:29" ht="24.95" customHeight="1" x14ac:dyDescent="0.25">
      <c r="A41" s="65"/>
      <c r="B41" s="2">
        <f t="shared" si="2"/>
        <v>38</v>
      </c>
      <c r="C41" s="9" t="s">
        <v>72</v>
      </c>
      <c r="D41" s="8" t="s">
        <v>31</v>
      </c>
      <c r="E41" s="4">
        <v>5500000</v>
      </c>
      <c r="F41" s="3">
        <v>30</v>
      </c>
      <c r="G41" s="4">
        <f>+E41/30*F41</f>
        <v>5500000</v>
      </c>
      <c r="H41" s="4"/>
      <c r="I41" s="4"/>
      <c r="J41" s="4">
        <v>500000</v>
      </c>
      <c r="K41" s="4"/>
      <c r="L41" s="4"/>
      <c r="M41" s="4">
        <f t="shared" si="3"/>
        <v>6000000</v>
      </c>
      <c r="N41" s="4">
        <f t="shared" si="10"/>
        <v>220000</v>
      </c>
      <c r="O41" s="4">
        <f t="shared" si="11"/>
        <v>275000</v>
      </c>
      <c r="P41" s="4"/>
      <c r="Q41" s="4"/>
      <c r="R41" s="4">
        <v>144000</v>
      </c>
      <c r="S41" s="4"/>
      <c r="T41" s="4"/>
      <c r="U41" s="4"/>
      <c r="V41" s="4">
        <f t="shared" si="5"/>
        <v>639000</v>
      </c>
      <c r="W41" s="5">
        <f>M41-V41</f>
        <v>5361000</v>
      </c>
      <c r="X41" s="5"/>
      <c r="Y41" s="64"/>
      <c r="Z41" s="5">
        <f t="shared" si="1"/>
        <v>5361000</v>
      </c>
    </row>
    <row r="42" spans="1:29" ht="24.95" customHeight="1" x14ac:dyDescent="0.25">
      <c r="A42" s="65"/>
      <c r="B42" s="2">
        <f t="shared" si="2"/>
        <v>39</v>
      </c>
      <c r="C42" s="1" t="s">
        <v>73</v>
      </c>
      <c r="D42" s="2" t="s">
        <v>31</v>
      </c>
      <c r="E42" s="4">
        <v>5350000</v>
      </c>
      <c r="F42" s="3">
        <v>30</v>
      </c>
      <c r="G42" s="4">
        <f>+E42-L42</f>
        <v>3210000</v>
      </c>
      <c r="H42" s="4"/>
      <c r="I42" s="4"/>
      <c r="J42" s="4"/>
      <c r="K42" s="4"/>
      <c r="L42" s="4">
        <v>2140000</v>
      </c>
      <c r="M42" s="4">
        <f t="shared" si="3"/>
        <v>5350000</v>
      </c>
      <c r="N42" s="4">
        <f t="shared" si="10"/>
        <v>214000</v>
      </c>
      <c r="O42" s="4">
        <f t="shared" si="11"/>
        <v>267500</v>
      </c>
      <c r="P42" s="4"/>
      <c r="Q42" s="4"/>
      <c r="R42" s="4">
        <v>121000</v>
      </c>
      <c r="S42" s="4"/>
      <c r="T42" s="4"/>
      <c r="U42" s="4"/>
      <c r="V42" s="4">
        <f t="shared" si="5"/>
        <v>602500</v>
      </c>
      <c r="W42" s="5">
        <f t="shared" ref="W42:W47" si="12">+M42-V42</f>
        <v>4747500</v>
      </c>
      <c r="X42" s="5"/>
      <c r="Y42" s="64"/>
      <c r="Z42" s="5">
        <f t="shared" si="1"/>
        <v>4747500</v>
      </c>
    </row>
    <row r="43" spans="1:29" ht="24.95" customHeight="1" x14ac:dyDescent="0.25">
      <c r="A43" s="65"/>
      <c r="B43" s="2">
        <f t="shared" si="2"/>
        <v>40</v>
      </c>
      <c r="C43" s="1" t="s">
        <v>74</v>
      </c>
      <c r="D43" s="2"/>
      <c r="E43" s="4">
        <v>4000000</v>
      </c>
      <c r="F43" s="3">
        <v>30</v>
      </c>
      <c r="G43" s="4">
        <f>+E43/30*F43</f>
        <v>4000000.0000000005</v>
      </c>
      <c r="H43" s="4"/>
      <c r="I43" s="4"/>
      <c r="J43" s="4"/>
      <c r="K43" s="4"/>
      <c r="L43" s="4"/>
      <c r="M43" s="4">
        <f t="shared" si="3"/>
        <v>4000000.0000000005</v>
      </c>
      <c r="N43" s="4">
        <f t="shared" si="10"/>
        <v>160000</v>
      </c>
      <c r="O43" s="4">
        <f t="shared" si="11"/>
        <v>200000</v>
      </c>
      <c r="P43" s="4"/>
      <c r="Q43" s="4"/>
      <c r="R43" s="4">
        <v>0</v>
      </c>
      <c r="S43" s="4"/>
      <c r="T43" s="4"/>
      <c r="U43" s="4"/>
      <c r="V43" s="4">
        <f t="shared" si="5"/>
        <v>360000</v>
      </c>
      <c r="W43" s="5">
        <f t="shared" si="12"/>
        <v>3640000.0000000005</v>
      </c>
      <c r="X43" s="5"/>
      <c r="Y43" s="64"/>
      <c r="Z43" s="5">
        <f t="shared" si="1"/>
        <v>3640000.0000000005</v>
      </c>
    </row>
    <row r="44" spans="1:29" ht="24.95" customHeight="1" x14ac:dyDescent="0.25">
      <c r="A44" s="65"/>
      <c r="B44" s="2">
        <f t="shared" si="2"/>
        <v>41</v>
      </c>
      <c r="C44" s="1" t="s">
        <v>75</v>
      </c>
      <c r="D44" s="2" t="s">
        <v>31</v>
      </c>
      <c r="E44" s="4">
        <v>4500000</v>
      </c>
      <c r="F44" s="3">
        <v>30</v>
      </c>
      <c r="G44" s="4">
        <v>4500000</v>
      </c>
      <c r="H44" s="4"/>
      <c r="I44" s="4"/>
      <c r="J44" s="4"/>
      <c r="K44" s="4"/>
      <c r="L44" s="4"/>
      <c r="M44" s="4">
        <f t="shared" si="3"/>
        <v>4500000</v>
      </c>
      <c r="N44" s="4">
        <f t="shared" si="10"/>
        <v>180000</v>
      </c>
      <c r="O44" s="4">
        <f t="shared" si="11"/>
        <v>225000</v>
      </c>
      <c r="P44" s="4"/>
      <c r="Q44" s="4"/>
      <c r="R44" s="4">
        <v>0</v>
      </c>
      <c r="S44" s="4"/>
      <c r="T44" s="4"/>
      <c r="U44" s="4">
        <v>317224</v>
      </c>
      <c r="V44" s="4">
        <f t="shared" si="5"/>
        <v>722224</v>
      </c>
      <c r="W44" s="5">
        <f t="shared" si="12"/>
        <v>3777776</v>
      </c>
      <c r="X44" s="5"/>
      <c r="Y44" s="64"/>
      <c r="Z44" s="5">
        <f t="shared" si="1"/>
        <v>3777776</v>
      </c>
      <c r="AC44" s="62">
        <f>1840000-1196000</f>
        <v>644000</v>
      </c>
    </row>
    <row r="45" spans="1:29" ht="24.95" customHeight="1" x14ac:dyDescent="0.25">
      <c r="A45" s="65"/>
      <c r="B45" s="2">
        <f t="shared" si="2"/>
        <v>42</v>
      </c>
      <c r="C45" s="1" t="s">
        <v>76</v>
      </c>
      <c r="D45" s="2" t="s">
        <v>31</v>
      </c>
      <c r="E45" s="4">
        <v>4800000</v>
      </c>
      <c r="F45" s="3">
        <v>30</v>
      </c>
      <c r="G45" s="4">
        <f>+E45-L45</f>
        <v>4800000</v>
      </c>
      <c r="H45" s="4"/>
      <c r="I45" s="4"/>
      <c r="J45" s="4"/>
      <c r="K45" s="4"/>
      <c r="L45" s="4">
        <v>0</v>
      </c>
      <c r="M45" s="4">
        <f t="shared" si="3"/>
        <v>4800000</v>
      </c>
      <c r="N45" s="4">
        <f t="shared" si="10"/>
        <v>192000</v>
      </c>
      <c r="O45" s="4">
        <f t="shared" si="11"/>
        <v>240000</v>
      </c>
      <c r="P45" s="4"/>
      <c r="Q45" s="4"/>
      <c r="R45" s="4">
        <v>0</v>
      </c>
      <c r="S45" s="4"/>
      <c r="T45" s="4"/>
      <c r="U45" s="4">
        <v>1198791</v>
      </c>
      <c r="V45" s="4">
        <f t="shared" si="5"/>
        <v>1630791</v>
      </c>
      <c r="W45" s="5">
        <f t="shared" si="12"/>
        <v>3169209</v>
      </c>
      <c r="X45" s="5"/>
      <c r="Y45" s="64"/>
      <c r="Z45" s="5">
        <f t="shared" si="1"/>
        <v>3169209</v>
      </c>
    </row>
    <row r="46" spans="1:29" ht="24.95" customHeight="1" x14ac:dyDescent="0.25">
      <c r="A46" s="65"/>
      <c r="B46" s="2">
        <f t="shared" si="2"/>
        <v>43</v>
      </c>
      <c r="C46" s="1" t="s">
        <v>77</v>
      </c>
      <c r="D46" s="2"/>
      <c r="E46" s="4">
        <v>4000000</v>
      </c>
      <c r="F46" s="3">
        <v>30</v>
      </c>
      <c r="G46" s="4">
        <f>+E46/30*F46</f>
        <v>4000000.0000000005</v>
      </c>
      <c r="H46" s="4"/>
      <c r="I46" s="4"/>
      <c r="J46" s="4"/>
      <c r="K46" s="4"/>
      <c r="L46" s="4"/>
      <c r="M46" s="4">
        <f t="shared" si="3"/>
        <v>4000000.0000000005</v>
      </c>
      <c r="N46" s="4">
        <f t="shared" si="10"/>
        <v>160000</v>
      </c>
      <c r="O46" s="4">
        <f t="shared" si="11"/>
        <v>200000</v>
      </c>
      <c r="P46" s="4"/>
      <c r="Q46" s="4"/>
      <c r="R46" s="4">
        <v>0</v>
      </c>
      <c r="S46" s="4"/>
      <c r="T46" s="4"/>
      <c r="U46" s="4">
        <v>141077</v>
      </c>
      <c r="V46" s="4">
        <f t="shared" si="5"/>
        <v>501077</v>
      </c>
      <c r="W46" s="5">
        <f t="shared" si="12"/>
        <v>3498923.0000000005</v>
      </c>
      <c r="X46" s="5"/>
      <c r="Y46" s="64"/>
      <c r="Z46" s="5">
        <f t="shared" si="1"/>
        <v>3498923.0000000005</v>
      </c>
    </row>
    <row r="47" spans="1:29" ht="24.95" customHeight="1" x14ac:dyDescent="0.25">
      <c r="A47" s="65"/>
      <c r="B47" s="2">
        <f t="shared" si="2"/>
        <v>44</v>
      </c>
      <c r="C47" s="1" t="s">
        <v>78</v>
      </c>
      <c r="D47" s="2" t="s">
        <v>31</v>
      </c>
      <c r="E47" s="4">
        <v>6000000</v>
      </c>
      <c r="F47" s="3">
        <v>30</v>
      </c>
      <c r="G47" s="4">
        <f>+E47/30*F47</f>
        <v>6000000</v>
      </c>
      <c r="H47" s="4"/>
      <c r="I47" s="4"/>
      <c r="J47" s="4">
        <v>400000</v>
      </c>
      <c r="K47" s="4"/>
      <c r="L47" s="4"/>
      <c r="M47" s="4">
        <f t="shared" si="3"/>
        <v>6400000</v>
      </c>
      <c r="N47" s="4">
        <f t="shared" si="10"/>
        <v>240000</v>
      </c>
      <c r="O47" s="4">
        <f t="shared" si="11"/>
        <v>300000</v>
      </c>
      <c r="P47" s="4"/>
      <c r="Q47" s="4"/>
      <c r="R47" s="4">
        <v>126000</v>
      </c>
      <c r="S47" s="4"/>
      <c r="T47" s="4"/>
      <c r="U47" s="4"/>
      <c r="V47" s="4">
        <f t="shared" si="5"/>
        <v>666000</v>
      </c>
      <c r="W47" s="5">
        <f t="shared" si="12"/>
        <v>5734000</v>
      </c>
      <c r="X47" s="5"/>
      <c r="Y47" s="64"/>
      <c r="Z47" s="5">
        <f t="shared" si="1"/>
        <v>5734000</v>
      </c>
    </row>
    <row r="48" spans="1:29" ht="24.95" customHeight="1" x14ac:dyDescent="0.25">
      <c r="A48" s="65"/>
      <c r="B48" s="2">
        <f t="shared" si="2"/>
        <v>45</v>
      </c>
      <c r="C48" s="1" t="s">
        <v>79</v>
      </c>
      <c r="D48" s="2" t="s">
        <v>31</v>
      </c>
      <c r="E48" s="4">
        <v>4500000</v>
      </c>
      <c r="F48" s="3">
        <v>30</v>
      </c>
      <c r="G48" s="4">
        <f>+E48/30*F48</f>
        <v>4500000</v>
      </c>
      <c r="H48" s="4"/>
      <c r="I48" s="4"/>
      <c r="J48" s="4"/>
      <c r="K48" s="4"/>
      <c r="L48" s="4">
        <v>0</v>
      </c>
      <c r="M48" s="4">
        <f t="shared" si="3"/>
        <v>4500000</v>
      </c>
      <c r="N48" s="4">
        <f t="shared" si="10"/>
        <v>180000</v>
      </c>
      <c r="O48" s="4">
        <f t="shared" si="11"/>
        <v>225000</v>
      </c>
      <c r="P48" s="4"/>
      <c r="Q48" s="4"/>
      <c r="R48" s="4">
        <v>0</v>
      </c>
      <c r="S48" s="4"/>
      <c r="T48" s="4"/>
      <c r="U48" s="4"/>
      <c r="V48" s="4">
        <f t="shared" si="5"/>
        <v>405000</v>
      </c>
      <c r="W48" s="5">
        <f>M48-V48</f>
        <v>4095000</v>
      </c>
      <c r="X48" s="5"/>
      <c r="Y48" s="64"/>
      <c r="Z48" s="5">
        <f t="shared" si="1"/>
        <v>4095000</v>
      </c>
      <c r="AC48" s="62">
        <f>1840000-1196000</f>
        <v>644000</v>
      </c>
    </row>
    <row r="49" spans="1:26" ht="24.95" customHeight="1" x14ac:dyDescent="0.25">
      <c r="A49" s="65"/>
      <c r="B49" s="2">
        <f t="shared" si="2"/>
        <v>46</v>
      </c>
      <c r="C49" s="1" t="s">
        <v>80</v>
      </c>
      <c r="D49" s="2" t="s">
        <v>31</v>
      </c>
      <c r="E49" s="4">
        <v>6000000</v>
      </c>
      <c r="F49" s="3">
        <v>30</v>
      </c>
      <c r="G49" s="4">
        <f>+E49-L49</f>
        <v>2200000</v>
      </c>
      <c r="H49" s="4"/>
      <c r="I49" s="4"/>
      <c r="J49" s="4">
        <v>400000</v>
      </c>
      <c r="K49" s="4"/>
      <c r="L49" s="4">
        <v>3800000</v>
      </c>
      <c r="M49" s="4">
        <f t="shared" si="3"/>
        <v>6400000</v>
      </c>
      <c r="N49" s="4">
        <f t="shared" si="10"/>
        <v>240000</v>
      </c>
      <c r="O49" s="4">
        <f t="shared" si="11"/>
        <v>300000</v>
      </c>
      <c r="P49" s="4"/>
      <c r="Q49" s="4"/>
      <c r="R49" s="4">
        <v>120000</v>
      </c>
      <c r="S49" s="4"/>
      <c r="T49" s="4"/>
      <c r="U49" s="4"/>
      <c r="V49" s="4">
        <f t="shared" si="5"/>
        <v>660000</v>
      </c>
      <c r="W49" s="5">
        <f>M49-V49</f>
        <v>5740000</v>
      </c>
      <c r="X49" s="5"/>
      <c r="Y49" s="64"/>
      <c r="Z49" s="5">
        <f t="shared" si="1"/>
        <v>5740000</v>
      </c>
    </row>
    <row r="50" spans="1:26" ht="24.95" customHeight="1" x14ac:dyDescent="0.25">
      <c r="A50" s="65"/>
      <c r="B50" s="2">
        <f t="shared" si="2"/>
        <v>47</v>
      </c>
      <c r="C50" s="1" t="s">
        <v>81</v>
      </c>
      <c r="D50" s="2"/>
      <c r="E50" s="4">
        <v>4500000</v>
      </c>
      <c r="F50" s="3">
        <v>30</v>
      </c>
      <c r="G50" s="4">
        <f>E50/30*F50</f>
        <v>4500000</v>
      </c>
      <c r="H50" s="4"/>
      <c r="I50" s="4"/>
      <c r="J50" s="4"/>
      <c r="K50" s="4"/>
      <c r="L50" s="4"/>
      <c r="M50" s="4">
        <f t="shared" si="3"/>
        <v>4500000</v>
      </c>
      <c r="N50" s="4">
        <f>+E50*4%</f>
        <v>180000</v>
      </c>
      <c r="O50" s="4">
        <f>+E50*4%</f>
        <v>180000</v>
      </c>
      <c r="P50" s="4"/>
      <c r="Q50" s="4"/>
      <c r="R50" s="4">
        <v>0</v>
      </c>
      <c r="S50" s="4"/>
      <c r="T50" s="4"/>
      <c r="U50" s="4"/>
      <c r="V50" s="4">
        <f t="shared" si="5"/>
        <v>360000</v>
      </c>
      <c r="W50" s="5">
        <f>+M50-V50</f>
        <v>4140000</v>
      </c>
      <c r="X50" s="5"/>
      <c r="Y50" s="64"/>
      <c r="Z50" s="5">
        <f t="shared" si="1"/>
        <v>4140000</v>
      </c>
    </row>
    <row r="51" spans="1:26" ht="24.95" customHeight="1" x14ac:dyDescent="0.25">
      <c r="A51" s="65"/>
      <c r="B51" s="2">
        <f t="shared" si="2"/>
        <v>48</v>
      </c>
      <c r="C51" s="1" t="s">
        <v>82</v>
      </c>
      <c r="D51" s="2"/>
      <c r="E51" s="4">
        <v>6500000</v>
      </c>
      <c r="F51" s="3">
        <v>16</v>
      </c>
      <c r="G51" s="4">
        <f>+E51/30*F51</f>
        <v>3466666.6666666665</v>
      </c>
      <c r="H51" s="4"/>
      <c r="I51" s="4"/>
      <c r="J51" s="4"/>
      <c r="K51" s="4"/>
      <c r="L51" s="4"/>
      <c r="M51" s="4">
        <f t="shared" si="3"/>
        <v>3466666.6666666665</v>
      </c>
      <c r="N51" s="4">
        <f>+M51*0.04</f>
        <v>138666.66666666666</v>
      </c>
      <c r="O51" s="4">
        <f>+M51*0.05</f>
        <v>173333.33333333334</v>
      </c>
      <c r="P51" s="4"/>
      <c r="Q51" s="4"/>
      <c r="R51" s="4">
        <v>207372</v>
      </c>
      <c r="S51" s="4"/>
      <c r="T51" s="4"/>
      <c r="U51" s="4"/>
      <c r="V51" s="4">
        <f t="shared" si="5"/>
        <v>519372</v>
      </c>
      <c r="W51" s="5">
        <f>M51-V51</f>
        <v>2947294.6666666665</v>
      </c>
      <c r="X51" s="5"/>
      <c r="Y51" s="64"/>
      <c r="Z51" s="5">
        <f t="shared" si="1"/>
        <v>2947294.6666666665</v>
      </c>
    </row>
    <row r="52" spans="1:26" ht="24.95" customHeight="1" x14ac:dyDescent="0.25">
      <c r="A52" s="65" t="s">
        <v>83</v>
      </c>
      <c r="B52" s="2">
        <v>1</v>
      </c>
      <c r="C52" s="1" t="s">
        <v>84</v>
      </c>
      <c r="D52" s="2"/>
      <c r="E52" s="4">
        <v>912000</v>
      </c>
      <c r="F52" s="3">
        <v>5</v>
      </c>
      <c r="G52" s="4">
        <f>+E52/30*F52</f>
        <v>152000</v>
      </c>
      <c r="H52" s="4">
        <v>14702</v>
      </c>
      <c r="I52" s="4">
        <v>651035</v>
      </c>
      <c r="J52" s="4"/>
      <c r="K52" s="4"/>
      <c r="L52" s="4"/>
      <c r="M52" s="4">
        <f t="shared" si="3"/>
        <v>817737</v>
      </c>
      <c r="N52" s="4">
        <f>+G52*0.04</f>
        <v>6080</v>
      </c>
      <c r="O52" s="4">
        <f>+G52*0.04</f>
        <v>6080</v>
      </c>
      <c r="P52" s="4"/>
      <c r="Q52" s="4"/>
      <c r="R52" s="4"/>
      <c r="S52" s="4"/>
      <c r="T52" s="4"/>
      <c r="U52" s="4"/>
      <c r="V52" s="4">
        <f>SUM(N52:U52)</f>
        <v>12160</v>
      </c>
      <c r="W52" s="5">
        <f>M52-V52</f>
        <v>805577</v>
      </c>
      <c r="X52" s="5"/>
      <c r="Y52" s="64"/>
      <c r="Z52" s="5">
        <f t="shared" si="1"/>
        <v>805577</v>
      </c>
    </row>
    <row r="53" spans="1:26" ht="24.95" customHeight="1" x14ac:dyDescent="0.25">
      <c r="A53" s="65"/>
      <c r="B53" s="2">
        <v>2</v>
      </c>
      <c r="C53" s="1" t="s">
        <v>85</v>
      </c>
      <c r="D53" s="2" t="s">
        <v>31</v>
      </c>
      <c r="E53" s="4">
        <v>3000000</v>
      </c>
      <c r="F53" s="3">
        <v>30</v>
      </c>
      <c r="G53" s="4">
        <f>+E53/30*F53</f>
        <v>3000000</v>
      </c>
      <c r="H53" s="4"/>
      <c r="I53" s="4"/>
      <c r="J53" s="4"/>
      <c r="K53" s="4"/>
      <c r="L53" s="4">
        <f>+E53-G53</f>
        <v>0</v>
      </c>
      <c r="M53" s="4">
        <f t="shared" si="3"/>
        <v>3000000</v>
      </c>
      <c r="N53" s="4">
        <f>+E53*0.04</f>
        <v>120000</v>
      </c>
      <c r="O53" s="4">
        <f>+E53*0.04</f>
        <v>120000</v>
      </c>
      <c r="P53" s="4"/>
      <c r="Q53" s="4"/>
      <c r="R53" s="4"/>
      <c r="S53" s="4"/>
      <c r="T53" s="4"/>
      <c r="U53" s="4">
        <f>481778</f>
        <v>481778</v>
      </c>
      <c r="V53" s="4">
        <f t="shared" ref="V53:V110" si="13">SUM(N53:U53)</f>
        <v>721778</v>
      </c>
      <c r="W53" s="5">
        <f>M53-V53</f>
        <v>2278222</v>
      </c>
      <c r="X53" s="5"/>
      <c r="Y53" s="64"/>
      <c r="Z53" s="5">
        <f t="shared" si="1"/>
        <v>2278222</v>
      </c>
    </row>
    <row r="54" spans="1:26" ht="24.95" customHeight="1" x14ac:dyDescent="0.25">
      <c r="A54" s="65"/>
      <c r="B54" s="2">
        <v>3</v>
      </c>
      <c r="C54" s="9" t="s">
        <v>86</v>
      </c>
      <c r="D54" s="8" t="s">
        <v>31</v>
      </c>
      <c r="E54" s="4">
        <v>2500000</v>
      </c>
      <c r="F54" s="3">
        <v>30</v>
      </c>
      <c r="G54" s="4">
        <f>+E54</f>
        <v>2500000</v>
      </c>
      <c r="H54" s="4"/>
      <c r="I54" s="4">
        <v>0</v>
      </c>
      <c r="J54" s="4"/>
      <c r="K54" s="4"/>
      <c r="L54" s="4"/>
      <c r="M54" s="4">
        <f t="shared" si="3"/>
        <v>2500000</v>
      </c>
      <c r="N54" s="4">
        <f>+E54*4%</f>
        <v>100000</v>
      </c>
      <c r="O54" s="4">
        <f>+E54*4%</f>
        <v>100000</v>
      </c>
      <c r="P54" s="4"/>
      <c r="Q54" s="4"/>
      <c r="R54" s="4"/>
      <c r="S54" s="4"/>
      <c r="T54" s="4"/>
      <c r="U54" s="4"/>
      <c r="V54" s="4">
        <f t="shared" si="13"/>
        <v>200000</v>
      </c>
      <c r="W54" s="5">
        <f>M54-V54</f>
        <v>2300000</v>
      </c>
      <c r="X54" s="5"/>
      <c r="Y54" s="64"/>
      <c r="Z54" s="5">
        <f t="shared" si="1"/>
        <v>2300000</v>
      </c>
    </row>
    <row r="55" spans="1:26" ht="24.95" customHeight="1" x14ac:dyDescent="0.25">
      <c r="A55" s="65"/>
      <c r="B55" s="2">
        <v>4</v>
      </c>
      <c r="C55" s="1" t="s">
        <v>87</v>
      </c>
      <c r="D55" s="2" t="s">
        <v>31</v>
      </c>
      <c r="E55" s="4">
        <v>3000000</v>
      </c>
      <c r="F55" s="3">
        <v>30</v>
      </c>
      <c r="G55" s="4">
        <f>+E55/30*F55</f>
        <v>3000000</v>
      </c>
      <c r="H55" s="4">
        <v>0</v>
      </c>
      <c r="I55" s="4"/>
      <c r="J55" s="4" t="s">
        <v>88</v>
      </c>
      <c r="K55" s="4"/>
      <c r="L55" s="4"/>
      <c r="M55" s="4">
        <f t="shared" si="3"/>
        <v>3000000</v>
      </c>
      <c r="N55" s="4">
        <f>+E55*4%</f>
        <v>120000</v>
      </c>
      <c r="O55" s="4">
        <f>+E55*4%</f>
        <v>120000</v>
      </c>
      <c r="P55" s="4"/>
      <c r="Q55" s="4"/>
      <c r="R55" s="7"/>
      <c r="S55" s="4"/>
      <c r="T55" s="4"/>
      <c r="U55" s="4"/>
      <c r="V55" s="4">
        <f t="shared" si="13"/>
        <v>240000</v>
      </c>
      <c r="W55" s="5">
        <f t="shared" ref="W55:W65" si="14">+M55-V55</f>
        <v>2760000</v>
      </c>
      <c r="X55" s="5"/>
      <c r="Y55" s="64"/>
      <c r="Z55" s="5">
        <f t="shared" si="1"/>
        <v>2760000</v>
      </c>
    </row>
    <row r="56" spans="1:26" ht="24.95" customHeight="1" x14ac:dyDescent="0.25">
      <c r="A56" s="65"/>
      <c r="B56" s="2">
        <v>5</v>
      </c>
      <c r="C56" s="1" t="s">
        <v>89</v>
      </c>
      <c r="D56" s="2" t="s">
        <v>31</v>
      </c>
      <c r="E56" s="4">
        <v>2200000</v>
      </c>
      <c r="F56" s="3">
        <v>30</v>
      </c>
      <c r="G56" s="4">
        <f>+E56-L56</f>
        <v>1686667</v>
      </c>
      <c r="H56" s="4"/>
      <c r="I56" s="4"/>
      <c r="J56" s="4"/>
      <c r="K56" s="4"/>
      <c r="L56" s="4">
        <v>513333</v>
      </c>
      <c r="M56" s="4">
        <f t="shared" si="3"/>
        <v>2200000</v>
      </c>
      <c r="N56" s="4">
        <f>+E56*4%</f>
        <v>88000</v>
      </c>
      <c r="O56" s="4">
        <f>+E56*4%</f>
        <v>88000</v>
      </c>
      <c r="P56" s="4"/>
      <c r="Q56" s="4"/>
      <c r="R56" s="7"/>
      <c r="S56" s="4"/>
      <c r="T56" s="4"/>
      <c r="U56" s="4"/>
      <c r="V56" s="4">
        <f t="shared" si="13"/>
        <v>176000</v>
      </c>
      <c r="W56" s="5">
        <f t="shared" si="14"/>
        <v>2024000</v>
      </c>
      <c r="X56" s="5"/>
      <c r="Y56" s="64"/>
      <c r="Z56" s="5">
        <f t="shared" si="1"/>
        <v>2024000</v>
      </c>
    </row>
    <row r="57" spans="1:26" ht="24.95" customHeight="1" x14ac:dyDescent="0.25">
      <c r="A57" s="65"/>
      <c r="B57" s="2">
        <v>6</v>
      </c>
      <c r="C57" s="1" t="s">
        <v>90</v>
      </c>
      <c r="D57" s="2" t="s">
        <v>31</v>
      </c>
      <c r="E57" s="4">
        <v>1800000</v>
      </c>
      <c r="F57" s="3">
        <v>30</v>
      </c>
      <c r="G57" s="4">
        <f>+E57-L57</f>
        <v>780000</v>
      </c>
      <c r="H57" s="4">
        <v>0</v>
      </c>
      <c r="I57" s="4"/>
      <c r="J57" s="4"/>
      <c r="K57" s="4"/>
      <c r="L57" s="4">
        <f>420000+600000</f>
        <v>1020000</v>
      </c>
      <c r="M57" s="4">
        <f t="shared" si="3"/>
        <v>1800000</v>
      </c>
      <c r="N57" s="4">
        <f>+E57*4%</f>
        <v>72000</v>
      </c>
      <c r="O57" s="4">
        <f>+E57*4%</f>
        <v>72000</v>
      </c>
      <c r="P57" s="4"/>
      <c r="Q57" s="4"/>
      <c r="R57" s="4">
        <v>0</v>
      </c>
      <c r="S57" s="4"/>
      <c r="T57" s="4"/>
      <c r="U57" s="4"/>
      <c r="V57" s="4">
        <f t="shared" si="13"/>
        <v>144000</v>
      </c>
      <c r="W57" s="5">
        <f t="shared" si="14"/>
        <v>1656000</v>
      </c>
      <c r="X57" s="5"/>
      <c r="Y57" s="64"/>
      <c r="Z57" s="5">
        <f t="shared" si="1"/>
        <v>1656000</v>
      </c>
    </row>
    <row r="58" spans="1:26" ht="24.95" customHeight="1" x14ac:dyDescent="0.25">
      <c r="A58" s="65"/>
      <c r="B58" s="2">
        <v>7</v>
      </c>
      <c r="C58" s="1" t="s">
        <v>91</v>
      </c>
      <c r="D58" s="2" t="s">
        <v>31</v>
      </c>
      <c r="E58" s="4">
        <v>781242</v>
      </c>
      <c r="F58" s="3">
        <v>30</v>
      </c>
      <c r="G58" s="4">
        <f>+E58/30*F58</f>
        <v>781242</v>
      </c>
      <c r="H58" s="4">
        <v>88211</v>
      </c>
      <c r="I58" s="4"/>
      <c r="J58" s="4"/>
      <c r="K58" s="4"/>
      <c r="L58" s="4"/>
      <c r="M58" s="4">
        <f t="shared" si="3"/>
        <v>869453</v>
      </c>
      <c r="N58" s="4">
        <f>+E58*0.04</f>
        <v>31249.68</v>
      </c>
      <c r="O58" s="4">
        <f>+E58*0.04</f>
        <v>31249.68</v>
      </c>
      <c r="P58" s="4"/>
      <c r="Q58" s="4"/>
      <c r="R58" s="7"/>
      <c r="S58" s="4"/>
      <c r="T58" s="4"/>
      <c r="U58" s="4"/>
      <c r="V58" s="4">
        <f t="shared" si="13"/>
        <v>62499.360000000001</v>
      </c>
      <c r="W58" s="5">
        <f t="shared" si="14"/>
        <v>806953.64</v>
      </c>
      <c r="X58" s="5"/>
      <c r="Y58" s="64"/>
      <c r="Z58" s="5">
        <f t="shared" si="1"/>
        <v>806953.64</v>
      </c>
    </row>
    <row r="59" spans="1:26" ht="24.95" customHeight="1" x14ac:dyDescent="0.25">
      <c r="A59" s="65"/>
      <c r="B59" s="2">
        <v>8</v>
      </c>
      <c r="C59" s="1" t="s">
        <v>92</v>
      </c>
      <c r="D59" s="2"/>
      <c r="E59" s="4">
        <v>3000000</v>
      </c>
      <c r="F59" s="3">
        <v>30</v>
      </c>
      <c r="G59" s="4">
        <f>+E59-L59</f>
        <v>2000000</v>
      </c>
      <c r="H59" s="4"/>
      <c r="I59" s="4"/>
      <c r="J59" s="4"/>
      <c r="K59" s="4"/>
      <c r="L59" s="4">
        <f>700000+300000</f>
        <v>1000000</v>
      </c>
      <c r="M59" s="4">
        <f t="shared" si="3"/>
        <v>3000000</v>
      </c>
      <c r="N59" s="4">
        <f t="shared" ref="N59:N66" si="15">+E59*4%</f>
        <v>120000</v>
      </c>
      <c r="O59" s="4">
        <f>+E59*4%</f>
        <v>120000</v>
      </c>
      <c r="P59" s="4"/>
      <c r="Q59" s="4"/>
      <c r="R59" s="4"/>
      <c r="S59" s="4"/>
      <c r="T59" s="4"/>
      <c r="U59" s="4"/>
      <c r="V59" s="4">
        <f t="shared" si="13"/>
        <v>240000</v>
      </c>
      <c r="W59" s="5">
        <f t="shared" si="14"/>
        <v>2760000</v>
      </c>
      <c r="X59" s="5"/>
      <c r="Y59" s="64"/>
      <c r="Z59" s="5">
        <f t="shared" si="1"/>
        <v>2760000</v>
      </c>
    </row>
    <row r="60" spans="1:26" ht="24.95" customHeight="1" x14ac:dyDescent="0.25">
      <c r="A60" s="65"/>
      <c r="B60" s="2">
        <v>9</v>
      </c>
      <c r="C60" s="1" t="s">
        <v>93</v>
      </c>
      <c r="D60" s="2" t="s">
        <v>31</v>
      </c>
      <c r="E60" s="4">
        <v>3500000</v>
      </c>
      <c r="F60" s="3">
        <v>30</v>
      </c>
      <c r="G60" s="4">
        <f>+E60-L60</f>
        <v>3500000</v>
      </c>
      <c r="H60" s="4"/>
      <c r="I60" s="4"/>
      <c r="J60" s="4"/>
      <c r="K60" s="4"/>
      <c r="L60" s="4"/>
      <c r="M60" s="4">
        <f t="shared" si="3"/>
        <v>3500000</v>
      </c>
      <c r="N60" s="4">
        <f t="shared" si="15"/>
        <v>140000</v>
      </c>
      <c r="O60" s="4">
        <f>+E60*5%</f>
        <v>175000</v>
      </c>
      <c r="P60" s="4"/>
      <c r="Q60" s="4"/>
      <c r="R60" s="4">
        <v>0</v>
      </c>
      <c r="S60" s="4"/>
      <c r="T60" s="4"/>
      <c r="U60" s="4">
        <v>774624</v>
      </c>
      <c r="V60" s="4">
        <f t="shared" si="13"/>
        <v>1089624</v>
      </c>
      <c r="W60" s="5">
        <f t="shared" si="14"/>
        <v>2410376</v>
      </c>
      <c r="X60" s="5"/>
      <c r="Y60" s="64"/>
      <c r="Z60" s="5">
        <f t="shared" si="1"/>
        <v>2410376</v>
      </c>
    </row>
    <row r="61" spans="1:26" ht="24.95" customHeight="1" x14ac:dyDescent="0.25">
      <c r="A61" s="65"/>
      <c r="B61" s="2">
        <v>10</v>
      </c>
      <c r="C61" s="1" t="s">
        <v>94</v>
      </c>
      <c r="D61" s="2" t="s">
        <v>31</v>
      </c>
      <c r="E61" s="4">
        <v>2500000</v>
      </c>
      <c r="F61" s="3">
        <v>30</v>
      </c>
      <c r="G61" s="4">
        <f>+E61-L61</f>
        <v>1916667</v>
      </c>
      <c r="H61" s="4"/>
      <c r="I61" s="4"/>
      <c r="J61" s="4">
        <v>700000</v>
      </c>
      <c r="K61" s="4"/>
      <c r="L61" s="4">
        <v>583333</v>
      </c>
      <c r="M61" s="4">
        <f t="shared" si="3"/>
        <v>3200000</v>
      </c>
      <c r="N61" s="4">
        <f t="shared" si="15"/>
        <v>100000</v>
      </c>
      <c r="O61" s="4">
        <f>+E61*4%</f>
        <v>100000</v>
      </c>
      <c r="P61" s="4"/>
      <c r="Q61" s="4"/>
      <c r="R61" s="4">
        <v>0</v>
      </c>
      <c r="S61" s="4"/>
      <c r="T61" s="4"/>
      <c r="U61" s="4">
        <v>200210</v>
      </c>
      <c r="V61" s="4">
        <f t="shared" si="13"/>
        <v>400210</v>
      </c>
      <c r="W61" s="5">
        <f t="shared" si="14"/>
        <v>2799790</v>
      </c>
      <c r="X61" s="5"/>
      <c r="Y61" s="64"/>
      <c r="Z61" s="5">
        <f t="shared" si="1"/>
        <v>2799790</v>
      </c>
    </row>
    <row r="62" spans="1:26" ht="24.95" customHeight="1" x14ac:dyDescent="0.25">
      <c r="A62" s="65"/>
      <c r="B62" s="2">
        <v>11</v>
      </c>
      <c r="C62" s="1" t="s">
        <v>95</v>
      </c>
      <c r="D62" s="2" t="s">
        <v>31</v>
      </c>
      <c r="E62" s="4">
        <v>1500000</v>
      </c>
      <c r="F62" s="3">
        <v>30</v>
      </c>
      <c r="G62" s="4">
        <f>+E62-L62</f>
        <v>1150000</v>
      </c>
      <c r="H62" s="4"/>
      <c r="I62" s="4"/>
      <c r="J62" s="4"/>
      <c r="K62" s="4"/>
      <c r="L62" s="4">
        <v>350000</v>
      </c>
      <c r="M62" s="4">
        <f t="shared" si="3"/>
        <v>1500000</v>
      </c>
      <c r="N62" s="4">
        <f t="shared" si="15"/>
        <v>60000</v>
      </c>
      <c r="O62" s="4">
        <f>+E62*4%</f>
        <v>60000</v>
      </c>
      <c r="P62" s="4">
        <v>0</v>
      </c>
      <c r="Q62" s="4"/>
      <c r="R62" s="4">
        <v>0</v>
      </c>
      <c r="S62" s="4"/>
      <c r="T62" s="4"/>
      <c r="U62" s="4">
        <v>422966</v>
      </c>
      <c r="V62" s="4">
        <f t="shared" si="13"/>
        <v>542966</v>
      </c>
      <c r="W62" s="5">
        <f t="shared" si="14"/>
        <v>957034</v>
      </c>
      <c r="X62" s="5"/>
      <c r="Y62" s="64"/>
      <c r="Z62" s="5">
        <f t="shared" si="1"/>
        <v>957034</v>
      </c>
    </row>
    <row r="63" spans="1:26" ht="24.95" customHeight="1" x14ac:dyDescent="0.25">
      <c r="A63" s="65"/>
      <c r="B63" s="2">
        <v>12</v>
      </c>
      <c r="C63" s="1" t="s">
        <v>96</v>
      </c>
      <c r="D63" s="2" t="s">
        <v>31</v>
      </c>
      <c r="E63" s="4">
        <v>781242</v>
      </c>
      <c r="F63" s="3">
        <v>30</v>
      </c>
      <c r="G63" s="4">
        <f>+E63-L63</f>
        <v>598952</v>
      </c>
      <c r="H63" s="4">
        <v>88211</v>
      </c>
      <c r="I63" s="4"/>
      <c r="J63" s="4"/>
      <c r="K63" s="4"/>
      <c r="L63" s="4">
        <v>182290</v>
      </c>
      <c r="M63" s="4">
        <f t="shared" si="3"/>
        <v>869453</v>
      </c>
      <c r="N63" s="4">
        <f t="shared" si="15"/>
        <v>31249.68</v>
      </c>
      <c r="O63" s="4">
        <f>+E63*4%</f>
        <v>31249.68</v>
      </c>
      <c r="P63" s="4"/>
      <c r="Q63" s="4"/>
      <c r="R63" s="4">
        <v>0</v>
      </c>
      <c r="S63" s="4"/>
      <c r="T63" s="4"/>
      <c r="U63" s="4"/>
      <c r="V63" s="4">
        <f t="shared" si="13"/>
        <v>62499.360000000001</v>
      </c>
      <c r="W63" s="5">
        <f t="shared" si="14"/>
        <v>806953.64</v>
      </c>
      <c r="X63" s="5"/>
      <c r="Y63" s="64"/>
      <c r="Z63" s="5">
        <f t="shared" si="1"/>
        <v>806953.64</v>
      </c>
    </row>
    <row r="64" spans="1:26" ht="24.95" customHeight="1" x14ac:dyDescent="0.25">
      <c r="A64" s="65"/>
      <c r="B64" s="2">
        <v>13</v>
      </c>
      <c r="C64" s="1" t="s">
        <v>97</v>
      </c>
      <c r="D64" s="2" t="s">
        <v>31</v>
      </c>
      <c r="E64" s="4">
        <v>3000000</v>
      </c>
      <c r="F64" s="3">
        <v>30</v>
      </c>
      <c r="G64" s="4">
        <f>E64/30*F64</f>
        <v>3000000</v>
      </c>
      <c r="H64" s="4"/>
      <c r="I64" s="4"/>
      <c r="J64" s="4">
        <v>200000</v>
      </c>
      <c r="K64" s="4"/>
      <c r="L64" s="4"/>
      <c r="M64" s="4">
        <f t="shared" si="3"/>
        <v>3200000</v>
      </c>
      <c r="N64" s="4">
        <f t="shared" si="15"/>
        <v>120000</v>
      </c>
      <c r="O64" s="4">
        <f>+E64*0.04</f>
        <v>120000</v>
      </c>
      <c r="P64" s="4"/>
      <c r="Q64" s="4"/>
      <c r="R64" s="4">
        <v>0</v>
      </c>
      <c r="S64" s="4"/>
      <c r="T64" s="4"/>
      <c r="U64" s="4">
        <v>323803</v>
      </c>
      <c r="V64" s="4">
        <f t="shared" si="13"/>
        <v>563803</v>
      </c>
      <c r="W64" s="5">
        <f t="shared" si="14"/>
        <v>2636197</v>
      </c>
      <c r="X64" s="5"/>
      <c r="Y64" s="64"/>
      <c r="Z64" s="5">
        <f t="shared" si="1"/>
        <v>2636197</v>
      </c>
    </row>
    <row r="65" spans="1:28" ht="24.95" customHeight="1" x14ac:dyDescent="0.25">
      <c r="A65" s="65"/>
      <c r="B65" s="2">
        <v>14</v>
      </c>
      <c r="C65" s="1" t="s">
        <v>98</v>
      </c>
      <c r="D65" s="2"/>
      <c r="E65" s="4">
        <v>2000000</v>
      </c>
      <c r="F65" s="3">
        <v>30</v>
      </c>
      <c r="G65" s="4">
        <f>+E65</f>
        <v>2000000</v>
      </c>
      <c r="H65" s="4"/>
      <c r="I65" s="4"/>
      <c r="J65" s="4"/>
      <c r="K65" s="4"/>
      <c r="L65" s="4"/>
      <c r="M65" s="4">
        <f t="shared" si="3"/>
        <v>2000000</v>
      </c>
      <c r="N65" s="4">
        <f t="shared" si="15"/>
        <v>80000</v>
      </c>
      <c r="O65" s="4">
        <f>+E65*4%</f>
        <v>80000</v>
      </c>
      <c r="P65" s="4"/>
      <c r="Q65" s="4"/>
      <c r="R65" s="4">
        <v>0</v>
      </c>
      <c r="S65" s="4"/>
      <c r="T65" s="4"/>
      <c r="U65" s="4"/>
      <c r="V65" s="4">
        <f t="shared" si="13"/>
        <v>160000</v>
      </c>
      <c r="W65" s="5">
        <f t="shared" si="14"/>
        <v>1840000</v>
      </c>
      <c r="X65" s="5"/>
      <c r="Y65" s="64"/>
      <c r="Z65" s="5">
        <f t="shared" si="1"/>
        <v>1840000</v>
      </c>
    </row>
    <row r="66" spans="1:28" ht="24.95" customHeight="1" x14ac:dyDescent="0.25">
      <c r="A66" s="65"/>
      <c r="B66" s="2">
        <v>15</v>
      </c>
      <c r="C66" s="9" t="s">
        <v>99</v>
      </c>
      <c r="D66" s="8" t="s">
        <v>31</v>
      </c>
      <c r="E66" s="4">
        <v>4100000</v>
      </c>
      <c r="F66" s="3">
        <v>30</v>
      </c>
      <c r="G66" s="4">
        <f>+E66-L66</f>
        <v>3143333</v>
      </c>
      <c r="H66" s="4"/>
      <c r="I66" s="4"/>
      <c r="J66" s="4"/>
      <c r="K66" s="4"/>
      <c r="L66" s="4">
        <v>956667</v>
      </c>
      <c r="M66" s="4">
        <f t="shared" si="3"/>
        <v>4100000</v>
      </c>
      <c r="N66" s="4">
        <f t="shared" si="15"/>
        <v>164000</v>
      </c>
      <c r="O66" s="4">
        <f>+E66*5%</f>
        <v>205000</v>
      </c>
      <c r="P66" s="4"/>
      <c r="Q66" s="4"/>
      <c r="R66" s="4">
        <v>0</v>
      </c>
      <c r="S66" s="4"/>
      <c r="T66" s="4"/>
      <c r="U66" s="4"/>
      <c r="V66" s="4">
        <f t="shared" si="13"/>
        <v>369000</v>
      </c>
      <c r="W66" s="5">
        <f t="shared" ref="W66:W76" si="16">M66-V66</f>
        <v>3731000</v>
      </c>
      <c r="X66" s="5"/>
      <c r="Y66" s="64"/>
      <c r="Z66" s="5">
        <f t="shared" si="1"/>
        <v>3731000</v>
      </c>
    </row>
    <row r="67" spans="1:28" ht="24.95" customHeight="1" x14ac:dyDescent="0.25">
      <c r="A67" s="65"/>
      <c r="B67" s="2">
        <v>16</v>
      </c>
      <c r="C67" s="1" t="s">
        <v>100</v>
      </c>
      <c r="D67" s="2" t="s">
        <v>31</v>
      </c>
      <c r="E67" s="4">
        <v>4000000</v>
      </c>
      <c r="F67" s="3">
        <v>30</v>
      </c>
      <c r="G67" s="4">
        <f>E67/30*F67</f>
        <v>4000000.0000000005</v>
      </c>
      <c r="H67" s="4"/>
      <c r="I67" s="4"/>
      <c r="J67" s="4">
        <v>300000</v>
      </c>
      <c r="K67" s="4"/>
      <c r="L67" s="4"/>
      <c r="M67" s="4">
        <f t="shared" si="3"/>
        <v>4300000</v>
      </c>
      <c r="N67" s="4">
        <f>E67*4%</f>
        <v>160000</v>
      </c>
      <c r="O67" s="4">
        <f>+E67*0.05</f>
        <v>200000</v>
      </c>
      <c r="P67" s="4"/>
      <c r="Q67" s="4"/>
      <c r="R67" s="4">
        <v>0</v>
      </c>
      <c r="S67" s="4"/>
      <c r="T67" s="4"/>
      <c r="U67" s="4">
        <v>879143</v>
      </c>
      <c r="V67" s="4">
        <f t="shared" si="13"/>
        <v>1239143</v>
      </c>
      <c r="W67" s="5">
        <f t="shared" si="16"/>
        <v>3060857</v>
      </c>
      <c r="X67" s="5"/>
      <c r="Y67" s="64"/>
      <c r="Z67" s="5">
        <f t="shared" si="1"/>
        <v>3060857</v>
      </c>
    </row>
    <row r="68" spans="1:28" ht="24.95" customHeight="1" x14ac:dyDescent="0.25">
      <c r="A68" s="65"/>
      <c r="B68" s="2">
        <v>17</v>
      </c>
      <c r="C68" s="1" t="s">
        <v>101</v>
      </c>
      <c r="D68" s="2" t="s">
        <v>31</v>
      </c>
      <c r="E68" s="4">
        <v>800000</v>
      </c>
      <c r="F68" s="3">
        <v>30</v>
      </c>
      <c r="G68" s="4">
        <f>+E68-L68</f>
        <v>613333</v>
      </c>
      <c r="H68" s="4">
        <v>88211</v>
      </c>
      <c r="I68" s="4"/>
      <c r="J68" s="4"/>
      <c r="K68" s="4"/>
      <c r="L68" s="4">
        <v>186667</v>
      </c>
      <c r="M68" s="4">
        <f t="shared" si="3"/>
        <v>888211</v>
      </c>
      <c r="N68" s="4">
        <f>+E68*4%</f>
        <v>32000</v>
      </c>
      <c r="O68" s="4">
        <f>+E68*4%</f>
        <v>32000</v>
      </c>
      <c r="P68" s="4"/>
      <c r="Q68" s="4"/>
      <c r="R68" s="4"/>
      <c r="S68" s="4"/>
      <c r="T68" s="4"/>
      <c r="U68" s="4"/>
      <c r="V68" s="4">
        <f t="shared" si="13"/>
        <v>64000</v>
      </c>
      <c r="W68" s="5">
        <f t="shared" si="16"/>
        <v>824211</v>
      </c>
      <c r="X68" s="5"/>
      <c r="Y68" s="64"/>
      <c r="Z68" s="5">
        <f t="shared" ref="Z68:Z94" si="17">W68+X68-Y68</f>
        <v>824211</v>
      </c>
    </row>
    <row r="69" spans="1:28" ht="24.95" customHeight="1" x14ac:dyDescent="0.25">
      <c r="A69" s="65"/>
      <c r="B69" s="2">
        <v>18</v>
      </c>
      <c r="C69" s="1" t="s">
        <v>103</v>
      </c>
      <c r="D69" s="2" t="s">
        <v>31</v>
      </c>
      <c r="E69" s="4">
        <v>4200000</v>
      </c>
      <c r="F69" s="3">
        <v>30</v>
      </c>
      <c r="G69" s="4">
        <f>+E69</f>
        <v>4200000</v>
      </c>
      <c r="H69" s="4"/>
      <c r="I69" s="4"/>
      <c r="J69" s="4"/>
      <c r="K69" s="4"/>
      <c r="L69" s="4"/>
      <c r="M69" s="4">
        <f t="shared" ref="M69:M110" si="18">SUM(G69:J69)+L69+K69:K69</f>
        <v>4200000</v>
      </c>
      <c r="N69" s="4">
        <f>+E69*0.04</f>
        <v>168000</v>
      </c>
      <c r="O69" s="4">
        <f>+E69*0.05</f>
        <v>210000</v>
      </c>
      <c r="P69" s="4"/>
      <c r="Q69" s="4"/>
      <c r="R69" s="4">
        <v>0</v>
      </c>
      <c r="S69" s="4"/>
      <c r="T69" s="4"/>
      <c r="U69" s="4"/>
      <c r="V69" s="4">
        <f t="shared" si="13"/>
        <v>378000</v>
      </c>
      <c r="W69" s="5">
        <f t="shared" si="16"/>
        <v>3822000</v>
      </c>
      <c r="X69" s="5"/>
      <c r="Y69" s="64"/>
      <c r="Z69" s="5">
        <f t="shared" si="17"/>
        <v>3822000</v>
      </c>
    </row>
    <row r="70" spans="1:28" ht="24.95" customHeight="1" x14ac:dyDescent="0.25">
      <c r="A70" s="65"/>
      <c r="B70" s="2">
        <v>19</v>
      </c>
      <c r="C70" s="1" t="s">
        <v>104</v>
      </c>
      <c r="D70" s="2" t="s">
        <v>31</v>
      </c>
      <c r="E70" s="4">
        <v>1550000</v>
      </c>
      <c r="F70" s="3">
        <v>30</v>
      </c>
      <c r="G70" s="4">
        <f>+E70-L70</f>
        <v>1188333</v>
      </c>
      <c r="H70" s="4"/>
      <c r="I70" s="4"/>
      <c r="J70" s="4"/>
      <c r="K70" s="4"/>
      <c r="L70" s="4">
        <v>361667</v>
      </c>
      <c r="M70" s="4">
        <f t="shared" si="18"/>
        <v>1550000</v>
      </c>
      <c r="N70" s="4">
        <f>+E70*4%</f>
        <v>62000</v>
      </c>
      <c r="O70" s="4">
        <f>+E70*4%</f>
        <v>62000</v>
      </c>
      <c r="P70" s="4"/>
      <c r="Q70" s="4"/>
      <c r="R70" s="4"/>
      <c r="S70" s="4"/>
      <c r="T70" s="4"/>
      <c r="U70" s="4"/>
      <c r="V70" s="4">
        <f t="shared" si="13"/>
        <v>124000</v>
      </c>
      <c r="W70" s="5">
        <f t="shared" si="16"/>
        <v>1426000</v>
      </c>
      <c r="X70" s="5"/>
      <c r="Y70" s="64"/>
      <c r="Z70" s="5">
        <f t="shared" si="17"/>
        <v>1426000</v>
      </c>
    </row>
    <row r="71" spans="1:28" ht="24.95" customHeight="1" x14ac:dyDescent="0.25">
      <c r="A71" s="65"/>
      <c r="B71" s="2">
        <v>20</v>
      </c>
      <c r="C71" s="1" t="s">
        <v>105</v>
      </c>
      <c r="D71" s="2"/>
      <c r="E71" s="4">
        <v>1200000</v>
      </c>
      <c r="F71" s="3">
        <v>30</v>
      </c>
      <c r="G71" s="4">
        <f>E71/30*F71</f>
        <v>1200000</v>
      </c>
      <c r="H71" s="4">
        <v>88211</v>
      </c>
      <c r="I71" s="4"/>
      <c r="J71" s="4"/>
      <c r="K71" s="4"/>
      <c r="L71" s="4">
        <f>+E71-G71</f>
        <v>0</v>
      </c>
      <c r="M71" s="4">
        <f t="shared" si="18"/>
        <v>1288211</v>
      </c>
      <c r="N71" s="4">
        <f>+E71*4%</f>
        <v>48000</v>
      </c>
      <c r="O71" s="4">
        <f>+E71*4%</f>
        <v>48000</v>
      </c>
      <c r="P71" s="4"/>
      <c r="Q71" s="4"/>
      <c r="R71" s="4"/>
      <c r="S71" s="4"/>
      <c r="T71" s="4"/>
      <c r="U71" s="4"/>
      <c r="V71" s="4">
        <f t="shared" si="13"/>
        <v>96000</v>
      </c>
      <c r="W71" s="5">
        <f t="shared" si="16"/>
        <v>1192211</v>
      </c>
      <c r="X71" s="5"/>
      <c r="Y71" s="64"/>
      <c r="Z71" s="5">
        <f t="shared" si="17"/>
        <v>1192211</v>
      </c>
    </row>
    <row r="72" spans="1:28" ht="24.95" customHeight="1" x14ac:dyDescent="0.25">
      <c r="A72" s="65"/>
      <c r="B72" s="2">
        <v>21</v>
      </c>
      <c r="C72" s="1" t="s">
        <v>106</v>
      </c>
      <c r="D72" s="2" t="s">
        <v>31</v>
      </c>
      <c r="E72" s="4">
        <v>2500000</v>
      </c>
      <c r="F72" s="3">
        <v>30</v>
      </c>
      <c r="G72" s="4">
        <f>E72/30*F72</f>
        <v>2500000</v>
      </c>
      <c r="H72" s="4"/>
      <c r="I72" s="4"/>
      <c r="J72" s="4"/>
      <c r="K72" s="4"/>
      <c r="L72" s="4"/>
      <c r="M72" s="4">
        <f t="shared" si="18"/>
        <v>2500000</v>
      </c>
      <c r="N72" s="4">
        <f>+E72*4%</f>
        <v>100000</v>
      </c>
      <c r="O72" s="4">
        <f>+E72*4%</f>
        <v>100000</v>
      </c>
      <c r="P72" s="4"/>
      <c r="Q72" s="4"/>
      <c r="R72" s="4">
        <v>0</v>
      </c>
      <c r="S72" s="4"/>
      <c r="T72" s="4"/>
      <c r="U72" s="4"/>
      <c r="V72" s="4">
        <f t="shared" si="13"/>
        <v>200000</v>
      </c>
      <c r="W72" s="5">
        <f t="shared" si="16"/>
        <v>2300000</v>
      </c>
      <c r="X72" s="5"/>
      <c r="Y72" s="64"/>
      <c r="Z72" s="5">
        <f t="shared" si="17"/>
        <v>2300000</v>
      </c>
    </row>
    <row r="73" spans="1:28" ht="24.95" customHeight="1" x14ac:dyDescent="0.25">
      <c r="A73" s="65"/>
      <c r="B73" s="2">
        <v>22</v>
      </c>
      <c r="C73" s="1" t="s">
        <v>107</v>
      </c>
      <c r="D73" s="2"/>
      <c r="E73" s="4">
        <f>781242/2</f>
        <v>390621</v>
      </c>
      <c r="F73" s="3">
        <v>30</v>
      </c>
      <c r="G73" s="4">
        <f>E73/30*F73</f>
        <v>390621</v>
      </c>
      <c r="H73" s="4"/>
      <c r="I73" s="4"/>
      <c r="J73" s="4"/>
      <c r="K73" s="4"/>
      <c r="L73" s="4"/>
      <c r="M73" s="4">
        <f t="shared" si="18"/>
        <v>390621</v>
      </c>
      <c r="N73" s="4"/>
      <c r="O73" s="4"/>
      <c r="P73" s="4"/>
      <c r="Q73" s="4"/>
      <c r="R73" s="4"/>
      <c r="S73" s="4"/>
      <c r="T73" s="4"/>
      <c r="U73" s="4"/>
      <c r="V73" s="4">
        <f t="shared" si="13"/>
        <v>0</v>
      </c>
      <c r="W73" s="5">
        <f t="shared" si="16"/>
        <v>390621</v>
      </c>
      <c r="X73" s="5"/>
      <c r="Y73" s="64"/>
      <c r="Z73" s="5">
        <f t="shared" si="17"/>
        <v>390621</v>
      </c>
    </row>
    <row r="74" spans="1:28" ht="24.95" customHeight="1" x14ac:dyDescent="0.25">
      <c r="A74" s="65"/>
      <c r="B74" s="2">
        <v>23</v>
      </c>
      <c r="C74" s="9" t="s">
        <v>108</v>
      </c>
      <c r="D74" s="8" t="s">
        <v>31</v>
      </c>
      <c r="E74" s="4">
        <v>800000</v>
      </c>
      <c r="F74" s="3">
        <v>30</v>
      </c>
      <c r="G74" s="4">
        <f>+E74-L74</f>
        <v>613333</v>
      </c>
      <c r="H74" s="4">
        <v>88211</v>
      </c>
      <c r="I74" s="4"/>
      <c r="J74" s="4"/>
      <c r="K74" s="4"/>
      <c r="L74" s="4">
        <v>186667</v>
      </c>
      <c r="M74" s="4">
        <f t="shared" si="18"/>
        <v>888211</v>
      </c>
      <c r="N74" s="4">
        <f t="shared" ref="N74:N84" si="19">+E74*4%</f>
        <v>32000</v>
      </c>
      <c r="O74" s="4">
        <f>+E74*4%</f>
        <v>32000</v>
      </c>
      <c r="P74" s="4"/>
      <c r="Q74" s="4"/>
      <c r="R74" s="4"/>
      <c r="S74" s="4"/>
      <c r="T74" s="4"/>
      <c r="U74" s="4"/>
      <c r="V74" s="4">
        <f t="shared" si="13"/>
        <v>64000</v>
      </c>
      <c r="W74" s="5">
        <f t="shared" si="16"/>
        <v>824211</v>
      </c>
      <c r="X74" s="5"/>
      <c r="Y74" s="64"/>
      <c r="Z74" s="5">
        <f t="shared" si="17"/>
        <v>824211</v>
      </c>
    </row>
    <row r="75" spans="1:28" ht="24.95" customHeight="1" x14ac:dyDescent="0.25">
      <c r="A75" s="65"/>
      <c r="B75" s="2">
        <v>24</v>
      </c>
      <c r="C75" s="9" t="s">
        <v>109</v>
      </c>
      <c r="D75" s="8" t="s">
        <v>31</v>
      </c>
      <c r="E75" s="4">
        <v>1000000</v>
      </c>
      <c r="F75" s="3">
        <v>30</v>
      </c>
      <c r="G75" s="4">
        <f>E75/30*F75</f>
        <v>1000000.0000000001</v>
      </c>
      <c r="H75" s="4">
        <v>88211</v>
      </c>
      <c r="I75" s="4"/>
      <c r="J75" s="4"/>
      <c r="K75" s="4"/>
      <c r="L75" s="4"/>
      <c r="M75" s="4">
        <f t="shared" si="18"/>
        <v>1088211</v>
      </c>
      <c r="N75" s="4">
        <f t="shared" si="19"/>
        <v>40000</v>
      </c>
      <c r="O75" s="4">
        <f>+E75*4%</f>
        <v>40000</v>
      </c>
      <c r="P75" s="4"/>
      <c r="Q75" s="4"/>
      <c r="R75" s="4"/>
      <c r="S75" s="4"/>
      <c r="T75" s="4"/>
      <c r="U75" s="4"/>
      <c r="V75" s="4">
        <f t="shared" si="13"/>
        <v>80000</v>
      </c>
      <c r="W75" s="5">
        <f t="shared" si="16"/>
        <v>1008211</v>
      </c>
      <c r="X75" s="5"/>
      <c r="Y75" s="64"/>
      <c r="Z75" s="5">
        <f t="shared" si="17"/>
        <v>1008211</v>
      </c>
    </row>
    <row r="76" spans="1:28" ht="24.95" customHeight="1" x14ac:dyDescent="0.25">
      <c r="A76" s="65"/>
      <c r="B76" s="2">
        <v>25</v>
      </c>
      <c r="C76" s="9" t="s">
        <v>110</v>
      </c>
      <c r="D76" s="8"/>
      <c r="E76" s="4">
        <v>2400000</v>
      </c>
      <c r="F76" s="3">
        <v>30</v>
      </c>
      <c r="G76" s="4">
        <f>E76/30*F76</f>
        <v>2400000</v>
      </c>
      <c r="H76" s="4"/>
      <c r="I76" s="4"/>
      <c r="J76" s="4"/>
      <c r="K76" s="4"/>
      <c r="L76" s="4">
        <f>+E76-G76</f>
        <v>0</v>
      </c>
      <c r="M76" s="4">
        <f t="shared" si="18"/>
        <v>2400000</v>
      </c>
      <c r="N76" s="4">
        <f t="shared" si="19"/>
        <v>96000</v>
      </c>
      <c r="O76" s="4">
        <f>+E76*4%</f>
        <v>96000</v>
      </c>
      <c r="P76" s="4"/>
      <c r="Q76" s="4"/>
      <c r="R76" s="4"/>
      <c r="S76" s="4"/>
      <c r="T76" s="4"/>
      <c r="U76" s="4"/>
      <c r="V76" s="4">
        <f t="shared" si="13"/>
        <v>192000</v>
      </c>
      <c r="W76" s="5">
        <f t="shared" si="16"/>
        <v>2208000</v>
      </c>
      <c r="X76" s="5"/>
      <c r="Y76" s="64"/>
      <c r="Z76" s="5">
        <f t="shared" si="17"/>
        <v>2208000</v>
      </c>
    </row>
    <row r="77" spans="1:28" ht="24.95" customHeight="1" x14ac:dyDescent="0.25">
      <c r="A77" s="65"/>
      <c r="B77" s="2">
        <v>26</v>
      </c>
      <c r="C77" s="1" t="s">
        <v>111</v>
      </c>
      <c r="D77" s="2" t="s">
        <v>31</v>
      </c>
      <c r="E77" s="4">
        <v>2200000</v>
      </c>
      <c r="F77" s="3">
        <v>30</v>
      </c>
      <c r="G77" s="4">
        <f>+E77-L77</f>
        <v>1686667</v>
      </c>
      <c r="H77" s="4"/>
      <c r="I77" s="4"/>
      <c r="J77" s="4"/>
      <c r="K77" s="4"/>
      <c r="L77" s="4">
        <v>513333</v>
      </c>
      <c r="M77" s="4">
        <f t="shared" si="18"/>
        <v>2200000</v>
      </c>
      <c r="N77" s="4">
        <f t="shared" si="19"/>
        <v>88000</v>
      </c>
      <c r="O77" s="4">
        <f>+E77*4%</f>
        <v>88000</v>
      </c>
      <c r="P77" s="4"/>
      <c r="Q77" s="4"/>
      <c r="R77" s="4">
        <v>0</v>
      </c>
      <c r="S77" s="4"/>
      <c r="T77" s="4"/>
      <c r="U77" s="4"/>
      <c r="V77" s="4">
        <f t="shared" si="13"/>
        <v>176000</v>
      </c>
      <c r="W77" s="5">
        <f>+M77-V77</f>
        <v>2024000</v>
      </c>
      <c r="X77" s="5"/>
      <c r="Y77" s="64"/>
      <c r="Z77" s="5">
        <f t="shared" si="17"/>
        <v>2024000</v>
      </c>
    </row>
    <row r="78" spans="1:28" ht="24.95" customHeight="1" x14ac:dyDescent="0.25">
      <c r="A78" s="65"/>
      <c r="B78" s="2">
        <v>27</v>
      </c>
      <c r="C78" s="1" t="s">
        <v>112</v>
      </c>
      <c r="D78" s="2" t="s">
        <v>31</v>
      </c>
      <c r="E78" s="4">
        <v>3000000</v>
      </c>
      <c r="F78" s="3">
        <v>30</v>
      </c>
      <c r="G78" s="4">
        <f>E78/30*F78</f>
        <v>3000000</v>
      </c>
      <c r="H78" s="4"/>
      <c r="I78" s="4"/>
      <c r="J78" s="4"/>
      <c r="K78" s="4"/>
      <c r="L78" s="4">
        <f>+E78-G78</f>
        <v>0</v>
      </c>
      <c r="M78" s="4">
        <f t="shared" si="18"/>
        <v>3000000</v>
      </c>
      <c r="N78" s="4">
        <f t="shared" si="19"/>
        <v>120000</v>
      </c>
      <c r="O78" s="4">
        <f>+E78*4%</f>
        <v>120000</v>
      </c>
      <c r="P78" s="4"/>
      <c r="Q78" s="4"/>
      <c r="R78" s="7">
        <v>0</v>
      </c>
      <c r="S78" s="4"/>
      <c r="T78" s="4">
        <v>0</v>
      </c>
      <c r="U78" s="4"/>
      <c r="V78" s="4">
        <f t="shared" si="13"/>
        <v>240000</v>
      </c>
      <c r="W78" s="5">
        <f>+M78-V78</f>
        <v>2760000</v>
      </c>
      <c r="X78" s="5"/>
      <c r="Y78" s="64"/>
      <c r="Z78" s="5">
        <f t="shared" si="17"/>
        <v>2760000</v>
      </c>
      <c r="AA78" s="66">
        <v>4886979</v>
      </c>
      <c r="AB78" s="67">
        <f>+Z78-AA78</f>
        <v>-2126979</v>
      </c>
    </row>
    <row r="79" spans="1:28" ht="24.95" customHeight="1" x14ac:dyDescent="0.25">
      <c r="A79" s="65"/>
      <c r="B79" s="2">
        <v>28</v>
      </c>
      <c r="C79" s="1" t="s">
        <v>113</v>
      </c>
      <c r="D79" s="2"/>
      <c r="E79" s="4">
        <v>4500000</v>
      </c>
      <c r="F79" s="3">
        <v>30</v>
      </c>
      <c r="G79" s="4">
        <f>E79/30*F79</f>
        <v>4500000</v>
      </c>
      <c r="H79" s="4"/>
      <c r="I79" s="4"/>
      <c r="J79" s="4"/>
      <c r="K79" s="4"/>
      <c r="L79" s="4">
        <f>+E79-G79</f>
        <v>0</v>
      </c>
      <c r="M79" s="4">
        <f t="shared" si="18"/>
        <v>4500000</v>
      </c>
      <c r="N79" s="4">
        <f t="shared" si="19"/>
        <v>180000</v>
      </c>
      <c r="O79" s="4">
        <f>+E79*5%</f>
        <v>225000</v>
      </c>
      <c r="P79" s="4"/>
      <c r="Q79" s="4"/>
      <c r="R79" s="7">
        <v>0</v>
      </c>
      <c r="S79" s="4"/>
      <c r="T79" s="4"/>
      <c r="U79" s="4"/>
      <c r="V79" s="4">
        <f t="shared" si="13"/>
        <v>405000</v>
      </c>
      <c r="W79" s="5">
        <f t="shared" ref="W79:W87" si="20">+M79-V79</f>
        <v>4095000</v>
      </c>
      <c r="X79" s="5"/>
      <c r="Y79" s="64"/>
      <c r="Z79" s="5"/>
    </row>
    <row r="80" spans="1:28" ht="24.95" customHeight="1" x14ac:dyDescent="0.25">
      <c r="A80" s="65"/>
      <c r="B80" s="2">
        <v>29</v>
      </c>
      <c r="C80" s="1" t="s">
        <v>114</v>
      </c>
      <c r="D80" s="2"/>
      <c r="E80" s="4">
        <v>5500000</v>
      </c>
      <c r="F80" s="3">
        <v>30</v>
      </c>
      <c r="G80" s="4">
        <f>E80/30*F80</f>
        <v>5500000</v>
      </c>
      <c r="H80" s="4"/>
      <c r="I80" s="4"/>
      <c r="J80" s="4">
        <v>500000</v>
      </c>
      <c r="K80" s="4"/>
      <c r="L80" s="4">
        <f>+E80-G80</f>
        <v>0</v>
      </c>
      <c r="M80" s="4">
        <f t="shared" si="18"/>
        <v>6000000</v>
      </c>
      <c r="N80" s="4">
        <f t="shared" si="19"/>
        <v>220000</v>
      </c>
      <c r="O80" s="4">
        <f>+E80*5%</f>
        <v>275000</v>
      </c>
      <c r="P80" s="4"/>
      <c r="Q80" s="4"/>
      <c r="R80" s="7">
        <v>69147</v>
      </c>
      <c r="S80" s="4"/>
      <c r="T80" s="4"/>
      <c r="U80" s="4"/>
      <c r="V80" s="4">
        <f t="shared" si="13"/>
        <v>564147</v>
      </c>
      <c r="W80" s="5">
        <f t="shared" si="20"/>
        <v>5435853</v>
      </c>
      <c r="X80" s="5"/>
      <c r="Y80" s="64"/>
      <c r="Z80" s="5">
        <f t="shared" ref="Z80:Z86" si="21">W80+X80-Y80</f>
        <v>5435853</v>
      </c>
    </row>
    <row r="81" spans="1:27" ht="24.95" customHeight="1" x14ac:dyDescent="0.25">
      <c r="A81" s="65"/>
      <c r="B81" s="2">
        <v>30</v>
      </c>
      <c r="C81" s="1" t="s">
        <v>115</v>
      </c>
      <c r="D81" s="2"/>
      <c r="E81" s="4">
        <v>2000000</v>
      </c>
      <c r="F81" s="3">
        <v>30</v>
      </c>
      <c r="G81" s="4">
        <f>E81/30*F81</f>
        <v>2000000.0000000002</v>
      </c>
      <c r="H81" s="4"/>
      <c r="I81" s="4"/>
      <c r="J81" s="4"/>
      <c r="K81" s="4"/>
      <c r="L81" s="4">
        <f>+E81-G81</f>
        <v>0</v>
      </c>
      <c r="M81" s="4">
        <f t="shared" si="18"/>
        <v>2000000.0000000002</v>
      </c>
      <c r="N81" s="4">
        <f t="shared" si="19"/>
        <v>80000</v>
      </c>
      <c r="O81" s="4">
        <f>+E81*4%</f>
        <v>80000</v>
      </c>
      <c r="P81" s="4"/>
      <c r="Q81" s="4"/>
      <c r="R81" s="7"/>
      <c r="S81" s="4"/>
      <c r="T81" s="4"/>
      <c r="U81" s="4"/>
      <c r="V81" s="4">
        <f t="shared" si="13"/>
        <v>160000</v>
      </c>
      <c r="W81" s="5">
        <f t="shared" si="20"/>
        <v>1840000.0000000002</v>
      </c>
      <c r="X81" s="5"/>
      <c r="Y81" s="64"/>
      <c r="Z81" s="5">
        <f t="shared" si="21"/>
        <v>1840000.0000000002</v>
      </c>
    </row>
    <row r="82" spans="1:27" ht="24.95" customHeight="1" x14ac:dyDescent="0.25">
      <c r="A82" s="65"/>
      <c r="B82" s="2">
        <v>31</v>
      </c>
      <c r="C82" s="1" t="s">
        <v>116</v>
      </c>
      <c r="D82" s="2"/>
      <c r="E82" s="4">
        <v>781242</v>
      </c>
      <c r="F82" s="3">
        <v>30</v>
      </c>
      <c r="G82" s="4">
        <f>+E82-L82</f>
        <v>442704</v>
      </c>
      <c r="H82" s="4">
        <v>88211</v>
      </c>
      <c r="I82" s="4"/>
      <c r="J82" s="4"/>
      <c r="K82" s="4"/>
      <c r="L82" s="4">
        <v>338538</v>
      </c>
      <c r="M82" s="4">
        <f t="shared" si="18"/>
        <v>869453</v>
      </c>
      <c r="N82" s="4">
        <f t="shared" si="19"/>
        <v>31249.68</v>
      </c>
      <c r="O82" s="4">
        <f>+E82*4%</f>
        <v>31249.68</v>
      </c>
      <c r="P82" s="4"/>
      <c r="Q82" s="4"/>
      <c r="R82" s="7"/>
      <c r="S82" s="4"/>
      <c r="T82" s="4"/>
      <c r="U82" s="4"/>
      <c r="V82" s="4">
        <f t="shared" si="13"/>
        <v>62499.360000000001</v>
      </c>
      <c r="W82" s="5">
        <f t="shared" si="20"/>
        <v>806953.64</v>
      </c>
      <c r="X82" s="5"/>
      <c r="Y82" s="64"/>
      <c r="Z82" s="5">
        <f t="shared" si="21"/>
        <v>806953.64</v>
      </c>
    </row>
    <row r="83" spans="1:27" ht="24.95" customHeight="1" x14ac:dyDescent="0.25">
      <c r="A83" s="65"/>
      <c r="B83" s="2">
        <v>32</v>
      </c>
      <c r="C83" s="1" t="s">
        <v>117</v>
      </c>
      <c r="D83" s="2"/>
      <c r="E83" s="4">
        <v>2500000</v>
      </c>
      <c r="F83" s="3">
        <v>30</v>
      </c>
      <c r="G83" s="4">
        <f>+E83-L83</f>
        <v>1916667</v>
      </c>
      <c r="H83" s="4"/>
      <c r="I83" s="4"/>
      <c r="J83" s="4">
        <v>350000</v>
      </c>
      <c r="K83" s="4"/>
      <c r="L83" s="4">
        <v>583333</v>
      </c>
      <c r="M83" s="4">
        <f t="shared" si="18"/>
        <v>2850000</v>
      </c>
      <c r="N83" s="4">
        <f t="shared" si="19"/>
        <v>100000</v>
      </c>
      <c r="O83" s="4">
        <f>+E83*4%</f>
        <v>100000</v>
      </c>
      <c r="P83" s="4"/>
      <c r="Q83" s="4"/>
      <c r="R83" s="7"/>
      <c r="S83" s="4"/>
      <c r="T83" s="4"/>
      <c r="U83" s="4"/>
      <c r="V83" s="4">
        <f t="shared" si="13"/>
        <v>200000</v>
      </c>
      <c r="W83" s="5">
        <f t="shared" si="20"/>
        <v>2650000</v>
      </c>
      <c r="X83" s="5"/>
      <c r="Y83" s="64"/>
      <c r="Z83" s="5">
        <f t="shared" si="21"/>
        <v>2650000</v>
      </c>
    </row>
    <row r="84" spans="1:27" ht="24.95" customHeight="1" x14ac:dyDescent="0.25">
      <c r="A84" s="65"/>
      <c r="B84" s="2">
        <v>33</v>
      </c>
      <c r="C84" s="1" t="s">
        <v>118</v>
      </c>
      <c r="D84" s="2" t="s">
        <v>31</v>
      </c>
      <c r="E84" s="4">
        <v>2200000</v>
      </c>
      <c r="F84" s="3">
        <v>30</v>
      </c>
      <c r="G84" s="4">
        <f>+E84-L84</f>
        <v>1686667</v>
      </c>
      <c r="H84" s="4"/>
      <c r="I84" s="4"/>
      <c r="J84" s="4"/>
      <c r="K84" s="4"/>
      <c r="L84" s="4">
        <v>513333</v>
      </c>
      <c r="M84" s="4">
        <f t="shared" si="18"/>
        <v>2200000</v>
      </c>
      <c r="N84" s="4">
        <f t="shared" si="19"/>
        <v>88000</v>
      </c>
      <c r="O84" s="4">
        <f>+E84*4%</f>
        <v>88000</v>
      </c>
      <c r="P84" s="4"/>
      <c r="Q84" s="4"/>
      <c r="R84" s="7">
        <v>0</v>
      </c>
      <c r="S84" s="4"/>
      <c r="T84" s="4"/>
      <c r="U84" s="4"/>
      <c r="V84" s="4">
        <f t="shared" si="13"/>
        <v>176000</v>
      </c>
      <c r="W84" s="5">
        <f t="shared" si="20"/>
        <v>2024000</v>
      </c>
      <c r="X84" s="5"/>
      <c r="Y84" s="64"/>
      <c r="Z84" s="5">
        <f t="shared" si="21"/>
        <v>2024000</v>
      </c>
    </row>
    <row r="85" spans="1:27" ht="24.95" customHeight="1" x14ac:dyDescent="0.25">
      <c r="A85" s="65"/>
      <c r="B85" s="2">
        <v>34</v>
      </c>
      <c r="C85" s="1" t="s">
        <v>119</v>
      </c>
      <c r="D85" s="2"/>
      <c r="E85" s="4">
        <v>2500000</v>
      </c>
      <c r="F85" s="3">
        <v>30</v>
      </c>
      <c r="G85" s="4">
        <f>+E85-L85</f>
        <v>1916667</v>
      </c>
      <c r="H85" s="4"/>
      <c r="I85" s="4"/>
      <c r="J85" s="4"/>
      <c r="K85" s="4"/>
      <c r="L85" s="4">
        <v>583333</v>
      </c>
      <c r="M85" s="4">
        <f t="shared" si="18"/>
        <v>2500000</v>
      </c>
      <c r="N85" s="4">
        <f>+E85*0.04</f>
        <v>100000</v>
      </c>
      <c r="O85" s="4">
        <f>+E85*0.04</f>
        <v>100000</v>
      </c>
      <c r="P85" s="4"/>
      <c r="Q85" s="4"/>
      <c r="R85" s="4">
        <v>0</v>
      </c>
      <c r="S85" s="4"/>
      <c r="T85" s="4"/>
      <c r="U85" s="4"/>
      <c r="V85" s="4">
        <f t="shared" si="13"/>
        <v>200000</v>
      </c>
      <c r="W85" s="5">
        <f t="shared" si="20"/>
        <v>2300000</v>
      </c>
      <c r="X85" s="5"/>
      <c r="Y85" s="64"/>
      <c r="Z85" s="5">
        <f t="shared" si="21"/>
        <v>2300000</v>
      </c>
    </row>
    <row r="86" spans="1:27" ht="24.95" customHeight="1" x14ac:dyDescent="0.25">
      <c r="A86" s="65"/>
      <c r="B86" s="2">
        <v>35</v>
      </c>
      <c r="C86" s="1" t="s">
        <v>120</v>
      </c>
      <c r="D86" s="2" t="s">
        <v>31</v>
      </c>
      <c r="E86" s="4">
        <v>5500000</v>
      </c>
      <c r="F86" s="3">
        <v>30</v>
      </c>
      <c r="G86" s="4">
        <f>+E86-L86</f>
        <v>5375000</v>
      </c>
      <c r="H86" s="4"/>
      <c r="I86" s="4"/>
      <c r="J86" s="4"/>
      <c r="K86" s="4"/>
      <c r="L86" s="4">
        <v>125000</v>
      </c>
      <c r="M86" s="4">
        <f t="shared" si="18"/>
        <v>5500000</v>
      </c>
      <c r="N86" s="4">
        <f>+E86*4%</f>
        <v>220000</v>
      </c>
      <c r="O86" s="4">
        <f>+E86*5%</f>
        <v>275000</v>
      </c>
      <c r="P86" s="4"/>
      <c r="Q86" s="4"/>
      <c r="R86" s="4">
        <v>102000</v>
      </c>
      <c r="S86" s="4"/>
      <c r="T86" s="4"/>
      <c r="U86" s="4">
        <v>610699</v>
      </c>
      <c r="V86" s="4">
        <f t="shared" si="13"/>
        <v>1207699</v>
      </c>
      <c r="W86" s="5">
        <f t="shared" si="20"/>
        <v>4292301</v>
      </c>
      <c r="X86" s="5"/>
      <c r="Y86" s="64"/>
      <c r="Z86" s="5">
        <f t="shared" si="21"/>
        <v>4292301</v>
      </c>
    </row>
    <row r="87" spans="1:27" ht="24.95" customHeight="1" x14ac:dyDescent="0.25">
      <c r="A87" s="65"/>
      <c r="B87" s="2">
        <v>36</v>
      </c>
      <c r="C87" s="1" t="s">
        <v>121</v>
      </c>
      <c r="D87" s="2"/>
      <c r="E87" s="4">
        <v>5400000</v>
      </c>
      <c r="F87" s="3">
        <v>17</v>
      </c>
      <c r="G87" s="4">
        <f>3060000-L87</f>
        <v>360000</v>
      </c>
      <c r="H87" s="4"/>
      <c r="I87" s="4"/>
      <c r="J87" s="4"/>
      <c r="K87" s="4"/>
      <c r="L87" s="4">
        <f>1440000+1260000</f>
        <v>2700000</v>
      </c>
      <c r="M87" s="4">
        <f t="shared" si="18"/>
        <v>3060000</v>
      </c>
      <c r="N87" s="4">
        <f>+E87*4%</f>
        <v>216000</v>
      </c>
      <c r="O87" s="4">
        <f>+E87*4%</f>
        <v>216000</v>
      </c>
      <c r="P87" s="4"/>
      <c r="Q87" s="4"/>
      <c r="R87" s="4">
        <v>0</v>
      </c>
      <c r="S87" s="4"/>
      <c r="T87" s="4"/>
      <c r="U87" s="4"/>
      <c r="V87" s="4">
        <f t="shared" si="13"/>
        <v>432000</v>
      </c>
      <c r="W87" s="5">
        <f t="shared" si="20"/>
        <v>2628000</v>
      </c>
      <c r="X87" s="5">
        <f>+M87-W87</f>
        <v>432000</v>
      </c>
      <c r="Y87" s="5"/>
      <c r="Z87" s="64"/>
      <c r="AA87" s="5">
        <f t="shared" ref="AA87" si="22">X87+Y87-Z87</f>
        <v>432000</v>
      </c>
    </row>
    <row r="88" spans="1:27" ht="24.95" customHeight="1" x14ac:dyDescent="0.25">
      <c r="A88" s="65"/>
      <c r="B88" s="2">
        <v>37</v>
      </c>
      <c r="C88" s="1" t="s">
        <v>122</v>
      </c>
      <c r="D88" s="2" t="s">
        <v>31</v>
      </c>
      <c r="E88" s="4">
        <v>3500000</v>
      </c>
      <c r="F88" s="3">
        <v>30</v>
      </c>
      <c r="G88" s="4">
        <f>+E88-L88</f>
        <v>3254222</v>
      </c>
      <c r="H88" s="4"/>
      <c r="I88" s="4"/>
      <c r="J88" s="4"/>
      <c r="K88" s="4"/>
      <c r="L88" s="4">
        <v>245778</v>
      </c>
      <c r="M88" s="4">
        <f t="shared" si="18"/>
        <v>3500000</v>
      </c>
      <c r="N88" s="4">
        <f>+E88*4%</f>
        <v>140000</v>
      </c>
      <c r="O88" s="4">
        <f>+E88*5%</f>
        <v>175000</v>
      </c>
      <c r="P88" s="4">
        <v>0</v>
      </c>
      <c r="Q88" s="4"/>
      <c r="R88" s="4">
        <v>0</v>
      </c>
      <c r="S88" s="4"/>
      <c r="T88" s="4"/>
      <c r="U88" s="4"/>
      <c r="V88" s="4">
        <f t="shared" si="13"/>
        <v>315000</v>
      </c>
      <c r="W88" s="5">
        <f t="shared" ref="W88:W93" si="23">M88-V88</f>
        <v>3185000</v>
      </c>
      <c r="X88" s="5"/>
      <c r="Y88" s="64"/>
      <c r="Z88" s="5">
        <f t="shared" ref="Z88:Z110" si="24">W88+X88-Y88</f>
        <v>3185000</v>
      </c>
    </row>
    <row r="89" spans="1:27" ht="24.95" customHeight="1" x14ac:dyDescent="0.25">
      <c r="A89" s="65"/>
      <c r="B89" s="2">
        <v>38</v>
      </c>
      <c r="C89" s="1" t="s">
        <v>123</v>
      </c>
      <c r="D89" s="2" t="s">
        <v>31</v>
      </c>
      <c r="E89" s="4">
        <v>2200000</v>
      </c>
      <c r="F89" s="3">
        <v>30</v>
      </c>
      <c r="G89" s="4">
        <f>+E89-L89</f>
        <v>1686667</v>
      </c>
      <c r="H89" s="4"/>
      <c r="I89" s="4"/>
      <c r="J89" s="4"/>
      <c r="K89" s="4"/>
      <c r="L89" s="4">
        <v>513333</v>
      </c>
      <c r="M89" s="4">
        <f t="shared" si="18"/>
        <v>2200000</v>
      </c>
      <c r="N89" s="4">
        <f>+E89*4%</f>
        <v>88000</v>
      </c>
      <c r="O89" s="4">
        <f>+E89*4%</f>
        <v>88000</v>
      </c>
      <c r="P89" s="4"/>
      <c r="Q89" s="4"/>
      <c r="R89" s="4"/>
      <c r="S89" s="4"/>
      <c r="T89" s="4"/>
      <c r="U89" s="4"/>
      <c r="V89" s="4">
        <f t="shared" si="13"/>
        <v>176000</v>
      </c>
      <c r="W89" s="5">
        <f t="shared" si="23"/>
        <v>2024000</v>
      </c>
      <c r="X89" s="5"/>
      <c r="Y89" s="64"/>
      <c r="Z89" s="5">
        <f t="shared" si="24"/>
        <v>2024000</v>
      </c>
    </row>
    <row r="90" spans="1:27" ht="24.95" customHeight="1" x14ac:dyDescent="0.25">
      <c r="A90" s="65"/>
      <c r="B90" s="2">
        <v>39</v>
      </c>
      <c r="C90" s="9" t="s">
        <v>124</v>
      </c>
      <c r="D90" s="8" t="s">
        <v>31</v>
      </c>
      <c r="E90" s="4">
        <v>781242</v>
      </c>
      <c r="F90" s="3">
        <v>30</v>
      </c>
      <c r="G90" s="4">
        <f>+E90-L90</f>
        <v>598952</v>
      </c>
      <c r="H90" s="4">
        <v>88211</v>
      </c>
      <c r="I90" s="4">
        <v>28482</v>
      </c>
      <c r="J90" s="4"/>
      <c r="K90" s="4"/>
      <c r="L90" s="4">
        <v>182290</v>
      </c>
      <c r="M90" s="4">
        <f t="shared" si="18"/>
        <v>897935</v>
      </c>
      <c r="N90" s="4">
        <f>+E90*0.04</f>
        <v>31249.68</v>
      </c>
      <c r="O90" s="4">
        <f>+E90*0.04</f>
        <v>31249.68</v>
      </c>
      <c r="P90" s="4"/>
      <c r="Q90" s="4"/>
      <c r="R90" s="4">
        <v>0</v>
      </c>
      <c r="S90" s="4"/>
      <c r="T90" s="4"/>
      <c r="U90" s="4"/>
      <c r="V90" s="4">
        <f t="shared" si="13"/>
        <v>62499.360000000001</v>
      </c>
      <c r="W90" s="5">
        <f t="shared" si="23"/>
        <v>835435.64</v>
      </c>
      <c r="X90" s="5"/>
      <c r="Y90" s="64"/>
      <c r="Z90" s="5">
        <f t="shared" si="24"/>
        <v>835435.64</v>
      </c>
    </row>
    <row r="91" spans="1:27" ht="24.95" customHeight="1" x14ac:dyDescent="0.25">
      <c r="A91" s="65"/>
      <c r="B91" s="2">
        <v>40</v>
      </c>
      <c r="C91" s="9" t="s">
        <v>125</v>
      </c>
      <c r="D91" s="8"/>
      <c r="E91" s="4">
        <v>2100000</v>
      </c>
      <c r="F91" s="3">
        <v>20</v>
      </c>
      <c r="G91" s="4">
        <f>E91/30*F91</f>
        <v>1400000</v>
      </c>
      <c r="H91" s="4"/>
      <c r="I91" s="4"/>
      <c r="J91" s="4"/>
      <c r="K91" s="4"/>
      <c r="L91" s="4"/>
      <c r="M91" s="4">
        <f t="shared" si="18"/>
        <v>1400000</v>
      </c>
      <c r="N91" s="4">
        <f>+M91*0.04</f>
        <v>56000</v>
      </c>
      <c r="O91" s="4">
        <f>+M91*0.04</f>
        <v>56000</v>
      </c>
      <c r="P91" s="4"/>
      <c r="Q91" s="4"/>
      <c r="R91" s="4">
        <v>0</v>
      </c>
      <c r="S91" s="4"/>
      <c r="T91" s="4"/>
      <c r="U91" s="4"/>
      <c r="V91" s="4">
        <f t="shared" si="13"/>
        <v>112000</v>
      </c>
      <c r="W91" s="5">
        <f t="shared" si="23"/>
        <v>1288000</v>
      </c>
      <c r="X91" s="5"/>
      <c r="Y91" s="64"/>
      <c r="Z91" s="5">
        <f t="shared" si="24"/>
        <v>1288000</v>
      </c>
    </row>
    <row r="92" spans="1:27" ht="24.95" customHeight="1" x14ac:dyDescent="0.25">
      <c r="A92" s="65"/>
      <c r="B92" s="2">
        <v>41</v>
      </c>
      <c r="C92" s="9" t="s">
        <v>126</v>
      </c>
      <c r="D92" s="8"/>
      <c r="E92" s="4">
        <v>781242</v>
      </c>
      <c r="F92" s="3">
        <v>30</v>
      </c>
      <c r="G92" s="4">
        <f>E92/30*F92</f>
        <v>781242</v>
      </c>
      <c r="H92" s="4">
        <v>88211</v>
      </c>
      <c r="I92" s="4">
        <f>264532</f>
        <v>264532</v>
      </c>
      <c r="J92" s="4">
        <v>0</v>
      </c>
      <c r="K92" s="4"/>
      <c r="L92" s="4">
        <f>+E92-G92</f>
        <v>0</v>
      </c>
      <c r="M92" s="4">
        <f t="shared" si="18"/>
        <v>1133985</v>
      </c>
      <c r="N92" s="4">
        <f>+E92*0.04</f>
        <v>31249.68</v>
      </c>
      <c r="O92" s="4">
        <f>+E92*4%</f>
        <v>31249.68</v>
      </c>
      <c r="P92" s="4"/>
      <c r="Q92" s="4"/>
      <c r="R92" s="4"/>
      <c r="S92" s="4"/>
      <c r="T92" s="4"/>
      <c r="U92" s="4"/>
      <c r="V92" s="4">
        <f t="shared" si="13"/>
        <v>62499.360000000001</v>
      </c>
      <c r="W92" s="5">
        <f t="shared" si="23"/>
        <v>1071485.6399999999</v>
      </c>
      <c r="X92" s="5"/>
      <c r="Y92" s="64"/>
      <c r="Z92" s="5">
        <f t="shared" si="24"/>
        <v>1071485.6399999999</v>
      </c>
    </row>
    <row r="93" spans="1:27" ht="24.95" customHeight="1" x14ac:dyDescent="0.25">
      <c r="A93" s="65"/>
      <c r="B93" s="2">
        <v>42</v>
      </c>
      <c r="C93" s="9" t="s">
        <v>127</v>
      </c>
      <c r="D93" s="8"/>
      <c r="E93" s="4">
        <v>400000</v>
      </c>
      <c r="F93" s="3">
        <v>30</v>
      </c>
      <c r="G93" s="4">
        <f>+E93</f>
        <v>400000</v>
      </c>
      <c r="H93" s="4">
        <f>88211/2</f>
        <v>44105.5</v>
      </c>
      <c r="I93" s="4"/>
      <c r="J93" s="4"/>
      <c r="K93" s="4"/>
      <c r="L93" s="4">
        <f>+E93-G93</f>
        <v>0</v>
      </c>
      <c r="M93" s="4">
        <f t="shared" si="18"/>
        <v>444105.5</v>
      </c>
      <c r="N93" s="4">
        <f>+E93*4%</f>
        <v>16000</v>
      </c>
      <c r="O93" s="4">
        <f>+E93*4%</f>
        <v>16000</v>
      </c>
      <c r="P93" s="4"/>
      <c r="Q93" s="4"/>
      <c r="R93" s="4"/>
      <c r="S93" s="4"/>
      <c r="T93" s="4"/>
      <c r="U93" s="4"/>
      <c r="V93" s="4">
        <f t="shared" si="13"/>
        <v>32000</v>
      </c>
      <c r="W93" s="5">
        <f t="shared" si="23"/>
        <v>412105.5</v>
      </c>
      <c r="X93" s="5"/>
      <c r="Y93" s="64"/>
      <c r="Z93" s="5">
        <f t="shared" si="24"/>
        <v>412105.5</v>
      </c>
    </row>
    <row r="94" spans="1:27" ht="24.95" customHeight="1" x14ac:dyDescent="0.25">
      <c r="A94" s="65"/>
      <c r="B94" s="2">
        <v>43</v>
      </c>
      <c r="C94" s="1" t="s">
        <v>128</v>
      </c>
      <c r="D94" s="2" t="s">
        <v>31</v>
      </c>
      <c r="E94" s="4">
        <v>15400000</v>
      </c>
      <c r="F94" s="3">
        <v>30</v>
      </c>
      <c r="G94" s="4">
        <f>E94/30*F94</f>
        <v>15400000</v>
      </c>
      <c r="H94" s="4"/>
      <c r="I94" s="4"/>
      <c r="J94" s="4">
        <v>600000</v>
      </c>
      <c r="K94" s="4"/>
      <c r="L94" s="4">
        <f>+E94-G94</f>
        <v>0</v>
      </c>
      <c r="M94" s="4">
        <f t="shared" si="18"/>
        <v>16000000</v>
      </c>
      <c r="N94" s="4">
        <v>616000</v>
      </c>
      <c r="O94" s="4">
        <f>616000+308000</f>
        <v>924000</v>
      </c>
      <c r="P94" s="4">
        <v>102400</v>
      </c>
      <c r="Q94" s="4"/>
      <c r="R94" s="4">
        <v>916000</v>
      </c>
      <c r="S94" s="4">
        <v>5000000</v>
      </c>
      <c r="T94" s="4"/>
      <c r="U94" s="4">
        <v>2314715</v>
      </c>
      <c r="V94" s="4">
        <f t="shared" si="13"/>
        <v>9873115</v>
      </c>
      <c r="W94" s="5">
        <f>+M94-V94</f>
        <v>6126885</v>
      </c>
      <c r="X94" s="5"/>
      <c r="Y94" s="64"/>
      <c r="Z94" s="5">
        <f t="shared" si="24"/>
        <v>6126885</v>
      </c>
    </row>
    <row r="95" spans="1:27" ht="24.95" customHeight="1" x14ac:dyDescent="0.25">
      <c r="A95" s="65"/>
      <c r="B95" s="2">
        <v>44</v>
      </c>
      <c r="C95" s="1" t="s">
        <v>129</v>
      </c>
      <c r="D95" s="2" t="s">
        <v>31</v>
      </c>
      <c r="E95" s="4">
        <v>5500000</v>
      </c>
      <c r="F95" s="3">
        <v>30</v>
      </c>
      <c r="G95" s="4">
        <f>E95/30*F95</f>
        <v>5500000</v>
      </c>
      <c r="H95" s="4"/>
      <c r="I95" s="4"/>
      <c r="J95" s="4">
        <v>500000</v>
      </c>
      <c r="K95" s="4"/>
      <c r="L95" s="4">
        <f>+E95-G95</f>
        <v>0</v>
      </c>
      <c r="M95" s="4">
        <f t="shared" si="18"/>
        <v>6000000</v>
      </c>
      <c r="N95" s="4">
        <f>+E95*0.04</f>
        <v>220000</v>
      </c>
      <c r="O95" s="4">
        <f>+E95*0.05</f>
        <v>275000</v>
      </c>
      <c r="P95" s="4"/>
      <c r="Q95" s="4"/>
      <c r="R95" s="4">
        <v>120000</v>
      </c>
      <c r="S95" s="4"/>
      <c r="T95" s="4"/>
      <c r="U95" s="4">
        <v>1138458</v>
      </c>
      <c r="V95" s="4">
        <f t="shared" si="13"/>
        <v>1753458</v>
      </c>
      <c r="W95" s="5">
        <f>+M95-V95</f>
        <v>4246542</v>
      </c>
      <c r="X95" s="5"/>
      <c r="Y95" s="64"/>
      <c r="Z95" s="5">
        <f t="shared" si="24"/>
        <v>4246542</v>
      </c>
      <c r="AA95" s="8"/>
    </row>
    <row r="96" spans="1:27" ht="24.95" customHeight="1" x14ac:dyDescent="0.25">
      <c r="A96" s="65"/>
      <c r="B96" s="2">
        <v>45</v>
      </c>
      <c r="C96" s="1" t="s">
        <v>130</v>
      </c>
      <c r="D96" s="2"/>
      <c r="E96" s="4">
        <v>1600000</v>
      </c>
      <c r="F96" s="3">
        <v>30</v>
      </c>
      <c r="G96" s="4">
        <f>E96/30*F96</f>
        <v>1600000</v>
      </c>
      <c r="H96" s="4"/>
      <c r="I96" s="4"/>
      <c r="J96" s="4"/>
      <c r="K96" s="4"/>
      <c r="L96" s="4">
        <f>+E96-G96</f>
        <v>0</v>
      </c>
      <c r="M96" s="4">
        <f t="shared" si="18"/>
        <v>1600000</v>
      </c>
      <c r="N96" s="4">
        <f>+E96*4%</f>
        <v>64000</v>
      </c>
      <c r="O96" s="4">
        <f>+E96*4%</f>
        <v>64000</v>
      </c>
      <c r="P96" s="4"/>
      <c r="Q96" s="4"/>
      <c r="R96" s="4"/>
      <c r="S96" s="4"/>
      <c r="T96" s="4"/>
      <c r="U96" s="4"/>
      <c r="V96" s="4">
        <f t="shared" si="13"/>
        <v>128000</v>
      </c>
      <c r="W96" s="5">
        <f>+M96-V96</f>
        <v>1472000</v>
      </c>
      <c r="X96" s="5"/>
      <c r="Y96" s="64"/>
      <c r="Z96" s="5">
        <f t="shared" si="24"/>
        <v>1472000</v>
      </c>
    </row>
    <row r="97" spans="1:27" ht="24.95" customHeight="1" x14ac:dyDescent="0.25">
      <c r="A97" s="65"/>
      <c r="B97" s="2">
        <v>46</v>
      </c>
      <c r="C97" s="1" t="s">
        <v>131</v>
      </c>
      <c r="D97" s="2" t="s">
        <v>31</v>
      </c>
      <c r="E97" s="4">
        <v>2500000</v>
      </c>
      <c r="F97" s="3">
        <v>30</v>
      </c>
      <c r="G97" s="4">
        <f>+E97-L97</f>
        <v>1916667</v>
      </c>
      <c r="H97" s="4"/>
      <c r="I97" s="4"/>
      <c r="J97" s="4"/>
      <c r="K97" s="4"/>
      <c r="L97" s="4">
        <v>583333</v>
      </c>
      <c r="M97" s="4">
        <f t="shared" si="18"/>
        <v>2500000</v>
      </c>
      <c r="N97" s="4">
        <f>+E97*0.04</f>
        <v>100000</v>
      </c>
      <c r="O97" s="4">
        <f>+E97*0.04</f>
        <v>100000</v>
      </c>
      <c r="P97" s="4"/>
      <c r="Q97" s="4"/>
      <c r="R97" s="4">
        <v>0</v>
      </c>
      <c r="S97" s="4"/>
      <c r="T97" s="4"/>
      <c r="U97" s="4"/>
      <c r="V97" s="4">
        <f t="shared" si="13"/>
        <v>200000</v>
      </c>
      <c r="W97" s="5">
        <f>+M97-V97</f>
        <v>2300000</v>
      </c>
      <c r="X97" s="5"/>
      <c r="Y97" s="64"/>
      <c r="Z97" s="5">
        <f t="shared" si="24"/>
        <v>2300000</v>
      </c>
    </row>
    <row r="98" spans="1:27" ht="24.95" customHeight="1" x14ac:dyDescent="0.25">
      <c r="A98" s="65"/>
      <c r="B98" s="2">
        <v>47</v>
      </c>
      <c r="C98" s="9" t="s">
        <v>132</v>
      </c>
      <c r="D98" s="8" t="s">
        <v>31</v>
      </c>
      <c r="E98" s="4">
        <v>3000000</v>
      </c>
      <c r="F98" s="3">
        <v>30</v>
      </c>
      <c r="G98" s="4">
        <f>+E98-L98</f>
        <v>3000000</v>
      </c>
      <c r="H98" s="4"/>
      <c r="I98" s="4"/>
      <c r="J98" s="4">
        <v>270000</v>
      </c>
      <c r="K98" s="4"/>
      <c r="L98" s="4"/>
      <c r="M98" s="4">
        <f t="shared" si="18"/>
        <v>3270000</v>
      </c>
      <c r="N98" s="4">
        <f>+E98*0.04</f>
        <v>120000</v>
      </c>
      <c r="O98" s="4">
        <f>+E98*0.04</f>
        <v>120000</v>
      </c>
      <c r="P98" s="4"/>
      <c r="Q98" s="4"/>
      <c r="R98" s="4">
        <v>0</v>
      </c>
      <c r="S98" s="4"/>
      <c r="T98" s="4"/>
      <c r="U98" s="4">
        <v>514771</v>
      </c>
      <c r="V98" s="4">
        <f t="shared" si="13"/>
        <v>754771</v>
      </c>
      <c r="W98" s="5">
        <f>M98-V98</f>
        <v>2515229</v>
      </c>
      <c r="X98" s="5"/>
      <c r="Y98" s="64"/>
      <c r="Z98" s="5">
        <f t="shared" si="24"/>
        <v>2515229</v>
      </c>
    </row>
    <row r="99" spans="1:27" ht="24.95" customHeight="1" x14ac:dyDescent="0.25">
      <c r="A99" s="65"/>
      <c r="B99" s="2">
        <v>48</v>
      </c>
      <c r="C99" s="9" t="s">
        <v>133</v>
      </c>
      <c r="D99" s="8"/>
      <c r="E99" s="4">
        <v>2200000</v>
      </c>
      <c r="F99" s="3">
        <v>29</v>
      </c>
      <c r="G99" s="4">
        <f>+E99/30*F99</f>
        <v>2126666.6666666665</v>
      </c>
      <c r="H99" s="4"/>
      <c r="I99" s="4"/>
      <c r="J99" s="4"/>
      <c r="K99" s="4"/>
      <c r="L99" s="4"/>
      <c r="M99" s="4">
        <f t="shared" si="18"/>
        <v>2126666.6666666665</v>
      </c>
      <c r="N99" s="4">
        <f>+M99*0.04</f>
        <v>85066.666666666657</v>
      </c>
      <c r="O99" s="4">
        <f>+M99*0.04</f>
        <v>85066.666666666657</v>
      </c>
      <c r="P99" s="4"/>
      <c r="Q99" s="4"/>
      <c r="R99" s="4">
        <v>0</v>
      </c>
      <c r="S99" s="4"/>
      <c r="T99" s="4"/>
      <c r="U99" s="4"/>
      <c r="V99" s="4">
        <f t="shared" si="13"/>
        <v>170133.33333333331</v>
      </c>
      <c r="W99" s="5">
        <f>M99-V99</f>
        <v>1956533.3333333333</v>
      </c>
      <c r="X99" s="5"/>
      <c r="Y99" s="64"/>
      <c r="Z99" s="5">
        <f t="shared" si="24"/>
        <v>1956533.3333333333</v>
      </c>
      <c r="AA99" s="62" t="s">
        <v>68</v>
      </c>
    </row>
    <row r="100" spans="1:27" ht="24.95" customHeight="1" x14ac:dyDescent="0.25">
      <c r="A100" s="65"/>
      <c r="B100" s="2">
        <v>49</v>
      </c>
      <c r="C100" s="1" t="s">
        <v>134</v>
      </c>
      <c r="D100" s="2" t="s">
        <v>31</v>
      </c>
      <c r="E100" s="4">
        <v>3750000</v>
      </c>
      <c r="F100" s="3">
        <v>24</v>
      </c>
      <c r="G100" s="4">
        <f>+E100/30*F100</f>
        <v>3000000</v>
      </c>
      <c r="H100" s="4"/>
      <c r="I100" s="4">
        <v>500022</v>
      </c>
      <c r="J100" s="4"/>
      <c r="K100" s="4"/>
      <c r="L100" s="4"/>
      <c r="M100" s="4">
        <f t="shared" si="18"/>
        <v>3500022</v>
      </c>
      <c r="N100" s="4">
        <f t="shared" ref="N100:N105" si="25">+E100*4%</f>
        <v>150000</v>
      </c>
      <c r="O100" s="4">
        <f>+E100*5%</f>
        <v>187500</v>
      </c>
      <c r="P100" s="4"/>
      <c r="Q100" s="4"/>
      <c r="R100" s="4"/>
      <c r="S100" s="4"/>
      <c r="T100" s="4"/>
      <c r="U100" s="4"/>
      <c r="V100" s="4">
        <f t="shared" si="13"/>
        <v>337500</v>
      </c>
      <c r="W100" s="5">
        <f>+M100-V100</f>
        <v>3162522</v>
      </c>
      <c r="X100" s="5"/>
      <c r="Y100" s="64"/>
      <c r="Z100" s="5">
        <f t="shared" si="24"/>
        <v>3162522</v>
      </c>
    </row>
    <row r="101" spans="1:27" ht="24.95" customHeight="1" x14ac:dyDescent="0.25">
      <c r="A101" s="65"/>
      <c r="B101" s="2">
        <v>50</v>
      </c>
      <c r="C101" s="1" t="s">
        <v>135</v>
      </c>
      <c r="D101" s="2" t="s">
        <v>31</v>
      </c>
      <c r="E101" s="4">
        <v>3700000</v>
      </c>
      <c r="F101" s="3">
        <v>30</v>
      </c>
      <c r="G101" s="4">
        <f>E101/30*F101</f>
        <v>3700000</v>
      </c>
      <c r="H101" s="4"/>
      <c r="I101" s="4"/>
      <c r="J101" s="4">
        <v>650000</v>
      </c>
      <c r="K101" s="4"/>
      <c r="L101" s="4">
        <f>+E101-G101</f>
        <v>0</v>
      </c>
      <c r="M101" s="4">
        <f t="shared" si="18"/>
        <v>4350000</v>
      </c>
      <c r="N101" s="4">
        <f t="shared" si="25"/>
        <v>148000</v>
      </c>
      <c r="O101" s="4">
        <f>+E101*5%</f>
        <v>185000</v>
      </c>
      <c r="P101" s="4"/>
      <c r="Q101" s="4"/>
      <c r="R101" s="4"/>
      <c r="S101" s="4"/>
      <c r="T101" s="4"/>
      <c r="U101" s="4"/>
      <c r="V101" s="4">
        <f t="shared" si="13"/>
        <v>333000</v>
      </c>
      <c r="W101" s="5">
        <f>+M101-V101</f>
        <v>4017000</v>
      </c>
      <c r="X101" s="5"/>
      <c r="Y101" s="64"/>
      <c r="Z101" s="5">
        <f t="shared" si="24"/>
        <v>4017000</v>
      </c>
    </row>
    <row r="102" spans="1:27" ht="24.95" customHeight="1" x14ac:dyDescent="0.25">
      <c r="A102" s="65"/>
      <c r="B102" s="2">
        <v>51</v>
      </c>
      <c r="C102" s="1" t="s">
        <v>136</v>
      </c>
      <c r="D102" s="2" t="s">
        <v>31</v>
      </c>
      <c r="E102" s="4">
        <v>3500000</v>
      </c>
      <c r="F102" s="3">
        <v>30</v>
      </c>
      <c r="G102" s="4">
        <f>+E102-L102</f>
        <v>2683333</v>
      </c>
      <c r="H102" s="4"/>
      <c r="I102" s="4"/>
      <c r="J102" s="4" t="s">
        <v>1</v>
      </c>
      <c r="K102" s="4"/>
      <c r="L102" s="4">
        <v>816667</v>
      </c>
      <c r="M102" s="4">
        <f t="shared" si="18"/>
        <v>3500000</v>
      </c>
      <c r="N102" s="4">
        <f t="shared" si="25"/>
        <v>140000</v>
      </c>
      <c r="O102" s="4">
        <f>+E102*5%</f>
        <v>175000</v>
      </c>
      <c r="P102" s="4"/>
      <c r="Q102" s="4"/>
      <c r="R102" s="4"/>
      <c r="S102" s="4"/>
      <c r="T102" s="4"/>
      <c r="U102" s="4"/>
      <c r="V102" s="4">
        <f t="shared" si="13"/>
        <v>315000</v>
      </c>
      <c r="W102" s="5">
        <f>+M102-V102</f>
        <v>3185000</v>
      </c>
      <c r="X102" s="5"/>
      <c r="Y102" s="64"/>
      <c r="Z102" s="5">
        <f t="shared" si="24"/>
        <v>3185000</v>
      </c>
    </row>
    <row r="103" spans="1:27" ht="24.95" customHeight="1" x14ac:dyDescent="0.25">
      <c r="A103" s="65"/>
      <c r="B103" s="2">
        <v>52</v>
      </c>
      <c r="C103" s="1" t="s">
        <v>137</v>
      </c>
      <c r="D103" s="2" t="s">
        <v>45</v>
      </c>
      <c r="E103" s="4">
        <v>2000000</v>
      </c>
      <c r="F103" s="3">
        <v>30</v>
      </c>
      <c r="G103" s="4">
        <f>+E103-L103</f>
        <v>1533333</v>
      </c>
      <c r="H103" s="4"/>
      <c r="I103" s="4"/>
      <c r="J103" s="4"/>
      <c r="K103" s="4"/>
      <c r="L103" s="4">
        <v>466667</v>
      </c>
      <c r="M103" s="4">
        <f t="shared" si="18"/>
        <v>2000000</v>
      </c>
      <c r="N103" s="4">
        <f t="shared" si="25"/>
        <v>80000</v>
      </c>
      <c r="O103" s="4">
        <f>+E103*4%</f>
        <v>80000</v>
      </c>
      <c r="P103" s="4"/>
      <c r="Q103" s="4"/>
      <c r="R103" s="7"/>
      <c r="S103" s="4"/>
      <c r="T103" s="4"/>
      <c r="U103" s="4"/>
      <c r="V103" s="4">
        <f t="shared" si="13"/>
        <v>160000</v>
      </c>
      <c r="W103" s="5">
        <f>+M103-V103</f>
        <v>1840000</v>
      </c>
      <c r="X103" s="5"/>
      <c r="Y103" s="64"/>
      <c r="Z103" s="5">
        <f t="shared" si="24"/>
        <v>1840000</v>
      </c>
    </row>
    <row r="104" spans="1:27" ht="24.95" customHeight="1" x14ac:dyDescent="0.25">
      <c r="A104" s="65"/>
      <c r="B104" s="2">
        <v>53</v>
      </c>
      <c r="C104" s="9" t="s">
        <v>138</v>
      </c>
      <c r="D104" s="8" t="s">
        <v>31</v>
      </c>
      <c r="E104" s="4">
        <v>1600000</v>
      </c>
      <c r="F104" s="3">
        <v>30</v>
      </c>
      <c r="G104" s="4">
        <f>+E104-L104</f>
        <v>1226667</v>
      </c>
      <c r="H104" s="4"/>
      <c r="I104" s="4"/>
      <c r="J104" s="4"/>
      <c r="K104" s="4"/>
      <c r="L104" s="4">
        <v>373333</v>
      </c>
      <c r="M104" s="4">
        <f t="shared" si="18"/>
        <v>1600000</v>
      </c>
      <c r="N104" s="4">
        <f t="shared" si="25"/>
        <v>64000</v>
      </c>
      <c r="O104" s="4">
        <v>64000</v>
      </c>
      <c r="P104" s="4"/>
      <c r="Q104" s="4"/>
      <c r="R104" s="4">
        <v>0</v>
      </c>
      <c r="S104" s="4"/>
      <c r="T104" s="4">
        <v>175000</v>
      </c>
      <c r="U104" s="4"/>
      <c r="V104" s="4">
        <f t="shared" si="13"/>
        <v>303000</v>
      </c>
      <c r="W104" s="5">
        <f>M104-V104</f>
        <v>1297000</v>
      </c>
      <c r="X104" s="5"/>
      <c r="Y104" s="64"/>
      <c r="Z104" s="5">
        <f t="shared" si="24"/>
        <v>1297000</v>
      </c>
    </row>
    <row r="105" spans="1:27" ht="24.95" customHeight="1" x14ac:dyDescent="0.25">
      <c r="A105" s="65"/>
      <c r="B105" s="2">
        <v>54</v>
      </c>
      <c r="C105" s="1" t="s">
        <v>139</v>
      </c>
      <c r="D105" s="2" t="s">
        <v>31</v>
      </c>
      <c r="E105" s="4">
        <v>2300000</v>
      </c>
      <c r="F105" s="3">
        <v>30</v>
      </c>
      <c r="G105" s="4">
        <f>+E105-L105</f>
        <v>1763333</v>
      </c>
      <c r="H105" s="4"/>
      <c r="I105" s="4"/>
      <c r="J105" s="4"/>
      <c r="K105" s="4"/>
      <c r="L105" s="4">
        <v>536667</v>
      </c>
      <c r="M105" s="4">
        <f t="shared" si="18"/>
        <v>2300000</v>
      </c>
      <c r="N105" s="4">
        <f t="shared" si="25"/>
        <v>92000</v>
      </c>
      <c r="O105" s="4">
        <f>+E105*4%</f>
        <v>92000</v>
      </c>
      <c r="P105" s="4"/>
      <c r="Q105" s="4"/>
      <c r="R105" s="4">
        <v>0</v>
      </c>
      <c r="S105" s="4"/>
      <c r="T105" s="4"/>
      <c r="U105" s="4"/>
      <c r="V105" s="4">
        <f t="shared" si="13"/>
        <v>184000</v>
      </c>
      <c r="W105" s="5">
        <f t="shared" ref="W105:W110" si="26">+M105-V105</f>
        <v>2116000</v>
      </c>
      <c r="X105" s="5"/>
      <c r="Y105" s="64"/>
      <c r="Z105" s="5">
        <f t="shared" si="24"/>
        <v>2116000</v>
      </c>
    </row>
    <row r="106" spans="1:27" ht="24.95" customHeight="1" x14ac:dyDescent="0.25">
      <c r="A106" s="65"/>
      <c r="B106" s="2">
        <v>55</v>
      </c>
      <c r="C106" s="1" t="s">
        <v>140</v>
      </c>
      <c r="D106" s="2"/>
      <c r="E106" s="4">
        <v>781242</v>
      </c>
      <c r="F106" s="3">
        <v>30</v>
      </c>
      <c r="G106" s="4">
        <f>E106/30*F106</f>
        <v>781242</v>
      </c>
      <c r="H106" s="4"/>
      <c r="I106" s="4"/>
      <c r="J106" s="4"/>
      <c r="K106" s="4"/>
      <c r="L106" s="4"/>
      <c r="M106" s="4">
        <f t="shared" si="18"/>
        <v>781242</v>
      </c>
      <c r="N106" s="4"/>
      <c r="O106" s="4"/>
      <c r="P106" s="4"/>
      <c r="Q106" s="4"/>
      <c r="R106" s="4"/>
      <c r="S106" s="4"/>
      <c r="T106" s="4"/>
      <c r="U106" s="4"/>
      <c r="V106" s="4">
        <f t="shared" si="13"/>
        <v>0</v>
      </c>
      <c r="W106" s="5">
        <f t="shared" si="26"/>
        <v>781242</v>
      </c>
      <c r="X106" s="5"/>
      <c r="Y106" s="64"/>
      <c r="Z106" s="5">
        <f t="shared" si="24"/>
        <v>781242</v>
      </c>
    </row>
    <row r="107" spans="1:27" ht="24.95" customHeight="1" x14ac:dyDescent="0.25">
      <c r="A107" s="65"/>
      <c r="B107" s="2">
        <v>56</v>
      </c>
      <c r="C107" s="1" t="s">
        <v>141</v>
      </c>
      <c r="D107" s="2" t="s">
        <v>31</v>
      </c>
      <c r="E107" s="4">
        <v>2700000</v>
      </c>
      <c r="F107" s="3">
        <v>30</v>
      </c>
      <c r="G107" s="4">
        <f>+E107-L107</f>
        <v>2070000</v>
      </c>
      <c r="H107" s="4"/>
      <c r="I107" s="4"/>
      <c r="J107" s="4"/>
      <c r="K107" s="4"/>
      <c r="L107" s="4">
        <v>630000</v>
      </c>
      <c r="M107" s="4">
        <f t="shared" si="18"/>
        <v>2700000</v>
      </c>
      <c r="N107" s="4">
        <f>+E107*0.04</f>
        <v>108000</v>
      </c>
      <c r="O107" s="4">
        <v>108000</v>
      </c>
      <c r="P107" s="4"/>
      <c r="Q107" s="4"/>
      <c r="R107" s="4"/>
      <c r="S107" s="4"/>
      <c r="T107" s="4"/>
      <c r="U107" s="4"/>
      <c r="V107" s="4">
        <f t="shared" si="13"/>
        <v>216000</v>
      </c>
      <c r="W107" s="5">
        <f t="shared" si="26"/>
        <v>2484000</v>
      </c>
      <c r="X107" s="5"/>
      <c r="Y107" s="64"/>
      <c r="Z107" s="5">
        <f t="shared" si="24"/>
        <v>2484000</v>
      </c>
    </row>
    <row r="108" spans="1:27" ht="24.95" customHeight="1" x14ac:dyDescent="0.25">
      <c r="A108" s="65"/>
      <c r="B108" s="2">
        <v>57</v>
      </c>
      <c r="C108" s="1" t="s">
        <v>142</v>
      </c>
      <c r="D108" s="2"/>
      <c r="E108" s="4">
        <v>2000000</v>
      </c>
      <c r="F108" s="3">
        <v>30</v>
      </c>
      <c r="G108" s="4">
        <f>E108/30*F108</f>
        <v>2000000.0000000002</v>
      </c>
      <c r="H108" s="4"/>
      <c r="I108" s="4"/>
      <c r="J108" s="4"/>
      <c r="K108" s="4"/>
      <c r="L108" s="4"/>
      <c r="M108" s="4">
        <f t="shared" si="18"/>
        <v>2000000.0000000002</v>
      </c>
      <c r="N108" s="4">
        <f>+E108*4%</f>
        <v>80000</v>
      </c>
      <c r="O108" s="4">
        <f>+E108*4%</f>
        <v>80000</v>
      </c>
      <c r="P108" s="4"/>
      <c r="Q108" s="4"/>
      <c r="R108" s="4">
        <v>0</v>
      </c>
      <c r="S108" s="4"/>
      <c r="T108" s="4"/>
      <c r="U108" s="4"/>
      <c r="V108" s="4">
        <f t="shared" si="13"/>
        <v>160000</v>
      </c>
      <c r="W108" s="5">
        <f t="shared" si="26"/>
        <v>1840000.0000000002</v>
      </c>
      <c r="X108" s="5"/>
      <c r="Y108" s="64"/>
      <c r="Z108" s="5">
        <f t="shared" si="24"/>
        <v>1840000.0000000002</v>
      </c>
    </row>
    <row r="109" spans="1:27" ht="24.95" customHeight="1" x14ac:dyDescent="0.25">
      <c r="A109" s="65"/>
      <c r="B109" s="2">
        <v>58</v>
      </c>
      <c r="C109" s="1" t="s">
        <v>143</v>
      </c>
      <c r="D109" s="2"/>
      <c r="E109" s="4">
        <v>781242</v>
      </c>
      <c r="F109" s="3">
        <v>30</v>
      </c>
      <c r="G109" s="4">
        <f>+E109</f>
        <v>781242</v>
      </c>
      <c r="H109" s="4"/>
      <c r="I109" s="4"/>
      <c r="J109" s="4"/>
      <c r="K109" s="11"/>
      <c r="L109" s="11"/>
      <c r="M109" s="4">
        <f t="shared" si="18"/>
        <v>781242</v>
      </c>
      <c r="N109" s="4"/>
      <c r="O109" s="4"/>
      <c r="P109" s="4"/>
      <c r="Q109" s="4"/>
      <c r="R109" s="4"/>
      <c r="S109" s="4"/>
      <c r="T109" s="4"/>
      <c r="U109" s="4"/>
      <c r="V109" s="4">
        <f t="shared" si="13"/>
        <v>0</v>
      </c>
      <c r="W109" s="5">
        <f t="shared" si="26"/>
        <v>781242</v>
      </c>
      <c r="X109" s="5"/>
      <c r="Y109" s="64"/>
      <c r="Z109" s="5">
        <f t="shared" si="24"/>
        <v>781242</v>
      </c>
    </row>
    <row r="110" spans="1:27" x14ac:dyDescent="0.25">
      <c r="A110" s="65"/>
      <c r="B110" s="2">
        <v>59</v>
      </c>
      <c r="C110" s="1" t="s">
        <v>144</v>
      </c>
      <c r="D110" s="2"/>
      <c r="E110" s="4">
        <v>1200000</v>
      </c>
      <c r="F110" s="3">
        <v>30</v>
      </c>
      <c r="G110" s="4">
        <f>+E110-L110</f>
        <v>920000</v>
      </c>
      <c r="H110" s="4">
        <v>88211</v>
      </c>
      <c r="I110" s="4"/>
      <c r="J110" s="4"/>
      <c r="K110" s="4"/>
      <c r="L110" s="4">
        <v>280000</v>
      </c>
      <c r="M110" s="4">
        <f t="shared" si="18"/>
        <v>1288211</v>
      </c>
      <c r="N110" s="4">
        <f>+E110*4%</f>
        <v>48000</v>
      </c>
      <c r="O110" s="4">
        <f>+E110*4%</f>
        <v>48000</v>
      </c>
      <c r="P110" s="4"/>
      <c r="Q110" s="4"/>
      <c r="R110" s="4">
        <v>0</v>
      </c>
      <c r="S110" s="4"/>
      <c r="T110" s="4"/>
      <c r="U110" s="4"/>
      <c r="V110" s="4">
        <f t="shared" si="13"/>
        <v>96000</v>
      </c>
      <c r="W110" s="5">
        <f t="shared" si="26"/>
        <v>1192211</v>
      </c>
      <c r="X110" s="5"/>
      <c r="Y110" s="64"/>
      <c r="Z110" s="5">
        <f t="shared" si="24"/>
        <v>1192211</v>
      </c>
    </row>
    <row r="111" spans="1:27" x14ac:dyDescent="0.25">
      <c r="E111" s="12">
        <f>SUM(E4:E110)</f>
        <v>403543634</v>
      </c>
      <c r="F111" s="12"/>
      <c r="G111" s="12">
        <f>SUM(G4:G110)</f>
        <v>354772941</v>
      </c>
      <c r="H111" s="12">
        <f t="shared" ref="H111:W111" si="27">SUM(H4:H110)</f>
        <v>940917.5</v>
      </c>
      <c r="I111" s="12">
        <f t="shared" si="27"/>
        <v>1677404.3333333335</v>
      </c>
      <c r="J111" s="12">
        <f t="shared" si="27"/>
        <v>14853987</v>
      </c>
      <c r="K111" s="12">
        <f t="shared" si="27"/>
        <v>0</v>
      </c>
      <c r="L111" s="12">
        <f t="shared" si="27"/>
        <v>35190693</v>
      </c>
      <c r="M111" s="12">
        <f t="shared" si="27"/>
        <v>407435942.83333331</v>
      </c>
      <c r="N111" s="12">
        <f t="shared" si="27"/>
        <v>15644021.159999996</v>
      </c>
      <c r="O111" s="12">
        <f t="shared" si="27"/>
        <v>18827677.683333334</v>
      </c>
      <c r="P111" s="12">
        <f t="shared" si="27"/>
        <v>102400</v>
      </c>
      <c r="Q111" s="12">
        <f t="shared" si="27"/>
        <v>0</v>
      </c>
      <c r="R111" s="12">
        <f t="shared" si="27"/>
        <v>4927970</v>
      </c>
      <c r="S111" s="12">
        <f t="shared" si="27"/>
        <v>9440000</v>
      </c>
      <c r="T111" s="12">
        <f t="shared" si="27"/>
        <v>519614</v>
      </c>
      <c r="U111" s="12">
        <f t="shared" si="27"/>
        <v>16070757.5</v>
      </c>
      <c r="V111" s="12">
        <f t="shared" si="27"/>
        <v>65532440.343333334</v>
      </c>
      <c r="W111" s="12">
        <f t="shared" si="27"/>
        <v>341903502.48999989</v>
      </c>
      <c r="X111" s="67"/>
      <c r="Z111" s="67"/>
    </row>
    <row r="112" spans="1:27" x14ac:dyDescent="0.25">
      <c r="D112" s="68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66"/>
      <c r="X112" s="68"/>
      <c r="Y112" s="70"/>
      <c r="Z112" s="66"/>
    </row>
    <row r="113" spans="2:30" x14ac:dyDescent="0.25">
      <c r="D113" s="68"/>
      <c r="E113" s="12"/>
      <c r="F113" s="12"/>
      <c r="G113" s="12"/>
      <c r="H113" s="12"/>
      <c r="I113" s="12"/>
      <c r="J113" s="12"/>
      <c r="K113" s="12">
        <f>14869565-180000</f>
        <v>14689565</v>
      </c>
      <c r="L113" s="12"/>
      <c r="M113" s="12"/>
      <c r="N113" s="12"/>
      <c r="O113" s="12"/>
      <c r="P113" s="12"/>
      <c r="Q113" s="12"/>
      <c r="R113" s="12"/>
      <c r="T113" s="12"/>
      <c r="U113" s="12"/>
      <c r="V113" s="12"/>
      <c r="W113" s="66"/>
      <c r="X113" s="68"/>
      <c r="Y113" s="70"/>
      <c r="Z113" s="66"/>
    </row>
    <row r="114" spans="2:30" x14ac:dyDescent="0.25">
      <c r="C114" s="72"/>
      <c r="D114" s="68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T114" s="12"/>
      <c r="U114" s="12"/>
      <c r="V114" s="12"/>
      <c r="W114" s="68"/>
      <c r="X114" s="68"/>
      <c r="Y114" s="70"/>
      <c r="Z114" s="66"/>
    </row>
    <row r="115" spans="2:30" x14ac:dyDescent="0.25">
      <c r="C115" s="72"/>
      <c r="D115" s="68"/>
      <c r="E115" s="12"/>
      <c r="F115" s="12"/>
      <c r="G115" s="12"/>
      <c r="H115" s="12"/>
      <c r="I115" s="12"/>
      <c r="J115" s="12">
        <v>13696400</v>
      </c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68"/>
      <c r="X115" s="68"/>
      <c r="Y115" s="70"/>
      <c r="Z115" s="68"/>
      <c r="AA115" s="68"/>
      <c r="AB115" s="68"/>
      <c r="AC115" s="68"/>
      <c r="AD115" s="68"/>
    </row>
    <row r="116" spans="2:30" x14ac:dyDescent="0.25">
      <c r="B116" s="68"/>
      <c r="C116" s="72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12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68"/>
      <c r="AB116" s="68"/>
      <c r="AC116" s="68"/>
      <c r="AD116" s="68"/>
    </row>
    <row r="117" spans="2:30" x14ac:dyDescent="0.25">
      <c r="B117" s="68"/>
      <c r="C117" s="72"/>
      <c r="D117" s="68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68"/>
      <c r="X117" s="68"/>
      <c r="Y117" s="70"/>
      <c r="Z117" s="68"/>
      <c r="AA117" s="68"/>
      <c r="AB117" s="68"/>
      <c r="AC117" s="68"/>
      <c r="AD117" s="68"/>
    </row>
    <row r="118" spans="2:30" x14ac:dyDescent="0.25">
      <c r="B118" s="68"/>
      <c r="C118" s="72"/>
      <c r="D118" s="68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68"/>
      <c r="X118" s="68"/>
      <c r="Y118" s="70"/>
      <c r="Z118" s="68"/>
      <c r="AA118" s="68"/>
      <c r="AB118" s="68"/>
      <c r="AC118" s="68"/>
      <c r="AD118" s="68"/>
    </row>
    <row r="119" spans="2:30" x14ac:dyDescent="0.25">
      <c r="B119" s="68"/>
      <c r="C119" s="72"/>
      <c r="D119" s="68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68"/>
      <c r="X119" s="68"/>
      <c r="Y119" s="70"/>
      <c r="Z119" s="68"/>
      <c r="AA119" s="68"/>
      <c r="AB119" s="68"/>
      <c r="AC119" s="68"/>
      <c r="AD119" s="68"/>
    </row>
    <row r="120" spans="2:30" x14ac:dyDescent="0.25">
      <c r="B120" s="68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6"/>
      <c r="Y120" s="77"/>
      <c r="Z120" s="76"/>
      <c r="AA120" s="68"/>
      <c r="AB120" s="68"/>
      <c r="AC120" s="68"/>
      <c r="AD120" s="68"/>
    </row>
    <row r="121" spans="2:30" x14ac:dyDescent="0.25">
      <c r="B121" s="78"/>
      <c r="C121" s="72"/>
      <c r="D121" s="76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6"/>
      <c r="X121" s="76"/>
      <c r="Y121" s="77"/>
      <c r="Z121" s="76"/>
      <c r="AA121" s="68"/>
      <c r="AB121" s="68"/>
      <c r="AC121" s="68"/>
      <c r="AD121" s="68"/>
    </row>
    <row r="122" spans="2:30" x14ac:dyDescent="0.25">
      <c r="B122" s="68"/>
      <c r="C122" s="72"/>
      <c r="D122" s="68"/>
      <c r="E122" s="12"/>
      <c r="F122" s="12"/>
      <c r="G122" s="80"/>
      <c r="H122" s="12"/>
      <c r="I122" s="12"/>
      <c r="J122" s="12"/>
      <c r="K122" s="12"/>
      <c r="L122" s="12"/>
      <c r="M122" s="12"/>
      <c r="N122" s="12"/>
      <c r="O122" s="12"/>
      <c r="P122" s="81"/>
      <c r="Q122" s="81"/>
      <c r="R122" s="81"/>
      <c r="S122" s="81"/>
      <c r="T122" s="81"/>
      <c r="U122" s="12"/>
      <c r="V122" s="12"/>
      <c r="W122" s="68"/>
      <c r="X122" s="68"/>
      <c r="Y122" s="70"/>
      <c r="Z122" s="68"/>
      <c r="AA122" s="68"/>
      <c r="AB122" s="68"/>
      <c r="AC122" s="68"/>
      <c r="AD122" s="68"/>
    </row>
    <row r="123" spans="2:30" x14ac:dyDescent="0.25">
      <c r="B123" s="68"/>
      <c r="C123" s="82"/>
      <c r="D123" s="76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6"/>
      <c r="X123" s="76"/>
      <c r="Y123" s="77"/>
      <c r="Z123" s="76"/>
      <c r="AA123" s="68"/>
      <c r="AB123" s="68"/>
      <c r="AC123" s="68"/>
      <c r="AD123" s="68"/>
    </row>
    <row r="124" spans="2:30" x14ac:dyDescent="0.25">
      <c r="B124" s="76"/>
      <c r="C124" s="82"/>
      <c r="D124" s="76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6"/>
      <c r="X124" s="76"/>
      <c r="Y124" s="77"/>
      <c r="Z124" s="76"/>
      <c r="AA124" s="68"/>
      <c r="AB124" s="68"/>
      <c r="AC124" s="68"/>
      <c r="AD124" s="68"/>
    </row>
    <row r="125" spans="2:30" x14ac:dyDescent="0.25">
      <c r="B125" s="68"/>
      <c r="C125" s="82"/>
      <c r="D125" s="76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66"/>
      <c r="X125" s="66"/>
      <c r="Y125" s="70"/>
      <c r="Z125" s="66"/>
      <c r="AA125" s="68"/>
      <c r="AB125" s="68"/>
      <c r="AC125" s="68"/>
      <c r="AD125" s="68"/>
    </row>
    <row r="126" spans="2:30" x14ac:dyDescent="0.25">
      <c r="C126" s="82"/>
      <c r="D126" s="76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66"/>
      <c r="X126" s="66"/>
      <c r="Y126" s="70"/>
      <c r="Z126" s="66"/>
      <c r="AA126" s="68"/>
      <c r="AB126" s="68"/>
      <c r="AC126" s="68"/>
      <c r="AD126" s="68"/>
    </row>
    <row r="127" spans="2:30" x14ac:dyDescent="0.25">
      <c r="C127" s="82"/>
      <c r="D127" s="76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66"/>
      <c r="X127" s="66"/>
      <c r="Y127" s="70"/>
      <c r="Z127" s="66"/>
      <c r="AA127" s="68"/>
      <c r="AB127" s="68"/>
      <c r="AC127" s="68"/>
      <c r="AD127" s="68"/>
    </row>
    <row r="128" spans="2:30" x14ac:dyDescent="0.25">
      <c r="C128" s="82"/>
      <c r="D128" s="76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66"/>
      <c r="X128" s="66"/>
      <c r="Y128" s="70"/>
      <c r="Z128" s="66"/>
      <c r="AA128" s="68"/>
      <c r="AB128" s="68"/>
      <c r="AC128" s="68"/>
      <c r="AD128" s="68"/>
    </row>
    <row r="129" spans="3:30" x14ac:dyDescent="0.25">
      <c r="C129" s="82"/>
      <c r="D129" s="76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66"/>
      <c r="X129" s="66"/>
      <c r="Y129" s="70"/>
      <c r="Z129" s="66"/>
      <c r="AA129" s="68"/>
      <c r="AB129" s="68"/>
      <c r="AC129" s="68"/>
      <c r="AD129" s="68"/>
    </row>
    <row r="130" spans="3:30" x14ac:dyDescent="0.25">
      <c r="C130" s="82"/>
      <c r="D130" s="76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66"/>
      <c r="X130" s="66"/>
      <c r="Y130" s="70"/>
      <c r="Z130" s="66"/>
      <c r="AA130" s="68"/>
      <c r="AB130" s="68"/>
      <c r="AC130" s="68"/>
      <c r="AD130" s="68"/>
    </row>
    <row r="131" spans="3:30" x14ac:dyDescent="0.25">
      <c r="C131" s="72"/>
      <c r="D131" s="68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66"/>
      <c r="X131" s="66"/>
      <c r="Y131" s="70"/>
      <c r="Z131" s="66"/>
      <c r="AA131" s="68"/>
      <c r="AB131" s="68"/>
      <c r="AC131" s="68"/>
      <c r="AD131" s="68"/>
    </row>
    <row r="132" spans="3:30" x14ac:dyDescent="0.25">
      <c r="C132" s="82"/>
      <c r="D132" s="68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66"/>
      <c r="X132" s="66"/>
      <c r="Y132" s="70"/>
      <c r="Z132" s="66"/>
      <c r="AA132" s="68"/>
      <c r="AB132" s="68"/>
      <c r="AC132" s="68"/>
      <c r="AD132" s="68"/>
    </row>
    <row r="133" spans="3:30" x14ac:dyDescent="0.25">
      <c r="C133" s="82"/>
      <c r="D133" s="68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66"/>
      <c r="X133" s="66"/>
      <c r="Y133" s="70"/>
      <c r="Z133" s="66"/>
      <c r="AA133" s="68"/>
      <c r="AB133" s="68"/>
      <c r="AC133" s="68"/>
      <c r="AD133" s="68"/>
    </row>
    <row r="134" spans="3:30" x14ac:dyDescent="0.25">
      <c r="C134" s="82"/>
      <c r="D134" s="68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66"/>
      <c r="X134" s="66"/>
      <c r="Y134" s="70"/>
      <c r="Z134" s="66"/>
      <c r="AA134" s="68"/>
      <c r="AB134" s="68"/>
      <c r="AC134" s="68"/>
      <c r="AD134" s="68"/>
    </row>
    <row r="135" spans="3:30" x14ac:dyDescent="0.25">
      <c r="C135" s="82"/>
      <c r="D135" s="68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66"/>
      <c r="X135" s="66"/>
      <c r="Y135" s="70"/>
      <c r="Z135" s="66"/>
      <c r="AA135" s="68"/>
      <c r="AB135" s="68"/>
      <c r="AC135" s="68"/>
      <c r="AD135" s="68"/>
    </row>
    <row r="136" spans="3:30" x14ac:dyDescent="0.25">
      <c r="C136" s="82"/>
      <c r="D136" s="68"/>
      <c r="E136" s="12"/>
      <c r="F136" s="12"/>
      <c r="G136" s="12"/>
      <c r="H136" s="12"/>
      <c r="I136" s="12"/>
      <c r="J136" s="12"/>
      <c r="K136" s="12"/>
      <c r="L136" s="12"/>
      <c r="M136" s="12">
        <f>737717*4</f>
        <v>2950868</v>
      </c>
      <c r="N136" s="12">
        <f>737717*2</f>
        <v>1475434</v>
      </c>
      <c r="O136" s="12"/>
      <c r="P136" s="12"/>
      <c r="Q136" s="12"/>
      <c r="R136" s="12"/>
      <c r="S136" s="12"/>
      <c r="T136" s="12"/>
      <c r="U136" s="12"/>
      <c r="V136" s="12"/>
      <c r="W136" s="66"/>
      <c r="X136" s="66"/>
      <c r="Y136" s="70"/>
      <c r="Z136" s="66"/>
      <c r="AA136" s="68"/>
      <c r="AB136" s="68"/>
      <c r="AC136" s="68"/>
      <c r="AD136" s="68"/>
    </row>
    <row r="137" spans="3:30" x14ac:dyDescent="0.25">
      <c r="C137" s="82"/>
      <c r="D137" s="68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66"/>
      <c r="X137" s="66"/>
      <c r="Y137" s="70"/>
      <c r="Z137" s="66"/>
      <c r="AA137" s="68"/>
      <c r="AB137" s="68"/>
      <c r="AC137" s="68"/>
      <c r="AD137" s="68"/>
    </row>
    <row r="138" spans="3:30" x14ac:dyDescent="0.25">
      <c r="C138" s="82"/>
      <c r="D138" s="68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66"/>
      <c r="X138" s="66"/>
      <c r="Y138" s="70"/>
      <c r="Z138" s="66"/>
      <c r="AA138" s="68"/>
      <c r="AB138" s="68"/>
      <c r="AC138" s="68"/>
      <c r="AD138" s="68"/>
    </row>
    <row r="139" spans="3:30" x14ac:dyDescent="0.25">
      <c r="C139" s="82"/>
      <c r="D139" s="68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66"/>
      <c r="X139" s="66"/>
      <c r="Y139" s="70"/>
      <c r="Z139" s="66"/>
      <c r="AA139" s="68"/>
      <c r="AB139" s="68"/>
      <c r="AC139" s="68"/>
      <c r="AD139" s="68"/>
    </row>
    <row r="140" spans="3:30" x14ac:dyDescent="0.25">
      <c r="C140" s="82"/>
      <c r="D140" s="68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66"/>
      <c r="X140" s="66"/>
      <c r="Y140" s="70"/>
      <c r="Z140" s="66"/>
      <c r="AA140" s="68"/>
      <c r="AB140" s="68"/>
      <c r="AC140" s="68"/>
      <c r="AD140" s="68"/>
    </row>
    <row r="141" spans="3:30" x14ac:dyDescent="0.25">
      <c r="C141" s="82"/>
      <c r="D141" s="68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66"/>
      <c r="X141" s="66"/>
      <c r="Y141" s="70"/>
      <c r="Z141" s="66"/>
      <c r="AA141" s="68"/>
      <c r="AB141" s="68"/>
      <c r="AC141" s="68"/>
      <c r="AD141" s="68"/>
    </row>
    <row r="142" spans="3:30" x14ac:dyDescent="0.25">
      <c r="C142" s="82"/>
      <c r="D142" s="68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66"/>
      <c r="X142" s="66"/>
      <c r="Y142" s="70"/>
      <c r="Z142" s="66"/>
      <c r="AA142" s="68"/>
      <c r="AB142" s="68"/>
      <c r="AC142" s="68"/>
      <c r="AD142" s="68"/>
    </row>
    <row r="143" spans="3:30" x14ac:dyDescent="0.25">
      <c r="C143" s="72"/>
      <c r="D143" s="68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68"/>
      <c r="X143" s="68"/>
      <c r="Y143" s="70"/>
      <c r="Z143" s="68"/>
      <c r="AA143" s="68"/>
      <c r="AB143" s="68"/>
      <c r="AC143" s="68"/>
      <c r="AD143" s="68"/>
    </row>
    <row r="144" spans="3:30" x14ac:dyDescent="0.25">
      <c r="C144" s="72"/>
      <c r="D144" s="68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68"/>
      <c r="U144" s="12"/>
      <c r="V144" s="12"/>
      <c r="W144" s="68"/>
      <c r="X144" s="68"/>
      <c r="Y144" s="70"/>
      <c r="Z144" s="68"/>
      <c r="AA144" s="68"/>
      <c r="AB144" s="68"/>
      <c r="AC144" s="68"/>
      <c r="AD144" s="68"/>
    </row>
    <row r="145" spans="2:30" x14ac:dyDescent="0.25">
      <c r="B145" s="68"/>
      <c r="C145" s="72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68"/>
      <c r="AB145" s="68"/>
      <c r="AC145" s="68"/>
      <c r="AD145" s="68"/>
    </row>
    <row r="146" spans="2:30" x14ac:dyDescent="0.25">
      <c r="B146" s="68"/>
      <c r="C146" s="72"/>
      <c r="D146" s="68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6"/>
      <c r="X146" s="76"/>
      <c r="Y146" s="77"/>
      <c r="Z146" s="76"/>
      <c r="AA146" s="68"/>
      <c r="AB146" s="68"/>
      <c r="AC146" s="68"/>
      <c r="AD146" s="68"/>
    </row>
    <row r="147" spans="2:30" x14ac:dyDescent="0.25">
      <c r="B147" s="68"/>
      <c r="C147" s="82"/>
      <c r="D147" s="76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6"/>
      <c r="X147" s="76"/>
      <c r="Y147" s="77"/>
      <c r="Z147" s="76"/>
    </row>
    <row r="148" spans="2:30" x14ac:dyDescent="0.25">
      <c r="B148" s="85"/>
      <c r="C148" s="82"/>
      <c r="D148" s="76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6"/>
      <c r="X148" s="76"/>
      <c r="Y148" s="77"/>
      <c r="Z148" s="76"/>
    </row>
    <row r="149" spans="2:30" x14ac:dyDescent="0.25">
      <c r="C149" s="82"/>
      <c r="D149" s="76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66"/>
      <c r="X149" s="66"/>
      <c r="Y149" s="70"/>
      <c r="Z149" s="66"/>
    </row>
    <row r="150" spans="2:30" x14ac:dyDescent="0.25">
      <c r="C150" s="82"/>
      <c r="D150" s="76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66"/>
      <c r="X150" s="66"/>
      <c r="Y150" s="70"/>
      <c r="Z150" s="66"/>
    </row>
    <row r="151" spans="2:30" x14ac:dyDescent="0.25">
      <c r="C151" s="82"/>
      <c r="D151" s="76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66"/>
      <c r="X151" s="66"/>
      <c r="Y151" s="70"/>
      <c r="Z151" s="66"/>
    </row>
    <row r="152" spans="2:30" x14ac:dyDescent="0.25">
      <c r="C152" s="72"/>
      <c r="D152" s="68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66"/>
      <c r="X152" s="66"/>
      <c r="Y152" s="70"/>
      <c r="Z152" s="66"/>
    </row>
    <row r="153" spans="2:30" x14ac:dyDescent="0.25">
      <c r="C153" s="82"/>
      <c r="D153" s="68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66"/>
      <c r="X153" s="66"/>
      <c r="Y153" s="70"/>
      <c r="Z153" s="66"/>
    </row>
    <row r="154" spans="2:30" x14ac:dyDescent="0.25">
      <c r="C154" s="72"/>
      <c r="D154" s="68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68"/>
      <c r="X154" s="68"/>
      <c r="Y154" s="70"/>
      <c r="Z154" s="68"/>
    </row>
    <row r="155" spans="2:30" x14ac:dyDescent="0.25">
      <c r="C155" s="72"/>
      <c r="D155" s="68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66"/>
      <c r="X155" s="66"/>
      <c r="Y155" s="70"/>
      <c r="Z155" s="66"/>
    </row>
    <row r="156" spans="2:30" x14ac:dyDescent="0.25">
      <c r="B156" s="68"/>
      <c r="C156" s="72"/>
      <c r="D156" s="68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68"/>
      <c r="X156" s="68"/>
      <c r="Y156" s="70"/>
      <c r="Z156" s="68"/>
    </row>
    <row r="157" spans="2:30" x14ac:dyDescent="0.25">
      <c r="B157" s="68"/>
      <c r="C157" s="72"/>
      <c r="D157" s="68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68"/>
      <c r="X157" s="68"/>
      <c r="Y157" s="70"/>
      <c r="Z157" s="68"/>
    </row>
    <row r="158" spans="2:30" x14ac:dyDescent="0.25">
      <c r="B158" s="68"/>
      <c r="C158" s="72"/>
      <c r="D158" s="68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86"/>
      <c r="X158" s="86"/>
      <c r="Y158" s="70"/>
      <c r="Z158" s="86"/>
    </row>
    <row r="159" spans="2:30" x14ac:dyDescent="0.25">
      <c r="B159" s="68"/>
      <c r="C159" s="72"/>
      <c r="D159" s="68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87"/>
      <c r="X159" s="87"/>
      <c r="Y159" s="70"/>
      <c r="Z159" s="87"/>
    </row>
    <row r="160" spans="2:30" x14ac:dyDescent="0.25">
      <c r="C160" s="72"/>
      <c r="D160" s="68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68"/>
      <c r="X160" s="68"/>
      <c r="Y160" s="70"/>
      <c r="Z160" s="68"/>
    </row>
    <row r="161" spans="3:26" x14ac:dyDescent="0.25">
      <c r="C161" s="72"/>
      <c r="D161" s="68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68"/>
      <c r="X161" s="68"/>
      <c r="Y161" s="70"/>
      <c r="Z161" s="68"/>
    </row>
    <row r="162" spans="3:26" x14ac:dyDescent="0.25">
      <c r="C162" s="72"/>
      <c r="D162" s="68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68"/>
      <c r="X162" s="68"/>
      <c r="Y162" s="70"/>
      <c r="Z162" s="68"/>
    </row>
    <row r="163" spans="3:26" x14ac:dyDescent="0.25">
      <c r="C163" s="72"/>
      <c r="D163" s="68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68"/>
      <c r="X163" s="68"/>
      <c r="Y163" s="70"/>
      <c r="Z163" s="68"/>
    </row>
    <row r="164" spans="3:26" x14ac:dyDescent="0.25">
      <c r="C164" s="72"/>
      <c r="D164" s="68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68"/>
      <c r="X164" s="68"/>
      <c r="Y164" s="70"/>
      <c r="Z164" s="68"/>
    </row>
    <row r="165" spans="3:26" x14ac:dyDescent="0.25">
      <c r="C165" s="72"/>
      <c r="D165" s="68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68"/>
      <c r="X165" s="68"/>
      <c r="Y165" s="70"/>
      <c r="Z165" s="68"/>
    </row>
    <row r="166" spans="3:26" x14ac:dyDescent="0.25">
      <c r="C166" s="72"/>
      <c r="D166" s="68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68"/>
      <c r="X166" s="68"/>
      <c r="Y166" s="70"/>
      <c r="Z166" s="68"/>
    </row>
    <row r="167" spans="3:26" x14ac:dyDescent="0.25">
      <c r="C167" s="72"/>
      <c r="D167" s="68"/>
      <c r="E167" s="12"/>
      <c r="F167" s="12"/>
      <c r="G167" s="12"/>
      <c r="H167" s="12"/>
      <c r="I167" s="12"/>
      <c r="J167" s="12"/>
      <c r="K167" s="12"/>
      <c r="L167" s="12"/>
      <c r="M167" s="12"/>
      <c r="N167" s="12">
        <v>3003000</v>
      </c>
      <c r="O167" s="12"/>
      <c r="P167" s="12"/>
      <c r="Q167" s="12"/>
      <c r="R167" s="12"/>
      <c r="S167" s="12"/>
      <c r="T167" s="12"/>
      <c r="U167" s="12"/>
      <c r="V167" s="12"/>
      <c r="W167" s="68"/>
      <c r="X167" s="68"/>
      <c r="Y167" s="70"/>
      <c r="Z167" s="68"/>
    </row>
    <row r="168" spans="3:26" x14ac:dyDescent="0.25">
      <c r="C168" s="82"/>
      <c r="D168" s="68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68"/>
      <c r="X168" s="68"/>
      <c r="Y168" s="70"/>
      <c r="Z168" s="68"/>
    </row>
    <row r="169" spans="3:26" x14ac:dyDescent="0.25">
      <c r="C169" s="82"/>
      <c r="D169" s="68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68"/>
      <c r="X169" s="68"/>
      <c r="Y169" s="70"/>
      <c r="Z169" s="68"/>
    </row>
    <row r="170" spans="3:26" x14ac:dyDescent="0.25">
      <c r="C170" s="82"/>
      <c r="D170" s="68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68"/>
      <c r="X170" s="68"/>
      <c r="Y170" s="70"/>
      <c r="Z170" s="68"/>
    </row>
    <row r="171" spans="3:26" x14ac:dyDescent="0.25">
      <c r="C171" s="82"/>
      <c r="D171" s="68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68"/>
      <c r="X171" s="68"/>
      <c r="Y171" s="70"/>
      <c r="Z171" s="68"/>
    </row>
    <row r="172" spans="3:26" x14ac:dyDescent="0.25">
      <c r="C172" s="72">
        <v>42614840</v>
      </c>
      <c r="D172" s="68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>
        <v>412608</v>
      </c>
      <c r="W172" s="68"/>
      <c r="X172" s="68"/>
      <c r="Y172" s="70"/>
      <c r="Z172" s="68"/>
    </row>
    <row r="173" spans="3:26" x14ac:dyDescent="0.25">
      <c r="C173" s="72">
        <v>9675182</v>
      </c>
      <c r="D173" s="68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>
        <v>1880000</v>
      </c>
      <c r="W173" s="68"/>
      <c r="X173" s="68"/>
      <c r="Y173" s="70"/>
      <c r="Z173" s="68"/>
    </row>
    <row r="174" spans="3:26" x14ac:dyDescent="0.25">
      <c r="C174" s="72">
        <v>17903600</v>
      </c>
      <c r="D174" s="68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68"/>
      <c r="X174" s="68"/>
      <c r="Y174" s="70"/>
      <c r="Z174" s="68"/>
    </row>
    <row r="175" spans="3:26" x14ac:dyDescent="0.25">
      <c r="C175" s="72">
        <f>SUM(C172:C174)</f>
        <v>70193622</v>
      </c>
      <c r="D175" s="68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68"/>
      <c r="X175" s="68"/>
      <c r="Y175" s="70"/>
      <c r="Z175" s="68"/>
    </row>
    <row r="176" spans="3:26" x14ac:dyDescent="0.25">
      <c r="C176" s="72">
        <v>400000</v>
      </c>
      <c r="D176" s="68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68"/>
      <c r="X176" s="68"/>
      <c r="Y176" s="70"/>
      <c r="Z176" s="68"/>
    </row>
    <row r="177" spans="3:26" x14ac:dyDescent="0.25">
      <c r="C177" s="72">
        <f>+C175+C176</f>
        <v>70593622</v>
      </c>
      <c r="D177" s="68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68"/>
      <c r="X177" s="68"/>
      <c r="Y177" s="70"/>
      <c r="Z177" s="68"/>
    </row>
    <row r="181" spans="3:26" x14ac:dyDescent="0.25">
      <c r="C181" s="13">
        <v>11000000</v>
      </c>
    </row>
    <row r="182" spans="3:26" x14ac:dyDescent="0.25">
      <c r="C182" s="13">
        <f>+C180+C181</f>
        <v>11000000</v>
      </c>
    </row>
    <row r="187" spans="3:26" x14ac:dyDescent="0.25">
      <c r="C187" s="13">
        <v>3185000</v>
      </c>
    </row>
    <row r="188" spans="3:26" x14ac:dyDescent="0.25">
      <c r="C188" s="13">
        <v>1080000</v>
      </c>
    </row>
    <row r="189" spans="3:26" x14ac:dyDescent="0.25">
      <c r="C189" s="13">
        <v>4850100</v>
      </c>
    </row>
    <row r="190" spans="3:26" x14ac:dyDescent="0.25">
      <c r="C190" s="13">
        <v>5027500</v>
      </c>
    </row>
    <row r="191" spans="3:26" x14ac:dyDescent="0.25">
      <c r="C191" s="13">
        <v>4566000</v>
      </c>
    </row>
    <row r="192" spans="3:26" x14ac:dyDescent="0.25">
      <c r="C192" s="13">
        <v>1050000</v>
      </c>
    </row>
    <row r="193" spans="3:3" x14ac:dyDescent="0.25">
      <c r="C193" s="13">
        <v>3877333</v>
      </c>
    </row>
    <row r="194" spans="3:3" x14ac:dyDescent="0.25">
      <c r="C194" s="13">
        <v>6732440</v>
      </c>
    </row>
    <row r="195" spans="3:3" x14ac:dyDescent="0.25">
      <c r="C195" s="13">
        <v>3460000</v>
      </c>
    </row>
    <row r="196" spans="3:3" x14ac:dyDescent="0.25">
      <c r="C196" s="13">
        <v>588800</v>
      </c>
    </row>
    <row r="197" spans="3:3" x14ac:dyDescent="0.25">
      <c r="C197" s="13">
        <v>1868000</v>
      </c>
    </row>
    <row r="198" spans="3:3" x14ac:dyDescent="0.25">
      <c r="C198" s="13">
        <v>10313000</v>
      </c>
    </row>
    <row r="199" spans="3:3" x14ac:dyDescent="0.25">
      <c r="C199" s="13">
        <v>3443800</v>
      </c>
    </row>
    <row r="200" spans="3:3" x14ac:dyDescent="0.25">
      <c r="C200" s="13">
        <v>8136400</v>
      </c>
    </row>
    <row r="201" spans="3:3" x14ac:dyDescent="0.25">
      <c r="C201" s="13">
        <v>9675183</v>
      </c>
    </row>
    <row r="202" spans="3:3" x14ac:dyDescent="0.25">
      <c r="C202" s="13">
        <f>SUM(C186:C201)</f>
        <v>67853556</v>
      </c>
    </row>
  </sheetData>
  <mergeCells count="7">
    <mergeCell ref="D145:Z145"/>
    <mergeCell ref="C1:W1"/>
    <mergeCell ref="E2:M2"/>
    <mergeCell ref="N2:V2"/>
    <mergeCell ref="A4:A51"/>
    <mergeCell ref="A52:A110"/>
    <mergeCell ref="E144:S14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8EE3-31D4-434B-8960-DB133DE52721}">
  <dimension ref="A1:AD199"/>
  <sheetViews>
    <sheetView workbookViewId="0">
      <selection activeCell="L10" sqref="L10"/>
    </sheetView>
  </sheetViews>
  <sheetFormatPr baseColWidth="10" defaultRowHeight="12" x14ac:dyDescent="0.25"/>
  <cols>
    <col min="1" max="1" width="6.7109375" style="62" customWidth="1"/>
    <col min="2" max="2" width="4.85546875" style="62" customWidth="1"/>
    <col min="3" max="3" width="32.28515625" style="13" customWidth="1"/>
    <col min="4" max="4" width="8.5703125" style="62" customWidth="1"/>
    <col min="5" max="5" width="14" style="71" bestFit="1" customWidth="1"/>
    <col min="6" max="6" width="4.42578125" style="71" customWidth="1"/>
    <col min="7" max="7" width="14.42578125" style="71" bestFit="1" customWidth="1"/>
    <col min="8" max="8" width="11.42578125" style="71" bestFit="1" customWidth="1"/>
    <col min="9" max="10" width="11.28515625" style="71" customWidth="1"/>
    <col min="11" max="11" width="12.42578125" style="71" bestFit="1" customWidth="1"/>
    <col min="12" max="12" width="17.85546875" style="71" bestFit="1" customWidth="1"/>
    <col min="13" max="13" width="13.42578125" style="71" bestFit="1" customWidth="1"/>
    <col min="14" max="15" width="12.42578125" style="71" bestFit="1" customWidth="1"/>
    <col min="16" max="16" width="11.42578125" style="71" bestFit="1" customWidth="1"/>
    <col min="17" max="17" width="11.28515625" style="71" hidden="1" customWidth="1"/>
    <col min="18" max="18" width="11.42578125" style="71" bestFit="1" customWidth="1"/>
    <col min="19" max="19" width="12.42578125" style="71" bestFit="1" customWidth="1"/>
    <col min="20" max="20" width="11.42578125" style="71" bestFit="1" customWidth="1"/>
    <col min="21" max="21" width="15.85546875" style="71" bestFit="1" customWidth="1"/>
    <col min="22" max="22" width="12.42578125" style="71" bestFit="1" customWidth="1"/>
    <col min="23" max="23" width="18" style="62" bestFit="1" customWidth="1"/>
    <col min="24" max="24" width="1.7109375" style="62" customWidth="1"/>
    <col min="25" max="25" width="1.85546875" style="69" customWidth="1"/>
    <col min="26" max="26" width="27.28515625" style="62" customWidth="1"/>
    <col min="27" max="27" width="11.5703125" style="62" bestFit="1" customWidth="1"/>
    <col min="28" max="28" width="11.85546875" style="62" bestFit="1" customWidth="1"/>
    <col min="29" max="29" width="11.5703125" style="62" bestFit="1" customWidth="1"/>
    <col min="30" max="248" width="11.42578125" style="62"/>
    <col min="249" max="249" width="10.5703125" style="62" customWidth="1"/>
    <col min="250" max="250" width="4.85546875" style="62" customWidth="1"/>
    <col min="251" max="251" width="32.42578125" style="62" customWidth="1"/>
    <col min="252" max="252" width="9.85546875" style="62" customWidth="1"/>
    <col min="253" max="253" width="10.140625" style="62" customWidth="1"/>
    <col min="254" max="254" width="12.28515625" style="62" customWidth="1"/>
    <col min="255" max="255" width="15.42578125" style="62" customWidth="1"/>
    <col min="256" max="256" width="11.85546875" style="62" customWidth="1"/>
    <col min="257" max="257" width="13.28515625" style="62" customWidth="1"/>
    <col min="258" max="258" width="15.28515625" style="62" customWidth="1"/>
    <col min="259" max="259" width="11.85546875" style="62" customWidth="1"/>
    <col min="260" max="260" width="6.140625" style="62" customWidth="1"/>
    <col min="261" max="261" width="11.85546875" style="62" customWidth="1"/>
    <col min="262" max="262" width="9.42578125" style="62" customWidth="1"/>
    <col min="263" max="263" width="14.7109375" style="62" customWidth="1"/>
    <col min="264" max="264" width="11.5703125" style="62" customWidth="1"/>
    <col min="265" max="265" width="0.42578125" style="62" customWidth="1"/>
    <col min="266" max="266" width="10.5703125" style="62" bestFit="1" customWidth="1"/>
    <col min="267" max="267" width="12.28515625" style="62" customWidth="1"/>
    <col min="268" max="268" width="12.5703125" style="62" customWidth="1"/>
    <col min="269" max="269" width="10.5703125" style="62" customWidth="1"/>
    <col min="270" max="270" width="10.140625" style="62" customWidth="1"/>
    <col min="271" max="271" width="8.42578125" style="62" customWidth="1"/>
    <col min="272" max="272" width="18.85546875" style="62" customWidth="1"/>
    <col min="273" max="273" width="10.28515625" style="62" customWidth="1"/>
    <col min="274" max="274" width="11.42578125" style="62"/>
    <col min="275" max="275" width="12.140625" style="62" customWidth="1"/>
    <col min="276" max="276" width="10.5703125" style="62" customWidth="1"/>
    <col min="277" max="277" width="12.42578125" style="62" customWidth="1"/>
    <col min="278" max="278" width="15.140625" style="62" customWidth="1"/>
    <col min="279" max="279" width="13.5703125" style="62" customWidth="1"/>
    <col min="280" max="280" width="13.140625" style="62" customWidth="1"/>
    <col min="281" max="281" width="15.7109375" style="62" customWidth="1"/>
    <col min="282" max="282" width="37.5703125" style="62" customWidth="1"/>
    <col min="283" max="504" width="11.42578125" style="62"/>
    <col min="505" max="505" width="10.5703125" style="62" customWidth="1"/>
    <col min="506" max="506" width="4.85546875" style="62" customWidth="1"/>
    <col min="507" max="507" width="32.42578125" style="62" customWidth="1"/>
    <col min="508" max="508" width="9.85546875" style="62" customWidth="1"/>
    <col min="509" max="509" width="10.140625" style="62" customWidth="1"/>
    <col min="510" max="510" width="12.28515625" style="62" customWidth="1"/>
    <col min="511" max="511" width="15.42578125" style="62" customWidth="1"/>
    <col min="512" max="512" width="11.85546875" style="62" customWidth="1"/>
    <col min="513" max="513" width="13.28515625" style="62" customWidth="1"/>
    <col min="514" max="514" width="15.28515625" style="62" customWidth="1"/>
    <col min="515" max="515" width="11.85546875" style="62" customWidth="1"/>
    <col min="516" max="516" width="6.140625" style="62" customWidth="1"/>
    <col min="517" max="517" width="11.85546875" style="62" customWidth="1"/>
    <col min="518" max="518" width="9.42578125" style="62" customWidth="1"/>
    <col min="519" max="519" width="14.7109375" style="62" customWidth="1"/>
    <col min="520" max="520" width="11.5703125" style="62" customWidth="1"/>
    <col min="521" max="521" width="0.42578125" style="62" customWidth="1"/>
    <col min="522" max="522" width="10.5703125" style="62" bestFit="1" customWidth="1"/>
    <col min="523" max="523" width="12.28515625" style="62" customWidth="1"/>
    <col min="524" max="524" width="12.5703125" style="62" customWidth="1"/>
    <col min="525" max="525" width="10.5703125" style="62" customWidth="1"/>
    <col min="526" max="526" width="10.140625" style="62" customWidth="1"/>
    <col min="527" max="527" width="8.42578125" style="62" customWidth="1"/>
    <col min="528" max="528" width="18.85546875" style="62" customWidth="1"/>
    <col min="529" max="529" width="10.28515625" style="62" customWidth="1"/>
    <col min="530" max="530" width="11.42578125" style="62"/>
    <col min="531" max="531" width="12.140625" style="62" customWidth="1"/>
    <col min="532" max="532" width="10.5703125" style="62" customWidth="1"/>
    <col min="533" max="533" width="12.42578125" style="62" customWidth="1"/>
    <col min="534" max="534" width="15.140625" style="62" customWidth="1"/>
    <col min="535" max="535" width="13.5703125" style="62" customWidth="1"/>
    <col min="536" max="536" width="13.140625" style="62" customWidth="1"/>
    <col min="537" max="537" width="15.7109375" style="62" customWidth="1"/>
    <col min="538" max="538" width="37.5703125" style="62" customWidth="1"/>
    <col min="539" max="760" width="11.42578125" style="62"/>
    <col min="761" max="761" width="10.5703125" style="62" customWidth="1"/>
    <col min="762" max="762" width="4.85546875" style="62" customWidth="1"/>
    <col min="763" max="763" width="32.42578125" style="62" customWidth="1"/>
    <col min="764" max="764" width="9.85546875" style="62" customWidth="1"/>
    <col min="765" max="765" width="10.140625" style="62" customWidth="1"/>
    <col min="766" max="766" width="12.28515625" style="62" customWidth="1"/>
    <col min="767" max="767" width="15.42578125" style="62" customWidth="1"/>
    <col min="768" max="768" width="11.85546875" style="62" customWidth="1"/>
    <col min="769" max="769" width="13.28515625" style="62" customWidth="1"/>
    <col min="770" max="770" width="15.28515625" style="62" customWidth="1"/>
    <col min="771" max="771" width="11.85546875" style="62" customWidth="1"/>
    <col min="772" max="772" width="6.140625" style="62" customWidth="1"/>
    <col min="773" max="773" width="11.85546875" style="62" customWidth="1"/>
    <col min="774" max="774" width="9.42578125" style="62" customWidth="1"/>
    <col min="775" max="775" width="14.7109375" style="62" customWidth="1"/>
    <col min="776" max="776" width="11.5703125" style="62" customWidth="1"/>
    <col min="777" max="777" width="0.42578125" style="62" customWidth="1"/>
    <col min="778" max="778" width="10.5703125" style="62" bestFit="1" customWidth="1"/>
    <col min="779" max="779" width="12.28515625" style="62" customWidth="1"/>
    <col min="780" max="780" width="12.5703125" style="62" customWidth="1"/>
    <col min="781" max="781" width="10.5703125" style="62" customWidth="1"/>
    <col min="782" max="782" width="10.140625" style="62" customWidth="1"/>
    <col min="783" max="783" width="8.42578125" style="62" customWidth="1"/>
    <col min="784" max="784" width="18.85546875" style="62" customWidth="1"/>
    <col min="785" max="785" width="10.28515625" style="62" customWidth="1"/>
    <col min="786" max="786" width="11.42578125" style="62"/>
    <col min="787" max="787" width="12.140625" style="62" customWidth="1"/>
    <col min="788" max="788" width="10.5703125" style="62" customWidth="1"/>
    <col min="789" max="789" width="12.42578125" style="62" customWidth="1"/>
    <col min="790" max="790" width="15.140625" style="62" customWidth="1"/>
    <col min="791" max="791" width="13.5703125" style="62" customWidth="1"/>
    <col min="792" max="792" width="13.140625" style="62" customWidth="1"/>
    <col min="793" max="793" width="15.7109375" style="62" customWidth="1"/>
    <col min="794" max="794" width="37.5703125" style="62" customWidth="1"/>
    <col min="795" max="1016" width="11.42578125" style="62"/>
    <col min="1017" max="1017" width="10.5703125" style="62" customWidth="1"/>
    <col min="1018" max="1018" width="4.85546875" style="62" customWidth="1"/>
    <col min="1019" max="1019" width="32.42578125" style="62" customWidth="1"/>
    <col min="1020" max="1020" width="9.85546875" style="62" customWidth="1"/>
    <col min="1021" max="1021" width="10.140625" style="62" customWidth="1"/>
    <col min="1022" max="1022" width="12.28515625" style="62" customWidth="1"/>
    <col min="1023" max="1023" width="15.42578125" style="62" customWidth="1"/>
    <col min="1024" max="1024" width="11.85546875" style="62" customWidth="1"/>
    <col min="1025" max="1025" width="13.28515625" style="62" customWidth="1"/>
    <col min="1026" max="1026" width="15.28515625" style="62" customWidth="1"/>
    <col min="1027" max="1027" width="11.85546875" style="62" customWidth="1"/>
    <col min="1028" max="1028" width="6.140625" style="62" customWidth="1"/>
    <col min="1029" max="1029" width="11.85546875" style="62" customWidth="1"/>
    <col min="1030" max="1030" width="9.42578125" style="62" customWidth="1"/>
    <col min="1031" max="1031" width="14.7109375" style="62" customWidth="1"/>
    <col min="1032" max="1032" width="11.5703125" style="62" customWidth="1"/>
    <col min="1033" max="1033" width="0.42578125" style="62" customWidth="1"/>
    <col min="1034" max="1034" width="10.5703125" style="62" bestFit="1" customWidth="1"/>
    <col min="1035" max="1035" width="12.28515625" style="62" customWidth="1"/>
    <col min="1036" max="1036" width="12.5703125" style="62" customWidth="1"/>
    <col min="1037" max="1037" width="10.5703125" style="62" customWidth="1"/>
    <col min="1038" max="1038" width="10.140625" style="62" customWidth="1"/>
    <col min="1039" max="1039" width="8.42578125" style="62" customWidth="1"/>
    <col min="1040" max="1040" width="18.85546875" style="62" customWidth="1"/>
    <col min="1041" max="1041" width="10.28515625" style="62" customWidth="1"/>
    <col min="1042" max="1042" width="11.42578125" style="62"/>
    <col min="1043" max="1043" width="12.140625" style="62" customWidth="1"/>
    <col min="1044" max="1044" width="10.5703125" style="62" customWidth="1"/>
    <col min="1045" max="1045" width="12.42578125" style="62" customWidth="1"/>
    <col min="1046" max="1046" width="15.140625" style="62" customWidth="1"/>
    <col min="1047" max="1047" width="13.5703125" style="62" customWidth="1"/>
    <col min="1048" max="1048" width="13.140625" style="62" customWidth="1"/>
    <col min="1049" max="1049" width="15.7109375" style="62" customWidth="1"/>
    <col min="1050" max="1050" width="37.5703125" style="62" customWidth="1"/>
    <col min="1051" max="1272" width="11.42578125" style="62"/>
    <col min="1273" max="1273" width="10.5703125" style="62" customWidth="1"/>
    <col min="1274" max="1274" width="4.85546875" style="62" customWidth="1"/>
    <col min="1275" max="1275" width="32.42578125" style="62" customWidth="1"/>
    <col min="1276" max="1276" width="9.85546875" style="62" customWidth="1"/>
    <col min="1277" max="1277" width="10.140625" style="62" customWidth="1"/>
    <col min="1278" max="1278" width="12.28515625" style="62" customWidth="1"/>
    <col min="1279" max="1279" width="15.42578125" style="62" customWidth="1"/>
    <col min="1280" max="1280" width="11.85546875" style="62" customWidth="1"/>
    <col min="1281" max="1281" width="13.28515625" style="62" customWidth="1"/>
    <col min="1282" max="1282" width="15.28515625" style="62" customWidth="1"/>
    <col min="1283" max="1283" width="11.85546875" style="62" customWidth="1"/>
    <col min="1284" max="1284" width="6.140625" style="62" customWidth="1"/>
    <col min="1285" max="1285" width="11.85546875" style="62" customWidth="1"/>
    <col min="1286" max="1286" width="9.42578125" style="62" customWidth="1"/>
    <col min="1287" max="1287" width="14.7109375" style="62" customWidth="1"/>
    <col min="1288" max="1288" width="11.5703125" style="62" customWidth="1"/>
    <col min="1289" max="1289" width="0.42578125" style="62" customWidth="1"/>
    <col min="1290" max="1290" width="10.5703125" style="62" bestFit="1" customWidth="1"/>
    <col min="1291" max="1291" width="12.28515625" style="62" customWidth="1"/>
    <col min="1292" max="1292" width="12.5703125" style="62" customWidth="1"/>
    <col min="1293" max="1293" width="10.5703125" style="62" customWidth="1"/>
    <col min="1294" max="1294" width="10.140625" style="62" customWidth="1"/>
    <col min="1295" max="1295" width="8.42578125" style="62" customWidth="1"/>
    <col min="1296" max="1296" width="18.85546875" style="62" customWidth="1"/>
    <col min="1297" max="1297" width="10.28515625" style="62" customWidth="1"/>
    <col min="1298" max="1298" width="11.42578125" style="62"/>
    <col min="1299" max="1299" width="12.140625" style="62" customWidth="1"/>
    <col min="1300" max="1300" width="10.5703125" style="62" customWidth="1"/>
    <col min="1301" max="1301" width="12.42578125" style="62" customWidth="1"/>
    <col min="1302" max="1302" width="15.140625" style="62" customWidth="1"/>
    <col min="1303" max="1303" width="13.5703125" style="62" customWidth="1"/>
    <col min="1304" max="1304" width="13.140625" style="62" customWidth="1"/>
    <col min="1305" max="1305" width="15.7109375" style="62" customWidth="1"/>
    <col min="1306" max="1306" width="37.5703125" style="62" customWidth="1"/>
    <col min="1307" max="1528" width="11.42578125" style="62"/>
    <col min="1529" max="1529" width="10.5703125" style="62" customWidth="1"/>
    <col min="1530" max="1530" width="4.85546875" style="62" customWidth="1"/>
    <col min="1531" max="1531" width="32.42578125" style="62" customWidth="1"/>
    <col min="1532" max="1532" width="9.85546875" style="62" customWidth="1"/>
    <col min="1533" max="1533" width="10.140625" style="62" customWidth="1"/>
    <col min="1534" max="1534" width="12.28515625" style="62" customWidth="1"/>
    <col min="1535" max="1535" width="15.42578125" style="62" customWidth="1"/>
    <col min="1536" max="1536" width="11.85546875" style="62" customWidth="1"/>
    <col min="1537" max="1537" width="13.28515625" style="62" customWidth="1"/>
    <col min="1538" max="1538" width="15.28515625" style="62" customWidth="1"/>
    <col min="1539" max="1539" width="11.85546875" style="62" customWidth="1"/>
    <col min="1540" max="1540" width="6.140625" style="62" customWidth="1"/>
    <col min="1541" max="1541" width="11.85546875" style="62" customWidth="1"/>
    <col min="1542" max="1542" width="9.42578125" style="62" customWidth="1"/>
    <col min="1543" max="1543" width="14.7109375" style="62" customWidth="1"/>
    <col min="1544" max="1544" width="11.5703125" style="62" customWidth="1"/>
    <col min="1545" max="1545" width="0.42578125" style="62" customWidth="1"/>
    <col min="1546" max="1546" width="10.5703125" style="62" bestFit="1" customWidth="1"/>
    <col min="1547" max="1547" width="12.28515625" style="62" customWidth="1"/>
    <col min="1548" max="1548" width="12.5703125" style="62" customWidth="1"/>
    <col min="1549" max="1549" width="10.5703125" style="62" customWidth="1"/>
    <col min="1550" max="1550" width="10.140625" style="62" customWidth="1"/>
    <col min="1551" max="1551" width="8.42578125" style="62" customWidth="1"/>
    <col min="1552" max="1552" width="18.85546875" style="62" customWidth="1"/>
    <col min="1553" max="1553" width="10.28515625" style="62" customWidth="1"/>
    <col min="1554" max="1554" width="11.42578125" style="62"/>
    <col min="1555" max="1555" width="12.140625" style="62" customWidth="1"/>
    <col min="1556" max="1556" width="10.5703125" style="62" customWidth="1"/>
    <col min="1557" max="1557" width="12.42578125" style="62" customWidth="1"/>
    <col min="1558" max="1558" width="15.140625" style="62" customWidth="1"/>
    <col min="1559" max="1559" width="13.5703125" style="62" customWidth="1"/>
    <col min="1560" max="1560" width="13.140625" style="62" customWidth="1"/>
    <col min="1561" max="1561" width="15.7109375" style="62" customWidth="1"/>
    <col min="1562" max="1562" width="37.5703125" style="62" customWidth="1"/>
    <col min="1563" max="1784" width="11.42578125" style="62"/>
    <col min="1785" max="1785" width="10.5703125" style="62" customWidth="1"/>
    <col min="1786" max="1786" width="4.85546875" style="62" customWidth="1"/>
    <col min="1787" max="1787" width="32.42578125" style="62" customWidth="1"/>
    <col min="1788" max="1788" width="9.85546875" style="62" customWidth="1"/>
    <col min="1789" max="1789" width="10.140625" style="62" customWidth="1"/>
    <col min="1790" max="1790" width="12.28515625" style="62" customWidth="1"/>
    <col min="1791" max="1791" width="15.42578125" style="62" customWidth="1"/>
    <col min="1792" max="1792" width="11.85546875" style="62" customWidth="1"/>
    <col min="1793" max="1793" width="13.28515625" style="62" customWidth="1"/>
    <col min="1794" max="1794" width="15.28515625" style="62" customWidth="1"/>
    <col min="1795" max="1795" width="11.85546875" style="62" customWidth="1"/>
    <col min="1796" max="1796" width="6.140625" style="62" customWidth="1"/>
    <col min="1797" max="1797" width="11.85546875" style="62" customWidth="1"/>
    <col min="1798" max="1798" width="9.42578125" style="62" customWidth="1"/>
    <col min="1799" max="1799" width="14.7109375" style="62" customWidth="1"/>
    <col min="1800" max="1800" width="11.5703125" style="62" customWidth="1"/>
    <col min="1801" max="1801" width="0.42578125" style="62" customWidth="1"/>
    <col min="1802" max="1802" width="10.5703125" style="62" bestFit="1" customWidth="1"/>
    <col min="1803" max="1803" width="12.28515625" style="62" customWidth="1"/>
    <col min="1804" max="1804" width="12.5703125" style="62" customWidth="1"/>
    <col min="1805" max="1805" width="10.5703125" style="62" customWidth="1"/>
    <col min="1806" max="1806" width="10.140625" style="62" customWidth="1"/>
    <col min="1807" max="1807" width="8.42578125" style="62" customWidth="1"/>
    <col min="1808" max="1808" width="18.85546875" style="62" customWidth="1"/>
    <col min="1809" max="1809" width="10.28515625" style="62" customWidth="1"/>
    <col min="1810" max="1810" width="11.42578125" style="62"/>
    <col min="1811" max="1811" width="12.140625" style="62" customWidth="1"/>
    <col min="1812" max="1812" width="10.5703125" style="62" customWidth="1"/>
    <col min="1813" max="1813" width="12.42578125" style="62" customWidth="1"/>
    <col min="1814" max="1814" width="15.140625" style="62" customWidth="1"/>
    <col min="1815" max="1815" width="13.5703125" style="62" customWidth="1"/>
    <col min="1816" max="1816" width="13.140625" style="62" customWidth="1"/>
    <col min="1817" max="1817" width="15.7109375" style="62" customWidth="1"/>
    <col min="1818" max="1818" width="37.5703125" style="62" customWidth="1"/>
    <col min="1819" max="2040" width="11.42578125" style="62"/>
    <col min="2041" max="2041" width="10.5703125" style="62" customWidth="1"/>
    <col min="2042" max="2042" width="4.85546875" style="62" customWidth="1"/>
    <col min="2043" max="2043" width="32.42578125" style="62" customWidth="1"/>
    <col min="2044" max="2044" width="9.85546875" style="62" customWidth="1"/>
    <col min="2045" max="2045" width="10.140625" style="62" customWidth="1"/>
    <col min="2046" max="2046" width="12.28515625" style="62" customWidth="1"/>
    <col min="2047" max="2047" width="15.42578125" style="62" customWidth="1"/>
    <col min="2048" max="2048" width="11.85546875" style="62" customWidth="1"/>
    <col min="2049" max="2049" width="13.28515625" style="62" customWidth="1"/>
    <col min="2050" max="2050" width="15.28515625" style="62" customWidth="1"/>
    <col min="2051" max="2051" width="11.85546875" style="62" customWidth="1"/>
    <col min="2052" max="2052" width="6.140625" style="62" customWidth="1"/>
    <col min="2053" max="2053" width="11.85546875" style="62" customWidth="1"/>
    <col min="2054" max="2054" width="9.42578125" style="62" customWidth="1"/>
    <col min="2055" max="2055" width="14.7109375" style="62" customWidth="1"/>
    <col min="2056" max="2056" width="11.5703125" style="62" customWidth="1"/>
    <col min="2057" max="2057" width="0.42578125" style="62" customWidth="1"/>
    <col min="2058" max="2058" width="10.5703125" style="62" bestFit="1" customWidth="1"/>
    <col min="2059" max="2059" width="12.28515625" style="62" customWidth="1"/>
    <col min="2060" max="2060" width="12.5703125" style="62" customWidth="1"/>
    <col min="2061" max="2061" width="10.5703125" style="62" customWidth="1"/>
    <col min="2062" max="2062" width="10.140625" style="62" customWidth="1"/>
    <col min="2063" max="2063" width="8.42578125" style="62" customWidth="1"/>
    <col min="2064" max="2064" width="18.85546875" style="62" customWidth="1"/>
    <col min="2065" max="2065" width="10.28515625" style="62" customWidth="1"/>
    <col min="2066" max="2066" width="11.42578125" style="62"/>
    <col min="2067" max="2067" width="12.140625" style="62" customWidth="1"/>
    <col min="2068" max="2068" width="10.5703125" style="62" customWidth="1"/>
    <col min="2069" max="2069" width="12.42578125" style="62" customWidth="1"/>
    <col min="2070" max="2070" width="15.140625" style="62" customWidth="1"/>
    <col min="2071" max="2071" width="13.5703125" style="62" customWidth="1"/>
    <col min="2072" max="2072" width="13.140625" style="62" customWidth="1"/>
    <col min="2073" max="2073" width="15.7109375" style="62" customWidth="1"/>
    <col min="2074" max="2074" width="37.5703125" style="62" customWidth="1"/>
    <col min="2075" max="2296" width="11.42578125" style="62"/>
    <col min="2297" max="2297" width="10.5703125" style="62" customWidth="1"/>
    <col min="2298" max="2298" width="4.85546875" style="62" customWidth="1"/>
    <col min="2299" max="2299" width="32.42578125" style="62" customWidth="1"/>
    <col min="2300" max="2300" width="9.85546875" style="62" customWidth="1"/>
    <col min="2301" max="2301" width="10.140625" style="62" customWidth="1"/>
    <col min="2302" max="2302" width="12.28515625" style="62" customWidth="1"/>
    <col min="2303" max="2303" width="15.42578125" style="62" customWidth="1"/>
    <col min="2304" max="2304" width="11.85546875" style="62" customWidth="1"/>
    <col min="2305" max="2305" width="13.28515625" style="62" customWidth="1"/>
    <col min="2306" max="2306" width="15.28515625" style="62" customWidth="1"/>
    <col min="2307" max="2307" width="11.85546875" style="62" customWidth="1"/>
    <col min="2308" max="2308" width="6.140625" style="62" customWidth="1"/>
    <col min="2309" max="2309" width="11.85546875" style="62" customWidth="1"/>
    <col min="2310" max="2310" width="9.42578125" style="62" customWidth="1"/>
    <col min="2311" max="2311" width="14.7109375" style="62" customWidth="1"/>
    <col min="2312" max="2312" width="11.5703125" style="62" customWidth="1"/>
    <col min="2313" max="2313" width="0.42578125" style="62" customWidth="1"/>
    <col min="2314" max="2314" width="10.5703125" style="62" bestFit="1" customWidth="1"/>
    <col min="2315" max="2315" width="12.28515625" style="62" customWidth="1"/>
    <col min="2316" max="2316" width="12.5703125" style="62" customWidth="1"/>
    <col min="2317" max="2317" width="10.5703125" style="62" customWidth="1"/>
    <col min="2318" max="2318" width="10.140625" style="62" customWidth="1"/>
    <col min="2319" max="2319" width="8.42578125" style="62" customWidth="1"/>
    <col min="2320" max="2320" width="18.85546875" style="62" customWidth="1"/>
    <col min="2321" max="2321" width="10.28515625" style="62" customWidth="1"/>
    <col min="2322" max="2322" width="11.42578125" style="62"/>
    <col min="2323" max="2323" width="12.140625" style="62" customWidth="1"/>
    <col min="2324" max="2324" width="10.5703125" style="62" customWidth="1"/>
    <col min="2325" max="2325" width="12.42578125" style="62" customWidth="1"/>
    <col min="2326" max="2326" width="15.140625" style="62" customWidth="1"/>
    <col min="2327" max="2327" width="13.5703125" style="62" customWidth="1"/>
    <col min="2328" max="2328" width="13.140625" style="62" customWidth="1"/>
    <col min="2329" max="2329" width="15.7109375" style="62" customWidth="1"/>
    <col min="2330" max="2330" width="37.5703125" style="62" customWidth="1"/>
    <col min="2331" max="2552" width="11.42578125" style="62"/>
    <col min="2553" max="2553" width="10.5703125" style="62" customWidth="1"/>
    <col min="2554" max="2554" width="4.85546875" style="62" customWidth="1"/>
    <col min="2555" max="2555" width="32.42578125" style="62" customWidth="1"/>
    <col min="2556" max="2556" width="9.85546875" style="62" customWidth="1"/>
    <col min="2557" max="2557" width="10.140625" style="62" customWidth="1"/>
    <col min="2558" max="2558" width="12.28515625" style="62" customWidth="1"/>
    <col min="2559" max="2559" width="15.42578125" style="62" customWidth="1"/>
    <col min="2560" max="2560" width="11.85546875" style="62" customWidth="1"/>
    <col min="2561" max="2561" width="13.28515625" style="62" customWidth="1"/>
    <col min="2562" max="2562" width="15.28515625" style="62" customWidth="1"/>
    <col min="2563" max="2563" width="11.85546875" style="62" customWidth="1"/>
    <col min="2564" max="2564" width="6.140625" style="62" customWidth="1"/>
    <col min="2565" max="2565" width="11.85546875" style="62" customWidth="1"/>
    <col min="2566" max="2566" width="9.42578125" style="62" customWidth="1"/>
    <col min="2567" max="2567" width="14.7109375" style="62" customWidth="1"/>
    <col min="2568" max="2568" width="11.5703125" style="62" customWidth="1"/>
    <col min="2569" max="2569" width="0.42578125" style="62" customWidth="1"/>
    <col min="2570" max="2570" width="10.5703125" style="62" bestFit="1" customWidth="1"/>
    <col min="2571" max="2571" width="12.28515625" style="62" customWidth="1"/>
    <col min="2572" max="2572" width="12.5703125" style="62" customWidth="1"/>
    <col min="2573" max="2573" width="10.5703125" style="62" customWidth="1"/>
    <col min="2574" max="2574" width="10.140625" style="62" customWidth="1"/>
    <col min="2575" max="2575" width="8.42578125" style="62" customWidth="1"/>
    <col min="2576" max="2576" width="18.85546875" style="62" customWidth="1"/>
    <col min="2577" max="2577" width="10.28515625" style="62" customWidth="1"/>
    <col min="2578" max="2578" width="11.42578125" style="62"/>
    <col min="2579" max="2579" width="12.140625" style="62" customWidth="1"/>
    <col min="2580" max="2580" width="10.5703125" style="62" customWidth="1"/>
    <col min="2581" max="2581" width="12.42578125" style="62" customWidth="1"/>
    <col min="2582" max="2582" width="15.140625" style="62" customWidth="1"/>
    <col min="2583" max="2583" width="13.5703125" style="62" customWidth="1"/>
    <col min="2584" max="2584" width="13.140625" style="62" customWidth="1"/>
    <col min="2585" max="2585" width="15.7109375" style="62" customWidth="1"/>
    <col min="2586" max="2586" width="37.5703125" style="62" customWidth="1"/>
    <col min="2587" max="2808" width="11.42578125" style="62"/>
    <col min="2809" max="2809" width="10.5703125" style="62" customWidth="1"/>
    <col min="2810" max="2810" width="4.85546875" style="62" customWidth="1"/>
    <col min="2811" max="2811" width="32.42578125" style="62" customWidth="1"/>
    <col min="2812" max="2812" width="9.85546875" style="62" customWidth="1"/>
    <col min="2813" max="2813" width="10.140625" style="62" customWidth="1"/>
    <col min="2814" max="2814" width="12.28515625" style="62" customWidth="1"/>
    <col min="2815" max="2815" width="15.42578125" style="62" customWidth="1"/>
    <col min="2816" max="2816" width="11.85546875" style="62" customWidth="1"/>
    <col min="2817" max="2817" width="13.28515625" style="62" customWidth="1"/>
    <col min="2818" max="2818" width="15.28515625" style="62" customWidth="1"/>
    <col min="2819" max="2819" width="11.85546875" style="62" customWidth="1"/>
    <col min="2820" max="2820" width="6.140625" style="62" customWidth="1"/>
    <col min="2821" max="2821" width="11.85546875" style="62" customWidth="1"/>
    <col min="2822" max="2822" width="9.42578125" style="62" customWidth="1"/>
    <col min="2823" max="2823" width="14.7109375" style="62" customWidth="1"/>
    <col min="2824" max="2824" width="11.5703125" style="62" customWidth="1"/>
    <col min="2825" max="2825" width="0.42578125" style="62" customWidth="1"/>
    <col min="2826" max="2826" width="10.5703125" style="62" bestFit="1" customWidth="1"/>
    <col min="2827" max="2827" width="12.28515625" style="62" customWidth="1"/>
    <col min="2828" max="2828" width="12.5703125" style="62" customWidth="1"/>
    <col min="2829" max="2829" width="10.5703125" style="62" customWidth="1"/>
    <col min="2830" max="2830" width="10.140625" style="62" customWidth="1"/>
    <col min="2831" max="2831" width="8.42578125" style="62" customWidth="1"/>
    <col min="2832" max="2832" width="18.85546875" style="62" customWidth="1"/>
    <col min="2833" max="2833" width="10.28515625" style="62" customWidth="1"/>
    <col min="2834" max="2834" width="11.42578125" style="62"/>
    <col min="2835" max="2835" width="12.140625" style="62" customWidth="1"/>
    <col min="2836" max="2836" width="10.5703125" style="62" customWidth="1"/>
    <col min="2837" max="2837" width="12.42578125" style="62" customWidth="1"/>
    <col min="2838" max="2838" width="15.140625" style="62" customWidth="1"/>
    <col min="2839" max="2839" width="13.5703125" style="62" customWidth="1"/>
    <col min="2840" max="2840" width="13.140625" style="62" customWidth="1"/>
    <col min="2841" max="2841" width="15.7109375" style="62" customWidth="1"/>
    <col min="2842" max="2842" width="37.5703125" style="62" customWidth="1"/>
    <col min="2843" max="3064" width="11.42578125" style="62"/>
    <col min="3065" max="3065" width="10.5703125" style="62" customWidth="1"/>
    <col min="3066" max="3066" width="4.85546875" style="62" customWidth="1"/>
    <col min="3067" max="3067" width="32.42578125" style="62" customWidth="1"/>
    <col min="3068" max="3068" width="9.85546875" style="62" customWidth="1"/>
    <col min="3069" max="3069" width="10.140625" style="62" customWidth="1"/>
    <col min="3070" max="3070" width="12.28515625" style="62" customWidth="1"/>
    <col min="3071" max="3071" width="15.42578125" style="62" customWidth="1"/>
    <col min="3072" max="3072" width="11.85546875" style="62" customWidth="1"/>
    <col min="3073" max="3073" width="13.28515625" style="62" customWidth="1"/>
    <col min="3074" max="3074" width="15.28515625" style="62" customWidth="1"/>
    <col min="3075" max="3075" width="11.85546875" style="62" customWidth="1"/>
    <col min="3076" max="3076" width="6.140625" style="62" customWidth="1"/>
    <col min="3077" max="3077" width="11.85546875" style="62" customWidth="1"/>
    <col min="3078" max="3078" width="9.42578125" style="62" customWidth="1"/>
    <col min="3079" max="3079" width="14.7109375" style="62" customWidth="1"/>
    <col min="3080" max="3080" width="11.5703125" style="62" customWidth="1"/>
    <col min="3081" max="3081" width="0.42578125" style="62" customWidth="1"/>
    <col min="3082" max="3082" width="10.5703125" style="62" bestFit="1" customWidth="1"/>
    <col min="3083" max="3083" width="12.28515625" style="62" customWidth="1"/>
    <col min="3084" max="3084" width="12.5703125" style="62" customWidth="1"/>
    <col min="3085" max="3085" width="10.5703125" style="62" customWidth="1"/>
    <col min="3086" max="3086" width="10.140625" style="62" customWidth="1"/>
    <col min="3087" max="3087" width="8.42578125" style="62" customWidth="1"/>
    <col min="3088" max="3088" width="18.85546875" style="62" customWidth="1"/>
    <col min="3089" max="3089" width="10.28515625" style="62" customWidth="1"/>
    <col min="3090" max="3090" width="11.42578125" style="62"/>
    <col min="3091" max="3091" width="12.140625" style="62" customWidth="1"/>
    <col min="3092" max="3092" width="10.5703125" style="62" customWidth="1"/>
    <col min="3093" max="3093" width="12.42578125" style="62" customWidth="1"/>
    <col min="3094" max="3094" width="15.140625" style="62" customWidth="1"/>
    <col min="3095" max="3095" width="13.5703125" style="62" customWidth="1"/>
    <col min="3096" max="3096" width="13.140625" style="62" customWidth="1"/>
    <col min="3097" max="3097" width="15.7109375" style="62" customWidth="1"/>
    <col min="3098" max="3098" width="37.5703125" style="62" customWidth="1"/>
    <col min="3099" max="3320" width="11.42578125" style="62"/>
    <col min="3321" max="3321" width="10.5703125" style="62" customWidth="1"/>
    <col min="3322" max="3322" width="4.85546875" style="62" customWidth="1"/>
    <col min="3323" max="3323" width="32.42578125" style="62" customWidth="1"/>
    <col min="3324" max="3324" width="9.85546875" style="62" customWidth="1"/>
    <col min="3325" max="3325" width="10.140625" style="62" customWidth="1"/>
    <col min="3326" max="3326" width="12.28515625" style="62" customWidth="1"/>
    <col min="3327" max="3327" width="15.42578125" style="62" customWidth="1"/>
    <col min="3328" max="3328" width="11.85546875" style="62" customWidth="1"/>
    <col min="3329" max="3329" width="13.28515625" style="62" customWidth="1"/>
    <col min="3330" max="3330" width="15.28515625" style="62" customWidth="1"/>
    <col min="3331" max="3331" width="11.85546875" style="62" customWidth="1"/>
    <col min="3332" max="3332" width="6.140625" style="62" customWidth="1"/>
    <col min="3333" max="3333" width="11.85546875" style="62" customWidth="1"/>
    <col min="3334" max="3334" width="9.42578125" style="62" customWidth="1"/>
    <col min="3335" max="3335" width="14.7109375" style="62" customWidth="1"/>
    <col min="3336" max="3336" width="11.5703125" style="62" customWidth="1"/>
    <col min="3337" max="3337" width="0.42578125" style="62" customWidth="1"/>
    <col min="3338" max="3338" width="10.5703125" style="62" bestFit="1" customWidth="1"/>
    <col min="3339" max="3339" width="12.28515625" style="62" customWidth="1"/>
    <col min="3340" max="3340" width="12.5703125" style="62" customWidth="1"/>
    <col min="3341" max="3341" width="10.5703125" style="62" customWidth="1"/>
    <col min="3342" max="3342" width="10.140625" style="62" customWidth="1"/>
    <col min="3343" max="3343" width="8.42578125" style="62" customWidth="1"/>
    <col min="3344" max="3344" width="18.85546875" style="62" customWidth="1"/>
    <col min="3345" max="3345" width="10.28515625" style="62" customWidth="1"/>
    <col min="3346" max="3346" width="11.42578125" style="62"/>
    <col min="3347" max="3347" width="12.140625" style="62" customWidth="1"/>
    <col min="3348" max="3348" width="10.5703125" style="62" customWidth="1"/>
    <col min="3349" max="3349" width="12.42578125" style="62" customWidth="1"/>
    <col min="3350" max="3350" width="15.140625" style="62" customWidth="1"/>
    <col min="3351" max="3351" width="13.5703125" style="62" customWidth="1"/>
    <col min="3352" max="3352" width="13.140625" style="62" customWidth="1"/>
    <col min="3353" max="3353" width="15.7109375" style="62" customWidth="1"/>
    <col min="3354" max="3354" width="37.5703125" style="62" customWidth="1"/>
    <col min="3355" max="3576" width="11.42578125" style="62"/>
    <col min="3577" max="3577" width="10.5703125" style="62" customWidth="1"/>
    <col min="3578" max="3578" width="4.85546875" style="62" customWidth="1"/>
    <col min="3579" max="3579" width="32.42578125" style="62" customWidth="1"/>
    <col min="3580" max="3580" width="9.85546875" style="62" customWidth="1"/>
    <col min="3581" max="3581" width="10.140625" style="62" customWidth="1"/>
    <col min="3582" max="3582" width="12.28515625" style="62" customWidth="1"/>
    <col min="3583" max="3583" width="15.42578125" style="62" customWidth="1"/>
    <col min="3584" max="3584" width="11.85546875" style="62" customWidth="1"/>
    <col min="3585" max="3585" width="13.28515625" style="62" customWidth="1"/>
    <col min="3586" max="3586" width="15.28515625" style="62" customWidth="1"/>
    <col min="3587" max="3587" width="11.85546875" style="62" customWidth="1"/>
    <col min="3588" max="3588" width="6.140625" style="62" customWidth="1"/>
    <col min="3589" max="3589" width="11.85546875" style="62" customWidth="1"/>
    <col min="3590" max="3590" width="9.42578125" style="62" customWidth="1"/>
    <col min="3591" max="3591" width="14.7109375" style="62" customWidth="1"/>
    <col min="3592" max="3592" width="11.5703125" style="62" customWidth="1"/>
    <col min="3593" max="3593" width="0.42578125" style="62" customWidth="1"/>
    <col min="3594" max="3594" width="10.5703125" style="62" bestFit="1" customWidth="1"/>
    <col min="3595" max="3595" width="12.28515625" style="62" customWidth="1"/>
    <col min="3596" max="3596" width="12.5703125" style="62" customWidth="1"/>
    <col min="3597" max="3597" width="10.5703125" style="62" customWidth="1"/>
    <col min="3598" max="3598" width="10.140625" style="62" customWidth="1"/>
    <col min="3599" max="3599" width="8.42578125" style="62" customWidth="1"/>
    <col min="3600" max="3600" width="18.85546875" style="62" customWidth="1"/>
    <col min="3601" max="3601" width="10.28515625" style="62" customWidth="1"/>
    <col min="3602" max="3602" width="11.42578125" style="62"/>
    <col min="3603" max="3603" width="12.140625" style="62" customWidth="1"/>
    <col min="3604" max="3604" width="10.5703125" style="62" customWidth="1"/>
    <col min="3605" max="3605" width="12.42578125" style="62" customWidth="1"/>
    <col min="3606" max="3606" width="15.140625" style="62" customWidth="1"/>
    <col min="3607" max="3607" width="13.5703125" style="62" customWidth="1"/>
    <col min="3608" max="3608" width="13.140625" style="62" customWidth="1"/>
    <col min="3609" max="3609" width="15.7109375" style="62" customWidth="1"/>
    <col min="3610" max="3610" width="37.5703125" style="62" customWidth="1"/>
    <col min="3611" max="3832" width="11.42578125" style="62"/>
    <col min="3833" max="3833" width="10.5703125" style="62" customWidth="1"/>
    <col min="3834" max="3834" width="4.85546875" style="62" customWidth="1"/>
    <col min="3835" max="3835" width="32.42578125" style="62" customWidth="1"/>
    <col min="3836" max="3836" width="9.85546875" style="62" customWidth="1"/>
    <col min="3837" max="3837" width="10.140625" style="62" customWidth="1"/>
    <col min="3838" max="3838" width="12.28515625" style="62" customWidth="1"/>
    <col min="3839" max="3839" width="15.42578125" style="62" customWidth="1"/>
    <col min="3840" max="3840" width="11.85546875" style="62" customWidth="1"/>
    <col min="3841" max="3841" width="13.28515625" style="62" customWidth="1"/>
    <col min="3842" max="3842" width="15.28515625" style="62" customWidth="1"/>
    <col min="3843" max="3843" width="11.85546875" style="62" customWidth="1"/>
    <col min="3844" max="3844" width="6.140625" style="62" customWidth="1"/>
    <col min="3845" max="3845" width="11.85546875" style="62" customWidth="1"/>
    <col min="3846" max="3846" width="9.42578125" style="62" customWidth="1"/>
    <col min="3847" max="3847" width="14.7109375" style="62" customWidth="1"/>
    <col min="3848" max="3848" width="11.5703125" style="62" customWidth="1"/>
    <col min="3849" max="3849" width="0.42578125" style="62" customWidth="1"/>
    <col min="3850" max="3850" width="10.5703125" style="62" bestFit="1" customWidth="1"/>
    <col min="3851" max="3851" width="12.28515625" style="62" customWidth="1"/>
    <col min="3852" max="3852" width="12.5703125" style="62" customWidth="1"/>
    <col min="3853" max="3853" width="10.5703125" style="62" customWidth="1"/>
    <col min="3854" max="3854" width="10.140625" style="62" customWidth="1"/>
    <col min="3855" max="3855" width="8.42578125" style="62" customWidth="1"/>
    <col min="3856" max="3856" width="18.85546875" style="62" customWidth="1"/>
    <col min="3857" max="3857" width="10.28515625" style="62" customWidth="1"/>
    <col min="3858" max="3858" width="11.42578125" style="62"/>
    <col min="3859" max="3859" width="12.140625" style="62" customWidth="1"/>
    <col min="3860" max="3860" width="10.5703125" style="62" customWidth="1"/>
    <col min="3861" max="3861" width="12.42578125" style="62" customWidth="1"/>
    <col min="3862" max="3862" width="15.140625" style="62" customWidth="1"/>
    <col min="3863" max="3863" width="13.5703125" style="62" customWidth="1"/>
    <col min="3864" max="3864" width="13.140625" style="62" customWidth="1"/>
    <col min="3865" max="3865" width="15.7109375" style="62" customWidth="1"/>
    <col min="3866" max="3866" width="37.5703125" style="62" customWidth="1"/>
    <col min="3867" max="4088" width="11.42578125" style="62"/>
    <col min="4089" max="4089" width="10.5703125" style="62" customWidth="1"/>
    <col min="4090" max="4090" width="4.85546875" style="62" customWidth="1"/>
    <col min="4091" max="4091" width="32.42578125" style="62" customWidth="1"/>
    <col min="4092" max="4092" width="9.85546875" style="62" customWidth="1"/>
    <col min="4093" max="4093" width="10.140625" style="62" customWidth="1"/>
    <col min="4094" max="4094" width="12.28515625" style="62" customWidth="1"/>
    <col min="4095" max="4095" width="15.42578125" style="62" customWidth="1"/>
    <col min="4096" max="4096" width="11.85546875" style="62" customWidth="1"/>
    <col min="4097" max="4097" width="13.28515625" style="62" customWidth="1"/>
    <col min="4098" max="4098" width="15.28515625" style="62" customWidth="1"/>
    <col min="4099" max="4099" width="11.85546875" style="62" customWidth="1"/>
    <col min="4100" max="4100" width="6.140625" style="62" customWidth="1"/>
    <col min="4101" max="4101" width="11.85546875" style="62" customWidth="1"/>
    <col min="4102" max="4102" width="9.42578125" style="62" customWidth="1"/>
    <col min="4103" max="4103" width="14.7109375" style="62" customWidth="1"/>
    <col min="4104" max="4104" width="11.5703125" style="62" customWidth="1"/>
    <col min="4105" max="4105" width="0.42578125" style="62" customWidth="1"/>
    <col min="4106" max="4106" width="10.5703125" style="62" bestFit="1" customWidth="1"/>
    <col min="4107" max="4107" width="12.28515625" style="62" customWidth="1"/>
    <col min="4108" max="4108" width="12.5703125" style="62" customWidth="1"/>
    <col min="4109" max="4109" width="10.5703125" style="62" customWidth="1"/>
    <col min="4110" max="4110" width="10.140625" style="62" customWidth="1"/>
    <col min="4111" max="4111" width="8.42578125" style="62" customWidth="1"/>
    <col min="4112" max="4112" width="18.85546875" style="62" customWidth="1"/>
    <col min="4113" max="4113" width="10.28515625" style="62" customWidth="1"/>
    <col min="4114" max="4114" width="11.42578125" style="62"/>
    <col min="4115" max="4115" width="12.140625" style="62" customWidth="1"/>
    <col min="4116" max="4116" width="10.5703125" style="62" customWidth="1"/>
    <col min="4117" max="4117" width="12.42578125" style="62" customWidth="1"/>
    <col min="4118" max="4118" width="15.140625" style="62" customWidth="1"/>
    <col min="4119" max="4119" width="13.5703125" style="62" customWidth="1"/>
    <col min="4120" max="4120" width="13.140625" style="62" customWidth="1"/>
    <col min="4121" max="4121" width="15.7109375" style="62" customWidth="1"/>
    <col min="4122" max="4122" width="37.5703125" style="62" customWidth="1"/>
    <col min="4123" max="4344" width="11.42578125" style="62"/>
    <col min="4345" max="4345" width="10.5703125" style="62" customWidth="1"/>
    <col min="4346" max="4346" width="4.85546875" style="62" customWidth="1"/>
    <col min="4347" max="4347" width="32.42578125" style="62" customWidth="1"/>
    <col min="4348" max="4348" width="9.85546875" style="62" customWidth="1"/>
    <col min="4349" max="4349" width="10.140625" style="62" customWidth="1"/>
    <col min="4350" max="4350" width="12.28515625" style="62" customWidth="1"/>
    <col min="4351" max="4351" width="15.42578125" style="62" customWidth="1"/>
    <col min="4352" max="4352" width="11.85546875" style="62" customWidth="1"/>
    <col min="4353" max="4353" width="13.28515625" style="62" customWidth="1"/>
    <col min="4354" max="4354" width="15.28515625" style="62" customWidth="1"/>
    <col min="4355" max="4355" width="11.85546875" style="62" customWidth="1"/>
    <col min="4356" max="4356" width="6.140625" style="62" customWidth="1"/>
    <col min="4357" max="4357" width="11.85546875" style="62" customWidth="1"/>
    <col min="4358" max="4358" width="9.42578125" style="62" customWidth="1"/>
    <col min="4359" max="4359" width="14.7109375" style="62" customWidth="1"/>
    <col min="4360" max="4360" width="11.5703125" style="62" customWidth="1"/>
    <col min="4361" max="4361" width="0.42578125" style="62" customWidth="1"/>
    <col min="4362" max="4362" width="10.5703125" style="62" bestFit="1" customWidth="1"/>
    <col min="4363" max="4363" width="12.28515625" style="62" customWidth="1"/>
    <col min="4364" max="4364" width="12.5703125" style="62" customWidth="1"/>
    <col min="4365" max="4365" width="10.5703125" style="62" customWidth="1"/>
    <col min="4366" max="4366" width="10.140625" style="62" customWidth="1"/>
    <col min="4367" max="4367" width="8.42578125" style="62" customWidth="1"/>
    <col min="4368" max="4368" width="18.85546875" style="62" customWidth="1"/>
    <col min="4369" max="4369" width="10.28515625" style="62" customWidth="1"/>
    <col min="4370" max="4370" width="11.42578125" style="62"/>
    <col min="4371" max="4371" width="12.140625" style="62" customWidth="1"/>
    <col min="4372" max="4372" width="10.5703125" style="62" customWidth="1"/>
    <col min="4373" max="4373" width="12.42578125" style="62" customWidth="1"/>
    <col min="4374" max="4374" width="15.140625" style="62" customWidth="1"/>
    <col min="4375" max="4375" width="13.5703125" style="62" customWidth="1"/>
    <col min="4376" max="4376" width="13.140625" style="62" customWidth="1"/>
    <col min="4377" max="4377" width="15.7109375" style="62" customWidth="1"/>
    <col min="4378" max="4378" width="37.5703125" style="62" customWidth="1"/>
    <col min="4379" max="4600" width="11.42578125" style="62"/>
    <col min="4601" max="4601" width="10.5703125" style="62" customWidth="1"/>
    <col min="4602" max="4602" width="4.85546875" style="62" customWidth="1"/>
    <col min="4603" max="4603" width="32.42578125" style="62" customWidth="1"/>
    <col min="4604" max="4604" width="9.85546875" style="62" customWidth="1"/>
    <col min="4605" max="4605" width="10.140625" style="62" customWidth="1"/>
    <col min="4606" max="4606" width="12.28515625" style="62" customWidth="1"/>
    <col min="4607" max="4607" width="15.42578125" style="62" customWidth="1"/>
    <col min="4608" max="4608" width="11.85546875" style="62" customWidth="1"/>
    <col min="4609" max="4609" width="13.28515625" style="62" customWidth="1"/>
    <col min="4610" max="4610" width="15.28515625" style="62" customWidth="1"/>
    <col min="4611" max="4611" width="11.85546875" style="62" customWidth="1"/>
    <col min="4612" max="4612" width="6.140625" style="62" customWidth="1"/>
    <col min="4613" max="4613" width="11.85546875" style="62" customWidth="1"/>
    <col min="4614" max="4614" width="9.42578125" style="62" customWidth="1"/>
    <col min="4615" max="4615" width="14.7109375" style="62" customWidth="1"/>
    <col min="4616" max="4616" width="11.5703125" style="62" customWidth="1"/>
    <col min="4617" max="4617" width="0.42578125" style="62" customWidth="1"/>
    <col min="4618" max="4618" width="10.5703125" style="62" bestFit="1" customWidth="1"/>
    <col min="4619" max="4619" width="12.28515625" style="62" customWidth="1"/>
    <col min="4620" max="4620" width="12.5703125" style="62" customWidth="1"/>
    <col min="4621" max="4621" width="10.5703125" style="62" customWidth="1"/>
    <col min="4622" max="4622" width="10.140625" style="62" customWidth="1"/>
    <col min="4623" max="4623" width="8.42578125" style="62" customWidth="1"/>
    <col min="4624" max="4624" width="18.85546875" style="62" customWidth="1"/>
    <col min="4625" max="4625" width="10.28515625" style="62" customWidth="1"/>
    <col min="4626" max="4626" width="11.42578125" style="62"/>
    <col min="4627" max="4627" width="12.140625" style="62" customWidth="1"/>
    <col min="4628" max="4628" width="10.5703125" style="62" customWidth="1"/>
    <col min="4629" max="4629" width="12.42578125" style="62" customWidth="1"/>
    <col min="4630" max="4630" width="15.140625" style="62" customWidth="1"/>
    <col min="4631" max="4631" width="13.5703125" style="62" customWidth="1"/>
    <col min="4632" max="4632" width="13.140625" style="62" customWidth="1"/>
    <col min="4633" max="4633" width="15.7109375" style="62" customWidth="1"/>
    <col min="4634" max="4634" width="37.5703125" style="62" customWidth="1"/>
    <col min="4635" max="4856" width="11.42578125" style="62"/>
    <col min="4857" max="4857" width="10.5703125" style="62" customWidth="1"/>
    <col min="4858" max="4858" width="4.85546875" style="62" customWidth="1"/>
    <col min="4859" max="4859" width="32.42578125" style="62" customWidth="1"/>
    <col min="4860" max="4860" width="9.85546875" style="62" customWidth="1"/>
    <col min="4861" max="4861" width="10.140625" style="62" customWidth="1"/>
    <col min="4862" max="4862" width="12.28515625" style="62" customWidth="1"/>
    <col min="4863" max="4863" width="15.42578125" style="62" customWidth="1"/>
    <col min="4864" max="4864" width="11.85546875" style="62" customWidth="1"/>
    <col min="4865" max="4865" width="13.28515625" style="62" customWidth="1"/>
    <col min="4866" max="4866" width="15.28515625" style="62" customWidth="1"/>
    <col min="4867" max="4867" width="11.85546875" style="62" customWidth="1"/>
    <col min="4868" max="4868" width="6.140625" style="62" customWidth="1"/>
    <col min="4869" max="4869" width="11.85546875" style="62" customWidth="1"/>
    <col min="4870" max="4870" width="9.42578125" style="62" customWidth="1"/>
    <col min="4871" max="4871" width="14.7109375" style="62" customWidth="1"/>
    <col min="4872" max="4872" width="11.5703125" style="62" customWidth="1"/>
    <col min="4873" max="4873" width="0.42578125" style="62" customWidth="1"/>
    <col min="4874" max="4874" width="10.5703125" style="62" bestFit="1" customWidth="1"/>
    <col min="4875" max="4875" width="12.28515625" style="62" customWidth="1"/>
    <col min="4876" max="4876" width="12.5703125" style="62" customWidth="1"/>
    <col min="4877" max="4877" width="10.5703125" style="62" customWidth="1"/>
    <col min="4878" max="4878" width="10.140625" style="62" customWidth="1"/>
    <col min="4879" max="4879" width="8.42578125" style="62" customWidth="1"/>
    <col min="4880" max="4880" width="18.85546875" style="62" customWidth="1"/>
    <col min="4881" max="4881" width="10.28515625" style="62" customWidth="1"/>
    <col min="4882" max="4882" width="11.42578125" style="62"/>
    <col min="4883" max="4883" width="12.140625" style="62" customWidth="1"/>
    <col min="4884" max="4884" width="10.5703125" style="62" customWidth="1"/>
    <col min="4885" max="4885" width="12.42578125" style="62" customWidth="1"/>
    <col min="4886" max="4886" width="15.140625" style="62" customWidth="1"/>
    <col min="4887" max="4887" width="13.5703125" style="62" customWidth="1"/>
    <col min="4888" max="4888" width="13.140625" style="62" customWidth="1"/>
    <col min="4889" max="4889" width="15.7109375" style="62" customWidth="1"/>
    <col min="4890" max="4890" width="37.5703125" style="62" customWidth="1"/>
    <col min="4891" max="5112" width="11.42578125" style="62"/>
    <col min="5113" max="5113" width="10.5703125" style="62" customWidth="1"/>
    <col min="5114" max="5114" width="4.85546875" style="62" customWidth="1"/>
    <col min="5115" max="5115" width="32.42578125" style="62" customWidth="1"/>
    <col min="5116" max="5116" width="9.85546875" style="62" customWidth="1"/>
    <col min="5117" max="5117" width="10.140625" style="62" customWidth="1"/>
    <col min="5118" max="5118" width="12.28515625" style="62" customWidth="1"/>
    <col min="5119" max="5119" width="15.42578125" style="62" customWidth="1"/>
    <col min="5120" max="5120" width="11.85546875" style="62" customWidth="1"/>
    <col min="5121" max="5121" width="13.28515625" style="62" customWidth="1"/>
    <col min="5122" max="5122" width="15.28515625" style="62" customWidth="1"/>
    <col min="5123" max="5123" width="11.85546875" style="62" customWidth="1"/>
    <col min="5124" max="5124" width="6.140625" style="62" customWidth="1"/>
    <col min="5125" max="5125" width="11.85546875" style="62" customWidth="1"/>
    <col min="5126" max="5126" width="9.42578125" style="62" customWidth="1"/>
    <col min="5127" max="5127" width="14.7109375" style="62" customWidth="1"/>
    <col min="5128" max="5128" width="11.5703125" style="62" customWidth="1"/>
    <col min="5129" max="5129" width="0.42578125" style="62" customWidth="1"/>
    <col min="5130" max="5130" width="10.5703125" style="62" bestFit="1" customWidth="1"/>
    <col min="5131" max="5131" width="12.28515625" style="62" customWidth="1"/>
    <col min="5132" max="5132" width="12.5703125" style="62" customWidth="1"/>
    <col min="5133" max="5133" width="10.5703125" style="62" customWidth="1"/>
    <col min="5134" max="5134" width="10.140625" style="62" customWidth="1"/>
    <col min="5135" max="5135" width="8.42578125" style="62" customWidth="1"/>
    <col min="5136" max="5136" width="18.85546875" style="62" customWidth="1"/>
    <col min="5137" max="5137" width="10.28515625" style="62" customWidth="1"/>
    <col min="5138" max="5138" width="11.42578125" style="62"/>
    <col min="5139" max="5139" width="12.140625" style="62" customWidth="1"/>
    <col min="5140" max="5140" width="10.5703125" style="62" customWidth="1"/>
    <col min="5141" max="5141" width="12.42578125" style="62" customWidth="1"/>
    <col min="5142" max="5142" width="15.140625" style="62" customWidth="1"/>
    <col min="5143" max="5143" width="13.5703125" style="62" customWidth="1"/>
    <col min="5144" max="5144" width="13.140625" style="62" customWidth="1"/>
    <col min="5145" max="5145" width="15.7109375" style="62" customWidth="1"/>
    <col min="5146" max="5146" width="37.5703125" style="62" customWidth="1"/>
    <col min="5147" max="5368" width="11.42578125" style="62"/>
    <col min="5369" max="5369" width="10.5703125" style="62" customWidth="1"/>
    <col min="5370" max="5370" width="4.85546875" style="62" customWidth="1"/>
    <col min="5371" max="5371" width="32.42578125" style="62" customWidth="1"/>
    <col min="5372" max="5372" width="9.85546875" style="62" customWidth="1"/>
    <col min="5373" max="5373" width="10.140625" style="62" customWidth="1"/>
    <col min="5374" max="5374" width="12.28515625" style="62" customWidth="1"/>
    <col min="5375" max="5375" width="15.42578125" style="62" customWidth="1"/>
    <col min="5376" max="5376" width="11.85546875" style="62" customWidth="1"/>
    <col min="5377" max="5377" width="13.28515625" style="62" customWidth="1"/>
    <col min="5378" max="5378" width="15.28515625" style="62" customWidth="1"/>
    <col min="5379" max="5379" width="11.85546875" style="62" customWidth="1"/>
    <col min="5380" max="5380" width="6.140625" style="62" customWidth="1"/>
    <col min="5381" max="5381" width="11.85546875" style="62" customWidth="1"/>
    <col min="5382" max="5382" width="9.42578125" style="62" customWidth="1"/>
    <col min="5383" max="5383" width="14.7109375" style="62" customWidth="1"/>
    <col min="5384" max="5384" width="11.5703125" style="62" customWidth="1"/>
    <col min="5385" max="5385" width="0.42578125" style="62" customWidth="1"/>
    <col min="5386" max="5386" width="10.5703125" style="62" bestFit="1" customWidth="1"/>
    <col min="5387" max="5387" width="12.28515625" style="62" customWidth="1"/>
    <col min="5388" max="5388" width="12.5703125" style="62" customWidth="1"/>
    <col min="5389" max="5389" width="10.5703125" style="62" customWidth="1"/>
    <col min="5390" max="5390" width="10.140625" style="62" customWidth="1"/>
    <col min="5391" max="5391" width="8.42578125" style="62" customWidth="1"/>
    <col min="5392" max="5392" width="18.85546875" style="62" customWidth="1"/>
    <col min="5393" max="5393" width="10.28515625" style="62" customWidth="1"/>
    <col min="5394" max="5394" width="11.42578125" style="62"/>
    <col min="5395" max="5395" width="12.140625" style="62" customWidth="1"/>
    <col min="5396" max="5396" width="10.5703125" style="62" customWidth="1"/>
    <col min="5397" max="5397" width="12.42578125" style="62" customWidth="1"/>
    <col min="5398" max="5398" width="15.140625" style="62" customWidth="1"/>
    <col min="5399" max="5399" width="13.5703125" style="62" customWidth="1"/>
    <col min="5400" max="5400" width="13.140625" style="62" customWidth="1"/>
    <col min="5401" max="5401" width="15.7109375" style="62" customWidth="1"/>
    <col min="5402" max="5402" width="37.5703125" style="62" customWidth="1"/>
    <col min="5403" max="5624" width="11.42578125" style="62"/>
    <col min="5625" max="5625" width="10.5703125" style="62" customWidth="1"/>
    <col min="5626" max="5626" width="4.85546875" style="62" customWidth="1"/>
    <col min="5627" max="5627" width="32.42578125" style="62" customWidth="1"/>
    <col min="5628" max="5628" width="9.85546875" style="62" customWidth="1"/>
    <col min="5629" max="5629" width="10.140625" style="62" customWidth="1"/>
    <col min="5630" max="5630" width="12.28515625" style="62" customWidth="1"/>
    <col min="5631" max="5631" width="15.42578125" style="62" customWidth="1"/>
    <col min="5632" max="5632" width="11.85546875" style="62" customWidth="1"/>
    <col min="5633" max="5633" width="13.28515625" style="62" customWidth="1"/>
    <col min="5634" max="5634" width="15.28515625" style="62" customWidth="1"/>
    <col min="5635" max="5635" width="11.85546875" style="62" customWidth="1"/>
    <col min="5636" max="5636" width="6.140625" style="62" customWidth="1"/>
    <col min="5637" max="5637" width="11.85546875" style="62" customWidth="1"/>
    <col min="5638" max="5638" width="9.42578125" style="62" customWidth="1"/>
    <col min="5639" max="5639" width="14.7109375" style="62" customWidth="1"/>
    <col min="5640" max="5640" width="11.5703125" style="62" customWidth="1"/>
    <col min="5641" max="5641" width="0.42578125" style="62" customWidth="1"/>
    <col min="5642" max="5642" width="10.5703125" style="62" bestFit="1" customWidth="1"/>
    <col min="5643" max="5643" width="12.28515625" style="62" customWidth="1"/>
    <col min="5644" max="5644" width="12.5703125" style="62" customWidth="1"/>
    <col min="5645" max="5645" width="10.5703125" style="62" customWidth="1"/>
    <col min="5646" max="5646" width="10.140625" style="62" customWidth="1"/>
    <col min="5647" max="5647" width="8.42578125" style="62" customWidth="1"/>
    <col min="5648" max="5648" width="18.85546875" style="62" customWidth="1"/>
    <col min="5649" max="5649" width="10.28515625" style="62" customWidth="1"/>
    <col min="5650" max="5650" width="11.42578125" style="62"/>
    <col min="5651" max="5651" width="12.140625" style="62" customWidth="1"/>
    <col min="5652" max="5652" width="10.5703125" style="62" customWidth="1"/>
    <col min="5653" max="5653" width="12.42578125" style="62" customWidth="1"/>
    <col min="5654" max="5654" width="15.140625" style="62" customWidth="1"/>
    <col min="5655" max="5655" width="13.5703125" style="62" customWidth="1"/>
    <col min="5656" max="5656" width="13.140625" style="62" customWidth="1"/>
    <col min="5657" max="5657" width="15.7109375" style="62" customWidth="1"/>
    <col min="5658" max="5658" width="37.5703125" style="62" customWidth="1"/>
    <col min="5659" max="5880" width="11.42578125" style="62"/>
    <col min="5881" max="5881" width="10.5703125" style="62" customWidth="1"/>
    <col min="5882" max="5882" width="4.85546875" style="62" customWidth="1"/>
    <col min="5883" max="5883" width="32.42578125" style="62" customWidth="1"/>
    <col min="5884" max="5884" width="9.85546875" style="62" customWidth="1"/>
    <col min="5885" max="5885" width="10.140625" style="62" customWidth="1"/>
    <col min="5886" max="5886" width="12.28515625" style="62" customWidth="1"/>
    <col min="5887" max="5887" width="15.42578125" style="62" customWidth="1"/>
    <col min="5888" max="5888" width="11.85546875" style="62" customWidth="1"/>
    <col min="5889" max="5889" width="13.28515625" style="62" customWidth="1"/>
    <col min="5890" max="5890" width="15.28515625" style="62" customWidth="1"/>
    <col min="5891" max="5891" width="11.85546875" style="62" customWidth="1"/>
    <col min="5892" max="5892" width="6.140625" style="62" customWidth="1"/>
    <col min="5893" max="5893" width="11.85546875" style="62" customWidth="1"/>
    <col min="5894" max="5894" width="9.42578125" style="62" customWidth="1"/>
    <col min="5895" max="5895" width="14.7109375" style="62" customWidth="1"/>
    <col min="5896" max="5896" width="11.5703125" style="62" customWidth="1"/>
    <col min="5897" max="5897" width="0.42578125" style="62" customWidth="1"/>
    <col min="5898" max="5898" width="10.5703125" style="62" bestFit="1" customWidth="1"/>
    <col min="5899" max="5899" width="12.28515625" style="62" customWidth="1"/>
    <col min="5900" max="5900" width="12.5703125" style="62" customWidth="1"/>
    <col min="5901" max="5901" width="10.5703125" style="62" customWidth="1"/>
    <col min="5902" max="5902" width="10.140625" style="62" customWidth="1"/>
    <col min="5903" max="5903" width="8.42578125" style="62" customWidth="1"/>
    <col min="5904" max="5904" width="18.85546875" style="62" customWidth="1"/>
    <col min="5905" max="5905" width="10.28515625" style="62" customWidth="1"/>
    <col min="5906" max="5906" width="11.42578125" style="62"/>
    <col min="5907" max="5907" width="12.140625" style="62" customWidth="1"/>
    <col min="5908" max="5908" width="10.5703125" style="62" customWidth="1"/>
    <col min="5909" max="5909" width="12.42578125" style="62" customWidth="1"/>
    <col min="5910" max="5910" width="15.140625" style="62" customWidth="1"/>
    <col min="5911" max="5911" width="13.5703125" style="62" customWidth="1"/>
    <col min="5912" max="5912" width="13.140625" style="62" customWidth="1"/>
    <col min="5913" max="5913" width="15.7109375" style="62" customWidth="1"/>
    <col min="5914" max="5914" width="37.5703125" style="62" customWidth="1"/>
    <col min="5915" max="6136" width="11.42578125" style="62"/>
    <col min="6137" max="6137" width="10.5703125" style="62" customWidth="1"/>
    <col min="6138" max="6138" width="4.85546875" style="62" customWidth="1"/>
    <col min="6139" max="6139" width="32.42578125" style="62" customWidth="1"/>
    <col min="6140" max="6140" width="9.85546875" style="62" customWidth="1"/>
    <col min="6141" max="6141" width="10.140625" style="62" customWidth="1"/>
    <col min="6142" max="6142" width="12.28515625" style="62" customWidth="1"/>
    <col min="6143" max="6143" width="15.42578125" style="62" customWidth="1"/>
    <col min="6144" max="6144" width="11.85546875" style="62" customWidth="1"/>
    <col min="6145" max="6145" width="13.28515625" style="62" customWidth="1"/>
    <col min="6146" max="6146" width="15.28515625" style="62" customWidth="1"/>
    <col min="6147" max="6147" width="11.85546875" style="62" customWidth="1"/>
    <col min="6148" max="6148" width="6.140625" style="62" customWidth="1"/>
    <col min="6149" max="6149" width="11.85546875" style="62" customWidth="1"/>
    <col min="6150" max="6150" width="9.42578125" style="62" customWidth="1"/>
    <col min="6151" max="6151" width="14.7109375" style="62" customWidth="1"/>
    <col min="6152" max="6152" width="11.5703125" style="62" customWidth="1"/>
    <col min="6153" max="6153" width="0.42578125" style="62" customWidth="1"/>
    <col min="6154" max="6154" width="10.5703125" style="62" bestFit="1" customWidth="1"/>
    <col min="6155" max="6155" width="12.28515625" style="62" customWidth="1"/>
    <col min="6156" max="6156" width="12.5703125" style="62" customWidth="1"/>
    <col min="6157" max="6157" width="10.5703125" style="62" customWidth="1"/>
    <col min="6158" max="6158" width="10.140625" style="62" customWidth="1"/>
    <col min="6159" max="6159" width="8.42578125" style="62" customWidth="1"/>
    <col min="6160" max="6160" width="18.85546875" style="62" customWidth="1"/>
    <col min="6161" max="6161" width="10.28515625" style="62" customWidth="1"/>
    <col min="6162" max="6162" width="11.42578125" style="62"/>
    <col min="6163" max="6163" width="12.140625" style="62" customWidth="1"/>
    <col min="6164" max="6164" width="10.5703125" style="62" customWidth="1"/>
    <col min="6165" max="6165" width="12.42578125" style="62" customWidth="1"/>
    <col min="6166" max="6166" width="15.140625" style="62" customWidth="1"/>
    <col min="6167" max="6167" width="13.5703125" style="62" customWidth="1"/>
    <col min="6168" max="6168" width="13.140625" style="62" customWidth="1"/>
    <col min="6169" max="6169" width="15.7109375" style="62" customWidth="1"/>
    <col min="6170" max="6170" width="37.5703125" style="62" customWidth="1"/>
    <col min="6171" max="6392" width="11.42578125" style="62"/>
    <col min="6393" max="6393" width="10.5703125" style="62" customWidth="1"/>
    <col min="6394" max="6394" width="4.85546875" style="62" customWidth="1"/>
    <col min="6395" max="6395" width="32.42578125" style="62" customWidth="1"/>
    <col min="6396" max="6396" width="9.85546875" style="62" customWidth="1"/>
    <col min="6397" max="6397" width="10.140625" style="62" customWidth="1"/>
    <col min="6398" max="6398" width="12.28515625" style="62" customWidth="1"/>
    <col min="6399" max="6399" width="15.42578125" style="62" customWidth="1"/>
    <col min="6400" max="6400" width="11.85546875" style="62" customWidth="1"/>
    <col min="6401" max="6401" width="13.28515625" style="62" customWidth="1"/>
    <col min="6402" max="6402" width="15.28515625" style="62" customWidth="1"/>
    <col min="6403" max="6403" width="11.85546875" style="62" customWidth="1"/>
    <col min="6404" max="6404" width="6.140625" style="62" customWidth="1"/>
    <col min="6405" max="6405" width="11.85546875" style="62" customWidth="1"/>
    <col min="6406" max="6406" width="9.42578125" style="62" customWidth="1"/>
    <col min="6407" max="6407" width="14.7109375" style="62" customWidth="1"/>
    <col min="6408" max="6408" width="11.5703125" style="62" customWidth="1"/>
    <col min="6409" max="6409" width="0.42578125" style="62" customWidth="1"/>
    <col min="6410" max="6410" width="10.5703125" style="62" bestFit="1" customWidth="1"/>
    <col min="6411" max="6411" width="12.28515625" style="62" customWidth="1"/>
    <col min="6412" max="6412" width="12.5703125" style="62" customWidth="1"/>
    <col min="6413" max="6413" width="10.5703125" style="62" customWidth="1"/>
    <col min="6414" max="6414" width="10.140625" style="62" customWidth="1"/>
    <col min="6415" max="6415" width="8.42578125" style="62" customWidth="1"/>
    <col min="6416" max="6416" width="18.85546875" style="62" customWidth="1"/>
    <col min="6417" max="6417" width="10.28515625" style="62" customWidth="1"/>
    <col min="6418" max="6418" width="11.42578125" style="62"/>
    <col min="6419" max="6419" width="12.140625" style="62" customWidth="1"/>
    <col min="6420" max="6420" width="10.5703125" style="62" customWidth="1"/>
    <col min="6421" max="6421" width="12.42578125" style="62" customWidth="1"/>
    <col min="6422" max="6422" width="15.140625" style="62" customWidth="1"/>
    <col min="6423" max="6423" width="13.5703125" style="62" customWidth="1"/>
    <col min="6424" max="6424" width="13.140625" style="62" customWidth="1"/>
    <col min="6425" max="6425" width="15.7109375" style="62" customWidth="1"/>
    <col min="6426" max="6426" width="37.5703125" style="62" customWidth="1"/>
    <col min="6427" max="6648" width="11.42578125" style="62"/>
    <col min="6649" max="6649" width="10.5703125" style="62" customWidth="1"/>
    <col min="6650" max="6650" width="4.85546875" style="62" customWidth="1"/>
    <col min="6651" max="6651" width="32.42578125" style="62" customWidth="1"/>
    <col min="6652" max="6652" width="9.85546875" style="62" customWidth="1"/>
    <col min="6653" max="6653" width="10.140625" style="62" customWidth="1"/>
    <col min="6654" max="6654" width="12.28515625" style="62" customWidth="1"/>
    <col min="6655" max="6655" width="15.42578125" style="62" customWidth="1"/>
    <col min="6656" max="6656" width="11.85546875" style="62" customWidth="1"/>
    <col min="6657" max="6657" width="13.28515625" style="62" customWidth="1"/>
    <col min="6658" max="6658" width="15.28515625" style="62" customWidth="1"/>
    <col min="6659" max="6659" width="11.85546875" style="62" customWidth="1"/>
    <col min="6660" max="6660" width="6.140625" style="62" customWidth="1"/>
    <col min="6661" max="6661" width="11.85546875" style="62" customWidth="1"/>
    <col min="6662" max="6662" width="9.42578125" style="62" customWidth="1"/>
    <col min="6663" max="6663" width="14.7109375" style="62" customWidth="1"/>
    <col min="6664" max="6664" width="11.5703125" style="62" customWidth="1"/>
    <col min="6665" max="6665" width="0.42578125" style="62" customWidth="1"/>
    <col min="6666" max="6666" width="10.5703125" style="62" bestFit="1" customWidth="1"/>
    <col min="6667" max="6667" width="12.28515625" style="62" customWidth="1"/>
    <col min="6668" max="6668" width="12.5703125" style="62" customWidth="1"/>
    <col min="6669" max="6669" width="10.5703125" style="62" customWidth="1"/>
    <col min="6670" max="6670" width="10.140625" style="62" customWidth="1"/>
    <col min="6671" max="6671" width="8.42578125" style="62" customWidth="1"/>
    <col min="6672" max="6672" width="18.85546875" style="62" customWidth="1"/>
    <col min="6673" max="6673" width="10.28515625" style="62" customWidth="1"/>
    <col min="6674" max="6674" width="11.42578125" style="62"/>
    <col min="6675" max="6675" width="12.140625" style="62" customWidth="1"/>
    <col min="6676" max="6676" width="10.5703125" style="62" customWidth="1"/>
    <col min="6677" max="6677" width="12.42578125" style="62" customWidth="1"/>
    <col min="6678" max="6678" width="15.140625" style="62" customWidth="1"/>
    <col min="6679" max="6679" width="13.5703125" style="62" customWidth="1"/>
    <col min="6680" max="6680" width="13.140625" style="62" customWidth="1"/>
    <col min="6681" max="6681" width="15.7109375" style="62" customWidth="1"/>
    <col min="6682" max="6682" width="37.5703125" style="62" customWidth="1"/>
    <col min="6683" max="6904" width="11.42578125" style="62"/>
    <col min="6905" max="6905" width="10.5703125" style="62" customWidth="1"/>
    <col min="6906" max="6906" width="4.85546875" style="62" customWidth="1"/>
    <col min="6907" max="6907" width="32.42578125" style="62" customWidth="1"/>
    <col min="6908" max="6908" width="9.85546875" style="62" customWidth="1"/>
    <col min="6909" max="6909" width="10.140625" style="62" customWidth="1"/>
    <col min="6910" max="6910" width="12.28515625" style="62" customWidth="1"/>
    <col min="6911" max="6911" width="15.42578125" style="62" customWidth="1"/>
    <col min="6912" max="6912" width="11.85546875" style="62" customWidth="1"/>
    <col min="6913" max="6913" width="13.28515625" style="62" customWidth="1"/>
    <col min="6914" max="6914" width="15.28515625" style="62" customWidth="1"/>
    <col min="6915" max="6915" width="11.85546875" style="62" customWidth="1"/>
    <col min="6916" max="6916" width="6.140625" style="62" customWidth="1"/>
    <col min="6917" max="6917" width="11.85546875" style="62" customWidth="1"/>
    <col min="6918" max="6918" width="9.42578125" style="62" customWidth="1"/>
    <col min="6919" max="6919" width="14.7109375" style="62" customWidth="1"/>
    <col min="6920" max="6920" width="11.5703125" style="62" customWidth="1"/>
    <col min="6921" max="6921" width="0.42578125" style="62" customWidth="1"/>
    <col min="6922" max="6922" width="10.5703125" style="62" bestFit="1" customWidth="1"/>
    <col min="6923" max="6923" width="12.28515625" style="62" customWidth="1"/>
    <col min="6924" max="6924" width="12.5703125" style="62" customWidth="1"/>
    <col min="6925" max="6925" width="10.5703125" style="62" customWidth="1"/>
    <col min="6926" max="6926" width="10.140625" style="62" customWidth="1"/>
    <col min="6927" max="6927" width="8.42578125" style="62" customWidth="1"/>
    <col min="6928" max="6928" width="18.85546875" style="62" customWidth="1"/>
    <col min="6929" max="6929" width="10.28515625" style="62" customWidth="1"/>
    <col min="6930" max="6930" width="11.42578125" style="62"/>
    <col min="6931" max="6931" width="12.140625" style="62" customWidth="1"/>
    <col min="6932" max="6932" width="10.5703125" style="62" customWidth="1"/>
    <col min="6933" max="6933" width="12.42578125" style="62" customWidth="1"/>
    <col min="6934" max="6934" width="15.140625" style="62" customWidth="1"/>
    <col min="6935" max="6935" width="13.5703125" style="62" customWidth="1"/>
    <col min="6936" max="6936" width="13.140625" style="62" customWidth="1"/>
    <col min="6937" max="6937" width="15.7109375" style="62" customWidth="1"/>
    <col min="6938" max="6938" width="37.5703125" style="62" customWidth="1"/>
    <col min="6939" max="7160" width="11.42578125" style="62"/>
    <col min="7161" max="7161" width="10.5703125" style="62" customWidth="1"/>
    <col min="7162" max="7162" width="4.85546875" style="62" customWidth="1"/>
    <col min="7163" max="7163" width="32.42578125" style="62" customWidth="1"/>
    <col min="7164" max="7164" width="9.85546875" style="62" customWidth="1"/>
    <col min="7165" max="7165" width="10.140625" style="62" customWidth="1"/>
    <col min="7166" max="7166" width="12.28515625" style="62" customWidth="1"/>
    <col min="7167" max="7167" width="15.42578125" style="62" customWidth="1"/>
    <col min="7168" max="7168" width="11.85546875" style="62" customWidth="1"/>
    <col min="7169" max="7169" width="13.28515625" style="62" customWidth="1"/>
    <col min="7170" max="7170" width="15.28515625" style="62" customWidth="1"/>
    <col min="7171" max="7171" width="11.85546875" style="62" customWidth="1"/>
    <col min="7172" max="7172" width="6.140625" style="62" customWidth="1"/>
    <col min="7173" max="7173" width="11.85546875" style="62" customWidth="1"/>
    <col min="7174" max="7174" width="9.42578125" style="62" customWidth="1"/>
    <col min="7175" max="7175" width="14.7109375" style="62" customWidth="1"/>
    <col min="7176" max="7176" width="11.5703125" style="62" customWidth="1"/>
    <col min="7177" max="7177" width="0.42578125" style="62" customWidth="1"/>
    <col min="7178" max="7178" width="10.5703125" style="62" bestFit="1" customWidth="1"/>
    <col min="7179" max="7179" width="12.28515625" style="62" customWidth="1"/>
    <col min="7180" max="7180" width="12.5703125" style="62" customWidth="1"/>
    <col min="7181" max="7181" width="10.5703125" style="62" customWidth="1"/>
    <col min="7182" max="7182" width="10.140625" style="62" customWidth="1"/>
    <col min="7183" max="7183" width="8.42578125" style="62" customWidth="1"/>
    <col min="7184" max="7184" width="18.85546875" style="62" customWidth="1"/>
    <col min="7185" max="7185" width="10.28515625" style="62" customWidth="1"/>
    <col min="7186" max="7186" width="11.42578125" style="62"/>
    <col min="7187" max="7187" width="12.140625" style="62" customWidth="1"/>
    <col min="7188" max="7188" width="10.5703125" style="62" customWidth="1"/>
    <col min="7189" max="7189" width="12.42578125" style="62" customWidth="1"/>
    <col min="7190" max="7190" width="15.140625" style="62" customWidth="1"/>
    <col min="7191" max="7191" width="13.5703125" style="62" customWidth="1"/>
    <col min="7192" max="7192" width="13.140625" style="62" customWidth="1"/>
    <col min="7193" max="7193" width="15.7109375" style="62" customWidth="1"/>
    <col min="7194" max="7194" width="37.5703125" style="62" customWidth="1"/>
    <col min="7195" max="7416" width="11.42578125" style="62"/>
    <col min="7417" max="7417" width="10.5703125" style="62" customWidth="1"/>
    <col min="7418" max="7418" width="4.85546875" style="62" customWidth="1"/>
    <col min="7419" max="7419" width="32.42578125" style="62" customWidth="1"/>
    <col min="7420" max="7420" width="9.85546875" style="62" customWidth="1"/>
    <col min="7421" max="7421" width="10.140625" style="62" customWidth="1"/>
    <col min="7422" max="7422" width="12.28515625" style="62" customWidth="1"/>
    <col min="7423" max="7423" width="15.42578125" style="62" customWidth="1"/>
    <col min="7424" max="7424" width="11.85546875" style="62" customWidth="1"/>
    <col min="7425" max="7425" width="13.28515625" style="62" customWidth="1"/>
    <col min="7426" max="7426" width="15.28515625" style="62" customWidth="1"/>
    <col min="7427" max="7427" width="11.85546875" style="62" customWidth="1"/>
    <col min="7428" max="7428" width="6.140625" style="62" customWidth="1"/>
    <col min="7429" max="7429" width="11.85546875" style="62" customWidth="1"/>
    <col min="7430" max="7430" width="9.42578125" style="62" customWidth="1"/>
    <col min="7431" max="7431" width="14.7109375" style="62" customWidth="1"/>
    <col min="7432" max="7432" width="11.5703125" style="62" customWidth="1"/>
    <col min="7433" max="7433" width="0.42578125" style="62" customWidth="1"/>
    <col min="7434" max="7434" width="10.5703125" style="62" bestFit="1" customWidth="1"/>
    <col min="7435" max="7435" width="12.28515625" style="62" customWidth="1"/>
    <col min="7436" max="7436" width="12.5703125" style="62" customWidth="1"/>
    <col min="7437" max="7437" width="10.5703125" style="62" customWidth="1"/>
    <col min="7438" max="7438" width="10.140625" style="62" customWidth="1"/>
    <col min="7439" max="7439" width="8.42578125" style="62" customWidth="1"/>
    <col min="7440" max="7440" width="18.85546875" style="62" customWidth="1"/>
    <col min="7441" max="7441" width="10.28515625" style="62" customWidth="1"/>
    <col min="7442" max="7442" width="11.42578125" style="62"/>
    <col min="7443" max="7443" width="12.140625" style="62" customWidth="1"/>
    <col min="7444" max="7444" width="10.5703125" style="62" customWidth="1"/>
    <col min="7445" max="7445" width="12.42578125" style="62" customWidth="1"/>
    <col min="7446" max="7446" width="15.140625" style="62" customWidth="1"/>
    <col min="7447" max="7447" width="13.5703125" style="62" customWidth="1"/>
    <col min="7448" max="7448" width="13.140625" style="62" customWidth="1"/>
    <col min="7449" max="7449" width="15.7109375" style="62" customWidth="1"/>
    <col min="7450" max="7450" width="37.5703125" style="62" customWidth="1"/>
    <col min="7451" max="7672" width="11.42578125" style="62"/>
    <col min="7673" max="7673" width="10.5703125" style="62" customWidth="1"/>
    <col min="7674" max="7674" width="4.85546875" style="62" customWidth="1"/>
    <col min="7675" max="7675" width="32.42578125" style="62" customWidth="1"/>
    <col min="7676" max="7676" width="9.85546875" style="62" customWidth="1"/>
    <col min="7677" max="7677" width="10.140625" style="62" customWidth="1"/>
    <col min="7678" max="7678" width="12.28515625" style="62" customWidth="1"/>
    <col min="7679" max="7679" width="15.42578125" style="62" customWidth="1"/>
    <col min="7680" max="7680" width="11.85546875" style="62" customWidth="1"/>
    <col min="7681" max="7681" width="13.28515625" style="62" customWidth="1"/>
    <col min="7682" max="7682" width="15.28515625" style="62" customWidth="1"/>
    <col min="7683" max="7683" width="11.85546875" style="62" customWidth="1"/>
    <col min="7684" max="7684" width="6.140625" style="62" customWidth="1"/>
    <col min="7685" max="7685" width="11.85546875" style="62" customWidth="1"/>
    <col min="7686" max="7686" width="9.42578125" style="62" customWidth="1"/>
    <col min="7687" max="7687" width="14.7109375" style="62" customWidth="1"/>
    <col min="7688" max="7688" width="11.5703125" style="62" customWidth="1"/>
    <col min="7689" max="7689" width="0.42578125" style="62" customWidth="1"/>
    <col min="7690" max="7690" width="10.5703125" style="62" bestFit="1" customWidth="1"/>
    <col min="7691" max="7691" width="12.28515625" style="62" customWidth="1"/>
    <col min="7692" max="7692" width="12.5703125" style="62" customWidth="1"/>
    <col min="7693" max="7693" width="10.5703125" style="62" customWidth="1"/>
    <col min="7694" max="7694" width="10.140625" style="62" customWidth="1"/>
    <col min="7695" max="7695" width="8.42578125" style="62" customWidth="1"/>
    <col min="7696" max="7696" width="18.85546875" style="62" customWidth="1"/>
    <col min="7697" max="7697" width="10.28515625" style="62" customWidth="1"/>
    <col min="7698" max="7698" width="11.42578125" style="62"/>
    <col min="7699" max="7699" width="12.140625" style="62" customWidth="1"/>
    <col min="7700" max="7700" width="10.5703125" style="62" customWidth="1"/>
    <col min="7701" max="7701" width="12.42578125" style="62" customWidth="1"/>
    <col min="7702" max="7702" width="15.140625" style="62" customWidth="1"/>
    <col min="7703" max="7703" width="13.5703125" style="62" customWidth="1"/>
    <col min="7704" max="7704" width="13.140625" style="62" customWidth="1"/>
    <col min="7705" max="7705" width="15.7109375" style="62" customWidth="1"/>
    <col min="7706" max="7706" width="37.5703125" style="62" customWidth="1"/>
    <col min="7707" max="7928" width="11.42578125" style="62"/>
    <col min="7929" max="7929" width="10.5703125" style="62" customWidth="1"/>
    <col min="7930" max="7930" width="4.85546875" style="62" customWidth="1"/>
    <col min="7931" max="7931" width="32.42578125" style="62" customWidth="1"/>
    <col min="7932" max="7932" width="9.85546875" style="62" customWidth="1"/>
    <col min="7933" max="7933" width="10.140625" style="62" customWidth="1"/>
    <col min="7934" max="7934" width="12.28515625" style="62" customWidth="1"/>
    <col min="7935" max="7935" width="15.42578125" style="62" customWidth="1"/>
    <col min="7936" max="7936" width="11.85546875" style="62" customWidth="1"/>
    <col min="7937" max="7937" width="13.28515625" style="62" customWidth="1"/>
    <col min="7938" max="7938" width="15.28515625" style="62" customWidth="1"/>
    <col min="7939" max="7939" width="11.85546875" style="62" customWidth="1"/>
    <col min="7940" max="7940" width="6.140625" style="62" customWidth="1"/>
    <col min="7941" max="7941" width="11.85546875" style="62" customWidth="1"/>
    <col min="7942" max="7942" width="9.42578125" style="62" customWidth="1"/>
    <col min="7943" max="7943" width="14.7109375" style="62" customWidth="1"/>
    <col min="7944" max="7944" width="11.5703125" style="62" customWidth="1"/>
    <col min="7945" max="7945" width="0.42578125" style="62" customWidth="1"/>
    <col min="7946" max="7946" width="10.5703125" style="62" bestFit="1" customWidth="1"/>
    <col min="7947" max="7947" width="12.28515625" style="62" customWidth="1"/>
    <col min="7948" max="7948" width="12.5703125" style="62" customWidth="1"/>
    <col min="7949" max="7949" width="10.5703125" style="62" customWidth="1"/>
    <col min="7950" max="7950" width="10.140625" style="62" customWidth="1"/>
    <col min="7951" max="7951" width="8.42578125" style="62" customWidth="1"/>
    <col min="7952" max="7952" width="18.85546875" style="62" customWidth="1"/>
    <col min="7953" max="7953" width="10.28515625" style="62" customWidth="1"/>
    <col min="7954" max="7954" width="11.42578125" style="62"/>
    <col min="7955" max="7955" width="12.140625" style="62" customWidth="1"/>
    <col min="7956" max="7956" width="10.5703125" style="62" customWidth="1"/>
    <col min="7957" max="7957" width="12.42578125" style="62" customWidth="1"/>
    <col min="7958" max="7958" width="15.140625" style="62" customWidth="1"/>
    <col min="7959" max="7959" width="13.5703125" style="62" customWidth="1"/>
    <col min="7960" max="7960" width="13.140625" style="62" customWidth="1"/>
    <col min="7961" max="7961" width="15.7109375" style="62" customWidth="1"/>
    <col min="7962" max="7962" width="37.5703125" style="62" customWidth="1"/>
    <col min="7963" max="8184" width="11.42578125" style="62"/>
    <col min="8185" max="8185" width="10.5703125" style="62" customWidth="1"/>
    <col min="8186" max="8186" width="4.85546875" style="62" customWidth="1"/>
    <col min="8187" max="8187" width="32.42578125" style="62" customWidth="1"/>
    <col min="8188" max="8188" width="9.85546875" style="62" customWidth="1"/>
    <col min="8189" max="8189" width="10.140625" style="62" customWidth="1"/>
    <col min="8190" max="8190" width="12.28515625" style="62" customWidth="1"/>
    <col min="8191" max="8191" width="15.42578125" style="62" customWidth="1"/>
    <col min="8192" max="8192" width="11.85546875" style="62" customWidth="1"/>
    <col min="8193" max="8193" width="13.28515625" style="62" customWidth="1"/>
    <col min="8194" max="8194" width="15.28515625" style="62" customWidth="1"/>
    <col min="8195" max="8195" width="11.85546875" style="62" customWidth="1"/>
    <col min="8196" max="8196" width="6.140625" style="62" customWidth="1"/>
    <col min="8197" max="8197" width="11.85546875" style="62" customWidth="1"/>
    <col min="8198" max="8198" width="9.42578125" style="62" customWidth="1"/>
    <col min="8199" max="8199" width="14.7109375" style="62" customWidth="1"/>
    <col min="8200" max="8200" width="11.5703125" style="62" customWidth="1"/>
    <col min="8201" max="8201" width="0.42578125" style="62" customWidth="1"/>
    <col min="8202" max="8202" width="10.5703125" style="62" bestFit="1" customWidth="1"/>
    <col min="8203" max="8203" width="12.28515625" style="62" customWidth="1"/>
    <col min="8204" max="8204" width="12.5703125" style="62" customWidth="1"/>
    <col min="8205" max="8205" width="10.5703125" style="62" customWidth="1"/>
    <col min="8206" max="8206" width="10.140625" style="62" customWidth="1"/>
    <col min="8207" max="8207" width="8.42578125" style="62" customWidth="1"/>
    <col min="8208" max="8208" width="18.85546875" style="62" customWidth="1"/>
    <col min="8209" max="8209" width="10.28515625" style="62" customWidth="1"/>
    <col min="8210" max="8210" width="11.42578125" style="62"/>
    <col min="8211" max="8211" width="12.140625" style="62" customWidth="1"/>
    <col min="8212" max="8212" width="10.5703125" style="62" customWidth="1"/>
    <col min="8213" max="8213" width="12.42578125" style="62" customWidth="1"/>
    <col min="8214" max="8214" width="15.140625" style="62" customWidth="1"/>
    <col min="8215" max="8215" width="13.5703125" style="62" customWidth="1"/>
    <col min="8216" max="8216" width="13.140625" style="62" customWidth="1"/>
    <col min="8217" max="8217" width="15.7109375" style="62" customWidth="1"/>
    <col min="8218" max="8218" width="37.5703125" style="62" customWidth="1"/>
    <col min="8219" max="8440" width="11.42578125" style="62"/>
    <col min="8441" max="8441" width="10.5703125" style="62" customWidth="1"/>
    <col min="8442" max="8442" width="4.85546875" style="62" customWidth="1"/>
    <col min="8443" max="8443" width="32.42578125" style="62" customWidth="1"/>
    <col min="8444" max="8444" width="9.85546875" style="62" customWidth="1"/>
    <col min="8445" max="8445" width="10.140625" style="62" customWidth="1"/>
    <col min="8446" max="8446" width="12.28515625" style="62" customWidth="1"/>
    <col min="8447" max="8447" width="15.42578125" style="62" customWidth="1"/>
    <col min="8448" max="8448" width="11.85546875" style="62" customWidth="1"/>
    <col min="8449" max="8449" width="13.28515625" style="62" customWidth="1"/>
    <col min="8450" max="8450" width="15.28515625" style="62" customWidth="1"/>
    <col min="8451" max="8451" width="11.85546875" style="62" customWidth="1"/>
    <col min="8452" max="8452" width="6.140625" style="62" customWidth="1"/>
    <col min="8453" max="8453" width="11.85546875" style="62" customWidth="1"/>
    <col min="8454" max="8454" width="9.42578125" style="62" customWidth="1"/>
    <col min="8455" max="8455" width="14.7109375" style="62" customWidth="1"/>
    <col min="8456" max="8456" width="11.5703125" style="62" customWidth="1"/>
    <col min="8457" max="8457" width="0.42578125" style="62" customWidth="1"/>
    <col min="8458" max="8458" width="10.5703125" style="62" bestFit="1" customWidth="1"/>
    <col min="8459" max="8459" width="12.28515625" style="62" customWidth="1"/>
    <col min="8460" max="8460" width="12.5703125" style="62" customWidth="1"/>
    <col min="8461" max="8461" width="10.5703125" style="62" customWidth="1"/>
    <col min="8462" max="8462" width="10.140625" style="62" customWidth="1"/>
    <col min="8463" max="8463" width="8.42578125" style="62" customWidth="1"/>
    <col min="8464" max="8464" width="18.85546875" style="62" customWidth="1"/>
    <col min="8465" max="8465" width="10.28515625" style="62" customWidth="1"/>
    <col min="8466" max="8466" width="11.42578125" style="62"/>
    <col min="8467" max="8467" width="12.140625" style="62" customWidth="1"/>
    <col min="8468" max="8468" width="10.5703125" style="62" customWidth="1"/>
    <col min="8469" max="8469" width="12.42578125" style="62" customWidth="1"/>
    <col min="8470" max="8470" width="15.140625" style="62" customWidth="1"/>
    <col min="8471" max="8471" width="13.5703125" style="62" customWidth="1"/>
    <col min="8472" max="8472" width="13.140625" style="62" customWidth="1"/>
    <col min="8473" max="8473" width="15.7109375" style="62" customWidth="1"/>
    <col min="8474" max="8474" width="37.5703125" style="62" customWidth="1"/>
    <col min="8475" max="8696" width="11.42578125" style="62"/>
    <col min="8697" max="8697" width="10.5703125" style="62" customWidth="1"/>
    <col min="8698" max="8698" width="4.85546875" style="62" customWidth="1"/>
    <col min="8699" max="8699" width="32.42578125" style="62" customWidth="1"/>
    <col min="8700" max="8700" width="9.85546875" style="62" customWidth="1"/>
    <col min="8701" max="8701" width="10.140625" style="62" customWidth="1"/>
    <col min="8702" max="8702" width="12.28515625" style="62" customWidth="1"/>
    <col min="8703" max="8703" width="15.42578125" style="62" customWidth="1"/>
    <col min="8704" max="8704" width="11.85546875" style="62" customWidth="1"/>
    <col min="8705" max="8705" width="13.28515625" style="62" customWidth="1"/>
    <col min="8706" max="8706" width="15.28515625" style="62" customWidth="1"/>
    <col min="8707" max="8707" width="11.85546875" style="62" customWidth="1"/>
    <col min="8708" max="8708" width="6.140625" style="62" customWidth="1"/>
    <col min="8709" max="8709" width="11.85546875" style="62" customWidth="1"/>
    <col min="8710" max="8710" width="9.42578125" style="62" customWidth="1"/>
    <col min="8711" max="8711" width="14.7109375" style="62" customWidth="1"/>
    <col min="8712" max="8712" width="11.5703125" style="62" customWidth="1"/>
    <col min="8713" max="8713" width="0.42578125" style="62" customWidth="1"/>
    <col min="8714" max="8714" width="10.5703125" style="62" bestFit="1" customWidth="1"/>
    <col min="8715" max="8715" width="12.28515625" style="62" customWidth="1"/>
    <col min="8716" max="8716" width="12.5703125" style="62" customWidth="1"/>
    <col min="8717" max="8717" width="10.5703125" style="62" customWidth="1"/>
    <col min="8718" max="8718" width="10.140625" style="62" customWidth="1"/>
    <col min="8719" max="8719" width="8.42578125" style="62" customWidth="1"/>
    <col min="8720" max="8720" width="18.85546875" style="62" customWidth="1"/>
    <col min="8721" max="8721" width="10.28515625" style="62" customWidth="1"/>
    <col min="8722" max="8722" width="11.42578125" style="62"/>
    <col min="8723" max="8723" width="12.140625" style="62" customWidth="1"/>
    <col min="8724" max="8724" width="10.5703125" style="62" customWidth="1"/>
    <col min="8725" max="8725" width="12.42578125" style="62" customWidth="1"/>
    <col min="8726" max="8726" width="15.140625" style="62" customWidth="1"/>
    <col min="8727" max="8727" width="13.5703125" style="62" customWidth="1"/>
    <col min="8728" max="8728" width="13.140625" style="62" customWidth="1"/>
    <col min="8729" max="8729" width="15.7109375" style="62" customWidth="1"/>
    <col min="8730" max="8730" width="37.5703125" style="62" customWidth="1"/>
    <col min="8731" max="8952" width="11.42578125" style="62"/>
    <col min="8953" max="8953" width="10.5703125" style="62" customWidth="1"/>
    <col min="8954" max="8954" width="4.85546875" style="62" customWidth="1"/>
    <col min="8955" max="8955" width="32.42578125" style="62" customWidth="1"/>
    <col min="8956" max="8956" width="9.85546875" style="62" customWidth="1"/>
    <col min="8957" max="8957" width="10.140625" style="62" customWidth="1"/>
    <col min="8958" max="8958" width="12.28515625" style="62" customWidth="1"/>
    <col min="8959" max="8959" width="15.42578125" style="62" customWidth="1"/>
    <col min="8960" max="8960" width="11.85546875" style="62" customWidth="1"/>
    <col min="8961" max="8961" width="13.28515625" style="62" customWidth="1"/>
    <col min="8962" max="8962" width="15.28515625" style="62" customWidth="1"/>
    <col min="8963" max="8963" width="11.85546875" style="62" customWidth="1"/>
    <col min="8964" max="8964" width="6.140625" style="62" customWidth="1"/>
    <col min="8965" max="8965" width="11.85546875" style="62" customWidth="1"/>
    <col min="8966" max="8966" width="9.42578125" style="62" customWidth="1"/>
    <col min="8967" max="8967" width="14.7109375" style="62" customWidth="1"/>
    <col min="8968" max="8968" width="11.5703125" style="62" customWidth="1"/>
    <col min="8969" max="8969" width="0.42578125" style="62" customWidth="1"/>
    <col min="8970" max="8970" width="10.5703125" style="62" bestFit="1" customWidth="1"/>
    <col min="8971" max="8971" width="12.28515625" style="62" customWidth="1"/>
    <col min="8972" max="8972" width="12.5703125" style="62" customWidth="1"/>
    <col min="8973" max="8973" width="10.5703125" style="62" customWidth="1"/>
    <col min="8974" max="8974" width="10.140625" style="62" customWidth="1"/>
    <col min="8975" max="8975" width="8.42578125" style="62" customWidth="1"/>
    <col min="8976" max="8976" width="18.85546875" style="62" customWidth="1"/>
    <col min="8977" max="8977" width="10.28515625" style="62" customWidth="1"/>
    <col min="8978" max="8978" width="11.42578125" style="62"/>
    <col min="8979" max="8979" width="12.140625" style="62" customWidth="1"/>
    <col min="8980" max="8980" width="10.5703125" style="62" customWidth="1"/>
    <col min="8981" max="8981" width="12.42578125" style="62" customWidth="1"/>
    <col min="8982" max="8982" width="15.140625" style="62" customWidth="1"/>
    <col min="8983" max="8983" width="13.5703125" style="62" customWidth="1"/>
    <col min="8984" max="8984" width="13.140625" style="62" customWidth="1"/>
    <col min="8985" max="8985" width="15.7109375" style="62" customWidth="1"/>
    <col min="8986" max="8986" width="37.5703125" style="62" customWidth="1"/>
    <col min="8987" max="9208" width="11.42578125" style="62"/>
    <col min="9209" max="9209" width="10.5703125" style="62" customWidth="1"/>
    <col min="9210" max="9210" width="4.85546875" style="62" customWidth="1"/>
    <col min="9211" max="9211" width="32.42578125" style="62" customWidth="1"/>
    <col min="9212" max="9212" width="9.85546875" style="62" customWidth="1"/>
    <col min="9213" max="9213" width="10.140625" style="62" customWidth="1"/>
    <col min="9214" max="9214" width="12.28515625" style="62" customWidth="1"/>
    <col min="9215" max="9215" width="15.42578125" style="62" customWidth="1"/>
    <col min="9216" max="9216" width="11.85546875" style="62" customWidth="1"/>
    <col min="9217" max="9217" width="13.28515625" style="62" customWidth="1"/>
    <col min="9218" max="9218" width="15.28515625" style="62" customWidth="1"/>
    <col min="9219" max="9219" width="11.85546875" style="62" customWidth="1"/>
    <col min="9220" max="9220" width="6.140625" style="62" customWidth="1"/>
    <col min="9221" max="9221" width="11.85546875" style="62" customWidth="1"/>
    <col min="9222" max="9222" width="9.42578125" style="62" customWidth="1"/>
    <col min="9223" max="9223" width="14.7109375" style="62" customWidth="1"/>
    <col min="9224" max="9224" width="11.5703125" style="62" customWidth="1"/>
    <col min="9225" max="9225" width="0.42578125" style="62" customWidth="1"/>
    <col min="9226" max="9226" width="10.5703125" style="62" bestFit="1" customWidth="1"/>
    <col min="9227" max="9227" width="12.28515625" style="62" customWidth="1"/>
    <col min="9228" max="9228" width="12.5703125" style="62" customWidth="1"/>
    <col min="9229" max="9229" width="10.5703125" style="62" customWidth="1"/>
    <col min="9230" max="9230" width="10.140625" style="62" customWidth="1"/>
    <col min="9231" max="9231" width="8.42578125" style="62" customWidth="1"/>
    <col min="9232" max="9232" width="18.85546875" style="62" customWidth="1"/>
    <col min="9233" max="9233" width="10.28515625" style="62" customWidth="1"/>
    <col min="9234" max="9234" width="11.42578125" style="62"/>
    <col min="9235" max="9235" width="12.140625" style="62" customWidth="1"/>
    <col min="9236" max="9236" width="10.5703125" style="62" customWidth="1"/>
    <col min="9237" max="9237" width="12.42578125" style="62" customWidth="1"/>
    <col min="9238" max="9238" width="15.140625" style="62" customWidth="1"/>
    <col min="9239" max="9239" width="13.5703125" style="62" customWidth="1"/>
    <col min="9240" max="9240" width="13.140625" style="62" customWidth="1"/>
    <col min="9241" max="9241" width="15.7109375" style="62" customWidth="1"/>
    <col min="9242" max="9242" width="37.5703125" style="62" customWidth="1"/>
    <col min="9243" max="9464" width="11.42578125" style="62"/>
    <col min="9465" max="9465" width="10.5703125" style="62" customWidth="1"/>
    <col min="9466" max="9466" width="4.85546875" style="62" customWidth="1"/>
    <col min="9467" max="9467" width="32.42578125" style="62" customWidth="1"/>
    <col min="9468" max="9468" width="9.85546875" style="62" customWidth="1"/>
    <col min="9469" max="9469" width="10.140625" style="62" customWidth="1"/>
    <col min="9470" max="9470" width="12.28515625" style="62" customWidth="1"/>
    <col min="9471" max="9471" width="15.42578125" style="62" customWidth="1"/>
    <col min="9472" max="9472" width="11.85546875" style="62" customWidth="1"/>
    <col min="9473" max="9473" width="13.28515625" style="62" customWidth="1"/>
    <col min="9474" max="9474" width="15.28515625" style="62" customWidth="1"/>
    <col min="9475" max="9475" width="11.85546875" style="62" customWidth="1"/>
    <col min="9476" max="9476" width="6.140625" style="62" customWidth="1"/>
    <col min="9477" max="9477" width="11.85546875" style="62" customWidth="1"/>
    <col min="9478" max="9478" width="9.42578125" style="62" customWidth="1"/>
    <col min="9479" max="9479" width="14.7109375" style="62" customWidth="1"/>
    <col min="9480" max="9480" width="11.5703125" style="62" customWidth="1"/>
    <col min="9481" max="9481" width="0.42578125" style="62" customWidth="1"/>
    <col min="9482" max="9482" width="10.5703125" style="62" bestFit="1" customWidth="1"/>
    <col min="9483" max="9483" width="12.28515625" style="62" customWidth="1"/>
    <col min="9484" max="9484" width="12.5703125" style="62" customWidth="1"/>
    <col min="9485" max="9485" width="10.5703125" style="62" customWidth="1"/>
    <col min="9486" max="9486" width="10.140625" style="62" customWidth="1"/>
    <col min="9487" max="9487" width="8.42578125" style="62" customWidth="1"/>
    <col min="9488" max="9488" width="18.85546875" style="62" customWidth="1"/>
    <col min="9489" max="9489" width="10.28515625" style="62" customWidth="1"/>
    <col min="9490" max="9490" width="11.42578125" style="62"/>
    <col min="9491" max="9491" width="12.140625" style="62" customWidth="1"/>
    <col min="9492" max="9492" width="10.5703125" style="62" customWidth="1"/>
    <col min="9493" max="9493" width="12.42578125" style="62" customWidth="1"/>
    <col min="9494" max="9494" width="15.140625" style="62" customWidth="1"/>
    <col min="9495" max="9495" width="13.5703125" style="62" customWidth="1"/>
    <col min="9496" max="9496" width="13.140625" style="62" customWidth="1"/>
    <col min="9497" max="9497" width="15.7109375" style="62" customWidth="1"/>
    <col min="9498" max="9498" width="37.5703125" style="62" customWidth="1"/>
    <col min="9499" max="9720" width="11.42578125" style="62"/>
    <col min="9721" max="9721" width="10.5703125" style="62" customWidth="1"/>
    <col min="9722" max="9722" width="4.85546875" style="62" customWidth="1"/>
    <col min="9723" max="9723" width="32.42578125" style="62" customWidth="1"/>
    <col min="9724" max="9724" width="9.85546875" style="62" customWidth="1"/>
    <col min="9725" max="9725" width="10.140625" style="62" customWidth="1"/>
    <col min="9726" max="9726" width="12.28515625" style="62" customWidth="1"/>
    <col min="9727" max="9727" width="15.42578125" style="62" customWidth="1"/>
    <col min="9728" max="9728" width="11.85546875" style="62" customWidth="1"/>
    <col min="9729" max="9729" width="13.28515625" style="62" customWidth="1"/>
    <col min="9730" max="9730" width="15.28515625" style="62" customWidth="1"/>
    <col min="9731" max="9731" width="11.85546875" style="62" customWidth="1"/>
    <col min="9732" max="9732" width="6.140625" style="62" customWidth="1"/>
    <col min="9733" max="9733" width="11.85546875" style="62" customWidth="1"/>
    <col min="9734" max="9734" width="9.42578125" style="62" customWidth="1"/>
    <col min="9735" max="9735" width="14.7109375" style="62" customWidth="1"/>
    <col min="9736" max="9736" width="11.5703125" style="62" customWidth="1"/>
    <col min="9737" max="9737" width="0.42578125" style="62" customWidth="1"/>
    <col min="9738" max="9738" width="10.5703125" style="62" bestFit="1" customWidth="1"/>
    <col min="9739" max="9739" width="12.28515625" style="62" customWidth="1"/>
    <col min="9740" max="9740" width="12.5703125" style="62" customWidth="1"/>
    <col min="9741" max="9741" width="10.5703125" style="62" customWidth="1"/>
    <col min="9742" max="9742" width="10.140625" style="62" customWidth="1"/>
    <col min="9743" max="9743" width="8.42578125" style="62" customWidth="1"/>
    <col min="9744" max="9744" width="18.85546875" style="62" customWidth="1"/>
    <col min="9745" max="9745" width="10.28515625" style="62" customWidth="1"/>
    <col min="9746" max="9746" width="11.42578125" style="62"/>
    <col min="9747" max="9747" width="12.140625" style="62" customWidth="1"/>
    <col min="9748" max="9748" width="10.5703125" style="62" customWidth="1"/>
    <col min="9749" max="9749" width="12.42578125" style="62" customWidth="1"/>
    <col min="9750" max="9750" width="15.140625" style="62" customWidth="1"/>
    <col min="9751" max="9751" width="13.5703125" style="62" customWidth="1"/>
    <col min="9752" max="9752" width="13.140625" style="62" customWidth="1"/>
    <col min="9753" max="9753" width="15.7109375" style="62" customWidth="1"/>
    <col min="9754" max="9754" width="37.5703125" style="62" customWidth="1"/>
    <col min="9755" max="9976" width="11.42578125" style="62"/>
    <col min="9977" max="9977" width="10.5703125" style="62" customWidth="1"/>
    <col min="9978" max="9978" width="4.85546875" style="62" customWidth="1"/>
    <col min="9979" max="9979" width="32.42578125" style="62" customWidth="1"/>
    <col min="9980" max="9980" width="9.85546875" style="62" customWidth="1"/>
    <col min="9981" max="9981" width="10.140625" style="62" customWidth="1"/>
    <col min="9982" max="9982" width="12.28515625" style="62" customWidth="1"/>
    <col min="9983" max="9983" width="15.42578125" style="62" customWidth="1"/>
    <col min="9984" max="9984" width="11.85546875" style="62" customWidth="1"/>
    <col min="9985" max="9985" width="13.28515625" style="62" customWidth="1"/>
    <col min="9986" max="9986" width="15.28515625" style="62" customWidth="1"/>
    <col min="9987" max="9987" width="11.85546875" style="62" customWidth="1"/>
    <col min="9988" max="9988" width="6.140625" style="62" customWidth="1"/>
    <col min="9989" max="9989" width="11.85546875" style="62" customWidth="1"/>
    <col min="9990" max="9990" width="9.42578125" style="62" customWidth="1"/>
    <col min="9991" max="9991" width="14.7109375" style="62" customWidth="1"/>
    <col min="9992" max="9992" width="11.5703125" style="62" customWidth="1"/>
    <col min="9993" max="9993" width="0.42578125" style="62" customWidth="1"/>
    <col min="9994" max="9994" width="10.5703125" style="62" bestFit="1" customWidth="1"/>
    <col min="9995" max="9995" width="12.28515625" style="62" customWidth="1"/>
    <col min="9996" max="9996" width="12.5703125" style="62" customWidth="1"/>
    <col min="9997" max="9997" width="10.5703125" style="62" customWidth="1"/>
    <col min="9998" max="9998" width="10.140625" style="62" customWidth="1"/>
    <col min="9999" max="9999" width="8.42578125" style="62" customWidth="1"/>
    <col min="10000" max="10000" width="18.85546875" style="62" customWidth="1"/>
    <col min="10001" max="10001" width="10.28515625" style="62" customWidth="1"/>
    <col min="10002" max="10002" width="11.42578125" style="62"/>
    <col min="10003" max="10003" width="12.140625" style="62" customWidth="1"/>
    <col min="10004" max="10004" width="10.5703125" style="62" customWidth="1"/>
    <col min="10005" max="10005" width="12.42578125" style="62" customWidth="1"/>
    <col min="10006" max="10006" width="15.140625" style="62" customWidth="1"/>
    <col min="10007" max="10007" width="13.5703125" style="62" customWidth="1"/>
    <col min="10008" max="10008" width="13.140625" style="62" customWidth="1"/>
    <col min="10009" max="10009" width="15.7109375" style="62" customWidth="1"/>
    <col min="10010" max="10010" width="37.5703125" style="62" customWidth="1"/>
    <col min="10011" max="10232" width="11.42578125" style="62"/>
    <col min="10233" max="10233" width="10.5703125" style="62" customWidth="1"/>
    <col min="10234" max="10234" width="4.85546875" style="62" customWidth="1"/>
    <col min="10235" max="10235" width="32.42578125" style="62" customWidth="1"/>
    <col min="10236" max="10236" width="9.85546875" style="62" customWidth="1"/>
    <col min="10237" max="10237" width="10.140625" style="62" customWidth="1"/>
    <col min="10238" max="10238" width="12.28515625" style="62" customWidth="1"/>
    <col min="10239" max="10239" width="15.42578125" style="62" customWidth="1"/>
    <col min="10240" max="10240" width="11.85546875" style="62" customWidth="1"/>
    <col min="10241" max="10241" width="13.28515625" style="62" customWidth="1"/>
    <col min="10242" max="10242" width="15.28515625" style="62" customWidth="1"/>
    <col min="10243" max="10243" width="11.85546875" style="62" customWidth="1"/>
    <col min="10244" max="10244" width="6.140625" style="62" customWidth="1"/>
    <col min="10245" max="10245" width="11.85546875" style="62" customWidth="1"/>
    <col min="10246" max="10246" width="9.42578125" style="62" customWidth="1"/>
    <col min="10247" max="10247" width="14.7109375" style="62" customWidth="1"/>
    <col min="10248" max="10248" width="11.5703125" style="62" customWidth="1"/>
    <col min="10249" max="10249" width="0.42578125" style="62" customWidth="1"/>
    <col min="10250" max="10250" width="10.5703125" style="62" bestFit="1" customWidth="1"/>
    <col min="10251" max="10251" width="12.28515625" style="62" customWidth="1"/>
    <col min="10252" max="10252" width="12.5703125" style="62" customWidth="1"/>
    <col min="10253" max="10253" width="10.5703125" style="62" customWidth="1"/>
    <col min="10254" max="10254" width="10.140625" style="62" customWidth="1"/>
    <col min="10255" max="10255" width="8.42578125" style="62" customWidth="1"/>
    <col min="10256" max="10256" width="18.85546875" style="62" customWidth="1"/>
    <col min="10257" max="10257" width="10.28515625" style="62" customWidth="1"/>
    <col min="10258" max="10258" width="11.42578125" style="62"/>
    <col min="10259" max="10259" width="12.140625" style="62" customWidth="1"/>
    <col min="10260" max="10260" width="10.5703125" style="62" customWidth="1"/>
    <col min="10261" max="10261" width="12.42578125" style="62" customWidth="1"/>
    <col min="10262" max="10262" width="15.140625" style="62" customWidth="1"/>
    <col min="10263" max="10263" width="13.5703125" style="62" customWidth="1"/>
    <col min="10264" max="10264" width="13.140625" style="62" customWidth="1"/>
    <col min="10265" max="10265" width="15.7109375" style="62" customWidth="1"/>
    <col min="10266" max="10266" width="37.5703125" style="62" customWidth="1"/>
    <col min="10267" max="10488" width="11.42578125" style="62"/>
    <col min="10489" max="10489" width="10.5703125" style="62" customWidth="1"/>
    <col min="10490" max="10490" width="4.85546875" style="62" customWidth="1"/>
    <col min="10491" max="10491" width="32.42578125" style="62" customWidth="1"/>
    <col min="10492" max="10492" width="9.85546875" style="62" customWidth="1"/>
    <col min="10493" max="10493" width="10.140625" style="62" customWidth="1"/>
    <col min="10494" max="10494" width="12.28515625" style="62" customWidth="1"/>
    <col min="10495" max="10495" width="15.42578125" style="62" customWidth="1"/>
    <col min="10496" max="10496" width="11.85546875" style="62" customWidth="1"/>
    <col min="10497" max="10497" width="13.28515625" style="62" customWidth="1"/>
    <col min="10498" max="10498" width="15.28515625" style="62" customWidth="1"/>
    <col min="10499" max="10499" width="11.85546875" style="62" customWidth="1"/>
    <col min="10500" max="10500" width="6.140625" style="62" customWidth="1"/>
    <col min="10501" max="10501" width="11.85546875" style="62" customWidth="1"/>
    <col min="10502" max="10502" width="9.42578125" style="62" customWidth="1"/>
    <col min="10503" max="10503" width="14.7109375" style="62" customWidth="1"/>
    <col min="10504" max="10504" width="11.5703125" style="62" customWidth="1"/>
    <col min="10505" max="10505" width="0.42578125" style="62" customWidth="1"/>
    <col min="10506" max="10506" width="10.5703125" style="62" bestFit="1" customWidth="1"/>
    <col min="10507" max="10507" width="12.28515625" style="62" customWidth="1"/>
    <col min="10508" max="10508" width="12.5703125" style="62" customWidth="1"/>
    <col min="10509" max="10509" width="10.5703125" style="62" customWidth="1"/>
    <col min="10510" max="10510" width="10.140625" style="62" customWidth="1"/>
    <col min="10511" max="10511" width="8.42578125" style="62" customWidth="1"/>
    <col min="10512" max="10512" width="18.85546875" style="62" customWidth="1"/>
    <col min="10513" max="10513" width="10.28515625" style="62" customWidth="1"/>
    <col min="10514" max="10514" width="11.42578125" style="62"/>
    <col min="10515" max="10515" width="12.140625" style="62" customWidth="1"/>
    <col min="10516" max="10516" width="10.5703125" style="62" customWidth="1"/>
    <col min="10517" max="10517" width="12.42578125" style="62" customWidth="1"/>
    <col min="10518" max="10518" width="15.140625" style="62" customWidth="1"/>
    <col min="10519" max="10519" width="13.5703125" style="62" customWidth="1"/>
    <col min="10520" max="10520" width="13.140625" style="62" customWidth="1"/>
    <col min="10521" max="10521" width="15.7109375" style="62" customWidth="1"/>
    <col min="10522" max="10522" width="37.5703125" style="62" customWidth="1"/>
    <col min="10523" max="10744" width="11.42578125" style="62"/>
    <col min="10745" max="10745" width="10.5703125" style="62" customWidth="1"/>
    <col min="10746" max="10746" width="4.85546875" style="62" customWidth="1"/>
    <col min="10747" max="10747" width="32.42578125" style="62" customWidth="1"/>
    <col min="10748" max="10748" width="9.85546875" style="62" customWidth="1"/>
    <col min="10749" max="10749" width="10.140625" style="62" customWidth="1"/>
    <col min="10750" max="10750" width="12.28515625" style="62" customWidth="1"/>
    <col min="10751" max="10751" width="15.42578125" style="62" customWidth="1"/>
    <col min="10752" max="10752" width="11.85546875" style="62" customWidth="1"/>
    <col min="10753" max="10753" width="13.28515625" style="62" customWidth="1"/>
    <col min="10754" max="10754" width="15.28515625" style="62" customWidth="1"/>
    <col min="10755" max="10755" width="11.85546875" style="62" customWidth="1"/>
    <col min="10756" max="10756" width="6.140625" style="62" customWidth="1"/>
    <col min="10757" max="10757" width="11.85546875" style="62" customWidth="1"/>
    <col min="10758" max="10758" width="9.42578125" style="62" customWidth="1"/>
    <col min="10759" max="10759" width="14.7109375" style="62" customWidth="1"/>
    <col min="10760" max="10760" width="11.5703125" style="62" customWidth="1"/>
    <col min="10761" max="10761" width="0.42578125" style="62" customWidth="1"/>
    <col min="10762" max="10762" width="10.5703125" style="62" bestFit="1" customWidth="1"/>
    <col min="10763" max="10763" width="12.28515625" style="62" customWidth="1"/>
    <col min="10764" max="10764" width="12.5703125" style="62" customWidth="1"/>
    <col min="10765" max="10765" width="10.5703125" style="62" customWidth="1"/>
    <col min="10766" max="10766" width="10.140625" style="62" customWidth="1"/>
    <col min="10767" max="10767" width="8.42578125" style="62" customWidth="1"/>
    <col min="10768" max="10768" width="18.85546875" style="62" customWidth="1"/>
    <col min="10769" max="10769" width="10.28515625" style="62" customWidth="1"/>
    <col min="10770" max="10770" width="11.42578125" style="62"/>
    <col min="10771" max="10771" width="12.140625" style="62" customWidth="1"/>
    <col min="10772" max="10772" width="10.5703125" style="62" customWidth="1"/>
    <col min="10773" max="10773" width="12.42578125" style="62" customWidth="1"/>
    <col min="10774" max="10774" width="15.140625" style="62" customWidth="1"/>
    <col min="10775" max="10775" width="13.5703125" style="62" customWidth="1"/>
    <col min="10776" max="10776" width="13.140625" style="62" customWidth="1"/>
    <col min="10777" max="10777" width="15.7109375" style="62" customWidth="1"/>
    <col min="10778" max="10778" width="37.5703125" style="62" customWidth="1"/>
    <col min="10779" max="11000" width="11.42578125" style="62"/>
    <col min="11001" max="11001" width="10.5703125" style="62" customWidth="1"/>
    <col min="11002" max="11002" width="4.85546875" style="62" customWidth="1"/>
    <col min="11003" max="11003" width="32.42578125" style="62" customWidth="1"/>
    <col min="11004" max="11004" width="9.85546875" style="62" customWidth="1"/>
    <col min="11005" max="11005" width="10.140625" style="62" customWidth="1"/>
    <col min="11006" max="11006" width="12.28515625" style="62" customWidth="1"/>
    <col min="11007" max="11007" width="15.42578125" style="62" customWidth="1"/>
    <col min="11008" max="11008" width="11.85546875" style="62" customWidth="1"/>
    <col min="11009" max="11009" width="13.28515625" style="62" customWidth="1"/>
    <col min="11010" max="11010" width="15.28515625" style="62" customWidth="1"/>
    <col min="11011" max="11011" width="11.85546875" style="62" customWidth="1"/>
    <col min="11012" max="11012" width="6.140625" style="62" customWidth="1"/>
    <col min="11013" max="11013" width="11.85546875" style="62" customWidth="1"/>
    <col min="11014" max="11014" width="9.42578125" style="62" customWidth="1"/>
    <col min="11015" max="11015" width="14.7109375" style="62" customWidth="1"/>
    <col min="11016" max="11016" width="11.5703125" style="62" customWidth="1"/>
    <col min="11017" max="11017" width="0.42578125" style="62" customWidth="1"/>
    <col min="11018" max="11018" width="10.5703125" style="62" bestFit="1" customWidth="1"/>
    <col min="11019" max="11019" width="12.28515625" style="62" customWidth="1"/>
    <col min="11020" max="11020" width="12.5703125" style="62" customWidth="1"/>
    <col min="11021" max="11021" width="10.5703125" style="62" customWidth="1"/>
    <col min="11022" max="11022" width="10.140625" style="62" customWidth="1"/>
    <col min="11023" max="11023" width="8.42578125" style="62" customWidth="1"/>
    <col min="11024" max="11024" width="18.85546875" style="62" customWidth="1"/>
    <col min="11025" max="11025" width="10.28515625" style="62" customWidth="1"/>
    <col min="11026" max="11026" width="11.42578125" style="62"/>
    <col min="11027" max="11027" width="12.140625" style="62" customWidth="1"/>
    <col min="11028" max="11028" width="10.5703125" style="62" customWidth="1"/>
    <col min="11029" max="11029" width="12.42578125" style="62" customWidth="1"/>
    <col min="11030" max="11030" width="15.140625" style="62" customWidth="1"/>
    <col min="11031" max="11031" width="13.5703125" style="62" customWidth="1"/>
    <col min="11032" max="11032" width="13.140625" style="62" customWidth="1"/>
    <col min="11033" max="11033" width="15.7109375" style="62" customWidth="1"/>
    <col min="11034" max="11034" width="37.5703125" style="62" customWidth="1"/>
    <col min="11035" max="11256" width="11.42578125" style="62"/>
    <col min="11257" max="11257" width="10.5703125" style="62" customWidth="1"/>
    <col min="11258" max="11258" width="4.85546875" style="62" customWidth="1"/>
    <col min="11259" max="11259" width="32.42578125" style="62" customWidth="1"/>
    <col min="11260" max="11260" width="9.85546875" style="62" customWidth="1"/>
    <col min="11261" max="11261" width="10.140625" style="62" customWidth="1"/>
    <col min="11262" max="11262" width="12.28515625" style="62" customWidth="1"/>
    <col min="11263" max="11263" width="15.42578125" style="62" customWidth="1"/>
    <col min="11264" max="11264" width="11.85546875" style="62" customWidth="1"/>
    <col min="11265" max="11265" width="13.28515625" style="62" customWidth="1"/>
    <col min="11266" max="11266" width="15.28515625" style="62" customWidth="1"/>
    <col min="11267" max="11267" width="11.85546875" style="62" customWidth="1"/>
    <col min="11268" max="11268" width="6.140625" style="62" customWidth="1"/>
    <col min="11269" max="11269" width="11.85546875" style="62" customWidth="1"/>
    <col min="11270" max="11270" width="9.42578125" style="62" customWidth="1"/>
    <col min="11271" max="11271" width="14.7109375" style="62" customWidth="1"/>
    <col min="11272" max="11272" width="11.5703125" style="62" customWidth="1"/>
    <col min="11273" max="11273" width="0.42578125" style="62" customWidth="1"/>
    <col min="11274" max="11274" width="10.5703125" style="62" bestFit="1" customWidth="1"/>
    <col min="11275" max="11275" width="12.28515625" style="62" customWidth="1"/>
    <col min="11276" max="11276" width="12.5703125" style="62" customWidth="1"/>
    <col min="11277" max="11277" width="10.5703125" style="62" customWidth="1"/>
    <col min="11278" max="11278" width="10.140625" style="62" customWidth="1"/>
    <col min="11279" max="11279" width="8.42578125" style="62" customWidth="1"/>
    <col min="11280" max="11280" width="18.85546875" style="62" customWidth="1"/>
    <col min="11281" max="11281" width="10.28515625" style="62" customWidth="1"/>
    <col min="11282" max="11282" width="11.42578125" style="62"/>
    <col min="11283" max="11283" width="12.140625" style="62" customWidth="1"/>
    <col min="11284" max="11284" width="10.5703125" style="62" customWidth="1"/>
    <col min="11285" max="11285" width="12.42578125" style="62" customWidth="1"/>
    <col min="11286" max="11286" width="15.140625" style="62" customWidth="1"/>
    <col min="11287" max="11287" width="13.5703125" style="62" customWidth="1"/>
    <col min="11288" max="11288" width="13.140625" style="62" customWidth="1"/>
    <col min="11289" max="11289" width="15.7109375" style="62" customWidth="1"/>
    <col min="11290" max="11290" width="37.5703125" style="62" customWidth="1"/>
    <col min="11291" max="11512" width="11.42578125" style="62"/>
    <col min="11513" max="11513" width="10.5703125" style="62" customWidth="1"/>
    <col min="11514" max="11514" width="4.85546875" style="62" customWidth="1"/>
    <col min="11515" max="11515" width="32.42578125" style="62" customWidth="1"/>
    <col min="11516" max="11516" width="9.85546875" style="62" customWidth="1"/>
    <col min="11517" max="11517" width="10.140625" style="62" customWidth="1"/>
    <col min="11518" max="11518" width="12.28515625" style="62" customWidth="1"/>
    <col min="11519" max="11519" width="15.42578125" style="62" customWidth="1"/>
    <col min="11520" max="11520" width="11.85546875" style="62" customWidth="1"/>
    <col min="11521" max="11521" width="13.28515625" style="62" customWidth="1"/>
    <col min="11522" max="11522" width="15.28515625" style="62" customWidth="1"/>
    <col min="11523" max="11523" width="11.85546875" style="62" customWidth="1"/>
    <col min="11524" max="11524" width="6.140625" style="62" customWidth="1"/>
    <col min="11525" max="11525" width="11.85546875" style="62" customWidth="1"/>
    <col min="11526" max="11526" width="9.42578125" style="62" customWidth="1"/>
    <col min="11527" max="11527" width="14.7109375" style="62" customWidth="1"/>
    <col min="11528" max="11528" width="11.5703125" style="62" customWidth="1"/>
    <col min="11529" max="11529" width="0.42578125" style="62" customWidth="1"/>
    <col min="11530" max="11530" width="10.5703125" style="62" bestFit="1" customWidth="1"/>
    <col min="11531" max="11531" width="12.28515625" style="62" customWidth="1"/>
    <col min="11532" max="11532" width="12.5703125" style="62" customWidth="1"/>
    <col min="11533" max="11533" width="10.5703125" style="62" customWidth="1"/>
    <col min="11534" max="11534" width="10.140625" style="62" customWidth="1"/>
    <col min="11535" max="11535" width="8.42578125" style="62" customWidth="1"/>
    <col min="11536" max="11536" width="18.85546875" style="62" customWidth="1"/>
    <col min="11537" max="11537" width="10.28515625" style="62" customWidth="1"/>
    <col min="11538" max="11538" width="11.42578125" style="62"/>
    <col min="11539" max="11539" width="12.140625" style="62" customWidth="1"/>
    <col min="11540" max="11540" width="10.5703125" style="62" customWidth="1"/>
    <col min="11541" max="11541" width="12.42578125" style="62" customWidth="1"/>
    <col min="11542" max="11542" width="15.140625" style="62" customWidth="1"/>
    <col min="11543" max="11543" width="13.5703125" style="62" customWidth="1"/>
    <col min="11544" max="11544" width="13.140625" style="62" customWidth="1"/>
    <col min="11545" max="11545" width="15.7109375" style="62" customWidth="1"/>
    <col min="11546" max="11546" width="37.5703125" style="62" customWidth="1"/>
    <col min="11547" max="11768" width="11.42578125" style="62"/>
    <col min="11769" max="11769" width="10.5703125" style="62" customWidth="1"/>
    <col min="11770" max="11770" width="4.85546875" style="62" customWidth="1"/>
    <col min="11771" max="11771" width="32.42578125" style="62" customWidth="1"/>
    <col min="11772" max="11772" width="9.85546875" style="62" customWidth="1"/>
    <col min="11773" max="11773" width="10.140625" style="62" customWidth="1"/>
    <col min="11774" max="11774" width="12.28515625" style="62" customWidth="1"/>
    <col min="11775" max="11775" width="15.42578125" style="62" customWidth="1"/>
    <col min="11776" max="11776" width="11.85546875" style="62" customWidth="1"/>
    <col min="11777" max="11777" width="13.28515625" style="62" customWidth="1"/>
    <col min="11778" max="11778" width="15.28515625" style="62" customWidth="1"/>
    <col min="11779" max="11779" width="11.85546875" style="62" customWidth="1"/>
    <col min="11780" max="11780" width="6.140625" style="62" customWidth="1"/>
    <col min="11781" max="11781" width="11.85546875" style="62" customWidth="1"/>
    <col min="11782" max="11782" width="9.42578125" style="62" customWidth="1"/>
    <col min="11783" max="11783" width="14.7109375" style="62" customWidth="1"/>
    <col min="11784" max="11784" width="11.5703125" style="62" customWidth="1"/>
    <col min="11785" max="11785" width="0.42578125" style="62" customWidth="1"/>
    <col min="11786" max="11786" width="10.5703125" style="62" bestFit="1" customWidth="1"/>
    <col min="11787" max="11787" width="12.28515625" style="62" customWidth="1"/>
    <col min="11788" max="11788" width="12.5703125" style="62" customWidth="1"/>
    <col min="11789" max="11789" width="10.5703125" style="62" customWidth="1"/>
    <col min="11790" max="11790" width="10.140625" style="62" customWidth="1"/>
    <col min="11791" max="11791" width="8.42578125" style="62" customWidth="1"/>
    <col min="11792" max="11792" width="18.85546875" style="62" customWidth="1"/>
    <col min="11793" max="11793" width="10.28515625" style="62" customWidth="1"/>
    <col min="11794" max="11794" width="11.42578125" style="62"/>
    <col min="11795" max="11795" width="12.140625" style="62" customWidth="1"/>
    <col min="11796" max="11796" width="10.5703125" style="62" customWidth="1"/>
    <col min="11797" max="11797" width="12.42578125" style="62" customWidth="1"/>
    <col min="11798" max="11798" width="15.140625" style="62" customWidth="1"/>
    <col min="11799" max="11799" width="13.5703125" style="62" customWidth="1"/>
    <col min="11800" max="11800" width="13.140625" style="62" customWidth="1"/>
    <col min="11801" max="11801" width="15.7109375" style="62" customWidth="1"/>
    <col min="11802" max="11802" width="37.5703125" style="62" customWidth="1"/>
    <col min="11803" max="12024" width="11.42578125" style="62"/>
    <col min="12025" max="12025" width="10.5703125" style="62" customWidth="1"/>
    <col min="12026" max="12026" width="4.85546875" style="62" customWidth="1"/>
    <col min="12027" max="12027" width="32.42578125" style="62" customWidth="1"/>
    <col min="12028" max="12028" width="9.85546875" style="62" customWidth="1"/>
    <col min="12029" max="12029" width="10.140625" style="62" customWidth="1"/>
    <col min="12030" max="12030" width="12.28515625" style="62" customWidth="1"/>
    <col min="12031" max="12031" width="15.42578125" style="62" customWidth="1"/>
    <col min="12032" max="12032" width="11.85546875" style="62" customWidth="1"/>
    <col min="12033" max="12033" width="13.28515625" style="62" customWidth="1"/>
    <col min="12034" max="12034" width="15.28515625" style="62" customWidth="1"/>
    <col min="12035" max="12035" width="11.85546875" style="62" customWidth="1"/>
    <col min="12036" max="12036" width="6.140625" style="62" customWidth="1"/>
    <col min="12037" max="12037" width="11.85546875" style="62" customWidth="1"/>
    <col min="12038" max="12038" width="9.42578125" style="62" customWidth="1"/>
    <col min="12039" max="12039" width="14.7109375" style="62" customWidth="1"/>
    <col min="12040" max="12040" width="11.5703125" style="62" customWidth="1"/>
    <col min="12041" max="12041" width="0.42578125" style="62" customWidth="1"/>
    <col min="12042" max="12042" width="10.5703125" style="62" bestFit="1" customWidth="1"/>
    <col min="12043" max="12043" width="12.28515625" style="62" customWidth="1"/>
    <col min="12044" max="12044" width="12.5703125" style="62" customWidth="1"/>
    <col min="12045" max="12045" width="10.5703125" style="62" customWidth="1"/>
    <col min="12046" max="12046" width="10.140625" style="62" customWidth="1"/>
    <col min="12047" max="12047" width="8.42578125" style="62" customWidth="1"/>
    <col min="12048" max="12048" width="18.85546875" style="62" customWidth="1"/>
    <col min="12049" max="12049" width="10.28515625" style="62" customWidth="1"/>
    <col min="12050" max="12050" width="11.42578125" style="62"/>
    <col min="12051" max="12051" width="12.140625" style="62" customWidth="1"/>
    <col min="12052" max="12052" width="10.5703125" style="62" customWidth="1"/>
    <col min="12053" max="12053" width="12.42578125" style="62" customWidth="1"/>
    <col min="12054" max="12054" width="15.140625" style="62" customWidth="1"/>
    <col min="12055" max="12055" width="13.5703125" style="62" customWidth="1"/>
    <col min="12056" max="12056" width="13.140625" style="62" customWidth="1"/>
    <col min="12057" max="12057" width="15.7109375" style="62" customWidth="1"/>
    <col min="12058" max="12058" width="37.5703125" style="62" customWidth="1"/>
    <col min="12059" max="12280" width="11.42578125" style="62"/>
    <col min="12281" max="12281" width="10.5703125" style="62" customWidth="1"/>
    <col min="12282" max="12282" width="4.85546875" style="62" customWidth="1"/>
    <col min="12283" max="12283" width="32.42578125" style="62" customWidth="1"/>
    <col min="12284" max="12284" width="9.85546875" style="62" customWidth="1"/>
    <col min="12285" max="12285" width="10.140625" style="62" customWidth="1"/>
    <col min="12286" max="12286" width="12.28515625" style="62" customWidth="1"/>
    <col min="12287" max="12287" width="15.42578125" style="62" customWidth="1"/>
    <col min="12288" max="12288" width="11.85546875" style="62" customWidth="1"/>
    <col min="12289" max="12289" width="13.28515625" style="62" customWidth="1"/>
    <col min="12290" max="12290" width="15.28515625" style="62" customWidth="1"/>
    <col min="12291" max="12291" width="11.85546875" style="62" customWidth="1"/>
    <col min="12292" max="12292" width="6.140625" style="62" customWidth="1"/>
    <col min="12293" max="12293" width="11.85546875" style="62" customWidth="1"/>
    <col min="12294" max="12294" width="9.42578125" style="62" customWidth="1"/>
    <col min="12295" max="12295" width="14.7109375" style="62" customWidth="1"/>
    <col min="12296" max="12296" width="11.5703125" style="62" customWidth="1"/>
    <col min="12297" max="12297" width="0.42578125" style="62" customWidth="1"/>
    <col min="12298" max="12298" width="10.5703125" style="62" bestFit="1" customWidth="1"/>
    <col min="12299" max="12299" width="12.28515625" style="62" customWidth="1"/>
    <col min="12300" max="12300" width="12.5703125" style="62" customWidth="1"/>
    <col min="12301" max="12301" width="10.5703125" style="62" customWidth="1"/>
    <col min="12302" max="12302" width="10.140625" style="62" customWidth="1"/>
    <col min="12303" max="12303" width="8.42578125" style="62" customWidth="1"/>
    <col min="12304" max="12304" width="18.85546875" style="62" customWidth="1"/>
    <col min="12305" max="12305" width="10.28515625" style="62" customWidth="1"/>
    <col min="12306" max="12306" width="11.42578125" style="62"/>
    <col min="12307" max="12307" width="12.140625" style="62" customWidth="1"/>
    <col min="12308" max="12308" width="10.5703125" style="62" customWidth="1"/>
    <col min="12309" max="12309" width="12.42578125" style="62" customWidth="1"/>
    <col min="12310" max="12310" width="15.140625" style="62" customWidth="1"/>
    <col min="12311" max="12311" width="13.5703125" style="62" customWidth="1"/>
    <col min="12312" max="12312" width="13.140625" style="62" customWidth="1"/>
    <col min="12313" max="12313" width="15.7109375" style="62" customWidth="1"/>
    <col min="12314" max="12314" width="37.5703125" style="62" customWidth="1"/>
    <col min="12315" max="12536" width="11.42578125" style="62"/>
    <col min="12537" max="12537" width="10.5703125" style="62" customWidth="1"/>
    <col min="12538" max="12538" width="4.85546875" style="62" customWidth="1"/>
    <col min="12539" max="12539" width="32.42578125" style="62" customWidth="1"/>
    <col min="12540" max="12540" width="9.85546875" style="62" customWidth="1"/>
    <col min="12541" max="12541" width="10.140625" style="62" customWidth="1"/>
    <col min="12542" max="12542" width="12.28515625" style="62" customWidth="1"/>
    <col min="12543" max="12543" width="15.42578125" style="62" customWidth="1"/>
    <col min="12544" max="12544" width="11.85546875" style="62" customWidth="1"/>
    <col min="12545" max="12545" width="13.28515625" style="62" customWidth="1"/>
    <col min="12546" max="12546" width="15.28515625" style="62" customWidth="1"/>
    <col min="12547" max="12547" width="11.85546875" style="62" customWidth="1"/>
    <col min="12548" max="12548" width="6.140625" style="62" customWidth="1"/>
    <col min="12549" max="12549" width="11.85546875" style="62" customWidth="1"/>
    <col min="12550" max="12550" width="9.42578125" style="62" customWidth="1"/>
    <col min="12551" max="12551" width="14.7109375" style="62" customWidth="1"/>
    <col min="12552" max="12552" width="11.5703125" style="62" customWidth="1"/>
    <col min="12553" max="12553" width="0.42578125" style="62" customWidth="1"/>
    <col min="12554" max="12554" width="10.5703125" style="62" bestFit="1" customWidth="1"/>
    <col min="12555" max="12555" width="12.28515625" style="62" customWidth="1"/>
    <col min="12556" max="12556" width="12.5703125" style="62" customWidth="1"/>
    <col min="12557" max="12557" width="10.5703125" style="62" customWidth="1"/>
    <col min="12558" max="12558" width="10.140625" style="62" customWidth="1"/>
    <col min="12559" max="12559" width="8.42578125" style="62" customWidth="1"/>
    <col min="12560" max="12560" width="18.85546875" style="62" customWidth="1"/>
    <col min="12561" max="12561" width="10.28515625" style="62" customWidth="1"/>
    <col min="12562" max="12562" width="11.42578125" style="62"/>
    <col min="12563" max="12563" width="12.140625" style="62" customWidth="1"/>
    <col min="12564" max="12564" width="10.5703125" style="62" customWidth="1"/>
    <col min="12565" max="12565" width="12.42578125" style="62" customWidth="1"/>
    <col min="12566" max="12566" width="15.140625" style="62" customWidth="1"/>
    <col min="12567" max="12567" width="13.5703125" style="62" customWidth="1"/>
    <col min="12568" max="12568" width="13.140625" style="62" customWidth="1"/>
    <col min="12569" max="12569" width="15.7109375" style="62" customWidth="1"/>
    <col min="12570" max="12570" width="37.5703125" style="62" customWidth="1"/>
    <col min="12571" max="12792" width="11.42578125" style="62"/>
    <col min="12793" max="12793" width="10.5703125" style="62" customWidth="1"/>
    <col min="12794" max="12794" width="4.85546875" style="62" customWidth="1"/>
    <col min="12795" max="12795" width="32.42578125" style="62" customWidth="1"/>
    <col min="12796" max="12796" width="9.85546875" style="62" customWidth="1"/>
    <col min="12797" max="12797" width="10.140625" style="62" customWidth="1"/>
    <col min="12798" max="12798" width="12.28515625" style="62" customWidth="1"/>
    <col min="12799" max="12799" width="15.42578125" style="62" customWidth="1"/>
    <col min="12800" max="12800" width="11.85546875" style="62" customWidth="1"/>
    <col min="12801" max="12801" width="13.28515625" style="62" customWidth="1"/>
    <col min="12802" max="12802" width="15.28515625" style="62" customWidth="1"/>
    <col min="12803" max="12803" width="11.85546875" style="62" customWidth="1"/>
    <col min="12804" max="12804" width="6.140625" style="62" customWidth="1"/>
    <col min="12805" max="12805" width="11.85546875" style="62" customWidth="1"/>
    <col min="12806" max="12806" width="9.42578125" style="62" customWidth="1"/>
    <col min="12807" max="12807" width="14.7109375" style="62" customWidth="1"/>
    <col min="12808" max="12808" width="11.5703125" style="62" customWidth="1"/>
    <col min="12809" max="12809" width="0.42578125" style="62" customWidth="1"/>
    <col min="12810" max="12810" width="10.5703125" style="62" bestFit="1" customWidth="1"/>
    <col min="12811" max="12811" width="12.28515625" style="62" customWidth="1"/>
    <col min="12812" max="12812" width="12.5703125" style="62" customWidth="1"/>
    <col min="12813" max="12813" width="10.5703125" style="62" customWidth="1"/>
    <col min="12814" max="12814" width="10.140625" style="62" customWidth="1"/>
    <col min="12815" max="12815" width="8.42578125" style="62" customWidth="1"/>
    <col min="12816" max="12816" width="18.85546875" style="62" customWidth="1"/>
    <col min="12817" max="12817" width="10.28515625" style="62" customWidth="1"/>
    <col min="12818" max="12818" width="11.42578125" style="62"/>
    <col min="12819" max="12819" width="12.140625" style="62" customWidth="1"/>
    <col min="12820" max="12820" width="10.5703125" style="62" customWidth="1"/>
    <col min="12821" max="12821" width="12.42578125" style="62" customWidth="1"/>
    <col min="12822" max="12822" width="15.140625" style="62" customWidth="1"/>
    <col min="12823" max="12823" width="13.5703125" style="62" customWidth="1"/>
    <col min="12824" max="12824" width="13.140625" style="62" customWidth="1"/>
    <col min="12825" max="12825" width="15.7109375" style="62" customWidth="1"/>
    <col min="12826" max="12826" width="37.5703125" style="62" customWidth="1"/>
    <col min="12827" max="13048" width="11.42578125" style="62"/>
    <col min="13049" max="13049" width="10.5703125" style="62" customWidth="1"/>
    <col min="13050" max="13050" width="4.85546875" style="62" customWidth="1"/>
    <col min="13051" max="13051" width="32.42578125" style="62" customWidth="1"/>
    <col min="13052" max="13052" width="9.85546875" style="62" customWidth="1"/>
    <col min="13053" max="13053" width="10.140625" style="62" customWidth="1"/>
    <col min="13054" max="13054" width="12.28515625" style="62" customWidth="1"/>
    <col min="13055" max="13055" width="15.42578125" style="62" customWidth="1"/>
    <col min="13056" max="13056" width="11.85546875" style="62" customWidth="1"/>
    <col min="13057" max="13057" width="13.28515625" style="62" customWidth="1"/>
    <col min="13058" max="13058" width="15.28515625" style="62" customWidth="1"/>
    <col min="13059" max="13059" width="11.85546875" style="62" customWidth="1"/>
    <col min="13060" max="13060" width="6.140625" style="62" customWidth="1"/>
    <col min="13061" max="13061" width="11.85546875" style="62" customWidth="1"/>
    <col min="13062" max="13062" width="9.42578125" style="62" customWidth="1"/>
    <col min="13063" max="13063" width="14.7109375" style="62" customWidth="1"/>
    <col min="13064" max="13064" width="11.5703125" style="62" customWidth="1"/>
    <col min="13065" max="13065" width="0.42578125" style="62" customWidth="1"/>
    <col min="13066" max="13066" width="10.5703125" style="62" bestFit="1" customWidth="1"/>
    <col min="13067" max="13067" width="12.28515625" style="62" customWidth="1"/>
    <col min="13068" max="13068" width="12.5703125" style="62" customWidth="1"/>
    <col min="13069" max="13069" width="10.5703125" style="62" customWidth="1"/>
    <col min="13070" max="13070" width="10.140625" style="62" customWidth="1"/>
    <col min="13071" max="13071" width="8.42578125" style="62" customWidth="1"/>
    <col min="13072" max="13072" width="18.85546875" style="62" customWidth="1"/>
    <col min="13073" max="13073" width="10.28515625" style="62" customWidth="1"/>
    <col min="13074" max="13074" width="11.42578125" style="62"/>
    <col min="13075" max="13075" width="12.140625" style="62" customWidth="1"/>
    <col min="13076" max="13076" width="10.5703125" style="62" customWidth="1"/>
    <col min="13077" max="13077" width="12.42578125" style="62" customWidth="1"/>
    <col min="13078" max="13078" width="15.140625" style="62" customWidth="1"/>
    <col min="13079" max="13079" width="13.5703125" style="62" customWidth="1"/>
    <col min="13080" max="13080" width="13.140625" style="62" customWidth="1"/>
    <col min="13081" max="13081" width="15.7109375" style="62" customWidth="1"/>
    <col min="13082" max="13082" width="37.5703125" style="62" customWidth="1"/>
    <col min="13083" max="13304" width="11.42578125" style="62"/>
    <col min="13305" max="13305" width="10.5703125" style="62" customWidth="1"/>
    <col min="13306" max="13306" width="4.85546875" style="62" customWidth="1"/>
    <col min="13307" max="13307" width="32.42578125" style="62" customWidth="1"/>
    <col min="13308" max="13308" width="9.85546875" style="62" customWidth="1"/>
    <col min="13309" max="13309" width="10.140625" style="62" customWidth="1"/>
    <col min="13310" max="13310" width="12.28515625" style="62" customWidth="1"/>
    <col min="13311" max="13311" width="15.42578125" style="62" customWidth="1"/>
    <col min="13312" max="13312" width="11.85546875" style="62" customWidth="1"/>
    <col min="13313" max="13313" width="13.28515625" style="62" customWidth="1"/>
    <col min="13314" max="13314" width="15.28515625" style="62" customWidth="1"/>
    <col min="13315" max="13315" width="11.85546875" style="62" customWidth="1"/>
    <col min="13316" max="13316" width="6.140625" style="62" customWidth="1"/>
    <col min="13317" max="13317" width="11.85546875" style="62" customWidth="1"/>
    <col min="13318" max="13318" width="9.42578125" style="62" customWidth="1"/>
    <col min="13319" max="13319" width="14.7109375" style="62" customWidth="1"/>
    <col min="13320" max="13320" width="11.5703125" style="62" customWidth="1"/>
    <col min="13321" max="13321" width="0.42578125" style="62" customWidth="1"/>
    <col min="13322" max="13322" width="10.5703125" style="62" bestFit="1" customWidth="1"/>
    <col min="13323" max="13323" width="12.28515625" style="62" customWidth="1"/>
    <col min="13324" max="13324" width="12.5703125" style="62" customWidth="1"/>
    <col min="13325" max="13325" width="10.5703125" style="62" customWidth="1"/>
    <col min="13326" max="13326" width="10.140625" style="62" customWidth="1"/>
    <col min="13327" max="13327" width="8.42578125" style="62" customWidth="1"/>
    <col min="13328" max="13328" width="18.85546875" style="62" customWidth="1"/>
    <col min="13329" max="13329" width="10.28515625" style="62" customWidth="1"/>
    <col min="13330" max="13330" width="11.42578125" style="62"/>
    <col min="13331" max="13331" width="12.140625" style="62" customWidth="1"/>
    <col min="13332" max="13332" width="10.5703125" style="62" customWidth="1"/>
    <col min="13333" max="13333" width="12.42578125" style="62" customWidth="1"/>
    <col min="13334" max="13334" width="15.140625" style="62" customWidth="1"/>
    <col min="13335" max="13335" width="13.5703125" style="62" customWidth="1"/>
    <col min="13336" max="13336" width="13.140625" style="62" customWidth="1"/>
    <col min="13337" max="13337" width="15.7109375" style="62" customWidth="1"/>
    <col min="13338" max="13338" width="37.5703125" style="62" customWidth="1"/>
    <col min="13339" max="13560" width="11.42578125" style="62"/>
    <col min="13561" max="13561" width="10.5703125" style="62" customWidth="1"/>
    <col min="13562" max="13562" width="4.85546875" style="62" customWidth="1"/>
    <col min="13563" max="13563" width="32.42578125" style="62" customWidth="1"/>
    <col min="13564" max="13564" width="9.85546875" style="62" customWidth="1"/>
    <col min="13565" max="13565" width="10.140625" style="62" customWidth="1"/>
    <col min="13566" max="13566" width="12.28515625" style="62" customWidth="1"/>
    <col min="13567" max="13567" width="15.42578125" style="62" customWidth="1"/>
    <col min="13568" max="13568" width="11.85546875" style="62" customWidth="1"/>
    <col min="13569" max="13569" width="13.28515625" style="62" customWidth="1"/>
    <col min="13570" max="13570" width="15.28515625" style="62" customWidth="1"/>
    <col min="13571" max="13571" width="11.85546875" style="62" customWidth="1"/>
    <col min="13572" max="13572" width="6.140625" style="62" customWidth="1"/>
    <col min="13573" max="13573" width="11.85546875" style="62" customWidth="1"/>
    <col min="13574" max="13574" width="9.42578125" style="62" customWidth="1"/>
    <col min="13575" max="13575" width="14.7109375" style="62" customWidth="1"/>
    <col min="13576" max="13576" width="11.5703125" style="62" customWidth="1"/>
    <col min="13577" max="13577" width="0.42578125" style="62" customWidth="1"/>
    <col min="13578" max="13578" width="10.5703125" style="62" bestFit="1" customWidth="1"/>
    <col min="13579" max="13579" width="12.28515625" style="62" customWidth="1"/>
    <col min="13580" max="13580" width="12.5703125" style="62" customWidth="1"/>
    <col min="13581" max="13581" width="10.5703125" style="62" customWidth="1"/>
    <col min="13582" max="13582" width="10.140625" style="62" customWidth="1"/>
    <col min="13583" max="13583" width="8.42578125" style="62" customWidth="1"/>
    <col min="13584" max="13584" width="18.85546875" style="62" customWidth="1"/>
    <col min="13585" max="13585" width="10.28515625" style="62" customWidth="1"/>
    <col min="13586" max="13586" width="11.42578125" style="62"/>
    <col min="13587" max="13587" width="12.140625" style="62" customWidth="1"/>
    <col min="13588" max="13588" width="10.5703125" style="62" customWidth="1"/>
    <col min="13589" max="13589" width="12.42578125" style="62" customWidth="1"/>
    <col min="13590" max="13590" width="15.140625" style="62" customWidth="1"/>
    <col min="13591" max="13591" width="13.5703125" style="62" customWidth="1"/>
    <col min="13592" max="13592" width="13.140625" style="62" customWidth="1"/>
    <col min="13593" max="13593" width="15.7109375" style="62" customWidth="1"/>
    <col min="13594" max="13594" width="37.5703125" style="62" customWidth="1"/>
    <col min="13595" max="13816" width="11.42578125" style="62"/>
    <col min="13817" max="13817" width="10.5703125" style="62" customWidth="1"/>
    <col min="13818" max="13818" width="4.85546875" style="62" customWidth="1"/>
    <col min="13819" max="13819" width="32.42578125" style="62" customWidth="1"/>
    <col min="13820" max="13820" width="9.85546875" style="62" customWidth="1"/>
    <col min="13821" max="13821" width="10.140625" style="62" customWidth="1"/>
    <col min="13822" max="13822" width="12.28515625" style="62" customWidth="1"/>
    <col min="13823" max="13823" width="15.42578125" style="62" customWidth="1"/>
    <col min="13824" max="13824" width="11.85546875" style="62" customWidth="1"/>
    <col min="13825" max="13825" width="13.28515625" style="62" customWidth="1"/>
    <col min="13826" max="13826" width="15.28515625" style="62" customWidth="1"/>
    <col min="13827" max="13827" width="11.85546875" style="62" customWidth="1"/>
    <col min="13828" max="13828" width="6.140625" style="62" customWidth="1"/>
    <col min="13829" max="13829" width="11.85546875" style="62" customWidth="1"/>
    <col min="13830" max="13830" width="9.42578125" style="62" customWidth="1"/>
    <col min="13831" max="13831" width="14.7109375" style="62" customWidth="1"/>
    <col min="13832" max="13832" width="11.5703125" style="62" customWidth="1"/>
    <col min="13833" max="13833" width="0.42578125" style="62" customWidth="1"/>
    <col min="13834" max="13834" width="10.5703125" style="62" bestFit="1" customWidth="1"/>
    <col min="13835" max="13835" width="12.28515625" style="62" customWidth="1"/>
    <col min="13836" max="13836" width="12.5703125" style="62" customWidth="1"/>
    <col min="13837" max="13837" width="10.5703125" style="62" customWidth="1"/>
    <col min="13838" max="13838" width="10.140625" style="62" customWidth="1"/>
    <col min="13839" max="13839" width="8.42578125" style="62" customWidth="1"/>
    <col min="13840" max="13840" width="18.85546875" style="62" customWidth="1"/>
    <col min="13841" max="13841" width="10.28515625" style="62" customWidth="1"/>
    <col min="13842" max="13842" width="11.42578125" style="62"/>
    <col min="13843" max="13843" width="12.140625" style="62" customWidth="1"/>
    <col min="13844" max="13844" width="10.5703125" style="62" customWidth="1"/>
    <col min="13845" max="13845" width="12.42578125" style="62" customWidth="1"/>
    <col min="13846" max="13846" width="15.140625" style="62" customWidth="1"/>
    <col min="13847" max="13847" width="13.5703125" style="62" customWidth="1"/>
    <col min="13848" max="13848" width="13.140625" style="62" customWidth="1"/>
    <col min="13849" max="13849" width="15.7109375" style="62" customWidth="1"/>
    <col min="13850" max="13850" width="37.5703125" style="62" customWidth="1"/>
    <col min="13851" max="14072" width="11.42578125" style="62"/>
    <col min="14073" max="14073" width="10.5703125" style="62" customWidth="1"/>
    <col min="14074" max="14074" width="4.85546875" style="62" customWidth="1"/>
    <col min="14075" max="14075" width="32.42578125" style="62" customWidth="1"/>
    <col min="14076" max="14076" width="9.85546875" style="62" customWidth="1"/>
    <col min="14077" max="14077" width="10.140625" style="62" customWidth="1"/>
    <col min="14078" max="14078" width="12.28515625" style="62" customWidth="1"/>
    <col min="14079" max="14079" width="15.42578125" style="62" customWidth="1"/>
    <col min="14080" max="14080" width="11.85546875" style="62" customWidth="1"/>
    <col min="14081" max="14081" width="13.28515625" style="62" customWidth="1"/>
    <col min="14082" max="14082" width="15.28515625" style="62" customWidth="1"/>
    <col min="14083" max="14083" width="11.85546875" style="62" customWidth="1"/>
    <col min="14084" max="14084" width="6.140625" style="62" customWidth="1"/>
    <col min="14085" max="14085" width="11.85546875" style="62" customWidth="1"/>
    <col min="14086" max="14086" width="9.42578125" style="62" customWidth="1"/>
    <col min="14087" max="14087" width="14.7109375" style="62" customWidth="1"/>
    <col min="14088" max="14088" width="11.5703125" style="62" customWidth="1"/>
    <col min="14089" max="14089" width="0.42578125" style="62" customWidth="1"/>
    <col min="14090" max="14090" width="10.5703125" style="62" bestFit="1" customWidth="1"/>
    <col min="14091" max="14091" width="12.28515625" style="62" customWidth="1"/>
    <col min="14092" max="14092" width="12.5703125" style="62" customWidth="1"/>
    <col min="14093" max="14093" width="10.5703125" style="62" customWidth="1"/>
    <col min="14094" max="14094" width="10.140625" style="62" customWidth="1"/>
    <col min="14095" max="14095" width="8.42578125" style="62" customWidth="1"/>
    <col min="14096" max="14096" width="18.85546875" style="62" customWidth="1"/>
    <col min="14097" max="14097" width="10.28515625" style="62" customWidth="1"/>
    <col min="14098" max="14098" width="11.42578125" style="62"/>
    <col min="14099" max="14099" width="12.140625" style="62" customWidth="1"/>
    <col min="14100" max="14100" width="10.5703125" style="62" customWidth="1"/>
    <col min="14101" max="14101" width="12.42578125" style="62" customWidth="1"/>
    <col min="14102" max="14102" width="15.140625" style="62" customWidth="1"/>
    <col min="14103" max="14103" width="13.5703125" style="62" customWidth="1"/>
    <col min="14104" max="14104" width="13.140625" style="62" customWidth="1"/>
    <col min="14105" max="14105" width="15.7109375" style="62" customWidth="1"/>
    <col min="14106" max="14106" width="37.5703125" style="62" customWidth="1"/>
    <col min="14107" max="14328" width="11.42578125" style="62"/>
    <col min="14329" max="14329" width="10.5703125" style="62" customWidth="1"/>
    <col min="14330" max="14330" width="4.85546875" style="62" customWidth="1"/>
    <col min="14331" max="14331" width="32.42578125" style="62" customWidth="1"/>
    <col min="14332" max="14332" width="9.85546875" style="62" customWidth="1"/>
    <col min="14333" max="14333" width="10.140625" style="62" customWidth="1"/>
    <col min="14334" max="14334" width="12.28515625" style="62" customWidth="1"/>
    <col min="14335" max="14335" width="15.42578125" style="62" customWidth="1"/>
    <col min="14336" max="14336" width="11.85546875" style="62" customWidth="1"/>
    <col min="14337" max="14337" width="13.28515625" style="62" customWidth="1"/>
    <col min="14338" max="14338" width="15.28515625" style="62" customWidth="1"/>
    <col min="14339" max="14339" width="11.85546875" style="62" customWidth="1"/>
    <col min="14340" max="14340" width="6.140625" style="62" customWidth="1"/>
    <col min="14341" max="14341" width="11.85546875" style="62" customWidth="1"/>
    <col min="14342" max="14342" width="9.42578125" style="62" customWidth="1"/>
    <col min="14343" max="14343" width="14.7109375" style="62" customWidth="1"/>
    <col min="14344" max="14344" width="11.5703125" style="62" customWidth="1"/>
    <col min="14345" max="14345" width="0.42578125" style="62" customWidth="1"/>
    <col min="14346" max="14346" width="10.5703125" style="62" bestFit="1" customWidth="1"/>
    <col min="14347" max="14347" width="12.28515625" style="62" customWidth="1"/>
    <col min="14348" max="14348" width="12.5703125" style="62" customWidth="1"/>
    <col min="14349" max="14349" width="10.5703125" style="62" customWidth="1"/>
    <col min="14350" max="14350" width="10.140625" style="62" customWidth="1"/>
    <col min="14351" max="14351" width="8.42578125" style="62" customWidth="1"/>
    <col min="14352" max="14352" width="18.85546875" style="62" customWidth="1"/>
    <col min="14353" max="14353" width="10.28515625" style="62" customWidth="1"/>
    <col min="14354" max="14354" width="11.42578125" style="62"/>
    <col min="14355" max="14355" width="12.140625" style="62" customWidth="1"/>
    <col min="14356" max="14356" width="10.5703125" style="62" customWidth="1"/>
    <col min="14357" max="14357" width="12.42578125" style="62" customWidth="1"/>
    <col min="14358" max="14358" width="15.140625" style="62" customWidth="1"/>
    <col min="14359" max="14359" width="13.5703125" style="62" customWidth="1"/>
    <col min="14360" max="14360" width="13.140625" style="62" customWidth="1"/>
    <col min="14361" max="14361" width="15.7109375" style="62" customWidth="1"/>
    <col min="14362" max="14362" width="37.5703125" style="62" customWidth="1"/>
    <col min="14363" max="14584" width="11.42578125" style="62"/>
    <col min="14585" max="14585" width="10.5703125" style="62" customWidth="1"/>
    <col min="14586" max="14586" width="4.85546875" style="62" customWidth="1"/>
    <col min="14587" max="14587" width="32.42578125" style="62" customWidth="1"/>
    <col min="14588" max="14588" width="9.85546875" style="62" customWidth="1"/>
    <col min="14589" max="14589" width="10.140625" style="62" customWidth="1"/>
    <col min="14590" max="14590" width="12.28515625" style="62" customWidth="1"/>
    <col min="14591" max="14591" width="15.42578125" style="62" customWidth="1"/>
    <col min="14592" max="14592" width="11.85546875" style="62" customWidth="1"/>
    <col min="14593" max="14593" width="13.28515625" style="62" customWidth="1"/>
    <col min="14594" max="14594" width="15.28515625" style="62" customWidth="1"/>
    <col min="14595" max="14595" width="11.85546875" style="62" customWidth="1"/>
    <col min="14596" max="14596" width="6.140625" style="62" customWidth="1"/>
    <col min="14597" max="14597" width="11.85546875" style="62" customWidth="1"/>
    <col min="14598" max="14598" width="9.42578125" style="62" customWidth="1"/>
    <col min="14599" max="14599" width="14.7109375" style="62" customWidth="1"/>
    <col min="14600" max="14600" width="11.5703125" style="62" customWidth="1"/>
    <col min="14601" max="14601" width="0.42578125" style="62" customWidth="1"/>
    <col min="14602" max="14602" width="10.5703125" style="62" bestFit="1" customWidth="1"/>
    <col min="14603" max="14603" width="12.28515625" style="62" customWidth="1"/>
    <col min="14604" max="14604" width="12.5703125" style="62" customWidth="1"/>
    <col min="14605" max="14605" width="10.5703125" style="62" customWidth="1"/>
    <col min="14606" max="14606" width="10.140625" style="62" customWidth="1"/>
    <col min="14607" max="14607" width="8.42578125" style="62" customWidth="1"/>
    <col min="14608" max="14608" width="18.85546875" style="62" customWidth="1"/>
    <col min="14609" max="14609" width="10.28515625" style="62" customWidth="1"/>
    <col min="14610" max="14610" width="11.42578125" style="62"/>
    <col min="14611" max="14611" width="12.140625" style="62" customWidth="1"/>
    <col min="14612" max="14612" width="10.5703125" style="62" customWidth="1"/>
    <col min="14613" max="14613" width="12.42578125" style="62" customWidth="1"/>
    <col min="14614" max="14614" width="15.140625" style="62" customWidth="1"/>
    <col min="14615" max="14615" width="13.5703125" style="62" customWidth="1"/>
    <col min="14616" max="14616" width="13.140625" style="62" customWidth="1"/>
    <col min="14617" max="14617" width="15.7109375" style="62" customWidth="1"/>
    <col min="14618" max="14618" width="37.5703125" style="62" customWidth="1"/>
    <col min="14619" max="14840" width="11.42578125" style="62"/>
    <col min="14841" max="14841" width="10.5703125" style="62" customWidth="1"/>
    <col min="14842" max="14842" width="4.85546875" style="62" customWidth="1"/>
    <col min="14843" max="14843" width="32.42578125" style="62" customWidth="1"/>
    <col min="14844" max="14844" width="9.85546875" style="62" customWidth="1"/>
    <col min="14845" max="14845" width="10.140625" style="62" customWidth="1"/>
    <col min="14846" max="14846" width="12.28515625" style="62" customWidth="1"/>
    <col min="14847" max="14847" width="15.42578125" style="62" customWidth="1"/>
    <col min="14848" max="14848" width="11.85546875" style="62" customWidth="1"/>
    <col min="14849" max="14849" width="13.28515625" style="62" customWidth="1"/>
    <col min="14850" max="14850" width="15.28515625" style="62" customWidth="1"/>
    <col min="14851" max="14851" width="11.85546875" style="62" customWidth="1"/>
    <col min="14852" max="14852" width="6.140625" style="62" customWidth="1"/>
    <col min="14853" max="14853" width="11.85546875" style="62" customWidth="1"/>
    <col min="14854" max="14854" width="9.42578125" style="62" customWidth="1"/>
    <col min="14855" max="14855" width="14.7109375" style="62" customWidth="1"/>
    <col min="14856" max="14856" width="11.5703125" style="62" customWidth="1"/>
    <col min="14857" max="14857" width="0.42578125" style="62" customWidth="1"/>
    <col min="14858" max="14858" width="10.5703125" style="62" bestFit="1" customWidth="1"/>
    <col min="14859" max="14859" width="12.28515625" style="62" customWidth="1"/>
    <col min="14860" max="14860" width="12.5703125" style="62" customWidth="1"/>
    <col min="14861" max="14861" width="10.5703125" style="62" customWidth="1"/>
    <col min="14862" max="14862" width="10.140625" style="62" customWidth="1"/>
    <col min="14863" max="14863" width="8.42578125" style="62" customWidth="1"/>
    <col min="14864" max="14864" width="18.85546875" style="62" customWidth="1"/>
    <col min="14865" max="14865" width="10.28515625" style="62" customWidth="1"/>
    <col min="14866" max="14866" width="11.42578125" style="62"/>
    <col min="14867" max="14867" width="12.140625" style="62" customWidth="1"/>
    <col min="14868" max="14868" width="10.5703125" style="62" customWidth="1"/>
    <col min="14869" max="14869" width="12.42578125" style="62" customWidth="1"/>
    <col min="14870" max="14870" width="15.140625" style="62" customWidth="1"/>
    <col min="14871" max="14871" width="13.5703125" style="62" customWidth="1"/>
    <col min="14872" max="14872" width="13.140625" style="62" customWidth="1"/>
    <col min="14873" max="14873" width="15.7109375" style="62" customWidth="1"/>
    <col min="14874" max="14874" width="37.5703125" style="62" customWidth="1"/>
    <col min="14875" max="15096" width="11.42578125" style="62"/>
    <col min="15097" max="15097" width="10.5703125" style="62" customWidth="1"/>
    <col min="15098" max="15098" width="4.85546875" style="62" customWidth="1"/>
    <col min="15099" max="15099" width="32.42578125" style="62" customWidth="1"/>
    <col min="15100" max="15100" width="9.85546875" style="62" customWidth="1"/>
    <col min="15101" max="15101" width="10.140625" style="62" customWidth="1"/>
    <col min="15102" max="15102" width="12.28515625" style="62" customWidth="1"/>
    <col min="15103" max="15103" width="15.42578125" style="62" customWidth="1"/>
    <col min="15104" max="15104" width="11.85546875" style="62" customWidth="1"/>
    <col min="15105" max="15105" width="13.28515625" style="62" customWidth="1"/>
    <col min="15106" max="15106" width="15.28515625" style="62" customWidth="1"/>
    <col min="15107" max="15107" width="11.85546875" style="62" customWidth="1"/>
    <col min="15108" max="15108" width="6.140625" style="62" customWidth="1"/>
    <col min="15109" max="15109" width="11.85546875" style="62" customWidth="1"/>
    <col min="15110" max="15110" width="9.42578125" style="62" customWidth="1"/>
    <col min="15111" max="15111" width="14.7109375" style="62" customWidth="1"/>
    <col min="15112" max="15112" width="11.5703125" style="62" customWidth="1"/>
    <col min="15113" max="15113" width="0.42578125" style="62" customWidth="1"/>
    <col min="15114" max="15114" width="10.5703125" style="62" bestFit="1" customWidth="1"/>
    <col min="15115" max="15115" width="12.28515625" style="62" customWidth="1"/>
    <col min="15116" max="15116" width="12.5703125" style="62" customWidth="1"/>
    <col min="15117" max="15117" width="10.5703125" style="62" customWidth="1"/>
    <col min="15118" max="15118" width="10.140625" style="62" customWidth="1"/>
    <col min="15119" max="15119" width="8.42578125" style="62" customWidth="1"/>
    <col min="15120" max="15120" width="18.85546875" style="62" customWidth="1"/>
    <col min="15121" max="15121" width="10.28515625" style="62" customWidth="1"/>
    <col min="15122" max="15122" width="11.42578125" style="62"/>
    <col min="15123" max="15123" width="12.140625" style="62" customWidth="1"/>
    <col min="15124" max="15124" width="10.5703125" style="62" customWidth="1"/>
    <col min="15125" max="15125" width="12.42578125" style="62" customWidth="1"/>
    <col min="15126" max="15126" width="15.140625" style="62" customWidth="1"/>
    <col min="15127" max="15127" width="13.5703125" style="62" customWidth="1"/>
    <col min="15128" max="15128" width="13.140625" style="62" customWidth="1"/>
    <col min="15129" max="15129" width="15.7109375" style="62" customWidth="1"/>
    <col min="15130" max="15130" width="37.5703125" style="62" customWidth="1"/>
    <col min="15131" max="15352" width="11.42578125" style="62"/>
    <col min="15353" max="15353" width="10.5703125" style="62" customWidth="1"/>
    <col min="15354" max="15354" width="4.85546875" style="62" customWidth="1"/>
    <col min="15355" max="15355" width="32.42578125" style="62" customWidth="1"/>
    <col min="15356" max="15356" width="9.85546875" style="62" customWidth="1"/>
    <col min="15357" max="15357" width="10.140625" style="62" customWidth="1"/>
    <col min="15358" max="15358" width="12.28515625" style="62" customWidth="1"/>
    <col min="15359" max="15359" width="15.42578125" style="62" customWidth="1"/>
    <col min="15360" max="15360" width="11.85546875" style="62" customWidth="1"/>
    <col min="15361" max="15361" width="13.28515625" style="62" customWidth="1"/>
    <col min="15362" max="15362" width="15.28515625" style="62" customWidth="1"/>
    <col min="15363" max="15363" width="11.85546875" style="62" customWidth="1"/>
    <col min="15364" max="15364" width="6.140625" style="62" customWidth="1"/>
    <col min="15365" max="15365" width="11.85546875" style="62" customWidth="1"/>
    <col min="15366" max="15366" width="9.42578125" style="62" customWidth="1"/>
    <col min="15367" max="15367" width="14.7109375" style="62" customWidth="1"/>
    <col min="15368" max="15368" width="11.5703125" style="62" customWidth="1"/>
    <col min="15369" max="15369" width="0.42578125" style="62" customWidth="1"/>
    <col min="15370" max="15370" width="10.5703125" style="62" bestFit="1" customWidth="1"/>
    <col min="15371" max="15371" width="12.28515625" style="62" customWidth="1"/>
    <col min="15372" max="15372" width="12.5703125" style="62" customWidth="1"/>
    <col min="15373" max="15373" width="10.5703125" style="62" customWidth="1"/>
    <col min="15374" max="15374" width="10.140625" style="62" customWidth="1"/>
    <col min="15375" max="15375" width="8.42578125" style="62" customWidth="1"/>
    <col min="15376" max="15376" width="18.85546875" style="62" customWidth="1"/>
    <col min="15377" max="15377" width="10.28515625" style="62" customWidth="1"/>
    <col min="15378" max="15378" width="11.42578125" style="62"/>
    <col min="15379" max="15379" width="12.140625" style="62" customWidth="1"/>
    <col min="15380" max="15380" width="10.5703125" style="62" customWidth="1"/>
    <col min="15381" max="15381" width="12.42578125" style="62" customWidth="1"/>
    <col min="15382" max="15382" width="15.140625" style="62" customWidth="1"/>
    <col min="15383" max="15383" width="13.5703125" style="62" customWidth="1"/>
    <col min="15384" max="15384" width="13.140625" style="62" customWidth="1"/>
    <col min="15385" max="15385" width="15.7109375" style="62" customWidth="1"/>
    <col min="15386" max="15386" width="37.5703125" style="62" customWidth="1"/>
    <col min="15387" max="15608" width="11.42578125" style="62"/>
    <col min="15609" max="15609" width="10.5703125" style="62" customWidth="1"/>
    <col min="15610" max="15610" width="4.85546875" style="62" customWidth="1"/>
    <col min="15611" max="15611" width="32.42578125" style="62" customWidth="1"/>
    <col min="15612" max="15612" width="9.85546875" style="62" customWidth="1"/>
    <col min="15613" max="15613" width="10.140625" style="62" customWidth="1"/>
    <col min="15614" max="15614" width="12.28515625" style="62" customWidth="1"/>
    <col min="15615" max="15615" width="15.42578125" style="62" customWidth="1"/>
    <col min="15616" max="15616" width="11.85546875" style="62" customWidth="1"/>
    <col min="15617" max="15617" width="13.28515625" style="62" customWidth="1"/>
    <col min="15618" max="15618" width="15.28515625" style="62" customWidth="1"/>
    <col min="15619" max="15619" width="11.85546875" style="62" customWidth="1"/>
    <col min="15620" max="15620" width="6.140625" style="62" customWidth="1"/>
    <col min="15621" max="15621" width="11.85546875" style="62" customWidth="1"/>
    <col min="15622" max="15622" width="9.42578125" style="62" customWidth="1"/>
    <col min="15623" max="15623" width="14.7109375" style="62" customWidth="1"/>
    <col min="15624" max="15624" width="11.5703125" style="62" customWidth="1"/>
    <col min="15625" max="15625" width="0.42578125" style="62" customWidth="1"/>
    <col min="15626" max="15626" width="10.5703125" style="62" bestFit="1" customWidth="1"/>
    <col min="15627" max="15627" width="12.28515625" style="62" customWidth="1"/>
    <col min="15628" max="15628" width="12.5703125" style="62" customWidth="1"/>
    <col min="15629" max="15629" width="10.5703125" style="62" customWidth="1"/>
    <col min="15630" max="15630" width="10.140625" style="62" customWidth="1"/>
    <col min="15631" max="15631" width="8.42578125" style="62" customWidth="1"/>
    <col min="15632" max="15632" width="18.85546875" style="62" customWidth="1"/>
    <col min="15633" max="15633" width="10.28515625" style="62" customWidth="1"/>
    <col min="15634" max="15634" width="11.42578125" style="62"/>
    <col min="15635" max="15635" width="12.140625" style="62" customWidth="1"/>
    <col min="15636" max="15636" width="10.5703125" style="62" customWidth="1"/>
    <col min="15637" max="15637" width="12.42578125" style="62" customWidth="1"/>
    <col min="15638" max="15638" width="15.140625" style="62" customWidth="1"/>
    <col min="15639" max="15639" width="13.5703125" style="62" customWidth="1"/>
    <col min="15640" max="15640" width="13.140625" style="62" customWidth="1"/>
    <col min="15641" max="15641" width="15.7109375" style="62" customWidth="1"/>
    <col min="15642" max="15642" width="37.5703125" style="62" customWidth="1"/>
    <col min="15643" max="15864" width="11.42578125" style="62"/>
    <col min="15865" max="15865" width="10.5703125" style="62" customWidth="1"/>
    <col min="15866" max="15866" width="4.85546875" style="62" customWidth="1"/>
    <col min="15867" max="15867" width="32.42578125" style="62" customWidth="1"/>
    <col min="15868" max="15868" width="9.85546875" style="62" customWidth="1"/>
    <col min="15869" max="15869" width="10.140625" style="62" customWidth="1"/>
    <col min="15870" max="15870" width="12.28515625" style="62" customWidth="1"/>
    <col min="15871" max="15871" width="15.42578125" style="62" customWidth="1"/>
    <col min="15872" max="15872" width="11.85546875" style="62" customWidth="1"/>
    <col min="15873" max="15873" width="13.28515625" style="62" customWidth="1"/>
    <col min="15874" max="15874" width="15.28515625" style="62" customWidth="1"/>
    <col min="15875" max="15875" width="11.85546875" style="62" customWidth="1"/>
    <col min="15876" max="15876" width="6.140625" style="62" customWidth="1"/>
    <col min="15877" max="15877" width="11.85546875" style="62" customWidth="1"/>
    <col min="15878" max="15878" width="9.42578125" style="62" customWidth="1"/>
    <col min="15879" max="15879" width="14.7109375" style="62" customWidth="1"/>
    <col min="15880" max="15880" width="11.5703125" style="62" customWidth="1"/>
    <col min="15881" max="15881" width="0.42578125" style="62" customWidth="1"/>
    <col min="15882" max="15882" width="10.5703125" style="62" bestFit="1" customWidth="1"/>
    <col min="15883" max="15883" width="12.28515625" style="62" customWidth="1"/>
    <col min="15884" max="15884" width="12.5703125" style="62" customWidth="1"/>
    <col min="15885" max="15885" width="10.5703125" style="62" customWidth="1"/>
    <col min="15886" max="15886" width="10.140625" style="62" customWidth="1"/>
    <col min="15887" max="15887" width="8.42578125" style="62" customWidth="1"/>
    <col min="15888" max="15888" width="18.85546875" style="62" customWidth="1"/>
    <col min="15889" max="15889" width="10.28515625" style="62" customWidth="1"/>
    <col min="15890" max="15890" width="11.42578125" style="62"/>
    <col min="15891" max="15891" width="12.140625" style="62" customWidth="1"/>
    <col min="15892" max="15892" width="10.5703125" style="62" customWidth="1"/>
    <col min="15893" max="15893" width="12.42578125" style="62" customWidth="1"/>
    <col min="15894" max="15894" width="15.140625" style="62" customWidth="1"/>
    <col min="15895" max="15895" width="13.5703125" style="62" customWidth="1"/>
    <col min="15896" max="15896" width="13.140625" style="62" customWidth="1"/>
    <col min="15897" max="15897" width="15.7109375" style="62" customWidth="1"/>
    <col min="15898" max="15898" width="37.5703125" style="62" customWidth="1"/>
    <col min="15899" max="16120" width="11.42578125" style="62"/>
    <col min="16121" max="16121" width="10.5703125" style="62" customWidth="1"/>
    <col min="16122" max="16122" width="4.85546875" style="62" customWidth="1"/>
    <col min="16123" max="16123" width="32.42578125" style="62" customWidth="1"/>
    <col min="16124" max="16124" width="9.85546875" style="62" customWidth="1"/>
    <col min="16125" max="16125" width="10.140625" style="62" customWidth="1"/>
    <col min="16126" max="16126" width="12.28515625" style="62" customWidth="1"/>
    <col min="16127" max="16127" width="15.42578125" style="62" customWidth="1"/>
    <col min="16128" max="16128" width="11.85546875" style="62" customWidth="1"/>
    <col min="16129" max="16129" width="13.28515625" style="62" customWidth="1"/>
    <col min="16130" max="16130" width="15.28515625" style="62" customWidth="1"/>
    <col min="16131" max="16131" width="11.85546875" style="62" customWidth="1"/>
    <col min="16132" max="16132" width="6.140625" style="62" customWidth="1"/>
    <col min="16133" max="16133" width="11.85546875" style="62" customWidth="1"/>
    <col min="16134" max="16134" width="9.42578125" style="62" customWidth="1"/>
    <col min="16135" max="16135" width="14.7109375" style="62" customWidth="1"/>
    <col min="16136" max="16136" width="11.5703125" style="62" customWidth="1"/>
    <col min="16137" max="16137" width="0.42578125" style="62" customWidth="1"/>
    <col min="16138" max="16138" width="10.5703125" style="62" bestFit="1" customWidth="1"/>
    <col min="16139" max="16139" width="12.28515625" style="62" customWidth="1"/>
    <col min="16140" max="16140" width="12.5703125" style="62" customWidth="1"/>
    <col min="16141" max="16141" width="10.5703125" style="62" customWidth="1"/>
    <col min="16142" max="16142" width="10.140625" style="62" customWidth="1"/>
    <col min="16143" max="16143" width="8.42578125" style="62" customWidth="1"/>
    <col min="16144" max="16144" width="18.85546875" style="62" customWidth="1"/>
    <col min="16145" max="16145" width="10.28515625" style="62" customWidth="1"/>
    <col min="16146" max="16146" width="11.42578125" style="62"/>
    <col min="16147" max="16147" width="12.140625" style="62" customWidth="1"/>
    <col min="16148" max="16148" width="10.5703125" style="62" customWidth="1"/>
    <col min="16149" max="16149" width="12.42578125" style="62" customWidth="1"/>
    <col min="16150" max="16150" width="15.140625" style="62" customWidth="1"/>
    <col min="16151" max="16151" width="13.5703125" style="62" customWidth="1"/>
    <col min="16152" max="16152" width="13.140625" style="62" customWidth="1"/>
    <col min="16153" max="16153" width="15.7109375" style="62" customWidth="1"/>
    <col min="16154" max="16154" width="37.5703125" style="62" customWidth="1"/>
    <col min="16155" max="16384" width="11.42578125" style="62"/>
  </cols>
  <sheetData>
    <row r="1" spans="1:26" x14ac:dyDescent="0.25">
      <c r="C1" s="63" t="s">
        <v>145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8"/>
      <c r="Y1" s="64"/>
      <c r="Z1" s="8"/>
    </row>
    <row r="2" spans="1:26" x14ac:dyDescent="0.25">
      <c r="C2" s="9" t="s">
        <v>1</v>
      </c>
      <c r="D2" s="8"/>
      <c r="E2" s="88" t="s">
        <v>2</v>
      </c>
      <c r="F2" s="88"/>
      <c r="G2" s="88"/>
      <c r="H2" s="88"/>
      <c r="I2" s="88"/>
      <c r="J2" s="88"/>
      <c r="K2" s="88"/>
      <c r="L2" s="88"/>
      <c r="M2" s="88"/>
      <c r="N2" s="88" t="s">
        <v>3</v>
      </c>
      <c r="O2" s="88"/>
      <c r="P2" s="88"/>
      <c r="Q2" s="88"/>
      <c r="R2" s="88"/>
      <c r="S2" s="88"/>
      <c r="T2" s="88"/>
      <c r="U2" s="88"/>
      <c r="V2" s="88"/>
      <c r="W2" s="8"/>
      <c r="X2" s="8"/>
      <c r="Y2" s="64"/>
      <c r="Z2" s="8"/>
    </row>
    <row r="3" spans="1:26" ht="24.95" customHeight="1" x14ac:dyDescent="0.25">
      <c r="B3" s="2" t="s">
        <v>4</v>
      </c>
      <c r="C3" s="2" t="s">
        <v>5</v>
      </c>
      <c r="D3" s="2" t="s">
        <v>6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146</v>
      </c>
      <c r="J3" s="3" t="s">
        <v>13</v>
      </c>
      <c r="K3" s="3" t="s">
        <v>14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2" t="s">
        <v>27</v>
      </c>
      <c r="X3" s="2"/>
      <c r="Y3" s="89"/>
      <c r="Z3" s="2" t="s">
        <v>28</v>
      </c>
    </row>
    <row r="4" spans="1:26" s="13" customFormat="1" ht="24.95" customHeight="1" x14ac:dyDescent="0.25">
      <c r="A4" s="65" t="s">
        <v>29</v>
      </c>
      <c r="B4" s="2">
        <v>1</v>
      </c>
      <c r="C4" s="1" t="s">
        <v>147</v>
      </c>
      <c r="D4" s="1"/>
      <c r="E4" s="3">
        <v>4500000</v>
      </c>
      <c r="F4" s="3">
        <v>13</v>
      </c>
      <c r="G4" s="3">
        <f>+E4/30*F4</f>
        <v>1950000</v>
      </c>
      <c r="H4" s="3"/>
      <c r="I4" s="3"/>
      <c r="J4" s="3"/>
      <c r="K4" s="3"/>
      <c r="L4" s="3"/>
      <c r="M4" s="3">
        <f>+G4+L4+K4+J4+I4+H4</f>
        <v>1950000</v>
      </c>
      <c r="N4" s="3">
        <f>+G4*0.04</f>
        <v>78000</v>
      </c>
      <c r="O4" s="3">
        <f>+G4*0.04</f>
        <v>78000</v>
      </c>
      <c r="P4" s="3"/>
      <c r="Q4" s="3"/>
      <c r="R4" s="3"/>
      <c r="S4" s="3"/>
      <c r="T4" s="3"/>
      <c r="U4" s="3"/>
      <c r="V4" s="4">
        <f>SUM(N4:U4)</f>
        <v>156000</v>
      </c>
      <c r="W4" s="5">
        <f>+M4-V4</f>
        <v>1794000</v>
      </c>
      <c r="X4" s="5"/>
      <c r="Y4" s="64"/>
      <c r="Z4" s="5">
        <f t="shared" ref="Z4:Z67" si="0">W4+X4-Y4</f>
        <v>1794000</v>
      </c>
    </row>
    <row r="5" spans="1:26" ht="24.95" customHeight="1" x14ac:dyDescent="0.25">
      <c r="A5" s="65"/>
      <c r="B5" s="2">
        <f>+B4+1</f>
        <v>2</v>
      </c>
      <c r="C5" s="1" t="s">
        <v>30</v>
      </c>
      <c r="D5" s="2" t="s">
        <v>31</v>
      </c>
      <c r="E5" s="4">
        <v>4500000</v>
      </c>
      <c r="F5" s="3">
        <v>30</v>
      </c>
      <c r="G5" s="4">
        <f>+E5/30*F5</f>
        <v>4500000</v>
      </c>
      <c r="H5" s="4"/>
      <c r="I5" s="4"/>
      <c r="J5" s="4"/>
      <c r="K5" s="4">
        <v>500000</v>
      </c>
      <c r="L5" s="4">
        <v>6911719</v>
      </c>
      <c r="M5" s="4">
        <f>+G5+H5+J5+K5+L5+I5</f>
        <v>11911719</v>
      </c>
      <c r="N5" s="4">
        <f>+M5*4%</f>
        <v>476468.76</v>
      </c>
      <c r="O5" s="4">
        <f>+M5*5%</f>
        <v>595585.95000000007</v>
      </c>
      <c r="P5" s="4"/>
      <c r="Q5" s="4"/>
      <c r="R5" s="4">
        <v>130672</v>
      </c>
      <c r="S5" s="4"/>
      <c r="T5" s="4"/>
      <c r="U5" s="4"/>
      <c r="V5" s="4">
        <f t="shared" ref="V5:V10" si="1">SUM(N5:U5)</f>
        <v>1202726.71</v>
      </c>
      <c r="W5" s="5">
        <f>+M5-V5</f>
        <v>10708992.289999999</v>
      </c>
      <c r="X5" s="5"/>
      <c r="Y5" s="64"/>
      <c r="Z5" s="5">
        <f t="shared" si="0"/>
        <v>10708992.289999999</v>
      </c>
    </row>
    <row r="6" spans="1:26" ht="24.95" customHeight="1" x14ac:dyDescent="0.25">
      <c r="A6" s="65"/>
      <c r="B6" s="2">
        <f t="shared" ref="B6:B51" si="2">+B5+1</f>
        <v>3</v>
      </c>
      <c r="C6" s="1" t="s">
        <v>33</v>
      </c>
      <c r="D6" s="2" t="s">
        <v>31</v>
      </c>
      <c r="E6" s="4">
        <v>6000000</v>
      </c>
      <c r="F6" s="3">
        <v>30</v>
      </c>
      <c r="G6" s="4">
        <f>+E6-L6</f>
        <v>5200000</v>
      </c>
      <c r="H6" s="4"/>
      <c r="I6" s="4"/>
      <c r="J6" s="4"/>
      <c r="K6" s="4">
        <v>600000</v>
      </c>
      <c r="L6" s="4">
        <v>800000</v>
      </c>
      <c r="M6" s="4">
        <f>+G6+H6+J6+K6+L6+I6</f>
        <v>6600000</v>
      </c>
      <c r="N6" s="4">
        <f>E6*4%</f>
        <v>240000</v>
      </c>
      <c r="O6" s="4">
        <f>E6*5%</f>
        <v>300000</v>
      </c>
      <c r="P6" s="4"/>
      <c r="Q6" s="4"/>
      <c r="R6" s="4">
        <v>102000</v>
      </c>
      <c r="S6" s="4"/>
      <c r="T6" s="4"/>
      <c r="U6" s="4">
        <v>1212777</v>
      </c>
      <c r="V6" s="4">
        <f t="shared" si="1"/>
        <v>1854777</v>
      </c>
      <c r="W6" s="5">
        <f t="shared" ref="W6:W7" si="3">+M6-V6</f>
        <v>4745223</v>
      </c>
      <c r="X6" s="5"/>
      <c r="Y6" s="64"/>
      <c r="Z6" s="5">
        <f t="shared" si="0"/>
        <v>4745223</v>
      </c>
    </row>
    <row r="7" spans="1:26" ht="24.95" customHeight="1" x14ac:dyDescent="0.25">
      <c r="A7" s="65"/>
      <c r="B7" s="2">
        <f t="shared" si="2"/>
        <v>4</v>
      </c>
      <c r="C7" s="1" t="s">
        <v>34</v>
      </c>
      <c r="D7" s="2" t="s">
        <v>31</v>
      </c>
      <c r="E7" s="4">
        <v>5492319</v>
      </c>
      <c r="F7" s="3">
        <v>30</v>
      </c>
      <c r="G7" s="4">
        <f t="shared" ref="G7:G70" si="4">+E7/30*F7</f>
        <v>5492319</v>
      </c>
      <c r="H7" s="4"/>
      <c r="I7" s="4"/>
      <c r="J7" s="4"/>
      <c r="K7" s="4"/>
      <c r="L7" s="4"/>
      <c r="M7" s="4">
        <f>+G7+H7+J7+K7+L7+I7</f>
        <v>5492319</v>
      </c>
      <c r="N7" s="4">
        <f>+E7*4%</f>
        <v>219692.76</v>
      </c>
      <c r="O7" s="4">
        <f>+E7*5%</f>
        <v>274615.95</v>
      </c>
      <c r="P7" s="4"/>
      <c r="Q7" s="4"/>
      <c r="R7" s="7">
        <v>98000</v>
      </c>
      <c r="S7" s="4"/>
      <c r="T7" s="4"/>
      <c r="U7" s="4">
        <v>726520</v>
      </c>
      <c r="V7" s="4">
        <f t="shared" si="1"/>
        <v>1318828.71</v>
      </c>
      <c r="W7" s="5">
        <f t="shared" si="3"/>
        <v>4173490.29</v>
      </c>
      <c r="X7" s="5"/>
      <c r="Y7" s="64"/>
      <c r="Z7" s="5">
        <f t="shared" si="0"/>
        <v>4173490.29</v>
      </c>
    </row>
    <row r="8" spans="1:26" ht="24.95" customHeight="1" x14ac:dyDescent="0.25">
      <c r="A8" s="65"/>
      <c r="B8" s="2">
        <f t="shared" si="2"/>
        <v>5</v>
      </c>
      <c r="C8" s="2" t="s">
        <v>35</v>
      </c>
      <c r="D8" s="2" t="s">
        <v>31</v>
      </c>
      <c r="E8" s="4">
        <v>5000000</v>
      </c>
      <c r="F8" s="3">
        <v>30</v>
      </c>
      <c r="G8" s="4">
        <f t="shared" si="4"/>
        <v>5000000</v>
      </c>
      <c r="H8" s="4"/>
      <c r="I8" s="4">
        <v>45375</v>
      </c>
      <c r="J8" s="4"/>
      <c r="K8" s="4"/>
      <c r="L8" s="4"/>
      <c r="M8" s="4">
        <f>+G8+H8+J8+K8+L8+I8</f>
        <v>5045375</v>
      </c>
      <c r="N8" s="4">
        <f>+E8*4%</f>
        <v>200000</v>
      </c>
      <c r="O8" s="4">
        <f>+E8*5%</f>
        <v>250000</v>
      </c>
      <c r="P8" s="4"/>
      <c r="Q8" s="4"/>
      <c r="R8" s="7">
        <v>21409</v>
      </c>
      <c r="S8" s="4">
        <v>500000</v>
      </c>
      <c r="T8" s="4">
        <v>111000</v>
      </c>
      <c r="U8" s="4"/>
      <c r="V8" s="4">
        <f t="shared" si="1"/>
        <v>1082409</v>
      </c>
      <c r="W8" s="5">
        <f>+M8-V8</f>
        <v>3962966</v>
      </c>
      <c r="X8" s="5"/>
      <c r="Y8" s="64"/>
      <c r="Z8" s="5">
        <f t="shared" si="0"/>
        <v>3962966</v>
      </c>
    </row>
    <row r="9" spans="1:26" ht="24.95" customHeight="1" x14ac:dyDescent="0.25">
      <c r="A9" s="65"/>
      <c r="B9" s="2">
        <f t="shared" si="2"/>
        <v>6</v>
      </c>
      <c r="C9" s="1" t="s">
        <v>36</v>
      </c>
      <c r="D9" s="2" t="s">
        <v>31</v>
      </c>
      <c r="E9" s="4">
        <v>5300000</v>
      </c>
      <c r="F9" s="3">
        <v>30</v>
      </c>
      <c r="G9" s="4">
        <f>+E9-L9</f>
        <v>2826667</v>
      </c>
      <c r="H9" s="4"/>
      <c r="I9" s="4"/>
      <c r="J9" s="4"/>
      <c r="K9" s="4">
        <v>2012670</v>
      </c>
      <c r="L9" s="4">
        <v>2473333</v>
      </c>
      <c r="M9" s="4">
        <f>+G9+H9+J9+K9+L9+I9</f>
        <v>7312670</v>
      </c>
      <c r="N9" s="4">
        <f>+E9*4%</f>
        <v>212000</v>
      </c>
      <c r="O9" s="4">
        <f>+E9*5%</f>
        <v>265000</v>
      </c>
      <c r="P9" s="4"/>
      <c r="Q9" s="4"/>
      <c r="R9" s="4">
        <v>50000</v>
      </c>
      <c r="S9" s="4">
        <v>700000</v>
      </c>
      <c r="T9" s="4"/>
      <c r="U9" s="4"/>
      <c r="V9" s="4">
        <f t="shared" si="1"/>
        <v>1227000</v>
      </c>
      <c r="W9" s="5">
        <f>+M9-V9</f>
        <v>6085670</v>
      </c>
      <c r="X9" s="5"/>
      <c r="Y9" s="64"/>
      <c r="Z9" s="5">
        <f t="shared" si="0"/>
        <v>6085670</v>
      </c>
    </row>
    <row r="10" spans="1:26" ht="24.95" customHeight="1" x14ac:dyDescent="0.25">
      <c r="A10" s="65"/>
      <c r="B10" s="2">
        <f t="shared" si="2"/>
        <v>7</v>
      </c>
      <c r="C10" s="1" t="s">
        <v>37</v>
      </c>
      <c r="D10" s="2" t="s">
        <v>31</v>
      </c>
      <c r="E10" s="4">
        <v>4770000</v>
      </c>
      <c r="F10" s="3">
        <v>30</v>
      </c>
      <c r="G10" s="4">
        <f t="shared" si="4"/>
        <v>4770000</v>
      </c>
      <c r="H10" s="4"/>
      <c r="I10" s="4">
        <v>48600</v>
      </c>
      <c r="J10" s="4"/>
      <c r="K10" s="4"/>
      <c r="L10" s="4">
        <v>0</v>
      </c>
      <c r="M10" s="4">
        <f>+G10+H10+J10+K10+L10+I10</f>
        <v>4818600</v>
      </c>
      <c r="N10" s="4">
        <f>+E10*4%</f>
        <v>190800</v>
      </c>
      <c r="O10" s="4">
        <f>+E10*5%</f>
        <v>238500</v>
      </c>
      <c r="P10" s="4"/>
      <c r="Q10" s="4"/>
      <c r="R10" s="4">
        <v>0</v>
      </c>
      <c r="S10" s="4"/>
      <c r="T10" s="4"/>
      <c r="U10" s="4">
        <f>945750+420786</f>
        <v>1366536</v>
      </c>
      <c r="V10" s="4">
        <f t="shared" si="1"/>
        <v>1795836</v>
      </c>
      <c r="W10" s="5">
        <f>M10-V10</f>
        <v>3022764</v>
      </c>
      <c r="X10" s="5"/>
      <c r="Y10" s="64"/>
      <c r="Z10" s="5">
        <f t="shared" si="0"/>
        <v>3022764</v>
      </c>
    </row>
    <row r="11" spans="1:26" ht="24.95" customHeight="1" x14ac:dyDescent="0.25">
      <c r="A11" s="65"/>
      <c r="B11" s="2">
        <f t="shared" si="2"/>
        <v>8</v>
      </c>
      <c r="C11" s="1" t="s">
        <v>39</v>
      </c>
      <c r="D11" s="2" t="s">
        <v>31</v>
      </c>
      <c r="E11" s="4">
        <v>4500000</v>
      </c>
      <c r="F11" s="3">
        <v>30</v>
      </c>
      <c r="G11" s="4">
        <f t="shared" si="4"/>
        <v>4500000</v>
      </c>
      <c r="H11" s="4"/>
      <c r="I11" s="4"/>
      <c r="J11" s="4"/>
      <c r="K11" s="4"/>
      <c r="L11" s="4"/>
      <c r="M11" s="4">
        <f>+G11+H11+J11+K11+L11+I11</f>
        <v>4500000</v>
      </c>
      <c r="N11" s="4">
        <f>+E11*4%</f>
        <v>180000</v>
      </c>
      <c r="O11" s="4">
        <f>+E11*5%</f>
        <v>225000</v>
      </c>
      <c r="P11" s="4"/>
      <c r="Q11" s="4"/>
      <c r="R11" s="4">
        <v>0</v>
      </c>
      <c r="S11" s="4"/>
      <c r="T11" s="4"/>
      <c r="U11" s="4"/>
      <c r="V11" s="4">
        <f t="shared" ref="V11:V51" si="5">SUM(N11:U11)</f>
        <v>405000</v>
      </c>
      <c r="W11" s="5">
        <f>M11-V11</f>
        <v>4095000</v>
      </c>
      <c r="X11" s="5"/>
      <c r="Y11" s="64"/>
      <c r="Z11" s="5">
        <f t="shared" si="0"/>
        <v>4095000</v>
      </c>
    </row>
    <row r="12" spans="1:26" ht="24.95" customHeight="1" x14ac:dyDescent="0.25">
      <c r="A12" s="65"/>
      <c r="B12" s="2">
        <f t="shared" si="2"/>
        <v>9</v>
      </c>
      <c r="C12" s="1" t="s">
        <v>40</v>
      </c>
      <c r="D12" s="2" t="s">
        <v>31</v>
      </c>
      <c r="E12" s="4">
        <v>5725000</v>
      </c>
      <c r="F12" s="3">
        <v>30</v>
      </c>
      <c r="G12" s="4">
        <f t="shared" si="4"/>
        <v>5725000</v>
      </c>
      <c r="H12" s="4"/>
      <c r="I12" s="4"/>
      <c r="J12" s="4"/>
      <c r="K12" s="4"/>
      <c r="L12" s="4"/>
      <c r="M12" s="4">
        <f>+G12+H12+J12+K12+L12+I12</f>
        <v>5725000</v>
      </c>
      <c r="N12" s="4">
        <f>+E12*4%</f>
        <v>229000</v>
      </c>
      <c r="O12" s="4">
        <f>+E12*5%</f>
        <v>286250</v>
      </c>
      <c r="P12" s="4"/>
      <c r="Q12" s="4"/>
      <c r="R12" s="4">
        <v>0</v>
      </c>
      <c r="S12" s="4"/>
      <c r="T12" s="4"/>
      <c r="U12" s="4"/>
      <c r="V12" s="4">
        <f t="shared" si="5"/>
        <v>515250</v>
      </c>
      <c r="W12" s="5">
        <f t="shared" ref="W12:W19" si="6">+M12-V12</f>
        <v>5209750</v>
      </c>
      <c r="X12" s="5"/>
      <c r="Y12" s="64"/>
      <c r="Z12" s="5">
        <f t="shared" si="0"/>
        <v>5209750</v>
      </c>
    </row>
    <row r="13" spans="1:26" ht="24.95" customHeight="1" x14ac:dyDescent="0.25">
      <c r="A13" s="65"/>
      <c r="B13" s="2">
        <f t="shared" si="2"/>
        <v>10</v>
      </c>
      <c r="C13" s="1" t="s">
        <v>41</v>
      </c>
      <c r="D13" s="2" t="s">
        <v>31</v>
      </c>
      <c r="E13" s="4">
        <v>4500000</v>
      </c>
      <c r="F13" s="3">
        <v>30</v>
      </c>
      <c r="G13" s="4">
        <f t="shared" si="4"/>
        <v>4500000</v>
      </c>
      <c r="H13" s="4"/>
      <c r="I13" s="4"/>
      <c r="J13" s="4"/>
      <c r="K13" s="4"/>
      <c r="L13" s="4"/>
      <c r="M13" s="4">
        <f>+G13+H13+J13+K13+L13+I13</f>
        <v>4500000</v>
      </c>
      <c r="N13" s="4">
        <f>+E13*4%</f>
        <v>180000</v>
      </c>
      <c r="O13" s="4">
        <f>+G13*5%</f>
        <v>225000</v>
      </c>
      <c r="P13" s="4"/>
      <c r="Q13" s="4"/>
      <c r="R13" s="7">
        <v>0</v>
      </c>
      <c r="S13" s="4"/>
      <c r="T13" s="4"/>
      <c r="U13" s="4"/>
      <c r="V13" s="4">
        <f t="shared" si="5"/>
        <v>405000</v>
      </c>
      <c r="W13" s="5">
        <f t="shared" si="6"/>
        <v>4095000</v>
      </c>
      <c r="X13" s="5"/>
      <c r="Y13" s="64"/>
      <c r="Z13" s="5">
        <f t="shared" si="0"/>
        <v>4095000</v>
      </c>
    </row>
    <row r="14" spans="1:26" ht="24.95" customHeight="1" x14ac:dyDescent="0.25">
      <c r="A14" s="65"/>
      <c r="B14" s="2">
        <f t="shared" si="2"/>
        <v>11</v>
      </c>
      <c r="C14" s="9" t="s">
        <v>42</v>
      </c>
      <c r="D14" s="8" t="s">
        <v>31</v>
      </c>
      <c r="E14" s="4">
        <v>4500000</v>
      </c>
      <c r="F14" s="3">
        <v>30</v>
      </c>
      <c r="G14" s="4">
        <f t="shared" si="4"/>
        <v>4500000</v>
      </c>
      <c r="H14" s="4"/>
      <c r="I14" s="4"/>
      <c r="J14" s="4"/>
      <c r="K14" s="4"/>
      <c r="L14" s="4"/>
      <c r="M14" s="4">
        <f>+G14+H14+J14+K14+L14+I14</f>
        <v>4500000</v>
      </c>
      <c r="N14" s="4">
        <f>+E14*4%</f>
        <v>180000</v>
      </c>
      <c r="O14" s="4">
        <f>+E14*0.05</f>
        <v>225000</v>
      </c>
      <c r="P14" s="4"/>
      <c r="Q14" s="4"/>
      <c r="R14" s="4">
        <v>0</v>
      </c>
      <c r="S14" s="4"/>
      <c r="T14" s="4"/>
      <c r="U14" s="4"/>
      <c r="V14" s="4">
        <f t="shared" si="5"/>
        <v>405000</v>
      </c>
      <c r="W14" s="5">
        <f t="shared" si="6"/>
        <v>4095000</v>
      </c>
      <c r="X14" s="5"/>
      <c r="Y14" s="64"/>
      <c r="Z14" s="5">
        <f t="shared" si="0"/>
        <v>4095000</v>
      </c>
    </row>
    <row r="15" spans="1:26" ht="24.95" customHeight="1" x14ac:dyDescent="0.25">
      <c r="A15" s="65"/>
      <c r="B15" s="2">
        <f t="shared" si="2"/>
        <v>12</v>
      </c>
      <c r="C15" s="9" t="s">
        <v>43</v>
      </c>
      <c r="D15" s="8" t="s">
        <v>31</v>
      </c>
      <c r="E15" s="4">
        <v>4685000</v>
      </c>
      <c r="F15" s="3">
        <v>30</v>
      </c>
      <c r="G15" s="4"/>
      <c r="H15" s="4"/>
      <c r="I15" s="4"/>
      <c r="J15" s="4"/>
      <c r="K15" s="4">
        <v>838529</v>
      </c>
      <c r="L15" s="4"/>
      <c r="M15" s="4">
        <f>+G15+H15+J15+K15+L15+I15</f>
        <v>838529</v>
      </c>
      <c r="N15" s="4">
        <f>+E15*4%</f>
        <v>187400</v>
      </c>
      <c r="O15" s="4">
        <f>+E15*5%</f>
        <v>234250</v>
      </c>
      <c r="P15" s="4"/>
      <c r="Q15" s="4"/>
      <c r="R15" s="4">
        <v>11000</v>
      </c>
      <c r="S15" s="4"/>
      <c r="T15" s="4"/>
      <c r="U15" s="4">
        <v>0</v>
      </c>
      <c r="V15" s="4">
        <f t="shared" si="5"/>
        <v>432650</v>
      </c>
      <c r="W15" s="5">
        <f t="shared" si="6"/>
        <v>405879</v>
      </c>
      <c r="X15" s="5"/>
      <c r="Y15" s="64"/>
      <c r="Z15" s="5">
        <f t="shared" si="0"/>
        <v>405879</v>
      </c>
    </row>
    <row r="16" spans="1:26" ht="24.95" customHeight="1" x14ac:dyDescent="0.25">
      <c r="A16" s="65"/>
      <c r="B16" s="2">
        <f t="shared" si="2"/>
        <v>13</v>
      </c>
      <c r="C16" s="9" t="s">
        <v>44</v>
      </c>
      <c r="D16" s="8" t="s">
        <v>45</v>
      </c>
      <c r="E16" s="4">
        <v>4000000</v>
      </c>
      <c r="F16" s="3">
        <v>30</v>
      </c>
      <c r="G16" s="4">
        <f t="shared" si="4"/>
        <v>4000000.0000000005</v>
      </c>
      <c r="H16" s="4"/>
      <c r="I16" s="4"/>
      <c r="J16" s="4"/>
      <c r="K16" s="4"/>
      <c r="L16" s="4">
        <f>+E16-G16</f>
        <v>0</v>
      </c>
      <c r="M16" s="4">
        <f>+G16+H16+J16+K16+L16+I16</f>
        <v>4000000.0000000005</v>
      </c>
      <c r="N16" s="4">
        <f>+E16*0.04</f>
        <v>160000</v>
      </c>
      <c r="O16" s="4">
        <f>+E16*0.05</f>
        <v>200000</v>
      </c>
      <c r="P16" s="4"/>
      <c r="Q16" s="4"/>
      <c r="R16" s="4"/>
      <c r="S16" s="4"/>
      <c r="T16" s="4"/>
      <c r="U16" s="4"/>
      <c r="V16" s="4">
        <f t="shared" si="5"/>
        <v>360000</v>
      </c>
      <c r="W16" s="5">
        <f t="shared" si="6"/>
        <v>3640000.0000000005</v>
      </c>
      <c r="X16" s="5"/>
      <c r="Y16" s="64"/>
      <c r="Z16" s="5">
        <f t="shared" si="0"/>
        <v>3640000.0000000005</v>
      </c>
    </row>
    <row r="17" spans="1:26" ht="24.95" customHeight="1" x14ac:dyDescent="0.25">
      <c r="A17" s="65"/>
      <c r="B17" s="2">
        <f t="shared" si="2"/>
        <v>14</v>
      </c>
      <c r="C17" s="9" t="s">
        <v>46</v>
      </c>
      <c r="D17" s="8"/>
      <c r="E17" s="4">
        <v>5500000</v>
      </c>
      <c r="F17" s="3">
        <v>30</v>
      </c>
      <c r="G17" s="4">
        <f t="shared" si="4"/>
        <v>5500000</v>
      </c>
      <c r="H17" s="4"/>
      <c r="I17" s="4"/>
      <c r="J17" s="4"/>
      <c r="K17" s="4"/>
      <c r="L17" s="4"/>
      <c r="M17" s="4">
        <f>+G17+H17+J17+K17+L17+I17</f>
        <v>5500000</v>
      </c>
      <c r="N17" s="4">
        <f>+E17*0.04</f>
        <v>220000</v>
      </c>
      <c r="O17" s="4">
        <f>+E17*0.05</f>
        <v>275000</v>
      </c>
      <c r="P17" s="4"/>
      <c r="Q17" s="4"/>
      <c r="R17" s="4">
        <v>83397</v>
      </c>
      <c r="S17" s="4"/>
      <c r="T17" s="4"/>
      <c r="U17" s="4"/>
      <c r="V17" s="4">
        <f t="shared" si="5"/>
        <v>578397</v>
      </c>
      <c r="W17" s="5">
        <f t="shared" si="6"/>
        <v>4921603</v>
      </c>
      <c r="X17" s="5"/>
      <c r="Y17" s="64"/>
      <c r="Z17" s="5">
        <f t="shared" si="0"/>
        <v>4921603</v>
      </c>
    </row>
    <row r="18" spans="1:26" ht="24.95" customHeight="1" x14ac:dyDescent="0.25">
      <c r="A18" s="65"/>
      <c r="B18" s="2">
        <f t="shared" si="2"/>
        <v>15</v>
      </c>
      <c r="C18" s="9" t="s">
        <v>47</v>
      </c>
      <c r="D18" s="8" t="s">
        <v>45</v>
      </c>
      <c r="E18" s="4">
        <v>5200000</v>
      </c>
      <c r="F18" s="3">
        <v>30</v>
      </c>
      <c r="G18" s="4">
        <f t="shared" si="4"/>
        <v>5200000</v>
      </c>
      <c r="H18" s="4"/>
      <c r="I18" s="4"/>
      <c r="J18" s="4"/>
      <c r="K18" s="4"/>
      <c r="L18" s="4">
        <v>0</v>
      </c>
      <c r="M18" s="4">
        <f>+G18+H18+J18+K18+L18+I18</f>
        <v>5200000</v>
      </c>
      <c r="N18" s="4">
        <f>+E18*4%</f>
        <v>208000</v>
      </c>
      <c r="O18" s="4">
        <f>+E18*5%</f>
        <v>260000</v>
      </c>
      <c r="P18" s="4"/>
      <c r="Q18" s="4"/>
      <c r="R18" s="4">
        <v>46204</v>
      </c>
      <c r="S18" s="4"/>
      <c r="T18" s="4"/>
      <c r="U18" s="4"/>
      <c r="V18" s="4">
        <f t="shared" si="5"/>
        <v>514204</v>
      </c>
      <c r="W18" s="5">
        <f t="shared" si="6"/>
        <v>4685796</v>
      </c>
      <c r="X18" s="5"/>
      <c r="Y18" s="64"/>
      <c r="Z18" s="5">
        <f t="shared" si="0"/>
        <v>4685796</v>
      </c>
    </row>
    <row r="19" spans="1:26" ht="24.95" customHeight="1" x14ac:dyDescent="0.25">
      <c r="A19" s="65"/>
      <c r="B19" s="2">
        <f t="shared" si="2"/>
        <v>16</v>
      </c>
      <c r="C19" s="1" t="s">
        <v>48</v>
      </c>
      <c r="D19" s="2" t="s">
        <v>31</v>
      </c>
      <c r="E19" s="4">
        <v>5500000</v>
      </c>
      <c r="F19" s="3">
        <v>30</v>
      </c>
      <c r="G19" s="4">
        <f t="shared" si="4"/>
        <v>5500000</v>
      </c>
      <c r="H19" s="4"/>
      <c r="I19" s="4"/>
      <c r="J19" s="4"/>
      <c r="K19" s="4">
        <v>450000</v>
      </c>
      <c r="L19" s="4"/>
      <c r="M19" s="4">
        <f>+G19+H19+J19+K19+L19+I19</f>
        <v>5950000</v>
      </c>
      <c r="N19" s="4">
        <f>+E19*4%</f>
        <v>220000</v>
      </c>
      <c r="O19" s="4">
        <f>+E19*5%</f>
        <v>275000</v>
      </c>
      <c r="P19" s="4"/>
      <c r="Q19" s="4"/>
      <c r="R19" s="7">
        <v>150521</v>
      </c>
      <c r="S19" s="4">
        <v>1365000</v>
      </c>
      <c r="T19" s="4"/>
      <c r="U19" s="4"/>
      <c r="V19" s="4">
        <f t="shared" si="5"/>
        <v>2010521</v>
      </c>
      <c r="W19" s="5">
        <f t="shared" si="6"/>
        <v>3939479</v>
      </c>
      <c r="X19" s="5"/>
      <c r="Y19" s="64"/>
      <c r="Z19" s="5">
        <f t="shared" si="0"/>
        <v>3939479</v>
      </c>
    </row>
    <row r="20" spans="1:26" ht="24.95" customHeight="1" x14ac:dyDescent="0.25">
      <c r="A20" s="65"/>
      <c r="B20" s="2">
        <f t="shared" si="2"/>
        <v>17</v>
      </c>
      <c r="C20" s="1" t="s">
        <v>49</v>
      </c>
      <c r="D20" s="2" t="s">
        <v>31</v>
      </c>
      <c r="E20" s="4">
        <v>5350000</v>
      </c>
      <c r="F20" s="3">
        <v>30</v>
      </c>
      <c r="G20" s="4">
        <f t="shared" si="4"/>
        <v>5350000</v>
      </c>
      <c r="H20" s="4"/>
      <c r="I20" s="4"/>
      <c r="J20" s="4"/>
      <c r="K20" s="4">
        <v>1000000</v>
      </c>
      <c r="L20" s="4"/>
      <c r="M20" s="4">
        <f>+G20+H20+J20+K20+L20+I20</f>
        <v>6350000</v>
      </c>
      <c r="N20" s="4">
        <f>+E20*4%</f>
        <v>214000</v>
      </c>
      <c r="O20" s="4">
        <f>+E20*0.05</f>
        <v>267500</v>
      </c>
      <c r="P20" s="4"/>
      <c r="Q20" s="4"/>
      <c r="R20" s="7">
        <v>116813</v>
      </c>
      <c r="S20" s="4"/>
      <c r="T20" s="4"/>
      <c r="U20" s="4">
        <v>810005</v>
      </c>
      <c r="V20" s="4">
        <f t="shared" si="5"/>
        <v>1408318</v>
      </c>
      <c r="W20" s="5">
        <f>M20-V20</f>
        <v>4941682</v>
      </c>
      <c r="X20" s="5"/>
      <c r="Y20" s="64"/>
      <c r="Z20" s="5">
        <f t="shared" si="0"/>
        <v>4941682</v>
      </c>
    </row>
    <row r="21" spans="1:26" ht="24.95" customHeight="1" x14ac:dyDescent="0.25">
      <c r="A21" s="65"/>
      <c r="B21" s="2">
        <f t="shared" si="2"/>
        <v>18</v>
      </c>
      <c r="C21" s="1" t="s">
        <v>50</v>
      </c>
      <c r="D21" s="2" t="s">
        <v>31</v>
      </c>
      <c r="E21" s="4">
        <v>7000000</v>
      </c>
      <c r="F21" s="3">
        <v>30</v>
      </c>
      <c r="G21" s="4">
        <f t="shared" si="4"/>
        <v>7000000</v>
      </c>
      <c r="H21" s="4"/>
      <c r="I21" s="4"/>
      <c r="J21" s="4"/>
      <c r="K21" s="4"/>
      <c r="L21" s="4">
        <v>9504688</v>
      </c>
      <c r="M21" s="4">
        <f>+G21+H21+J21+K21+L21+I21</f>
        <v>16504688</v>
      </c>
      <c r="N21" s="4">
        <f>+M21*4%</f>
        <v>660187.52</v>
      </c>
      <c r="O21" s="4">
        <v>825235</v>
      </c>
      <c r="P21" s="4"/>
      <c r="Q21" s="4"/>
      <c r="R21" s="7">
        <v>469359</v>
      </c>
      <c r="S21" s="4"/>
      <c r="T21" s="4"/>
      <c r="U21" s="4"/>
      <c r="V21" s="4">
        <f t="shared" si="5"/>
        <v>1954781.52</v>
      </c>
      <c r="W21" s="5">
        <f>M21-V21</f>
        <v>14549906.48</v>
      </c>
      <c r="X21" s="5"/>
      <c r="Y21" s="64"/>
      <c r="Z21" s="5">
        <f t="shared" si="0"/>
        <v>14549906.48</v>
      </c>
    </row>
    <row r="22" spans="1:26" ht="24.95" customHeight="1" x14ac:dyDescent="0.25">
      <c r="A22" s="65"/>
      <c r="B22" s="2">
        <f t="shared" si="2"/>
        <v>19</v>
      </c>
      <c r="C22" s="1" t="s">
        <v>51</v>
      </c>
      <c r="D22" s="2" t="s">
        <v>31</v>
      </c>
      <c r="E22" s="4">
        <v>6900000</v>
      </c>
      <c r="F22" s="3">
        <v>30</v>
      </c>
      <c r="G22" s="4">
        <f t="shared" si="4"/>
        <v>6900000</v>
      </c>
      <c r="H22" s="4"/>
      <c r="I22" s="4"/>
      <c r="J22" s="4"/>
      <c r="K22" s="4">
        <v>1400000</v>
      </c>
      <c r="L22" s="10"/>
      <c r="M22" s="4">
        <f>+G22+H22+J22+K22+L22+I22</f>
        <v>8300000</v>
      </c>
      <c r="N22" s="4">
        <f>+E22*4%</f>
        <v>276000</v>
      </c>
      <c r="O22" s="4">
        <f>+E22*5%</f>
        <v>345000</v>
      </c>
      <c r="P22" s="4"/>
      <c r="Q22" s="4"/>
      <c r="R22" s="7">
        <v>113000</v>
      </c>
      <c r="S22" s="4">
        <v>1300000</v>
      </c>
      <c r="T22" s="4"/>
      <c r="U22" s="4"/>
      <c r="V22" s="4">
        <f t="shared" si="5"/>
        <v>2034000</v>
      </c>
      <c r="W22" s="5">
        <f>M22-V22</f>
        <v>6266000</v>
      </c>
      <c r="X22" s="5"/>
      <c r="Y22" s="64"/>
      <c r="Z22" s="5">
        <f t="shared" si="0"/>
        <v>6266000</v>
      </c>
    </row>
    <row r="23" spans="1:26" ht="24.95" customHeight="1" x14ac:dyDescent="0.25">
      <c r="A23" s="65"/>
      <c r="B23" s="2">
        <f t="shared" si="2"/>
        <v>20</v>
      </c>
      <c r="C23" s="1" t="s">
        <v>52</v>
      </c>
      <c r="D23" s="2"/>
      <c r="E23" s="4">
        <v>4000000</v>
      </c>
      <c r="F23" s="3">
        <v>30</v>
      </c>
      <c r="G23" s="4">
        <f t="shared" si="4"/>
        <v>4000000.0000000005</v>
      </c>
      <c r="H23" s="4"/>
      <c r="I23" s="4"/>
      <c r="J23" s="4"/>
      <c r="K23" s="4"/>
      <c r="L23" s="4"/>
      <c r="M23" s="4">
        <f>+G23+H23+J23+K23+L23+I23</f>
        <v>4000000.0000000005</v>
      </c>
      <c r="N23" s="4">
        <f>E23*4/100</f>
        <v>160000</v>
      </c>
      <c r="O23" s="4">
        <f>+E23*0.05</f>
        <v>200000</v>
      </c>
      <c r="P23" s="4"/>
      <c r="Q23" s="4"/>
      <c r="R23" s="4"/>
      <c r="S23" s="4"/>
      <c r="T23" s="4"/>
      <c r="U23" s="4"/>
      <c r="V23" s="4">
        <f t="shared" si="5"/>
        <v>360000</v>
      </c>
      <c r="W23" s="5">
        <f t="shared" ref="W23:W28" si="7">+M23-V23</f>
        <v>3640000.0000000005</v>
      </c>
      <c r="X23" s="5"/>
      <c r="Y23" s="64"/>
      <c r="Z23" s="5">
        <f t="shared" si="0"/>
        <v>3640000.0000000005</v>
      </c>
    </row>
    <row r="24" spans="1:26" ht="24.95" customHeight="1" x14ac:dyDescent="0.25">
      <c r="A24" s="65"/>
      <c r="B24" s="2">
        <f t="shared" si="2"/>
        <v>21</v>
      </c>
      <c r="C24" s="1" t="s">
        <v>53</v>
      </c>
      <c r="D24" s="2" t="s">
        <v>31</v>
      </c>
      <c r="E24" s="4">
        <v>5300000</v>
      </c>
      <c r="F24" s="3">
        <v>30</v>
      </c>
      <c r="G24" s="4">
        <f t="shared" si="4"/>
        <v>5300000</v>
      </c>
      <c r="H24" s="4"/>
      <c r="I24" s="4"/>
      <c r="J24" s="4"/>
      <c r="K24" s="4">
        <v>1621317</v>
      </c>
      <c r="L24" s="4"/>
      <c r="M24" s="4">
        <f>+G24+H24+J24+K24+L24+I24</f>
        <v>6921317</v>
      </c>
      <c r="N24" s="4">
        <f>E24*4/100</f>
        <v>212000</v>
      </c>
      <c r="O24" s="4">
        <f>+E24*0.05</f>
        <v>265000</v>
      </c>
      <c r="P24" s="4"/>
      <c r="Q24" s="4"/>
      <c r="R24" s="7">
        <v>100000</v>
      </c>
      <c r="S24" s="4"/>
      <c r="T24" s="4"/>
      <c r="U24" s="4">
        <f>884747</f>
        <v>884747</v>
      </c>
      <c r="V24" s="4">
        <f t="shared" si="5"/>
        <v>1461747</v>
      </c>
      <c r="W24" s="5">
        <f t="shared" si="7"/>
        <v>5459570</v>
      </c>
      <c r="X24" s="5"/>
      <c r="Y24" s="64"/>
      <c r="Z24" s="5">
        <f t="shared" si="0"/>
        <v>5459570</v>
      </c>
    </row>
    <row r="25" spans="1:26" ht="24.95" customHeight="1" x14ac:dyDescent="0.25">
      <c r="A25" s="65"/>
      <c r="B25" s="2">
        <f t="shared" si="2"/>
        <v>22</v>
      </c>
      <c r="C25" s="1" t="s">
        <v>54</v>
      </c>
      <c r="D25" s="2" t="s">
        <v>31</v>
      </c>
      <c r="E25" s="4">
        <v>4800000</v>
      </c>
      <c r="F25" s="3">
        <v>30</v>
      </c>
      <c r="G25" s="4">
        <f>+E25-L25</f>
        <v>4160000</v>
      </c>
      <c r="H25" s="4"/>
      <c r="I25" s="4"/>
      <c r="J25" s="4"/>
      <c r="K25" s="4">
        <v>92925</v>
      </c>
      <c r="L25" s="4">
        <v>640000</v>
      </c>
      <c r="M25" s="4">
        <f>+G25+H25+J25+K25+L25+I25</f>
        <v>4892925</v>
      </c>
      <c r="N25" s="4">
        <f>E25*4/100</f>
        <v>192000</v>
      </c>
      <c r="O25" s="4">
        <f>+E25*0.05</f>
        <v>240000</v>
      </c>
      <c r="P25" s="4"/>
      <c r="Q25" s="4"/>
      <c r="R25" s="7">
        <v>0</v>
      </c>
      <c r="S25" s="4"/>
      <c r="T25" s="4"/>
      <c r="U25" s="4"/>
      <c r="V25" s="4">
        <f t="shared" si="5"/>
        <v>432000</v>
      </c>
      <c r="W25" s="5">
        <f t="shared" si="7"/>
        <v>4460925</v>
      </c>
      <c r="X25" s="5"/>
      <c r="Y25" s="64"/>
      <c r="Z25" s="5">
        <f t="shared" si="0"/>
        <v>4460925</v>
      </c>
    </row>
    <row r="26" spans="1:26" ht="24.95" customHeight="1" x14ac:dyDescent="0.25">
      <c r="A26" s="65"/>
      <c r="B26" s="2">
        <f t="shared" si="2"/>
        <v>23</v>
      </c>
      <c r="C26" s="1" t="s">
        <v>55</v>
      </c>
      <c r="D26" s="2" t="s">
        <v>31</v>
      </c>
      <c r="E26" s="4">
        <v>5500000</v>
      </c>
      <c r="F26" s="3">
        <v>30</v>
      </c>
      <c r="G26" s="4">
        <f t="shared" si="4"/>
        <v>5500000</v>
      </c>
      <c r="H26" s="4"/>
      <c r="I26" s="4"/>
      <c r="J26" s="4"/>
      <c r="K26" s="4"/>
      <c r="L26" s="4"/>
      <c r="M26" s="4">
        <f>+G26+H26+J26+K26+L26+I26</f>
        <v>5500000</v>
      </c>
      <c r="N26" s="4">
        <f>E26*4/100</f>
        <v>220000</v>
      </c>
      <c r="O26" s="4">
        <f>+E26*0.05</f>
        <v>275000</v>
      </c>
      <c r="P26" s="4"/>
      <c r="Q26" s="4"/>
      <c r="R26" s="4">
        <v>5022</v>
      </c>
      <c r="S26" s="4"/>
      <c r="T26" s="4"/>
      <c r="U26" s="4"/>
      <c r="V26" s="4">
        <f t="shared" si="5"/>
        <v>500022</v>
      </c>
      <c r="W26" s="5">
        <f t="shared" si="7"/>
        <v>4999978</v>
      </c>
      <c r="X26" s="5"/>
      <c r="Y26" s="64"/>
      <c r="Z26" s="5">
        <f t="shared" si="0"/>
        <v>4999978</v>
      </c>
    </row>
    <row r="27" spans="1:26" ht="24.95" customHeight="1" x14ac:dyDescent="0.25">
      <c r="A27" s="65"/>
      <c r="B27" s="2">
        <f t="shared" si="2"/>
        <v>24</v>
      </c>
      <c r="C27" s="1" t="s">
        <v>56</v>
      </c>
      <c r="D27" s="2" t="s">
        <v>31</v>
      </c>
      <c r="E27" s="4">
        <v>5500000</v>
      </c>
      <c r="F27" s="3">
        <v>30</v>
      </c>
      <c r="G27" s="4">
        <f t="shared" si="4"/>
        <v>5500000</v>
      </c>
      <c r="H27" s="4"/>
      <c r="I27" s="4"/>
      <c r="J27" s="4"/>
      <c r="K27" s="4"/>
      <c r="L27" s="4"/>
      <c r="M27" s="4">
        <f>+G27+H27+J27+K27+L27+I27</f>
        <v>5500000</v>
      </c>
      <c r="N27" s="4">
        <f>E27*4/100</f>
        <v>220000</v>
      </c>
      <c r="O27" s="4">
        <f>+E27*0.05</f>
        <v>275000</v>
      </c>
      <c r="P27" s="4"/>
      <c r="Q27" s="4"/>
      <c r="R27" s="7">
        <v>141000</v>
      </c>
      <c r="S27" s="4"/>
      <c r="T27" s="4"/>
      <c r="U27" s="4"/>
      <c r="V27" s="4">
        <f t="shared" si="5"/>
        <v>636000</v>
      </c>
      <c r="W27" s="5">
        <f t="shared" si="7"/>
        <v>4864000</v>
      </c>
      <c r="X27" s="5"/>
      <c r="Y27" s="64"/>
      <c r="Z27" s="5">
        <f t="shared" si="0"/>
        <v>4864000</v>
      </c>
    </row>
    <row r="28" spans="1:26" ht="24.95" customHeight="1" x14ac:dyDescent="0.25">
      <c r="A28" s="65"/>
      <c r="B28" s="2">
        <f t="shared" si="2"/>
        <v>25</v>
      </c>
      <c r="C28" s="1" t="s">
        <v>57</v>
      </c>
      <c r="D28" s="2"/>
      <c r="E28" s="4">
        <v>6600000</v>
      </c>
      <c r="F28" s="3">
        <v>30</v>
      </c>
      <c r="G28" s="4">
        <f t="shared" si="4"/>
        <v>6600000</v>
      </c>
      <c r="H28" s="4"/>
      <c r="I28" s="4"/>
      <c r="J28" s="4"/>
      <c r="K28" s="4"/>
      <c r="L28" s="4"/>
      <c r="M28" s="4">
        <f>+G28+H28+J28+K28+L28+I28</f>
        <v>6600000</v>
      </c>
      <c r="N28" s="4">
        <f>E28*4/100</f>
        <v>264000</v>
      </c>
      <c r="O28" s="4">
        <f>+E28*0.05</f>
        <v>330000</v>
      </c>
      <c r="P28" s="4"/>
      <c r="Q28" s="4"/>
      <c r="R28" s="7">
        <v>86000</v>
      </c>
      <c r="S28" s="4"/>
      <c r="T28" s="4"/>
      <c r="U28" s="4"/>
      <c r="V28" s="4">
        <f t="shared" si="5"/>
        <v>680000</v>
      </c>
      <c r="W28" s="5">
        <f t="shared" si="7"/>
        <v>5920000</v>
      </c>
      <c r="X28" s="5"/>
      <c r="Y28" s="64"/>
      <c r="Z28" s="5">
        <f t="shared" si="0"/>
        <v>5920000</v>
      </c>
    </row>
    <row r="29" spans="1:26" ht="24.95" customHeight="1" x14ac:dyDescent="0.25">
      <c r="A29" s="65"/>
      <c r="B29" s="2">
        <f t="shared" si="2"/>
        <v>26</v>
      </c>
      <c r="C29" s="1" t="s">
        <v>59</v>
      </c>
      <c r="D29" s="2" t="s">
        <v>31</v>
      </c>
      <c r="E29" s="4">
        <v>6600000</v>
      </c>
      <c r="F29" s="3">
        <v>30</v>
      </c>
      <c r="G29" s="4">
        <f t="shared" si="4"/>
        <v>6600000</v>
      </c>
      <c r="H29" s="4"/>
      <c r="I29" s="4"/>
      <c r="J29" s="4"/>
      <c r="K29" s="4"/>
      <c r="L29" s="10"/>
      <c r="M29" s="4">
        <f>+G29+H29+J29+K29+L29+I29</f>
        <v>6600000</v>
      </c>
      <c r="N29" s="4">
        <f>E29*4/100</f>
        <v>264000</v>
      </c>
      <c r="O29" s="4">
        <f>+E29*0.05</f>
        <v>330000</v>
      </c>
      <c r="P29" s="4"/>
      <c r="Q29" s="4"/>
      <c r="R29" s="7">
        <v>86000</v>
      </c>
      <c r="S29" s="4"/>
      <c r="T29" s="4"/>
      <c r="U29" s="4"/>
      <c r="V29" s="4">
        <f t="shared" si="5"/>
        <v>680000</v>
      </c>
      <c r="W29" s="5">
        <f>M29-V29</f>
        <v>5920000</v>
      </c>
      <c r="X29" s="5"/>
      <c r="Y29" s="64"/>
      <c r="Z29" s="5">
        <f t="shared" si="0"/>
        <v>5920000</v>
      </c>
    </row>
    <row r="30" spans="1:26" ht="24.95" customHeight="1" x14ac:dyDescent="0.25">
      <c r="A30" s="65"/>
      <c r="B30" s="2">
        <f t="shared" si="2"/>
        <v>27</v>
      </c>
      <c r="C30" s="1" t="s">
        <v>60</v>
      </c>
      <c r="D30" s="2"/>
      <c r="E30" s="4">
        <v>7000000</v>
      </c>
      <c r="F30" s="3">
        <v>30</v>
      </c>
      <c r="G30" s="4">
        <f t="shared" si="4"/>
        <v>7000000</v>
      </c>
      <c r="H30" s="4"/>
      <c r="I30" s="4"/>
      <c r="J30" s="4"/>
      <c r="K30" s="4"/>
      <c r="L30" s="11"/>
      <c r="M30" s="4">
        <f>+G30+H30+J30+K30+L30+I30</f>
        <v>7000000</v>
      </c>
      <c r="N30" s="4">
        <f>E30*4/100</f>
        <v>280000</v>
      </c>
      <c r="O30" s="4">
        <f>+E30*0.05</f>
        <v>350000</v>
      </c>
      <c r="P30" s="4"/>
      <c r="Q30" s="4"/>
      <c r="R30" s="7">
        <v>86000</v>
      </c>
      <c r="S30" s="4"/>
      <c r="T30" s="4"/>
      <c r="U30" s="4"/>
      <c r="V30" s="4">
        <f t="shared" si="5"/>
        <v>716000</v>
      </c>
      <c r="W30" s="5">
        <f>M30-V30</f>
        <v>6284000</v>
      </c>
      <c r="X30" s="5"/>
      <c r="Y30" s="64"/>
      <c r="Z30" s="5">
        <f t="shared" si="0"/>
        <v>6284000</v>
      </c>
    </row>
    <row r="31" spans="1:26" ht="24.95" customHeight="1" x14ac:dyDescent="0.25">
      <c r="A31" s="65"/>
      <c r="B31" s="2">
        <f t="shared" si="2"/>
        <v>28</v>
      </c>
      <c r="C31" s="1" t="s">
        <v>61</v>
      </c>
      <c r="D31" s="2" t="s">
        <v>31</v>
      </c>
      <c r="E31" s="4">
        <v>3500000</v>
      </c>
      <c r="F31" s="3">
        <v>30</v>
      </c>
      <c r="G31" s="4">
        <f t="shared" si="4"/>
        <v>3500000</v>
      </c>
      <c r="H31" s="4"/>
      <c r="I31" s="4"/>
      <c r="J31" s="4"/>
      <c r="K31" s="4"/>
      <c r="L31" s="4"/>
      <c r="M31" s="4">
        <f>+G31+H31+J31+K31+L31+I31</f>
        <v>3500000</v>
      </c>
      <c r="N31" s="4">
        <f>E31*4/100</f>
        <v>140000</v>
      </c>
      <c r="O31" s="4">
        <f>+E31*0.05</f>
        <v>175000</v>
      </c>
      <c r="P31" s="4"/>
      <c r="Q31" s="4"/>
      <c r="R31" s="7">
        <v>0</v>
      </c>
      <c r="S31" s="4"/>
      <c r="T31" s="4">
        <v>111000</v>
      </c>
      <c r="U31" s="4"/>
      <c r="V31" s="4">
        <f t="shared" si="5"/>
        <v>426000</v>
      </c>
      <c r="W31" s="5">
        <f>M31-V31</f>
        <v>3074000</v>
      </c>
      <c r="X31" s="5"/>
      <c r="Y31" s="64"/>
      <c r="Z31" s="5">
        <f t="shared" si="0"/>
        <v>3074000</v>
      </c>
    </row>
    <row r="32" spans="1:26" ht="24.95" customHeight="1" x14ac:dyDescent="0.25">
      <c r="A32" s="65"/>
      <c r="B32" s="2">
        <f t="shared" si="2"/>
        <v>29</v>
      </c>
      <c r="C32" s="1" t="s">
        <v>62</v>
      </c>
      <c r="D32" s="2" t="s">
        <v>31</v>
      </c>
      <c r="E32" s="4">
        <v>5088000</v>
      </c>
      <c r="F32" s="3">
        <v>30</v>
      </c>
      <c r="G32" s="4">
        <f t="shared" si="4"/>
        <v>5088000</v>
      </c>
      <c r="H32" s="4"/>
      <c r="I32" s="4">
        <v>51839</v>
      </c>
      <c r="J32" s="4"/>
      <c r="K32" s="4"/>
      <c r="L32" s="4"/>
      <c r="M32" s="4">
        <f>+G32+H32+J32+K32+L32+I32</f>
        <v>5139839</v>
      </c>
      <c r="N32" s="4">
        <f>E32*4/100</f>
        <v>203520</v>
      </c>
      <c r="O32" s="4">
        <f>+E32*0.05</f>
        <v>254400</v>
      </c>
      <c r="P32" s="4"/>
      <c r="Q32" s="4"/>
      <c r="R32" s="4">
        <v>0</v>
      </c>
      <c r="S32" s="4">
        <f>1150000</f>
        <v>1150000</v>
      </c>
      <c r="T32" s="4"/>
      <c r="U32" s="4">
        <f>209579</f>
        <v>209579</v>
      </c>
      <c r="V32" s="4">
        <f t="shared" si="5"/>
        <v>1817499</v>
      </c>
      <c r="W32" s="5">
        <f>M32-V32</f>
        <v>3322340</v>
      </c>
      <c r="X32" s="5"/>
      <c r="Y32" s="64"/>
      <c r="Z32" s="5">
        <f t="shared" si="0"/>
        <v>3322340</v>
      </c>
    </row>
    <row r="33" spans="1:29" ht="24.95" customHeight="1" x14ac:dyDescent="0.25">
      <c r="A33" s="65"/>
      <c r="B33" s="2">
        <f t="shared" si="2"/>
        <v>30</v>
      </c>
      <c r="C33" s="1" t="s">
        <v>63</v>
      </c>
      <c r="D33" s="2" t="s">
        <v>31</v>
      </c>
      <c r="E33" s="4">
        <v>4540000</v>
      </c>
      <c r="F33" s="3">
        <v>30</v>
      </c>
      <c r="G33" s="4">
        <f t="shared" si="4"/>
        <v>4540000</v>
      </c>
      <c r="H33" s="4"/>
      <c r="I33" s="4"/>
      <c r="J33" s="4"/>
      <c r="K33" s="4"/>
      <c r="L33" s="4"/>
      <c r="M33" s="4">
        <f>+G33+H33+J33+K33+L33+I33</f>
        <v>4540000</v>
      </c>
      <c r="N33" s="4">
        <f>E33*4/100</f>
        <v>181600</v>
      </c>
      <c r="O33" s="4">
        <f>+E33*0.05</f>
        <v>227000</v>
      </c>
      <c r="P33" s="4"/>
      <c r="Q33" s="4"/>
      <c r="R33" s="7">
        <v>0</v>
      </c>
      <c r="S33" s="4"/>
      <c r="T33" s="4"/>
      <c r="U33" s="4" t="s">
        <v>1</v>
      </c>
      <c r="V33" s="4">
        <f t="shared" si="5"/>
        <v>408600</v>
      </c>
      <c r="W33" s="5">
        <f>M33-V33</f>
        <v>4131400</v>
      </c>
      <c r="X33" s="5"/>
      <c r="Y33" s="64"/>
      <c r="Z33" s="5">
        <f t="shared" si="0"/>
        <v>4131400</v>
      </c>
    </row>
    <row r="34" spans="1:29" ht="24.95" customHeight="1" x14ac:dyDescent="0.25">
      <c r="A34" s="65"/>
      <c r="B34" s="2">
        <f t="shared" si="2"/>
        <v>31</v>
      </c>
      <c r="C34" s="1" t="s">
        <v>64</v>
      </c>
      <c r="D34" s="2" t="s">
        <v>31</v>
      </c>
      <c r="E34" s="4">
        <v>3500000</v>
      </c>
      <c r="F34" s="3">
        <v>30</v>
      </c>
      <c r="G34" s="4">
        <f t="shared" si="4"/>
        <v>3500000</v>
      </c>
      <c r="H34" s="4"/>
      <c r="I34" s="4"/>
      <c r="J34" s="4"/>
      <c r="K34" s="4"/>
      <c r="L34" s="4"/>
      <c r="M34" s="4">
        <f>+G34+H34+J34+K34+L34+I34</f>
        <v>3500000</v>
      </c>
      <c r="N34" s="4">
        <f>E34*4/100</f>
        <v>140000</v>
      </c>
      <c r="O34" s="4">
        <f>+E34*0.05</f>
        <v>175000</v>
      </c>
      <c r="P34" s="4"/>
      <c r="Q34" s="4"/>
      <c r="R34" s="4">
        <v>0</v>
      </c>
      <c r="S34" s="4"/>
      <c r="T34" s="4"/>
      <c r="U34" s="4">
        <v>257196</v>
      </c>
      <c r="V34" s="4">
        <f t="shared" si="5"/>
        <v>572196</v>
      </c>
      <c r="W34" s="5">
        <f>+M34-V34</f>
        <v>2927804</v>
      </c>
      <c r="X34" s="5"/>
      <c r="Y34" s="64"/>
      <c r="Z34" s="5">
        <f t="shared" si="0"/>
        <v>2927804</v>
      </c>
    </row>
    <row r="35" spans="1:29" ht="24.95" customHeight="1" x14ac:dyDescent="0.25">
      <c r="A35" s="65"/>
      <c r="B35" s="2">
        <f>+B34+1</f>
        <v>32</v>
      </c>
      <c r="C35" s="1" t="s">
        <v>65</v>
      </c>
      <c r="D35" s="2"/>
      <c r="E35" s="4">
        <v>4500000</v>
      </c>
      <c r="F35" s="3">
        <v>30</v>
      </c>
      <c r="G35" s="4">
        <f t="shared" si="4"/>
        <v>4500000</v>
      </c>
      <c r="H35" s="4"/>
      <c r="I35" s="4"/>
      <c r="J35" s="4"/>
      <c r="K35" s="4"/>
      <c r="L35" s="4"/>
      <c r="M35" s="4">
        <f>+G35+H35+J35+K35+L35+I35</f>
        <v>4500000</v>
      </c>
      <c r="N35" s="4">
        <f>E35*4/100</f>
        <v>180000</v>
      </c>
      <c r="O35" s="4">
        <f>+E35*0.05</f>
        <v>225000</v>
      </c>
      <c r="P35" s="4"/>
      <c r="Q35" s="4"/>
      <c r="R35" s="4">
        <v>0</v>
      </c>
      <c r="S35" s="4"/>
      <c r="T35" s="4"/>
      <c r="U35" s="4"/>
      <c r="V35" s="4">
        <f t="shared" si="5"/>
        <v>405000</v>
      </c>
      <c r="W35" s="5">
        <f>+M35-V35</f>
        <v>4095000</v>
      </c>
      <c r="X35" s="5"/>
      <c r="Y35" s="64"/>
      <c r="Z35" s="5">
        <f t="shared" si="0"/>
        <v>4095000</v>
      </c>
    </row>
    <row r="36" spans="1:29" ht="24.95" customHeight="1" x14ac:dyDescent="0.25">
      <c r="A36" s="65"/>
      <c r="B36" s="2">
        <f t="shared" si="2"/>
        <v>33</v>
      </c>
      <c r="C36" s="1" t="s">
        <v>66</v>
      </c>
      <c r="D36" s="2" t="s">
        <v>31</v>
      </c>
      <c r="E36" s="4">
        <v>6360000</v>
      </c>
      <c r="F36" s="3">
        <v>30</v>
      </c>
      <c r="G36" s="4">
        <f t="shared" si="4"/>
        <v>6360000</v>
      </c>
      <c r="H36" s="4"/>
      <c r="I36" s="12"/>
      <c r="J36" s="12"/>
      <c r="K36" s="4"/>
      <c r="L36" s="4"/>
      <c r="M36" s="4">
        <f>+G36+H36+J36+K36+L36+I36</f>
        <v>6360000</v>
      </c>
      <c r="N36" s="4">
        <f>E36*4/100</f>
        <v>254400</v>
      </c>
      <c r="O36" s="4">
        <f>+E36*0.05</f>
        <v>318000</v>
      </c>
      <c r="P36" s="4"/>
      <c r="Q36" s="4"/>
      <c r="R36" s="4">
        <v>208000</v>
      </c>
      <c r="S36" s="4"/>
      <c r="T36" s="4">
        <v>122614</v>
      </c>
      <c r="U36" s="4"/>
      <c r="V36" s="4">
        <f t="shared" si="5"/>
        <v>903014</v>
      </c>
      <c r="W36" s="5">
        <f>+M36-V36</f>
        <v>5456986</v>
      </c>
      <c r="X36" s="5"/>
      <c r="Y36" s="64"/>
      <c r="Z36" s="5">
        <f t="shared" si="0"/>
        <v>5456986</v>
      </c>
    </row>
    <row r="37" spans="1:29" ht="24.95" customHeight="1" x14ac:dyDescent="0.25">
      <c r="A37" s="65"/>
      <c r="B37" s="2">
        <f t="shared" si="2"/>
        <v>34</v>
      </c>
      <c r="C37" s="1" t="s">
        <v>67</v>
      </c>
      <c r="D37" s="2" t="s">
        <v>31</v>
      </c>
      <c r="E37" s="4">
        <v>4770000</v>
      </c>
      <c r="F37" s="3">
        <v>30</v>
      </c>
      <c r="G37" s="4">
        <f t="shared" si="4"/>
        <v>4770000</v>
      </c>
      <c r="H37" s="4"/>
      <c r="I37" s="4"/>
      <c r="J37" s="4"/>
      <c r="K37" s="4">
        <v>500000</v>
      </c>
      <c r="L37" s="4"/>
      <c r="M37" s="4">
        <f>+G37+H37+J37+K37+L37+I37</f>
        <v>5270000</v>
      </c>
      <c r="N37" s="4">
        <f>E37*4/100</f>
        <v>190800</v>
      </c>
      <c r="O37" s="4">
        <f>+E37*0.05</f>
        <v>238500</v>
      </c>
      <c r="P37" s="4"/>
      <c r="Q37" s="4"/>
      <c r="R37" s="4">
        <v>0</v>
      </c>
      <c r="S37" s="4"/>
      <c r="T37" s="4"/>
      <c r="U37" s="4">
        <v>551399</v>
      </c>
      <c r="V37" s="4">
        <f t="shared" si="5"/>
        <v>980699</v>
      </c>
      <c r="W37" s="5">
        <f>+M37-V37</f>
        <v>4289301</v>
      </c>
      <c r="X37" s="5"/>
      <c r="Y37" s="64"/>
      <c r="Z37" s="5">
        <f t="shared" si="0"/>
        <v>4289301</v>
      </c>
      <c r="AA37" s="62" t="s">
        <v>68</v>
      </c>
    </row>
    <row r="38" spans="1:29" ht="24.95" customHeight="1" x14ac:dyDescent="0.25">
      <c r="A38" s="65"/>
      <c r="B38" s="2">
        <f t="shared" si="2"/>
        <v>35</v>
      </c>
      <c r="C38" s="1" t="s">
        <v>69</v>
      </c>
      <c r="D38" s="2" t="s">
        <v>31</v>
      </c>
      <c r="E38" s="4">
        <v>6000000</v>
      </c>
      <c r="F38" s="3">
        <v>30</v>
      </c>
      <c r="G38" s="4">
        <f t="shared" si="4"/>
        <v>6000000</v>
      </c>
      <c r="H38" s="4"/>
      <c r="I38" s="4"/>
      <c r="J38" s="4"/>
      <c r="K38" s="4"/>
      <c r="L38" s="4"/>
      <c r="M38" s="4">
        <f>+G38+H38+J38+K38+L38+I38</f>
        <v>6000000</v>
      </c>
      <c r="N38" s="4">
        <f>E38*4/100</f>
        <v>240000</v>
      </c>
      <c r="O38" s="4">
        <f>+E38*0.05</f>
        <v>300000</v>
      </c>
      <c r="P38" s="4">
        <v>0</v>
      </c>
      <c r="Q38" s="4"/>
      <c r="R38" s="4">
        <v>0</v>
      </c>
      <c r="S38" s="4"/>
      <c r="T38" s="4"/>
      <c r="U38" s="4"/>
      <c r="V38" s="4">
        <f t="shared" si="5"/>
        <v>540000</v>
      </c>
      <c r="W38" s="5">
        <f>M38-V38</f>
        <v>5460000</v>
      </c>
      <c r="X38" s="5"/>
      <c r="Y38" s="64"/>
      <c r="Z38" s="5">
        <f t="shared" si="0"/>
        <v>5460000</v>
      </c>
    </row>
    <row r="39" spans="1:29" ht="24.95" customHeight="1" x14ac:dyDescent="0.25">
      <c r="A39" s="65"/>
      <c r="B39" s="2">
        <f t="shared" si="2"/>
        <v>36</v>
      </c>
      <c r="C39" s="1" t="s">
        <v>70</v>
      </c>
      <c r="D39" s="2" t="s">
        <v>31</v>
      </c>
      <c r="E39" s="4">
        <v>6420000</v>
      </c>
      <c r="F39" s="3">
        <v>30</v>
      </c>
      <c r="G39" s="4">
        <f t="shared" si="4"/>
        <v>6420000</v>
      </c>
      <c r="H39" s="4"/>
      <c r="I39" s="4"/>
      <c r="J39" s="4"/>
      <c r="K39" s="4"/>
      <c r="L39" s="4"/>
      <c r="M39" s="4">
        <f>+G39+H39+J39+K39+L39+I39</f>
        <v>6420000</v>
      </c>
      <c r="N39" s="4">
        <f>E39*4/100</f>
        <v>256800</v>
      </c>
      <c r="O39" s="4">
        <f>+E39*0.05</f>
        <v>321000</v>
      </c>
      <c r="P39" s="4"/>
      <c r="Q39" s="4"/>
      <c r="R39" s="4">
        <v>231000</v>
      </c>
      <c r="S39" s="4"/>
      <c r="T39" s="4"/>
      <c r="U39" s="4"/>
      <c r="V39" s="4">
        <f t="shared" si="5"/>
        <v>808800</v>
      </c>
      <c r="W39" s="5">
        <f>+M39-V39</f>
        <v>5611200</v>
      </c>
      <c r="X39" s="5"/>
      <c r="Y39" s="64"/>
      <c r="Z39" s="5">
        <f t="shared" si="0"/>
        <v>5611200</v>
      </c>
    </row>
    <row r="40" spans="1:29" ht="24.95" customHeight="1" x14ac:dyDescent="0.25">
      <c r="A40" s="65"/>
      <c r="B40" s="2">
        <f t="shared" si="2"/>
        <v>37</v>
      </c>
      <c r="C40" s="9" t="s">
        <v>71</v>
      </c>
      <c r="D40" s="8" t="s">
        <v>31</v>
      </c>
      <c r="E40" s="4">
        <v>7590000</v>
      </c>
      <c r="F40" s="3">
        <v>30</v>
      </c>
      <c r="G40" s="4">
        <f>+E40-L40</f>
        <v>4554000</v>
      </c>
      <c r="H40" s="4"/>
      <c r="I40" s="4">
        <v>3795000</v>
      </c>
      <c r="J40" s="4"/>
      <c r="K40" s="4">
        <v>1500000</v>
      </c>
      <c r="L40" s="11">
        <v>3036000</v>
      </c>
      <c r="M40" s="4">
        <f>+G40+H40+J40+K40+L40+I40</f>
        <v>12885000</v>
      </c>
      <c r="N40" s="4">
        <f>E40*4/100</f>
        <v>303600</v>
      </c>
      <c r="O40" s="4">
        <f>+E40*0.05</f>
        <v>379500</v>
      </c>
      <c r="P40" s="4"/>
      <c r="Q40" s="4"/>
      <c r="R40" s="4">
        <v>449811</v>
      </c>
      <c r="S40" s="4"/>
      <c r="T40" s="4"/>
      <c r="U40" s="4"/>
      <c r="V40" s="4">
        <f t="shared" si="5"/>
        <v>1132911</v>
      </c>
      <c r="W40" s="5">
        <f>M40-V40</f>
        <v>11752089</v>
      </c>
      <c r="X40" s="5"/>
      <c r="Y40" s="64"/>
      <c r="Z40" s="5">
        <f t="shared" si="0"/>
        <v>11752089</v>
      </c>
    </row>
    <row r="41" spans="1:29" ht="24.95" customHeight="1" x14ac:dyDescent="0.25">
      <c r="A41" s="65"/>
      <c r="B41" s="2">
        <f t="shared" si="2"/>
        <v>38</v>
      </c>
      <c r="C41" s="9" t="s">
        <v>72</v>
      </c>
      <c r="D41" s="8" t="s">
        <v>31</v>
      </c>
      <c r="E41" s="4">
        <v>5500000</v>
      </c>
      <c r="F41" s="3">
        <v>30</v>
      </c>
      <c r="G41" s="4">
        <f>+E41-J41</f>
        <v>5133333.333333333</v>
      </c>
      <c r="H41" s="4"/>
      <c r="I41" s="4"/>
      <c r="J41" s="4">
        <f>+E41/30*2</f>
        <v>366666.66666666669</v>
      </c>
      <c r="K41" s="4">
        <v>500000</v>
      </c>
      <c r="L41" s="4"/>
      <c r="M41" s="4">
        <f>+G41+H41+J41+K41+L41+I41</f>
        <v>6000000</v>
      </c>
      <c r="N41" s="4">
        <f>E41*4/100</f>
        <v>220000</v>
      </c>
      <c r="O41" s="4">
        <f>+E41*0.05</f>
        <v>275000</v>
      </c>
      <c r="P41" s="4"/>
      <c r="Q41" s="4"/>
      <c r="R41" s="4">
        <v>144000</v>
      </c>
      <c r="S41" s="4"/>
      <c r="T41" s="4"/>
      <c r="U41" s="4"/>
      <c r="V41" s="4">
        <f t="shared" si="5"/>
        <v>639000</v>
      </c>
      <c r="W41" s="5">
        <f>M41-V41</f>
        <v>5361000</v>
      </c>
      <c r="X41" s="5"/>
      <c r="Y41" s="64"/>
      <c r="Z41" s="5">
        <f t="shared" si="0"/>
        <v>5361000</v>
      </c>
    </row>
    <row r="42" spans="1:29" ht="24.95" customHeight="1" x14ac:dyDescent="0.25">
      <c r="A42" s="65"/>
      <c r="B42" s="2">
        <f t="shared" si="2"/>
        <v>39</v>
      </c>
      <c r="C42" s="1" t="s">
        <v>73</v>
      </c>
      <c r="D42" s="2" t="s">
        <v>31</v>
      </c>
      <c r="E42" s="4">
        <v>5350000</v>
      </c>
      <c r="F42" s="3">
        <v>30</v>
      </c>
      <c r="G42" s="4">
        <f t="shared" si="4"/>
        <v>5350000</v>
      </c>
      <c r="H42" s="4"/>
      <c r="I42" s="4"/>
      <c r="J42" s="4"/>
      <c r="K42" s="4"/>
      <c r="L42" s="4"/>
      <c r="M42" s="4">
        <f>+G42+H42+J42+K42+L42+I42</f>
        <v>5350000</v>
      </c>
      <c r="N42" s="4">
        <f>E42*4/100</f>
        <v>214000</v>
      </c>
      <c r="O42" s="4">
        <f>+E42*0.05</f>
        <v>267500</v>
      </c>
      <c r="P42" s="4"/>
      <c r="Q42" s="4"/>
      <c r="R42" s="4">
        <v>121000</v>
      </c>
      <c r="S42" s="4"/>
      <c r="T42" s="4"/>
      <c r="U42" s="4"/>
      <c r="V42" s="4">
        <f t="shared" si="5"/>
        <v>602500</v>
      </c>
      <c r="W42" s="5">
        <f t="shared" ref="W42:W47" si="8">+M42-V42</f>
        <v>4747500</v>
      </c>
      <c r="X42" s="5"/>
      <c r="Y42" s="64"/>
      <c r="Z42" s="5">
        <f t="shared" si="0"/>
        <v>4747500</v>
      </c>
    </row>
    <row r="43" spans="1:29" ht="24.95" customHeight="1" x14ac:dyDescent="0.25">
      <c r="A43" s="65"/>
      <c r="B43" s="2">
        <f t="shared" si="2"/>
        <v>40</v>
      </c>
      <c r="C43" s="1" t="s">
        <v>74</v>
      </c>
      <c r="D43" s="2"/>
      <c r="E43" s="4">
        <v>4000000</v>
      </c>
      <c r="F43" s="3">
        <v>30</v>
      </c>
      <c r="G43" s="4">
        <f t="shared" si="4"/>
        <v>4000000.0000000005</v>
      </c>
      <c r="H43" s="4"/>
      <c r="I43" s="4"/>
      <c r="J43" s="4"/>
      <c r="K43" s="4"/>
      <c r="L43" s="4"/>
      <c r="M43" s="4">
        <f>+G43+H43+J43+K43+L43+I43</f>
        <v>4000000.0000000005</v>
      </c>
      <c r="N43" s="4">
        <f>E43*4/100</f>
        <v>160000</v>
      </c>
      <c r="O43" s="4">
        <f>+E43*0.05</f>
        <v>200000</v>
      </c>
      <c r="P43" s="4"/>
      <c r="Q43" s="4"/>
      <c r="R43" s="4">
        <v>0</v>
      </c>
      <c r="S43" s="4"/>
      <c r="T43" s="4"/>
      <c r="U43" s="4"/>
      <c r="V43" s="4">
        <f t="shared" si="5"/>
        <v>360000</v>
      </c>
      <c r="W43" s="5">
        <f t="shared" si="8"/>
        <v>3640000.0000000005</v>
      </c>
      <c r="X43" s="5"/>
      <c r="Y43" s="64"/>
      <c r="Z43" s="5">
        <f t="shared" si="0"/>
        <v>3640000.0000000005</v>
      </c>
    </row>
    <row r="44" spans="1:29" ht="24.95" customHeight="1" x14ac:dyDescent="0.25">
      <c r="A44" s="65"/>
      <c r="B44" s="2">
        <f t="shared" si="2"/>
        <v>41</v>
      </c>
      <c r="C44" s="1" t="s">
        <v>75</v>
      </c>
      <c r="D44" s="2" t="s">
        <v>31</v>
      </c>
      <c r="E44" s="4">
        <v>4770000</v>
      </c>
      <c r="F44" s="3">
        <v>30</v>
      </c>
      <c r="G44" s="4">
        <f t="shared" si="4"/>
        <v>4770000</v>
      </c>
      <c r="H44" s="4"/>
      <c r="I44" s="4"/>
      <c r="J44" s="4"/>
      <c r="K44" s="4"/>
      <c r="L44" s="4"/>
      <c r="M44" s="4">
        <f>+G44+H44+J44+K44+L44+I44</f>
        <v>4770000</v>
      </c>
      <c r="N44" s="4">
        <f>E44*4/100</f>
        <v>190800</v>
      </c>
      <c r="O44" s="4">
        <f>+E44*0.05</f>
        <v>238500</v>
      </c>
      <c r="P44" s="4"/>
      <c r="Q44" s="4"/>
      <c r="R44" s="4">
        <v>0</v>
      </c>
      <c r="S44" s="4"/>
      <c r="T44" s="4"/>
      <c r="U44" s="4">
        <v>317224</v>
      </c>
      <c r="V44" s="4">
        <f t="shared" si="5"/>
        <v>746524</v>
      </c>
      <c r="W44" s="5">
        <f t="shared" si="8"/>
        <v>4023476</v>
      </c>
      <c r="X44" s="5"/>
      <c r="Y44" s="64"/>
      <c r="Z44" s="5">
        <f t="shared" si="0"/>
        <v>4023476</v>
      </c>
      <c r="AC44" s="62">
        <f>1840000-1196000</f>
        <v>644000</v>
      </c>
    </row>
    <row r="45" spans="1:29" ht="24.95" customHeight="1" x14ac:dyDescent="0.25">
      <c r="A45" s="65"/>
      <c r="B45" s="2">
        <f t="shared" si="2"/>
        <v>42</v>
      </c>
      <c r="C45" s="1" t="s">
        <v>76</v>
      </c>
      <c r="D45" s="2" t="s">
        <v>31</v>
      </c>
      <c r="E45" s="4">
        <v>4800000</v>
      </c>
      <c r="F45" s="3">
        <v>30</v>
      </c>
      <c r="G45" s="4">
        <f t="shared" si="4"/>
        <v>4800000</v>
      </c>
      <c r="H45" s="4"/>
      <c r="I45" s="4"/>
      <c r="J45" s="4"/>
      <c r="K45" s="4"/>
      <c r="L45" s="4">
        <v>0</v>
      </c>
      <c r="M45" s="4">
        <f>+G45+H45+J45+K45+L45+I45</f>
        <v>4800000</v>
      </c>
      <c r="N45" s="4">
        <f>E45*4/100</f>
        <v>192000</v>
      </c>
      <c r="O45" s="4">
        <f>+E45*0.05</f>
        <v>240000</v>
      </c>
      <c r="P45" s="4"/>
      <c r="Q45" s="4"/>
      <c r="R45" s="4">
        <v>0</v>
      </c>
      <c r="S45" s="4"/>
      <c r="T45" s="4"/>
      <c r="U45" s="4">
        <v>1198791</v>
      </c>
      <c r="V45" s="4">
        <f t="shared" si="5"/>
        <v>1630791</v>
      </c>
      <c r="W45" s="5">
        <f t="shared" si="8"/>
        <v>3169209</v>
      </c>
      <c r="X45" s="5"/>
      <c r="Y45" s="64"/>
      <c r="Z45" s="5">
        <f t="shared" si="0"/>
        <v>3169209</v>
      </c>
    </row>
    <row r="46" spans="1:29" ht="24.95" customHeight="1" x14ac:dyDescent="0.25">
      <c r="A46" s="65"/>
      <c r="B46" s="2">
        <f t="shared" si="2"/>
        <v>43</v>
      </c>
      <c r="C46" s="1" t="s">
        <v>77</v>
      </c>
      <c r="D46" s="2"/>
      <c r="E46" s="4">
        <v>4000000</v>
      </c>
      <c r="F46" s="3">
        <v>30</v>
      </c>
      <c r="G46" s="4">
        <f>+E46-L46</f>
        <v>2666667</v>
      </c>
      <c r="H46" s="4"/>
      <c r="I46" s="4"/>
      <c r="J46" s="4"/>
      <c r="K46" s="4"/>
      <c r="L46" s="4">
        <v>1333333</v>
      </c>
      <c r="M46" s="4">
        <f>+G46+H46+J46+K46+L46+I46</f>
        <v>4000000</v>
      </c>
      <c r="N46" s="4">
        <f>E46*4/100</f>
        <v>160000</v>
      </c>
      <c r="O46" s="4">
        <f>+E46*0.05</f>
        <v>200000</v>
      </c>
      <c r="P46" s="4"/>
      <c r="Q46" s="4"/>
      <c r="R46" s="4">
        <v>0</v>
      </c>
      <c r="S46" s="4"/>
      <c r="T46" s="4"/>
      <c r="U46" s="4">
        <v>141077</v>
      </c>
      <c r="V46" s="4">
        <f t="shared" si="5"/>
        <v>501077</v>
      </c>
      <c r="W46" s="5">
        <f t="shared" si="8"/>
        <v>3498923</v>
      </c>
      <c r="X46" s="5"/>
      <c r="Y46" s="64"/>
      <c r="Z46" s="5">
        <f t="shared" si="0"/>
        <v>3498923</v>
      </c>
    </row>
    <row r="47" spans="1:29" ht="24.95" customHeight="1" x14ac:dyDescent="0.25">
      <c r="A47" s="65"/>
      <c r="B47" s="2">
        <f t="shared" si="2"/>
        <v>44</v>
      </c>
      <c r="C47" s="1" t="s">
        <v>78</v>
      </c>
      <c r="D47" s="2" t="s">
        <v>31</v>
      </c>
      <c r="E47" s="4">
        <v>6000000</v>
      </c>
      <c r="F47" s="3">
        <v>30</v>
      </c>
      <c r="G47" s="4">
        <f t="shared" si="4"/>
        <v>6000000</v>
      </c>
      <c r="H47" s="4"/>
      <c r="I47" s="4"/>
      <c r="J47" s="4"/>
      <c r="K47" s="4">
        <v>400000</v>
      </c>
      <c r="L47" s="4"/>
      <c r="M47" s="4">
        <f>+G47+H47+J47+K47+L47+I47</f>
        <v>6400000</v>
      </c>
      <c r="N47" s="4">
        <f>E47*4/100</f>
        <v>240000</v>
      </c>
      <c r="O47" s="4">
        <f>+E47*0.05</f>
        <v>300000</v>
      </c>
      <c r="P47" s="4"/>
      <c r="Q47" s="4"/>
      <c r="R47" s="4">
        <v>126000</v>
      </c>
      <c r="S47" s="4"/>
      <c r="T47" s="4"/>
      <c r="U47" s="4"/>
      <c r="V47" s="4">
        <f t="shared" si="5"/>
        <v>666000</v>
      </c>
      <c r="W47" s="5">
        <f t="shared" si="8"/>
        <v>5734000</v>
      </c>
      <c r="X47" s="5"/>
      <c r="Y47" s="64"/>
      <c r="Z47" s="5">
        <f t="shared" si="0"/>
        <v>5734000</v>
      </c>
    </row>
    <row r="48" spans="1:29" ht="24.95" customHeight="1" x14ac:dyDescent="0.25">
      <c r="A48" s="65"/>
      <c r="B48" s="2">
        <f t="shared" si="2"/>
        <v>45</v>
      </c>
      <c r="C48" s="1" t="s">
        <v>79</v>
      </c>
      <c r="D48" s="2" t="s">
        <v>31</v>
      </c>
      <c r="E48" s="4">
        <v>4500000</v>
      </c>
      <c r="F48" s="3">
        <v>30</v>
      </c>
      <c r="G48" s="4">
        <f t="shared" si="4"/>
        <v>4500000</v>
      </c>
      <c r="H48" s="4"/>
      <c r="I48" s="4"/>
      <c r="J48" s="4"/>
      <c r="K48" s="4"/>
      <c r="L48" s="4">
        <v>0</v>
      </c>
      <c r="M48" s="4">
        <f>+G48+H48+J48+K48+L48+I48</f>
        <v>4500000</v>
      </c>
      <c r="N48" s="4">
        <f>E48*4/100</f>
        <v>180000</v>
      </c>
      <c r="O48" s="4">
        <f>+E48*0.05</f>
        <v>225000</v>
      </c>
      <c r="P48" s="4"/>
      <c r="Q48" s="4"/>
      <c r="R48" s="4">
        <v>0</v>
      </c>
      <c r="S48" s="4"/>
      <c r="T48" s="4"/>
      <c r="U48" s="4"/>
      <c r="V48" s="4">
        <f t="shared" si="5"/>
        <v>405000</v>
      </c>
      <c r="W48" s="5">
        <f>M48-V48</f>
        <v>4095000</v>
      </c>
      <c r="X48" s="5"/>
      <c r="Y48" s="64"/>
      <c r="Z48" s="5">
        <f t="shared" si="0"/>
        <v>4095000</v>
      </c>
      <c r="AC48" s="62">
        <f>1840000-1196000</f>
        <v>644000</v>
      </c>
    </row>
    <row r="49" spans="1:27" ht="24.95" customHeight="1" x14ac:dyDescent="0.25">
      <c r="A49" s="65"/>
      <c r="B49" s="2">
        <f t="shared" si="2"/>
        <v>46</v>
      </c>
      <c r="C49" s="1" t="s">
        <v>80</v>
      </c>
      <c r="D49" s="2" t="s">
        <v>31</v>
      </c>
      <c r="E49" s="4">
        <v>6000000</v>
      </c>
      <c r="F49" s="3">
        <v>30</v>
      </c>
      <c r="G49" s="4">
        <f t="shared" si="4"/>
        <v>6000000</v>
      </c>
      <c r="H49" s="4"/>
      <c r="I49" s="4"/>
      <c r="J49" s="4"/>
      <c r="K49" s="4">
        <v>400000</v>
      </c>
      <c r="L49" s="4"/>
      <c r="M49" s="4">
        <f>+G49+H49+J49+K49+L49+I49</f>
        <v>6400000</v>
      </c>
      <c r="N49" s="4">
        <f>E49*4/100</f>
        <v>240000</v>
      </c>
      <c r="O49" s="4">
        <f>+E49*0.05</f>
        <v>300000</v>
      </c>
      <c r="P49" s="4"/>
      <c r="Q49" s="4"/>
      <c r="R49" s="4">
        <v>120000</v>
      </c>
      <c r="S49" s="4"/>
      <c r="T49" s="4"/>
      <c r="U49" s="4"/>
      <c r="V49" s="4">
        <f t="shared" si="5"/>
        <v>660000</v>
      </c>
      <c r="W49" s="5">
        <f>M49-V49</f>
        <v>5740000</v>
      </c>
      <c r="X49" s="5"/>
      <c r="Y49" s="64"/>
      <c r="Z49" s="5">
        <f t="shared" si="0"/>
        <v>5740000</v>
      </c>
    </row>
    <row r="50" spans="1:27" ht="24.95" customHeight="1" x14ac:dyDescent="0.25">
      <c r="A50" s="65"/>
      <c r="B50" s="2">
        <f t="shared" si="2"/>
        <v>47</v>
      </c>
      <c r="C50" s="1" t="s">
        <v>81</v>
      </c>
      <c r="D50" s="2"/>
      <c r="E50" s="4">
        <v>4800000</v>
      </c>
      <c r="F50" s="3">
        <v>30</v>
      </c>
      <c r="G50" s="4">
        <f>+E50-L50</f>
        <v>2560000</v>
      </c>
      <c r="H50" s="4"/>
      <c r="I50" s="4"/>
      <c r="J50" s="4"/>
      <c r="K50" s="4"/>
      <c r="L50" s="4">
        <v>2240000</v>
      </c>
      <c r="M50" s="4">
        <f>+G50+H50+J50+K50+L50+I50</f>
        <v>4800000</v>
      </c>
      <c r="N50" s="4">
        <f>+E50*4%</f>
        <v>192000</v>
      </c>
      <c r="O50" s="4">
        <f>+E50*5%</f>
        <v>240000</v>
      </c>
      <c r="P50" s="4"/>
      <c r="Q50" s="4"/>
      <c r="R50" s="4">
        <v>0</v>
      </c>
      <c r="S50" s="4"/>
      <c r="T50" s="4"/>
      <c r="U50" s="4"/>
      <c r="V50" s="4">
        <f t="shared" si="5"/>
        <v>432000</v>
      </c>
      <c r="W50" s="5">
        <f>+M50-V50</f>
        <v>4368000</v>
      </c>
      <c r="X50" s="5"/>
      <c r="Y50" s="64"/>
      <c r="Z50" s="5">
        <f t="shared" si="0"/>
        <v>4368000</v>
      </c>
    </row>
    <row r="51" spans="1:27" ht="24.95" customHeight="1" x14ac:dyDescent="0.25">
      <c r="A51" s="65"/>
      <c r="B51" s="2">
        <f t="shared" si="2"/>
        <v>48</v>
      </c>
      <c r="C51" s="1" t="s">
        <v>82</v>
      </c>
      <c r="D51" s="2"/>
      <c r="E51" s="4">
        <v>6500000</v>
      </c>
      <c r="F51" s="3">
        <v>30</v>
      </c>
      <c r="G51" s="4">
        <f t="shared" si="4"/>
        <v>6500000</v>
      </c>
      <c r="H51" s="4"/>
      <c r="I51" s="4"/>
      <c r="J51" s="4"/>
      <c r="K51" s="4"/>
      <c r="L51" s="4"/>
      <c r="M51" s="4">
        <f>+G51+H51+J51+K51+L51+I51</f>
        <v>6500000</v>
      </c>
      <c r="N51" s="4">
        <f>+E51*0.04</f>
        <v>260000</v>
      </c>
      <c r="O51" s="4">
        <f>+E51*0.05</f>
        <v>325000</v>
      </c>
      <c r="P51" s="4"/>
      <c r="Q51" s="4"/>
      <c r="R51" s="4">
        <v>207372</v>
      </c>
      <c r="S51" s="4"/>
      <c r="T51" s="4"/>
      <c r="U51" s="4"/>
      <c r="V51" s="4">
        <f t="shared" si="5"/>
        <v>792372</v>
      </c>
      <c r="W51" s="5">
        <f>M51-V51</f>
        <v>5707628</v>
      </c>
      <c r="X51" s="5"/>
      <c r="Y51" s="64"/>
      <c r="Z51" s="5">
        <f t="shared" si="0"/>
        <v>5707628</v>
      </c>
    </row>
    <row r="52" spans="1:27" ht="24.95" customHeight="1" x14ac:dyDescent="0.25">
      <c r="A52" s="65" t="s">
        <v>83</v>
      </c>
      <c r="B52" s="2">
        <v>1</v>
      </c>
      <c r="C52" s="1" t="s">
        <v>84</v>
      </c>
      <c r="D52" s="2"/>
      <c r="E52" s="4">
        <v>912000</v>
      </c>
      <c r="F52" s="3">
        <v>30</v>
      </c>
      <c r="G52" s="4">
        <f t="shared" si="4"/>
        <v>912000</v>
      </c>
      <c r="H52" s="4">
        <v>88211</v>
      </c>
      <c r="I52" s="4"/>
      <c r="J52" s="4"/>
      <c r="K52" s="4"/>
      <c r="L52" s="4"/>
      <c r="M52" s="4">
        <f>+G52+H52+J52+K52+L52+I52</f>
        <v>1000211</v>
      </c>
      <c r="N52" s="4">
        <f>+E52*0.04</f>
        <v>36480</v>
      </c>
      <c r="O52" s="4">
        <f>+E52*0.04</f>
        <v>36480</v>
      </c>
      <c r="P52" s="4"/>
      <c r="Q52" s="4"/>
      <c r="R52" s="4"/>
      <c r="S52" s="4"/>
      <c r="T52" s="4"/>
      <c r="U52" s="4"/>
      <c r="V52" s="4">
        <f>SUM(N52:U52)</f>
        <v>72960</v>
      </c>
      <c r="W52" s="5">
        <f>M52-V52</f>
        <v>927251</v>
      </c>
      <c r="X52" s="5"/>
      <c r="Y52" s="64"/>
      <c r="Z52" s="5">
        <f t="shared" si="0"/>
        <v>927251</v>
      </c>
    </row>
    <row r="53" spans="1:27" ht="24.95" customHeight="1" x14ac:dyDescent="0.25">
      <c r="A53" s="65"/>
      <c r="B53" s="2">
        <f>+B52+1</f>
        <v>2</v>
      </c>
      <c r="C53" s="1" t="s">
        <v>85</v>
      </c>
      <c r="D53" s="2" t="s">
        <v>31</v>
      </c>
      <c r="E53" s="4">
        <v>3000000</v>
      </c>
      <c r="F53" s="3">
        <v>30</v>
      </c>
      <c r="G53" s="4">
        <f t="shared" si="4"/>
        <v>3000000</v>
      </c>
      <c r="H53" s="4"/>
      <c r="I53" s="4"/>
      <c r="J53" s="4"/>
      <c r="K53" s="4"/>
      <c r="L53" s="4">
        <f>+E53-G53</f>
        <v>0</v>
      </c>
      <c r="M53" s="4">
        <f>+G53+H53+J53+K53+L53+I53</f>
        <v>3000000</v>
      </c>
      <c r="N53" s="4">
        <f>+E53*0.04</f>
        <v>120000</v>
      </c>
      <c r="O53" s="4">
        <f>+E53*0.04</f>
        <v>120000</v>
      </c>
      <c r="P53" s="4"/>
      <c r="Q53" s="4"/>
      <c r="R53" s="4"/>
      <c r="S53" s="4"/>
      <c r="T53" s="4"/>
      <c r="U53" s="4">
        <f>481778</f>
        <v>481778</v>
      </c>
      <c r="V53" s="4">
        <f t="shared" ref="V53:V107" si="9">SUM(N53:U53)</f>
        <v>721778</v>
      </c>
      <c r="W53" s="5">
        <f>M53-V53</f>
        <v>2278222</v>
      </c>
      <c r="X53" s="5"/>
      <c r="Y53" s="64"/>
      <c r="Z53" s="5">
        <f t="shared" si="0"/>
        <v>2278222</v>
      </c>
    </row>
    <row r="54" spans="1:27" ht="24.95" customHeight="1" x14ac:dyDescent="0.25">
      <c r="A54" s="65"/>
      <c r="B54" s="2">
        <f t="shared" ref="B54:B107" si="10">+B53+1</f>
        <v>3</v>
      </c>
      <c r="C54" s="9" t="s">
        <v>86</v>
      </c>
      <c r="D54" s="8" t="s">
        <v>31</v>
      </c>
      <c r="E54" s="4">
        <v>2500000</v>
      </c>
      <c r="F54" s="3">
        <v>30</v>
      </c>
      <c r="G54" s="4">
        <f t="shared" si="4"/>
        <v>2500000</v>
      </c>
      <c r="H54" s="4"/>
      <c r="I54" s="4"/>
      <c r="J54" s="4">
        <v>0</v>
      </c>
      <c r="K54" s="4"/>
      <c r="L54" s="4"/>
      <c r="M54" s="4">
        <f>+G54+H54+J54+K54+L54+I54</f>
        <v>2500000</v>
      </c>
      <c r="N54" s="4">
        <f>+E54*4%</f>
        <v>100000</v>
      </c>
      <c r="O54" s="4">
        <f>+E54*4%</f>
        <v>100000</v>
      </c>
      <c r="P54" s="4"/>
      <c r="Q54" s="4"/>
      <c r="R54" s="4"/>
      <c r="S54" s="4"/>
      <c r="T54" s="4"/>
      <c r="U54" s="4"/>
      <c r="V54" s="4">
        <f t="shared" si="9"/>
        <v>200000</v>
      </c>
      <c r="W54" s="5">
        <f>M54-V54</f>
        <v>2300000</v>
      </c>
      <c r="X54" s="5"/>
      <c r="Y54" s="64"/>
      <c r="Z54" s="5">
        <f t="shared" si="0"/>
        <v>2300000</v>
      </c>
    </row>
    <row r="55" spans="1:27" ht="24.95" customHeight="1" x14ac:dyDescent="0.25">
      <c r="A55" s="65"/>
      <c r="B55" s="2">
        <f t="shared" si="10"/>
        <v>4</v>
      </c>
      <c r="C55" s="1" t="s">
        <v>87</v>
      </c>
      <c r="D55" s="2" t="s">
        <v>31</v>
      </c>
      <c r="E55" s="4">
        <v>3000000</v>
      </c>
      <c r="F55" s="3">
        <v>30</v>
      </c>
      <c r="G55" s="4">
        <f t="shared" si="4"/>
        <v>3000000</v>
      </c>
      <c r="H55" s="4">
        <v>0</v>
      </c>
      <c r="I55" s="4"/>
      <c r="J55" s="4"/>
      <c r="K55" s="4"/>
      <c r="L55" s="4"/>
      <c r="M55" s="4">
        <f>+G55+H55+J55+K55+L55+I55</f>
        <v>3000000</v>
      </c>
      <c r="N55" s="4">
        <f>+E55*4%</f>
        <v>120000</v>
      </c>
      <c r="O55" s="4">
        <f>+E55*4%</f>
        <v>120000</v>
      </c>
      <c r="P55" s="4"/>
      <c r="Q55" s="4"/>
      <c r="R55" s="7"/>
      <c r="S55" s="4"/>
      <c r="T55" s="4"/>
      <c r="U55" s="4"/>
      <c r="V55" s="4">
        <f t="shared" si="9"/>
        <v>240000</v>
      </c>
      <c r="W55" s="5">
        <f t="shared" ref="W55:W65" si="11">+M55-V55</f>
        <v>2760000</v>
      </c>
      <c r="X55" s="5"/>
      <c r="Y55" s="64"/>
      <c r="Z55" s="5">
        <f t="shared" si="0"/>
        <v>2760000</v>
      </c>
      <c r="AA55" s="62">
        <v>1380000</v>
      </c>
    </row>
    <row r="56" spans="1:27" ht="24.95" customHeight="1" x14ac:dyDescent="0.25">
      <c r="A56" s="65"/>
      <c r="B56" s="2">
        <f t="shared" si="10"/>
        <v>5</v>
      </c>
      <c r="C56" s="1" t="s">
        <v>89</v>
      </c>
      <c r="D56" s="2" t="s">
        <v>31</v>
      </c>
      <c r="E56" s="4">
        <v>2200000</v>
      </c>
      <c r="F56" s="3">
        <v>30</v>
      </c>
      <c r="G56" s="4">
        <f t="shared" si="4"/>
        <v>2200000</v>
      </c>
      <c r="H56" s="4"/>
      <c r="I56" s="4"/>
      <c r="J56" s="4"/>
      <c r="K56" s="4"/>
      <c r="L56" s="4"/>
      <c r="M56" s="4">
        <f>+G56+H56+J56+K56+L56+I56</f>
        <v>2200000</v>
      </c>
      <c r="N56" s="4">
        <f>+E56*4%</f>
        <v>88000</v>
      </c>
      <c r="O56" s="4">
        <f>+E56*4%</f>
        <v>88000</v>
      </c>
      <c r="P56" s="4"/>
      <c r="Q56" s="4"/>
      <c r="R56" s="7"/>
      <c r="S56" s="4"/>
      <c r="T56" s="4"/>
      <c r="U56" s="4"/>
      <c r="V56" s="4">
        <f t="shared" si="9"/>
        <v>176000</v>
      </c>
      <c r="W56" s="5">
        <f t="shared" si="11"/>
        <v>2024000</v>
      </c>
      <c r="X56" s="5"/>
      <c r="Y56" s="64"/>
      <c r="Z56" s="5">
        <f t="shared" si="0"/>
        <v>2024000</v>
      </c>
      <c r="AA56" s="62">
        <v>1380000</v>
      </c>
    </row>
    <row r="57" spans="1:27" ht="24.95" customHeight="1" x14ac:dyDescent="0.25">
      <c r="A57" s="65"/>
      <c r="B57" s="2">
        <f t="shared" si="10"/>
        <v>6</v>
      </c>
      <c r="C57" s="1" t="s">
        <v>90</v>
      </c>
      <c r="D57" s="2" t="s">
        <v>31</v>
      </c>
      <c r="E57" s="4">
        <v>1800000</v>
      </c>
      <c r="F57" s="3">
        <v>30</v>
      </c>
      <c r="G57" s="4">
        <f t="shared" si="4"/>
        <v>1800000</v>
      </c>
      <c r="H57" s="4">
        <v>0</v>
      </c>
      <c r="I57" s="4"/>
      <c r="J57" s="4"/>
      <c r="K57" s="4"/>
      <c r="L57" s="4"/>
      <c r="M57" s="4">
        <f>+G57+H57+J57+K57+L57+I57</f>
        <v>1800000</v>
      </c>
      <c r="N57" s="4">
        <f>+E57*4%</f>
        <v>72000</v>
      </c>
      <c r="O57" s="4">
        <f>+E57*4%</f>
        <v>72000</v>
      </c>
      <c r="P57" s="4"/>
      <c r="Q57" s="4"/>
      <c r="R57" s="4">
        <v>0</v>
      </c>
      <c r="S57" s="4"/>
      <c r="T57" s="4"/>
      <c r="U57" s="4"/>
      <c r="V57" s="4">
        <f t="shared" si="9"/>
        <v>144000</v>
      </c>
      <c r="W57" s="5">
        <f t="shared" si="11"/>
        <v>1656000</v>
      </c>
      <c r="X57" s="5"/>
      <c r="Y57" s="64"/>
      <c r="Z57" s="5">
        <f t="shared" si="0"/>
        <v>1656000</v>
      </c>
    </row>
    <row r="58" spans="1:27" ht="24.95" customHeight="1" x14ac:dyDescent="0.25">
      <c r="A58" s="65"/>
      <c r="B58" s="2">
        <f t="shared" si="10"/>
        <v>7</v>
      </c>
      <c r="C58" s="1" t="s">
        <v>91</v>
      </c>
      <c r="D58" s="2" t="s">
        <v>31</v>
      </c>
      <c r="E58" s="4">
        <v>781242</v>
      </c>
      <c r="F58" s="3">
        <v>30</v>
      </c>
      <c r="G58" s="4">
        <f t="shared" si="4"/>
        <v>781242</v>
      </c>
      <c r="H58" s="4">
        <v>88211</v>
      </c>
      <c r="I58" s="4"/>
      <c r="J58" s="4"/>
      <c r="K58" s="4"/>
      <c r="L58" s="4"/>
      <c r="M58" s="4">
        <f>+G58+H58+J58+K58+L58+I58</f>
        <v>869453</v>
      </c>
      <c r="N58" s="4">
        <v>31250</v>
      </c>
      <c r="O58" s="4">
        <v>31250</v>
      </c>
      <c r="P58" s="4"/>
      <c r="Q58" s="4"/>
      <c r="R58" s="7"/>
      <c r="S58" s="4"/>
      <c r="T58" s="4"/>
      <c r="U58" s="4"/>
      <c r="V58" s="4">
        <f t="shared" si="9"/>
        <v>62500</v>
      </c>
      <c r="W58" s="5">
        <f t="shared" si="11"/>
        <v>806953</v>
      </c>
      <c r="X58" s="5"/>
      <c r="Y58" s="64"/>
      <c r="Z58" s="5">
        <f t="shared" si="0"/>
        <v>806953</v>
      </c>
    </row>
    <row r="59" spans="1:27" ht="24.95" customHeight="1" x14ac:dyDescent="0.25">
      <c r="A59" s="65"/>
      <c r="B59" s="2">
        <f t="shared" si="10"/>
        <v>8</v>
      </c>
      <c r="C59" s="1" t="s">
        <v>92</v>
      </c>
      <c r="D59" s="2"/>
      <c r="E59" s="4">
        <v>3000000</v>
      </c>
      <c r="F59" s="3">
        <v>30</v>
      </c>
      <c r="G59" s="4">
        <f t="shared" si="4"/>
        <v>3000000</v>
      </c>
      <c r="H59" s="4"/>
      <c r="I59" s="4"/>
      <c r="J59" s="4"/>
      <c r="K59" s="4"/>
      <c r="L59" s="4"/>
      <c r="M59" s="4">
        <f>+G59+H59+J59+K59+L59+I59</f>
        <v>3000000</v>
      </c>
      <c r="N59" s="4">
        <f>+E59*4%</f>
        <v>120000</v>
      </c>
      <c r="O59" s="4">
        <f>+E59*4%</f>
        <v>120000</v>
      </c>
      <c r="P59" s="4"/>
      <c r="Q59" s="4"/>
      <c r="R59" s="4"/>
      <c r="S59" s="4"/>
      <c r="T59" s="4"/>
      <c r="U59" s="4"/>
      <c r="V59" s="4">
        <f t="shared" si="9"/>
        <v>240000</v>
      </c>
      <c r="W59" s="5">
        <f t="shared" si="11"/>
        <v>2760000</v>
      </c>
      <c r="X59" s="5"/>
      <c r="Y59" s="64"/>
      <c r="Z59" s="5">
        <f t="shared" si="0"/>
        <v>2760000</v>
      </c>
    </row>
    <row r="60" spans="1:27" ht="24.95" customHeight="1" x14ac:dyDescent="0.25">
      <c r="A60" s="65"/>
      <c r="B60" s="2">
        <f t="shared" si="10"/>
        <v>9</v>
      </c>
      <c r="C60" s="1" t="s">
        <v>93</v>
      </c>
      <c r="D60" s="2" t="s">
        <v>31</v>
      </c>
      <c r="E60" s="4">
        <v>3500000</v>
      </c>
      <c r="F60" s="3">
        <v>30</v>
      </c>
      <c r="G60" s="4">
        <f>+E60-L60</f>
        <v>2566667</v>
      </c>
      <c r="H60" s="4"/>
      <c r="I60" s="4"/>
      <c r="J60" s="4"/>
      <c r="K60" s="4"/>
      <c r="L60" s="4">
        <v>933333</v>
      </c>
      <c r="M60" s="4">
        <f>+G60+H60+J60+K60+L60+I60</f>
        <v>3500000</v>
      </c>
      <c r="N60" s="4">
        <f>+E60*4%</f>
        <v>140000</v>
      </c>
      <c r="O60" s="4">
        <f>+E60*5%</f>
        <v>175000</v>
      </c>
      <c r="P60" s="4"/>
      <c r="Q60" s="4"/>
      <c r="R60" s="4">
        <v>0</v>
      </c>
      <c r="S60" s="4"/>
      <c r="T60" s="4"/>
      <c r="U60" s="4">
        <v>774624</v>
      </c>
      <c r="V60" s="4">
        <f t="shared" si="9"/>
        <v>1089624</v>
      </c>
      <c r="W60" s="5">
        <f t="shared" si="11"/>
        <v>2410376</v>
      </c>
      <c r="X60" s="5"/>
      <c r="Y60" s="64"/>
      <c r="Z60" s="5">
        <f t="shared" si="0"/>
        <v>2410376</v>
      </c>
    </row>
    <row r="61" spans="1:27" ht="24.95" customHeight="1" x14ac:dyDescent="0.25">
      <c r="A61" s="65"/>
      <c r="B61" s="2">
        <f t="shared" si="10"/>
        <v>10</v>
      </c>
      <c r="C61" s="1" t="s">
        <v>94</v>
      </c>
      <c r="D61" s="2" t="s">
        <v>31</v>
      </c>
      <c r="E61" s="4">
        <v>2500000</v>
      </c>
      <c r="F61" s="3">
        <v>30</v>
      </c>
      <c r="G61" s="4">
        <f t="shared" si="4"/>
        <v>2500000</v>
      </c>
      <c r="H61" s="4"/>
      <c r="I61" s="4"/>
      <c r="J61" s="4"/>
      <c r="K61" s="4">
        <v>700000</v>
      </c>
      <c r="L61" s="4"/>
      <c r="M61" s="4">
        <f>+G61+H61+J61+K61+L61+I61</f>
        <v>3200000</v>
      </c>
      <c r="N61" s="4">
        <f>+E61*4%</f>
        <v>100000</v>
      </c>
      <c r="O61" s="4">
        <f>+E61*4%</f>
        <v>100000</v>
      </c>
      <c r="P61" s="4"/>
      <c r="Q61" s="4"/>
      <c r="R61" s="4">
        <v>0</v>
      </c>
      <c r="S61" s="4"/>
      <c r="T61" s="4"/>
      <c r="U61" s="4">
        <v>200210</v>
      </c>
      <c r="V61" s="4">
        <f t="shared" si="9"/>
        <v>400210</v>
      </c>
      <c r="W61" s="5">
        <f t="shared" si="11"/>
        <v>2799790</v>
      </c>
      <c r="X61" s="5"/>
      <c r="Y61" s="64"/>
      <c r="Z61" s="5">
        <f t="shared" si="0"/>
        <v>2799790</v>
      </c>
    </row>
    <row r="62" spans="1:27" ht="24.95" customHeight="1" x14ac:dyDescent="0.25">
      <c r="A62" s="65"/>
      <c r="B62" s="2">
        <f t="shared" si="10"/>
        <v>11</v>
      </c>
      <c r="C62" s="1" t="s">
        <v>95</v>
      </c>
      <c r="D62" s="2" t="s">
        <v>31</v>
      </c>
      <c r="E62" s="4">
        <v>2500000</v>
      </c>
      <c r="F62" s="3">
        <v>30</v>
      </c>
      <c r="G62" s="4">
        <f t="shared" si="4"/>
        <v>2500000</v>
      </c>
      <c r="H62" s="4"/>
      <c r="I62" s="4"/>
      <c r="J62" s="4"/>
      <c r="K62" s="4"/>
      <c r="L62" s="4"/>
      <c r="M62" s="4">
        <f>+G62+H62+J62+K62+L62+I62</f>
        <v>2500000</v>
      </c>
      <c r="N62" s="4">
        <f>+E62*4%</f>
        <v>100000</v>
      </c>
      <c r="O62" s="4">
        <f>+E62*4%</f>
        <v>100000</v>
      </c>
      <c r="P62" s="4">
        <v>0</v>
      </c>
      <c r="Q62" s="4"/>
      <c r="R62" s="4">
        <v>0</v>
      </c>
      <c r="S62" s="4"/>
      <c r="T62" s="4"/>
      <c r="U62" s="4">
        <v>422966</v>
      </c>
      <c r="V62" s="4">
        <f t="shared" si="9"/>
        <v>622966</v>
      </c>
      <c r="W62" s="5">
        <f t="shared" si="11"/>
        <v>1877034</v>
      </c>
      <c r="X62" s="5"/>
      <c r="Y62" s="64"/>
      <c r="Z62" s="5">
        <f t="shared" si="0"/>
        <v>1877034</v>
      </c>
    </row>
    <row r="63" spans="1:27" ht="24.95" customHeight="1" x14ac:dyDescent="0.25">
      <c r="A63" s="65"/>
      <c r="B63" s="2">
        <f t="shared" si="10"/>
        <v>12</v>
      </c>
      <c r="C63" s="1" t="s">
        <v>96</v>
      </c>
      <c r="D63" s="2" t="s">
        <v>31</v>
      </c>
      <c r="E63" s="4">
        <v>781242</v>
      </c>
      <c r="F63" s="3">
        <v>30</v>
      </c>
      <c r="G63" s="4">
        <f t="shared" si="4"/>
        <v>781242</v>
      </c>
      <c r="H63" s="4">
        <v>88211</v>
      </c>
      <c r="I63" s="4"/>
      <c r="J63" s="4"/>
      <c r="K63" s="4"/>
      <c r="L63" s="4"/>
      <c r="M63" s="4">
        <f>+G63+H63+J63+K63+L63+I63</f>
        <v>869453</v>
      </c>
      <c r="N63" s="4">
        <f>+E63*4%</f>
        <v>31249.68</v>
      </c>
      <c r="O63" s="4">
        <f>+E63*4%</f>
        <v>31249.68</v>
      </c>
      <c r="P63" s="4"/>
      <c r="Q63" s="4"/>
      <c r="R63" s="4">
        <v>0</v>
      </c>
      <c r="S63" s="4"/>
      <c r="T63" s="4"/>
      <c r="U63" s="4"/>
      <c r="V63" s="4">
        <f t="shared" si="9"/>
        <v>62499.360000000001</v>
      </c>
      <c r="W63" s="5">
        <f t="shared" si="11"/>
        <v>806953.64</v>
      </c>
      <c r="X63" s="5"/>
      <c r="Y63" s="64"/>
      <c r="Z63" s="5">
        <f t="shared" si="0"/>
        <v>806953.64</v>
      </c>
    </row>
    <row r="64" spans="1:27" ht="24.95" customHeight="1" x14ac:dyDescent="0.25">
      <c r="A64" s="65"/>
      <c r="B64" s="2">
        <f t="shared" si="10"/>
        <v>13</v>
      </c>
      <c r="C64" s="1" t="s">
        <v>97</v>
      </c>
      <c r="D64" s="2" t="s">
        <v>31</v>
      </c>
      <c r="E64" s="4">
        <v>3000000</v>
      </c>
      <c r="F64" s="3">
        <v>30</v>
      </c>
      <c r="G64" s="4">
        <f t="shared" si="4"/>
        <v>3000000</v>
      </c>
      <c r="H64" s="4"/>
      <c r="I64" s="4"/>
      <c r="J64" s="4"/>
      <c r="K64" s="4">
        <v>200000</v>
      </c>
      <c r="L64" s="4"/>
      <c r="M64" s="4">
        <f>+G64+H64+J64+K64+L64+I64</f>
        <v>3200000</v>
      </c>
      <c r="N64" s="4">
        <f>+E64*4%</f>
        <v>120000</v>
      </c>
      <c r="O64" s="4">
        <f>+E64*0.04</f>
        <v>120000</v>
      </c>
      <c r="P64" s="4"/>
      <c r="Q64" s="4"/>
      <c r="R64" s="4">
        <v>0</v>
      </c>
      <c r="S64" s="4"/>
      <c r="T64" s="4"/>
      <c r="U64" s="4">
        <v>323803</v>
      </c>
      <c r="V64" s="4">
        <f t="shared" si="9"/>
        <v>563803</v>
      </c>
      <c r="W64" s="5">
        <f t="shared" si="11"/>
        <v>2636197</v>
      </c>
      <c r="X64" s="5"/>
      <c r="Y64" s="64"/>
      <c r="Z64" s="5">
        <f t="shared" si="0"/>
        <v>2636197</v>
      </c>
    </row>
    <row r="65" spans="1:28" ht="24.95" customHeight="1" x14ac:dyDescent="0.25">
      <c r="A65" s="65"/>
      <c r="B65" s="2">
        <f t="shared" si="10"/>
        <v>14</v>
      </c>
      <c r="C65" s="1" t="s">
        <v>98</v>
      </c>
      <c r="D65" s="2"/>
      <c r="E65" s="4">
        <v>2000000</v>
      </c>
      <c r="F65" s="3">
        <v>30</v>
      </c>
      <c r="G65" s="4">
        <f t="shared" si="4"/>
        <v>2000000.0000000002</v>
      </c>
      <c r="H65" s="4"/>
      <c r="I65" s="4"/>
      <c r="J65" s="4"/>
      <c r="K65" s="4"/>
      <c r="L65" s="4"/>
      <c r="M65" s="4">
        <f>+G65+H65+J65+K65+L65+I65</f>
        <v>2000000.0000000002</v>
      </c>
      <c r="N65" s="4">
        <f>+E65*4%</f>
        <v>80000</v>
      </c>
      <c r="O65" s="4">
        <f>+E65*4%</f>
        <v>80000</v>
      </c>
      <c r="P65" s="4"/>
      <c r="Q65" s="4"/>
      <c r="R65" s="4">
        <v>0</v>
      </c>
      <c r="S65" s="4"/>
      <c r="T65" s="4"/>
      <c r="U65" s="4"/>
      <c r="V65" s="4">
        <f t="shared" si="9"/>
        <v>160000</v>
      </c>
      <c r="W65" s="5">
        <f t="shared" si="11"/>
        <v>1840000.0000000002</v>
      </c>
      <c r="X65" s="5"/>
      <c r="Y65" s="64"/>
      <c r="Z65" s="5">
        <f t="shared" si="0"/>
        <v>1840000.0000000002</v>
      </c>
    </row>
    <row r="66" spans="1:28" ht="24.95" customHeight="1" x14ac:dyDescent="0.25">
      <c r="A66" s="65"/>
      <c r="B66" s="2">
        <f t="shared" si="10"/>
        <v>15</v>
      </c>
      <c r="C66" s="9" t="s">
        <v>99</v>
      </c>
      <c r="D66" s="8" t="s">
        <v>31</v>
      </c>
      <c r="E66" s="4">
        <v>4100000</v>
      </c>
      <c r="F66" s="3">
        <v>30</v>
      </c>
      <c r="G66" s="4">
        <f t="shared" si="4"/>
        <v>4099999.9999999995</v>
      </c>
      <c r="H66" s="4"/>
      <c r="I66" s="4"/>
      <c r="J66" s="4"/>
      <c r="K66" s="4"/>
      <c r="L66" s="4"/>
      <c r="M66" s="4">
        <f>+G66+H66+J66+K66+L66+I66</f>
        <v>4099999.9999999995</v>
      </c>
      <c r="N66" s="4">
        <f>+E66*4%</f>
        <v>164000</v>
      </c>
      <c r="O66" s="4">
        <f>+E66*5%</f>
        <v>205000</v>
      </c>
      <c r="P66" s="4"/>
      <c r="Q66" s="4"/>
      <c r="R66" s="4">
        <v>0</v>
      </c>
      <c r="S66" s="4"/>
      <c r="T66" s="4"/>
      <c r="U66" s="4"/>
      <c r="V66" s="4">
        <f t="shared" si="9"/>
        <v>369000</v>
      </c>
      <c r="W66" s="5">
        <f t="shared" ref="W66:W75" si="12">M66-V66</f>
        <v>3730999.9999999995</v>
      </c>
      <c r="X66" s="5"/>
      <c r="Y66" s="64"/>
      <c r="Z66" s="5">
        <f t="shared" si="0"/>
        <v>3730999.9999999995</v>
      </c>
    </row>
    <row r="67" spans="1:28" ht="24.95" customHeight="1" x14ac:dyDescent="0.25">
      <c r="A67" s="65"/>
      <c r="B67" s="2">
        <f t="shared" si="10"/>
        <v>16</v>
      </c>
      <c r="C67" s="1" t="s">
        <v>100</v>
      </c>
      <c r="D67" s="2" t="s">
        <v>31</v>
      </c>
      <c r="E67" s="4">
        <v>4000000</v>
      </c>
      <c r="F67" s="3">
        <v>30</v>
      </c>
      <c r="G67" s="4">
        <f>+E67/30*21</f>
        <v>2800000</v>
      </c>
      <c r="H67" s="4"/>
      <c r="I67" s="4"/>
      <c r="J67" s="4">
        <v>977797</v>
      </c>
      <c r="K67" s="4">
        <v>300000</v>
      </c>
      <c r="L67" s="4"/>
      <c r="M67" s="4">
        <f>+G67+H67+J67+K67+L67+I67</f>
        <v>4077797</v>
      </c>
      <c r="N67" s="4">
        <f>E67*4%</f>
        <v>160000</v>
      </c>
      <c r="O67" s="4">
        <f>+E67*0.05</f>
        <v>200000</v>
      </c>
      <c r="P67" s="4"/>
      <c r="Q67" s="4"/>
      <c r="R67" s="4">
        <v>0</v>
      </c>
      <c r="S67" s="4"/>
      <c r="T67" s="4"/>
      <c r="U67" s="4">
        <v>879143</v>
      </c>
      <c r="V67" s="4">
        <f t="shared" si="9"/>
        <v>1239143</v>
      </c>
      <c r="W67" s="5">
        <f t="shared" si="12"/>
        <v>2838654</v>
      </c>
      <c r="X67" s="5"/>
      <c r="Y67" s="64"/>
      <c r="Z67" s="5">
        <f t="shared" si="0"/>
        <v>2838654</v>
      </c>
    </row>
    <row r="68" spans="1:28" ht="24.95" customHeight="1" x14ac:dyDescent="0.25">
      <c r="A68" s="65"/>
      <c r="B68" s="2">
        <f t="shared" si="10"/>
        <v>17</v>
      </c>
      <c r="C68" s="1" t="s">
        <v>101</v>
      </c>
      <c r="D68" s="2" t="s">
        <v>31</v>
      </c>
      <c r="E68" s="4">
        <v>800000</v>
      </c>
      <c r="F68" s="3">
        <v>30</v>
      </c>
      <c r="G68" s="4">
        <f t="shared" si="4"/>
        <v>800000</v>
      </c>
      <c r="H68" s="4">
        <v>88211</v>
      </c>
      <c r="I68" s="4"/>
      <c r="J68" s="4"/>
      <c r="K68" s="4"/>
      <c r="L68" s="4"/>
      <c r="M68" s="4">
        <f>+G68+H68+J68+K68+L68+I68</f>
        <v>888211</v>
      </c>
      <c r="N68" s="4">
        <f>+E68*4%</f>
        <v>32000</v>
      </c>
      <c r="O68" s="4">
        <f>+E68*4%</f>
        <v>32000</v>
      </c>
      <c r="P68" s="4"/>
      <c r="Q68" s="4"/>
      <c r="R68" s="4"/>
      <c r="S68" s="4"/>
      <c r="T68" s="4"/>
      <c r="U68" s="4"/>
      <c r="V68" s="4">
        <f t="shared" si="9"/>
        <v>64000</v>
      </c>
      <c r="W68" s="5">
        <f t="shared" si="12"/>
        <v>824211</v>
      </c>
      <c r="X68" s="5"/>
      <c r="Y68" s="64"/>
      <c r="Z68" s="5">
        <f t="shared" ref="Z68:Z93" si="13">W68+X68-Y68</f>
        <v>824211</v>
      </c>
    </row>
    <row r="69" spans="1:28" ht="24.95" customHeight="1" x14ac:dyDescent="0.25">
      <c r="A69" s="65"/>
      <c r="B69" s="2">
        <f t="shared" si="10"/>
        <v>18</v>
      </c>
      <c r="C69" s="1" t="s">
        <v>103</v>
      </c>
      <c r="D69" s="2" t="s">
        <v>31</v>
      </c>
      <c r="E69" s="4">
        <v>4200000</v>
      </c>
      <c r="F69" s="3">
        <v>30</v>
      </c>
      <c r="G69" s="4">
        <f t="shared" si="4"/>
        <v>4200000</v>
      </c>
      <c r="H69" s="4"/>
      <c r="I69" s="4"/>
      <c r="J69" s="4"/>
      <c r="K69" s="4"/>
      <c r="L69" s="4"/>
      <c r="M69" s="4">
        <f>+G69+H69+J69+K69+L69+I69</f>
        <v>4200000</v>
      </c>
      <c r="N69" s="4">
        <f>+E69*0.04</f>
        <v>168000</v>
      </c>
      <c r="O69" s="4">
        <f>+E69*0.05</f>
        <v>210000</v>
      </c>
      <c r="P69" s="4"/>
      <c r="Q69" s="4"/>
      <c r="R69" s="4">
        <v>0</v>
      </c>
      <c r="S69" s="4"/>
      <c r="T69" s="4"/>
      <c r="U69" s="4"/>
      <c r="V69" s="4">
        <f t="shared" si="9"/>
        <v>378000</v>
      </c>
      <c r="W69" s="5">
        <f t="shared" si="12"/>
        <v>3822000</v>
      </c>
      <c r="X69" s="5"/>
      <c r="Y69" s="64"/>
      <c r="Z69" s="5">
        <f t="shared" si="13"/>
        <v>3822000</v>
      </c>
    </row>
    <row r="70" spans="1:28" ht="24.95" customHeight="1" x14ac:dyDescent="0.25">
      <c r="A70" s="65"/>
      <c r="B70" s="2">
        <f t="shared" si="10"/>
        <v>19</v>
      </c>
      <c r="C70" s="1" t="s">
        <v>104</v>
      </c>
      <c r="D70" s="2" t="s">
        <v>31</v>
      </c>
      <c r="E70" s="4">
        <v>1550000</v>
      </c>
      <c r="F70" s="3">
        <v>30</v>
      </c>
      <c r="G70" s="4">
        <f t="shared" si="4"/>
        <v>1550000</v>
      </c>
      <c r="H70" s="4"/>
      <c r="I70" s="4"/>
      <c r="J70" s="4"/>
      <c r="K70" s="4"/>
      <c r="L70" s="4"/>
      <c r="M70" s="4">
        <f>+G70+H70+J70+K70+L70+I70</f>
        <v>1550000</v>
      </c>
      <c r="N70" s="4">
        <f>+E70*4%</f>
        <v>62000</v>
      </c>
      <c r="O70" s="4">
        <f>+E70*4%</f>
        <v>62000</v>
      </c>
      <c r="P70" s="4"/>
      <c r="Q70" s="4"/>
      <c r="R70" s="4"/>
      <c r="S70" s="4"/>
      <c r="T70" s="4"/>
      <c r="U70" s="4"/>
      <c r="V70" s="4">
        <f t="shared" si="9"/>
        <v>124000</v>
      </c>
      <c r="W70" s="5">
        <f t="shared" si="12"/>
        <v>1426000</v>
      </c>
      <c r="X70" s="5"/>
      <c r="Y70" s="64"/>
      <c r="Z70" s="5">
        <f t="shared" si="13"/>
        <v>1426000</v>
      </c>
    </row>
    <row r="71" spans="1:28" ht="24.95" customHeight="1" x14ac:dyDescent="0.25">
      <c r="A71" s="65"/>
      <c r="B71" s="2">
        <f t="shared" si="10"/>
        <v>20</v>
      </c>
      <c r="C71" s="1" t="s">
        <v>105</v>
      </c>
      <c r="D71" s="2"/>
      <c r="E71" s="4">
        <v>1200000</v>
      </c>
      <c r="F71" s="3">
        <v>30</v>
      </c>
      <c r="G71" s="4">
        <f>+E71-L71</f>
        <v>960000</v>
      </c>
      <c r="H71" s="4">
        <v>88211</v>
      </c>
      <c r="I71" s="4"/>
      <c r="J71" s="4"/>
      <c r="K71" s="4"/>
      <c r="L71" s="4">
        <v>240000</v>
      </c>
      <c r="M71" s="4">
        <f>+G71+H71+J71+K71+L71+I71</f>
        <v>1288211</v>
      </c>
      <c r="N71" s="4">
        <f>+E71*4%</f>
        <v>48000</v>
      </c>
      <c r="O71" s="4">
        <f>+E71*4%</f>
        <v>48000</v>
      </c>
      <c r="P71" s="4"/>
      <c r="Q71" s="4"/>
      <c r="R71" s="4"/>
      <c r="S71" s="4"/>
      <c r="T71" s="4"/>
      <c r="U71" s="4"/>
      <c r="V71" s="4">
        <f t="shared" si="9"/>
        <v>96000</v>
      </c>
      <c r="W71" s="5">
        <f t="shared" si="12"/>
        <v>1192211</v>
      </c>
      <c r="X71" s="5"/>
      <c r="Y71" s="64"/>
      <c r="Z71" s="5">
        <f t="shared" si="13"/>
        <v>1192211</v>
      </c>
    </row>
    <row r="72" spans="1:28" ht="24.95" customHeight="1" x14ac:dyDescent="0.25">
      <c r="A72" s="65"/>
      <c r="B72" s="2">
        <f t="shared" si="10"/>
        <v>21</v>
      </c>
      <c r="C72" s="1" t="s">
        <v>106</v>
      </c>
      <c r="D72" s="2" t="s">
        <v>31</v>
      </c>
      <c r="E72" s="4">
        <v>2500000</v>
      </c>
      <c r="F72" s="3">
        <v>30</v>
      </c>
      <c r="G72" s="4">
        <f t="shared" ref="G72:G107" si="14">+E72/30*F72</f>
        <v>2500000</v>
      </c>
      <c r="H72" s="4"/>
      <c r="I72" s="4"/>
      <c r="J72" s="4"/>
      <c r="K72" s="4"/>
      <c r="L72" s="4"/>
      <c r="M72" s="4">
        <f>+G72+H72+J72+K72+L72+I72</f>
        <v>2500000</v>
      </c>
      <c r="N72" s="4">
        <f>+E72*4%</f>
        <v>100000</v>
      </c>
      <c r="O72" s="4">
        <f>+E72*4%</f>
        <v>100000</v>
      </c>
      <c r="P72" s="4"/>
      <c r="Q72" s="4"/>
      <c r="R72" s="4">
        <v>0</v>
      </c>
      <c r="S72" s="4"/>
      <c r="T72" s="4"/>
      <c r="U72" s="4"/>
      <c r="V72" s="4">
        <f t="shared" si="9"/>
        <v>200000</v>
      </c>
      <c r="W72" s="5">
        <f t="shared" si="12"/>
        <v>2300000</v>
      </c>
      <c r="X72" s="5"/>
      <c r="Y72" s="64"/>
      <c r="Z72" s="5">
        <f t="shared" si="13"/>
        <v>2300000</v>
      </c>
    </row>
    <row r="73" spans="1:28" ht="24.95" customHeight="1" x14ac:dyDescent="0.25">
      <c r="A73" s="65"/>
      <c r="B73" s="2">
        <f t="shared" si="10"/>
        <v>22</v>
      </c>
      <c r="C73" s="1" t="s">
        <v>107</v>
      </c>
      <c r="D73" s="2"/>
      <c r="E73" s="4">
        <f>781242/2</f>
        <v>390621</v>
      </c>
      <c r="F73" s="3">
        <v>30</v>
      </c>
      <c r="G73" s="4">
        <f t="shared" si="14"/>
        <v>390621</v>
      </c>
      <c r="H73" s="4"/>
      <c r="I73" s="4"/>
      <c r="J73" s="4"/>
      <c r="K73" s="4"/>
      <c r="L73" s="4"/>
      <c r="M73" s="4">
        <f>+G73+H73+J73+K73+L73+I73</f>
        <v>390621</v>
      </c>
      <c r="N73" s="4"/>
      <c r="O73" s="4"/>
      <c r="P73" s="4"/>
      <c r="Q73" s="4"/>
      <c r="R73" s="4"/>
      <c r="S73" s="4"/>
      <c r="T73" s="4"/>
      <c r="U73" s="4"/>
      <c r="V73" s="4">
        <f t="shared" si="9"/>
        <v>0</v>
      </c>
      <c r="W73" s="5">
        <f t="shared" si="12"/>
        <v>390621</v>
      </c>
      <c r="X73" s="5"/>
      <c r="Y73" s="64"/>
      <c r="Z73" s="5">
        <f t="shared" si="13"/>
        <v>390621</v>
      </c>
    </row>
    <row r="74" spans="1:28" ht="24.95" customHeight="1" x14ac:dyDescent="0.25">
      <c r="A74" s="65"/>
      <c r="B74" s="2">
        <f t="shared" si="10"/>
        <v>23</v>
      </c>
      <c r="C74" s="9" t="s">
        <v>109</v>
      </c>
      <c r="D74" s="8" t="s">
        <v>31</v>
      </c>
      <c r="E74" s="4">
        <v>1700000</v>
      </c>
      <c r="F74" s="3">
        <v>30</v>
      </c>
      <c r="G74" s="4">
        <f t="shared" si="14"/>
        <v>1700000</v>
      </c>
      <c r="H74" s="4"/>
      <c r="I74" s="4"/>
      <c r="J74" s="4"/>
      <c r="K74" s="4"/>
      <c r="L74" s="4"/>
      <c r="M74" s="4">
        <f>+G74+H74+J74+K74+L74+I74</f>
        <v>1700000</v>
      </c>
      <c r="N74" s="4">
        <f>+E74*4%</f>
        <v>68000</v>
      </c>
      <c r="O74" s="4">
        <f>+E74*4%</f>
        <v>68000</v>
      </c>
      <c r="P74" s="4"/>
      <c r="Q74" s="4"/>
      <c r="R74" s="4"/>
      <c r="S74" s="4"/>
      <c r="T74" s="4"/>
      <c r="U74" s="4"/>
      <c r="V74" s="4">
        <f t="shared" si="9"/>
        <v>136000</v>
      </c>
      <c r="W74" s="5">
        <f t="shared" si="12"/>
        <v>1564000</v>
      </c>
      <c r="X74" s="5"/>
      <c r="Y74" s="64"/>
      <c r="Z74" s="5">
        <f t="shared" si="13"/>
        <v>1564000</v>
      </c>
    </row>
    <row r="75" spans="1:28" ht="24.95" customHeight="1" x14ac:dyDescent="0.25">
      <c r="A75" s="65"/>
      <c r="B75" s="2">
        <f t="shared" si="10"/>
        <v>24</v>
      </c>
      <c r="C75" s="9" t="s">
        <v>110</v>
      </c>
      <c r="D75" s="8"/>
      <c r="E75" s="4">
        <v>2400000</v>
      </c>
      <c r="F75" s="3">
        <v>30</v>
      </c>
      <c r="G75" s="4">
        <f t="shared" si="14"/>
        <v>2400000</v>
      </c>
      <c r="H75" s="4"/>
      <c r="I75" s="4"/>
      <c r="J75" s="4"/>
      <c r="K75" s="4"/>
      <c r="L75" s="4">
        <f>+E75-G75</f>
        <v>0</v>
      </c>
      <c r="M75" s="4">
        <f>+G75+H75+J75+K75+L75+I75</f>
        <v>2400000</v>
      </c>
      <c r="N75" s="4">
        <f>+E75*4%</f>
        <v>96000</v>
      </c>
      <c r="O75" s="4">
        <f>+E75*4%</f>
        <v>96000</v>
      </c>
      <c r="P75" s="4"/>
      <c r="Q75" s="4"/>
      <c r="R75" s="4"/>
      <c r="S75" s="4"/>
      <c r="T75" s="4"/>
      <c r="U75" s="4"/>
      <c r="V75" s="4">
        <f t="shared" si="9"/>
        <v>192000</v>
      </c>
      <c r="W75" s="5">
        <f t="shared" si="12"/>
        <v>2208000</v>
      </c>
      <c r="X75" s="5"/>
      <c r="Y75" s="64"/>
      <c r="Z75" s="5">
        <f t="shared" si="13"/>
        <v>2208000</v>
      </c>
    </row>
    <row r="76" spans="1:28" ht="24.95" customHeight="1" x14ac:dyDescent="0.25">
      <c r="A76" s="65"/>
      <c r="B76" s="2">
        <f t="shared" si="10"/>
        <v>25</v>
      </c>
      <c r="C76" s="1" t="s">
        <v>111</v>
      </c>
      <c r="D76" s="2" t="s">
        <v>31</v>
      </c>
      <c r="E76" s="4">
        <v>2200000</v>
      </c>
      <c r="F76" s="3">
        <v>30</v>
      </c>
      <c r="G76" s="4">
        <f t="shared" si="14"/>
        <v>2200000</v>
      </c>
      <c r="H76" s="4"/>
      <c r="I76" s="4"/>
      <c r="J76" s="4"/>
      <c r="K76" s="4"/>
      <c r="L76" s="4"/>
      <c r="M76" s="4">
        <f>+G76+H76+J76+K76+L76+I76</f>
        <v>2200000</v>
      </c>
      <c r="N76" s="4">
        <f>+E76*4%</f>
        <v>88000</v>
      </c>
      <c r="O76" s="4">
        <f>+E76*4%</f>
        <v>88000</v>
      </c>
      <c r="P76" s="4"/>
      <c r="Q76" s="4"/>
      <c r="R76" s="4">
        <v>0</v>
      </c>
      <c r="S76" s="4"/>
      <c r="T76" s="4"/>
      <c r="U76" s="4"/>
      <c r="V76" s="4">
        <f t="shared" si="9"/>
        <v>176000</v>
      </c>
      <c r="W76" s="5">
        <f>+M76-V76</f>
        <v>2024000</v>
      </c>
      <c r="X76" s="5"/>
      <c r="Y76" s="64"/>
      <c r="Z76" s="5">
        <f t="shared" si="13"/>
        <v>2024000</v>
      </c>
    </row>
    <row r="77" spans="1:28" ht="24.95" customHeight="1" x14ac:dyDescent="0.25">
      <c r="A77" s="65"/>
      <c r="B77" s="2">
        <f t="shared" si="10"/>
        <v>26</v>
      </c>
      <c r="C77" s="1" t="s">
        <v>112</v>
      </c>
      <c r="D77" s="2" t="s">
        <v>31</v>
      </c>
      <c r="E77" s="4">
        <v>3000000</v>
      </c>
      <c r="F77" s="3">
        <v>30</v>
      </c>
      <c r="G77" s="4">
        <f t="shared" si="14"/>
        <v>3000000</v>
      </c>
      <c r="H77" s="4"/>
      <c r="I77" s="4"/>
      <c r="J77" s="4"/>
      <c r="K77" s="4"/>
      <c r="L77" s="4">
        <f>+E77-G77</f>
        <v>0</v>
      </c>
      <c r="M77" s="4">
        <f>+G77+H77+J77+K77+L77+I77</f>
        <v>3000000</v>
      </c>
      <c r="N77" s="4">
        <f>+E77*4%</f>
        <v>120000</v>
      </c>
      <c r="O77" s="4">
        <f>+E77*4%</f>
        <v>120000</v>
      </c>
      <c r="P77" s="4"/>
      <c r="Q77" s="4"/>
      <c r="R77" s="7">
        <v>0</v>
      </c>
      <c r="S77" s="4"/>
      <c r="T77" s="4">
        <v>0</v>
      </c>
      <c r="U77" s="4"/>
      <c r="V77" s="4">
        <f t="shared" si="9"/>
        <v>240000</v>
      </c>
      <c r="W77" s="5">
        <f>+M77-V77</f>
        <v>2760000</v>
      </c>
      <c r="X77" s="5"/>
      <c r="Y77" s="64"/>
      <c r="Z77" s="5">
        <f t="shared" si="13"/>
        <v>2760000</v>
      </c>
      <c r="AA77" s="66">
        <v>4886979</v>
      </c>
      <c r="AB77" s="67">
        <f>+Z77-AA77</f>
        <v>-2126979</v>
      </c>
    </row>
    <row r="78" spans="1:28" ht="24.95" customHeight="1" x14ac:dyDescent="0.25">
      <c r="A78" s="65"/>
      <c r="B78" s="2">
        <f t="shared" si="10"/>
        <v>27</v>
      </c>
      <c r="C78" s="1" t="s">
        <v>113</v>
      </c>
      <c r="D78" s="2"/>
      <c r="E78" s="4">
        <v>4770000</v>
      </c>
      <c r="F78" s="3">
        <v>30</v>
      </c>
      <c r="G78" s="4">
        <f t="shared" si="14"/>
        <v>4770000</v>
      </c>
      <c r="H78" s="4"/>
      <c r="I78" s="4"/>
      <c r="J78" s="4"/>
      <c r="K78" s="4"/>
      <c r="L78" s="4">
        <f>+E78-G78</f>
        <v>0</v>
      </c>
      <c r="M78" s="4">
        <f>+G78+H78+J78+K78+L78+I78</f>
        <v>4770000</v>
      </c>
      <c r="N78" s="4">
        <f>+E78*4%</f>
        <v>190800</v>
      </c>
      <c r="O78" s="4">
        <f>+E78*5%</f>
        <v>238500</v>
      </c>
      <c r="P78" s="4"/>
      <c r="Q78" s="4"/>
      <c r="R78" s="7">
        <v>0</v>
      </c>
      <c r="S78" s="4"/>
      <c r="T78" s="4"/>
      <c r="U78" s="4"/>
      <c r="V78" s="4">
        <f t="shared" si="9"/>
        <v>429300</v>
      </c>
      <c r="W78" s="5">
        <f t="shared" ref="W78:W84" si="15">+M78-V78</f>
        <v>4340700</v>
      </c>
      <c r="X78" s="5"/>
      <c r="Y78" s="64"/>
      <c r="Z78" s="5"/>
    </row>
    <row r="79" spans="1:28" ht="24.95" customHeight="1" x14ac:dyDescent="0.25">
      <c r="A79" s="65"/>
      <c r="B79" s="2">
        <f t="shared" si="10"/>
        <v>28</v>
      </c>
      <c r="C79" s="1" t="s">
        <v>114</v>
      </c>
      <c r="D79" s="2"/>
      <c r="E79" s="4">
        <v>5500000</v>
      </c>
      <c r="F79" s="3">
        <v>30</v>
      </c>
      <c r="G79" s="4">
        <f t="shared" si="14"/>
        <v>5500000</v>
      </c>
      <c r="H79" s="4"/>
      <c r="I79" s="4"/>
      <c r="J79" s="4"/>
      <c r="K79" s="4">
        <v>500000</v>
      </c>
      <c r="L79" s="4">
        <f>+E79-G79</f>
        <v>0</v>
      </c>
      <c r="M79" s="4">
        <f>+G79+H79+J79+K79+L79+I79</f>
        <v>6000000</v>
      </c>
      <c r="N79" s="4">
        <f>+E79*4%</f>
        <v>220000</v>
      </c>
      <c r="O79" s="4">
        <f>+E79*5%</f>
        <v>275000</v>
      </c>
      <c r="P79" s="4"/>
      <c r="Q79" s="4"/>
      <c r="R79" s="7">
        <v>69147</v>
      </c>
      <c r="S79" s="4"/>
      <c r="T79" s="4"/>
      <c r="U79" s="4"/>
      <c r="V79" s="4">
        <f t="shared" si="9"/>
        <v>564147</v>
      </c>
      <c r="W79" s="5">
        <f t="shared" si="15"/>
        <v>5435853</v>
      </c>
      <c r="X79" s="5"/>
      <c r="Y79" s="64"/>
      <c r="Z79" s="5">
        <f t="shared" ref="Z79:Z107" si="16">W79+X79-Y79</f>
        <v>5435853</v>
      </c>
    </row>
    <row r="80" spans="1:28" ht="24.95" customHeight="1" x14ac:dyDescent="0.25">
      <c r="A80" s="65"/>
      <c r="B80" s="2">
        <f t="shared" si="10"/>
        <v>29</v>
      </c>
      <c r="C80" s="1" t="s">
        <v>115</v>
      </c>
      <c r="D80" s="2"/>
      <c r="E80" s="4">
        <v>2000000</v>
      </c>
      <c r="F80" s="3">
        <v>30</v>
      </c>
      <c r="G80" s="4">
        <f t="shared" si="14"/>
        <v>2000000.0000000002</v>
      </c>
      <c r="H80" s="4"/>
      <c r="I80" s="4"/>
      <c r="J80" s="4"/>
      <c r="K80" s="4"/>
      <c r="L80" s="4">
        <f>+E80-G80</f>
        <v>0</v>
      </c>
      <c r="M80" s="4">
        <f>+G80+H80+J80+K80+L80+I80</f>
        <v>2000000.0000000002</v>
      </c>
      <c r="N80" s="4">
        <f>+E80*4%</f>
        <v>80000</v>
      </c>
      <c r="O80" s="4">
        <f>+E80*4%</f>
        <v>80000</v>
      </c>
      <c r="P80" s="4"/>
      <c r="Q80" s="4"/>
      <c r="R80" s="7"/>
      <c r="S80" s="4"/>
      <c r="T80" s="4"/>
      <c r="U80" s="4"/>
      <c r="V80" s="4">
        <f t="shared" si="9"/>
        <v>160000</v>
      </c>
      <c r="W80" s="5">
        <f t="shared" si="15"/>
        <v>1840000.0000000002</v>
      </c>
      <c r="X80" s="5"/>
      <c r="Y80" s="64"/>
      <c r="Z80" s="5">
        <f t="shared" si="16"/>
        <v>1840000.0000000002</v>
      </c>
    </row>
    <row r="81" spans="1:27" ht="24.95" customHeight="1" x14ac:dyDescent="0.25">
      <c r="A81" s="65"/>
      <c r="B81" s="2">
        <f t="shared" si="10"/>
        <v>30</v>
      </c>
      <c r="C81" s="1" t="s">
        <v>116</v>
      </c>
      <c r="D81" s="2"/>
      <c r="E81" s="4">
        <v>781242</v>
      </c>
      <c r="F81" s="3">
        <v>30</v>
      </c>
      <c r="G81" s="4">
        <f t="shared" si="14"/>
        <v>781242</v>
      </c>
      <c r="H81" s="4">
        <v>88211</v>
      </c>
      <c r="I81" s="4"/>
      <c r="J81" s="4"/>
      <c r="K81" s="4"/>
      <c r="L81" s="4"/>
      <c r="M81" s="4">
        <f>+G81+H81+J81+K81+L81+I81</f>
        <v>869453</v>
      </c>
      <c r="N81" s="4">
        <f>+E81*4%</f>
        <v>31249.68</v>
      </c>
      <c r="O81" s="4">
        <f>+E81*4%</f>
        <v>31249.68</v>
      </c>
      <c r="P81" s="4"/>
      <c r="Q81" s="4"/>
      <c r="R81" s="7"/>
      <c r="S81" s="4"/>
      <c r="T81" s="4"/>
      <c r="U81" s="4"/>
      <c r="V81" s="4">
        <f t="shared" si="9"/>
        <v>62499.360000000001</v>
      </c>
      <c r="W81" s="5">
        <f t="shared" si="15"/>
        <v>806953.64</v>
      </c>
      <c r="X81" s="5"/>
      <c r="Y81" s="64"/>
      <c r="Z81" s="5">
        <f t="shared" si="16"/>
        <v>806953.64</v>
      </c>
    </row>
    <row r="82" spans="1:27" ht="24.95" customHeight="1" x14ac:dyDescent="0.25">
      <c r="A82" s="65"/>
      <c r="B82" s="2">
        <f t="shared" si="10"/>
        <v>31</v>
      </c>
      <c r="C82" s="1" t="s">
        <v>117</v>
      </c>
      <c r="D82" s="2"/>
      <c r="E82" s="4">
        <v>2500000</v>
      </c>
      <c r="F82" s="3">
        <v>30</v>
      </c>
      <c r="G82" s="4">
        <f>+E82/30*27</f>
        <v>2250000</v>
      </c>
      <c r="H82" s="4"/>
      <c r="I82" s="4"/>
      <c r="J82" s="4">
        <f>+E82/30*2+55558</f>
        <v>222224.66666666666</v>
      </c>
      <c r="K82" s="4">
        <v>350000</v>
      </c>
      <c r="L82" s="4"/>
      <c r="M82" s="4">
        <f>+G82+H82+J82+K82+L82+I82</f>
        <v>2822224.6666666665</v>
      </c>
      <c r="N82" s="4">
        <f>+E82*4%</f>
        <v>100000</v>
      </c>
      <c r="O82" s="4">
        <f>+E82*4%</f>
        <v>100000</v>
      </c>
      <c r="P82" s="4"/>
      <c r="Q82" s="4"/>
      <c r="R82" s="7"/>
      <c r="S82" s="4"/>
      <c r="T82" s="4"/>
      <c r="U82" s="4"/>
      <c r="V82" s="4">
        <f t="shared" si="9"/>
        <v>200000</v>
      </c>
      <c r="W82" s="5">
        <f t="shared" si="15"/>
        <v>2622224.6666666665</v>
      </c>
      <c r="X82" s="5"/>
      <c r="Y82" s="64"/>
      <c r="Z82" s="5">
        <f t="shared" si="16"/>
        <v>2622224.6666666665</v>
      </c>
    </row>
    <row r="83" spans="1:27" ht="24.95" customHeight="1" x14ac:dyDescent="0.25">
      <c r="A83" s="65"/>
      <c r="B83" s="2">
        <f t="shared" si="10"/>
        <v>32</v>
      </c>
      <c r="C83" s="1" t="s">
        <v>118</v>
      </c>
      <c r="D83" s="2" t="s">
        <v>31</v>
      </c>
      <c r="E83" s="4">
        <v>2200000</v>
      </c>
      <c r="F83" s="3">
        <v>30</v>
      </c>
      <c r="G83" s="4">
        <f t="shared" si="14"/>
        <v>2200000</v>
      </c>
      <c r="H83" s="4"/>
      <c r="I83" s="4"/>
      <c r="J83" s="4"/>
      <c r="K83" s="4"/>
      <c r="L83" s="4"/>
      <c r="M83" s="4">
        <f>+G83+H83+J83+K83+L83+I83</f>
        <v>2200000</v>
      </c>
      <c r="N83" s="4">
        <f>+E83*4%</f>
        <v>88000</v>
      </c>
      <c r="O83" s="4">
        <f>+E83*4%</f>
        <v>88000</v>
      </c>
      <c r="P83" s="4"/>
      <c r="Q83" s="4"/>
      <c r="R83" s="7">
        <v>0</v>
      </c>
      <c r="S83" s="4"/>
      <c r="T83" s="4"/>
      <c r="U83" s="4"/>
      <c r="V83" s="4">
        <f t="shared" si="9"/>
        <v>176000</v>
      </c>
      <c r="W83" s="5">
        <f t="shared" si="15"/>
        <v>2024000</v>
      </c>
      <c r="X83" s="5"/>
      <c r="Y83" s="64"/>
      <c r="Z83" s="5">
        <f t="shared" si="16"/>
        <v>2024000</v>
      </c>
    </row>
    <row r="84" spans="1:27" ht="24.95" customHeight="1" x14ac:dyDescent="0.25">
      <c r="A84" s="65"/>
      <c r="B84" s="2">
        <f t="shared" si="10"/>
        <v>33</v>
      </c>
      <c r="C84" s="1" t="s">
        <v>120</v>
      </c>
      <c r="D84" s="2" t="s">
        <v>31</v>
      </c>
      <c r="E84" s="4">
        <v>5500000</v>
      </c>
      <c r="F84" s="3">
        <v>30</v>
      </c>
      <c r="G84" s="4">
        <f>+E84-L84-J84</f>
        <v>4400000.333333333</v>
      </c>
      <c r="H84" s="4"/>
      <c r="I84" s="4"/>
      <c r="J84" s="4">
        <f>+E84/30*2</f>
        <v>366666.66666666669</v>
      </c>
      <c r="K84" s="4"/>
      <c r="L84" s="4">
        <v>733333</v>
      </c>
      <c r="M84" s="4">
        <f>+G84+H84+J84+K84+L84+I84</f>
        <v>5500000</v>
      </c>
      <c r="N84" s="4">
        <f>+E84*4%</f>
        <v>220000</v>
      </c>
      <c r="O84" s="4">
        <f>+E84*5%</f>
        <v>275000</v>
      </c>
      <c r="P84" s="4"/>
      <c r="Q84" s="4"/>
      <c r="R84" s="4">
        <v>102000</v>
      </c>
      <c r="S84" s="4"/>
      <c r="T84" s="4"/>
      <c r="U84" s="4">
        <v>610699</v>
      </c>
      <c r="V84" s="4">
        <f t="shared" si="9"/>
        <v>1207699</v>
      </c>
      <c r="W84" s="5">
        <f t="shared" si="15"/>
        <v>4292301</v>
      </c>
      <c r="X84" s="5"/>
      <c r="Y84" s="64"/>
      <c r="Z84" s="5">
        <f t="shared" si="16"/>
        <v>4292301</v>
      </c>
    </row>
    <row r="85" spans="1:27" ht="24.95" customHeight="1" x14ac:dyDescent="0.25">
      <c r="A85" s="65"/>
      <c r="B85" s="2">
        <f t="shared" si="10"/>
        <v>34</v>
      </c>
      <c r="C85" s="1" t="s">
        <v>122</v>
      </c>
      <c r="D85" s="2" t="s">
        <v>31</v>
      </c>
      <c r="E85" s="4">
        <v>3500000</v>
      </c>
      <c r="F85" s="3">
        <v>30</v>
      </c>
      <c r="G85" s="4">
        <f t="shared" si="14"/>
        <v>3500000</v>
      </c>
      <c r="H85" s="4"/>
      <c r="I85" s="4"/>
      <c r="J85" s="4"/>
      <c r="K85" s="4"/>
      <c r="L85" s="4"/>
      <c r="M85" s="4">
        <f>+G85+H85+J85+K85+L85+I85</f>
        <v>3500000</v>
      </c>
      <c r="N85" s="4">
        <f>+E85*4%</f>
        <v>140000</v>
      </c>
      <c r="O85" s="4">
        <f>+E85*5%</f>
        <v>175000</v>
      </c>
      <c r="P85" s="4">
        <v>0</v>
      </c>
      <c r="Q85" s="4"/>
      <c r="R85" s="4">
        <v>0</v>
      </c>
      <c r="S85" s="4"/>
      <c r="T85" s="4"/>
      <c r="U85" s="4"/>
      <c r="V85" s="4">
        <f t="shared" si="9"/>
        <v>315000</v>
      </c>
      <c r="W85" s="5">
        <f t="shared" ref="W85:W90" si="17">M85-V85</f>
        <v>3185000</v>
      </c>
      <c r="X85" s="5"/>
      <c r="Y85" s="64"/>
      <c r="Z85" s="5">
        <f t="shared" si="16"/>
        <v>3185000</v>
      </c>
    </row>
    <row r="86" spans="1:27" ht="24.95" customHeight="1" x14ac:dyDescent="0.25">
      <c r="A86" s="65"/>
      <c r="B86" s="2">
        <f t="shared" si="10"/>
        <v>35</v>
      </c>
      <c r="C86" s="1" t="s">
        <v>123</v>
      </c>
      <c r="D86" s="2" t="s">
        <v>31</v>
      </c>
      <c r="E86" s="4">
        <v>2200000</v>
      </c>
      <c r="F86" s="3">
        <v>30</v>
      </c>
      <c r="G86" s="4">
        <f t="shared" si="14"/>
        <v>2200000</v>
      </c>
      <c r="H86" s="4"/>
      <c r="I86" s="4"/>
      <c r="J86" s="4"/>
      <c r="K86" s="4"/>
      <c r="L86" s="4"/>
      <c r="M86" s="4">
        <f>+G86+H86+J86+K86+L86+I86</f>
        <v>2200000</v>
      </c>
      <c r="N86" s="4">
        <f>+E86*4%</f>
        <v>88000</v>
      </c>
      <c r="O86" s="4">
        <f>+E86*4%</f>
        <v>88000</v>
      </c>
      <c r="P86" s="4"/>
      <c r="Q86" s="4"/>
      <c r="R86" s="4"/>
      <c r="S86" s="4"/>
      <c r="T86" s="4"/>
      <c r="U86" s="4"/>
      <c r="V86" s="4">
        <f t="shared" si="9"/>
        <v>176000</v>
      </c>
      <c r="W86" s="5">
        <f t="shared" si="17"/>
        <v>2024000</v>
      </c>
      <c r="X86" s="5"/>
      <c r="Y86" s="64"/>
      <c r="Z86" s="5">
        <f t="shared" si="16"/>
        <v>2024000</v>
      </c>
    </row>
    <row r="87" spans="1:27" ht="24.95" customHeight="1" x14ac:dyDescent="0.25">
      <c r="A87" s="65"/>
      <c r="B87" s="2">
        <f t="shared" si="10"/>
        <v>36</v>
      </c>
      <c r="C87" s="9" t="s">
        <v>124</v>
      </c>
      <c r="D87" s="8" t="s">
        <v>31</v>
      </c>
      <c r="E87" s="4">
        <v>781242</v>
      </c>
      <c r="F87" s="3">
        <v>30</v>
      </c>
      <c r="G87" s="4">
        <f t="shared" si="14"/>
        <v>781242</v>
      </c>
      <c r="H87" s="4">
        <v>88211</v>
      </c>
      <c r="I87" s="4">
        <v>24408</v>
      </c>
      <c r="J87" s="4"/>
      <c r="K87" s="4"/>
      <c r="L87" s="4"/>
      <c r="M87" s="4">
        <f>+G87+H87+J87+K87+L87+I87</f>
        <v>893861</v>
      </c>
      <c r="N87" s="4">
        <f>+E87*0.04</f>
        <v>31249.68</v>
      </c>
      <c r="O87" s="4">
        <f>+E87*0.04</f>
        <v>31249.68</v>
      </c>
      <c r="P87" s="4"/>
      <c r="Q87" s="4"/>
      <c r="R87" s="4">
        <v>0</v>
      </c>
      <c r="S87" s="4"/>
      <c r="T87" s="4"/>
      <c r="U87" s="4"/>
      <c r="V87" s="4">
        <f t="shared" si="9"/>
        <v>62499.360000000001</v>
      </c>
      <c r="W87" s="5">
        <f t="shared" si="17"/>
        <v>831361.64</v>
      </c>
      <c r="X87" s="5"/>
      <c r="Y87" s="64"/>
      <c r="Z87" s="5">
        <f t="shared" si="16"/>
        <v>831361.64</v>
      </c>
    </row>
    <row r="88" spans="1:27" ht="24.95" customHeight="1" x14ac:dyDescent="0.25">
      <c r="A88" s="65"/>
      <c r="B88" s="2">
        <f t="shared" si="10"/>
        <v>37</v>
      </c>
      <c r="C88" s="9" t="s">
        <v>125</v>
      </c>
      <c r="D88" s="8"/>
      <c r="E88" s="4">
        <v>2100000</v>
      </c>
      <c r="F88" s="3">
        <v>30</v>
      </c>
      <c r="G88" s="4">
        <f t="shared" si="14"/>
        <v>2100000</v>
      </c>
      <c r="H88" s="4"/>
      <c r="I88" s="4"/>
      <c r="J88" s="4"/>
      <c r="K88" s="4"/>
      <c r="L88" s="4"/>
      <c r="M88" s="4">
        <f>+G88+H88+J88+K88+L88+I88</f>
        <v>2100000</v>
      </c>
      <c r="N88" s="4">
        <f>+E88*0.04</f>
        <v>84000</v>
      </c>
      <c r="O88" s="4">
        <f>+E88*0.04</f>
        <v>84000</v>
      </c>
      <c r="P88" s="4"/>
      <c r="Q88" s="4"/>
      <c r="R88" s="4">
        <v>0</v>
      </c>
      <c r="S88" s="4"/>
      <c r="T88" s="4"/>
      <c r="U88" s="4"/>
      <c r="V88" s="4">
        <f t="shared" si="9"/>
        <v>168000</v>
      </c>
      <c r="W88" s="5">
        <f t="shared" si="17"/>
        <v>1932000</v>
      </c>
      <c r="X88" s="5"/>
      <c r="Y88" s="64"/>
      <c r="Z88" s="5">
        <f t="shared" si="16"/>
        <v>1932000</v>
      </c>
    </row>
    <row r="89" spans="1:27" ht="24.95" customHeight="1" x14ac:dyDescent="0.25">
      <c r="A89" s="65"/>
      <c r="B89" s="2">
        <f t="shared" si="10"/>
        <v>38</v>
      </c>
      <c r="C89" s="9" t="s">
        <v>126</v>
      </c>
      <c r="D89" s="8"/>
      <c r="E89" s="4">
        <v>781242</v>
      </c>
      <c r="F89" s="3">
        <v>30</v>
      </c>
      <c r="G89" s="4">
        <f t="shared" si="14"/>
        <v>781242</v>
      </c>
      <c r="H89" s="4">
        <v>88211</v>
      </c>
      <c r="I89" s="4">
        <v>90670</v>
      </c>
      <c r="J89" s="4"/>
      <c r="K89" s="4">
        <v>0</v>
      </c>
      <c r="L89" s="4">
        <f>+E89-G89</f>
        <v>0</v>
      </c>
      <c r="M89" s="4">
        <f>+G89+H89+J89+K89+L89+I89</f>
        <v>960123</v>
      </c>
      <c r="N89" s="4">
        <f>+E89*0.04</f>
        <v>31249.68</v>
      </c>
      <c r="O89" s="4">
        <f>+E89*4%</f>
        <v>31249.68</v>
      </c>
      <c r="P89" s="4"/>
      <c r="Q89" s="4"/>
      <c r="R89" s="4"/>
      <c r="S89" s="4"/>
      <c r="T89" s="4"/>
      <c r="U89" s="4"/>
      <c r="V89" s="4">
        <f t="shared" si="9"/>
        <v>62499.360000000001</v>
      </c>
      <c r="W89" s="5">
        <f t="shared" si="17"/>
        <v>897623.64</v>
      </c>
      <c r="X89" s="5"/>
      <c r="Y89" s="64"/>
      <c r="Z89" s="5">
        <f t="shared" si="16"/>
        <v>897623.64</v>
      </c>
    </row>
    <row r="90" spans="1:27" ht="24.95" customHeight="1" x14ac:dyDescent="0.25">
      <c r="A90" s="65"/>
      <c r="B90" s="2">
        <f t="shared" si="10"/>
        <v>39</v>
      </c>
      <c r="C90" s="9" t="s">
        <v>127</v>
      </c>
      <c r="D90" s="8"/>
      <c r="E90" s="4">
        <v>400000</v>
      </c>
      <c r="F90" s="3">
        <v>30</v>
      </c>
      <c r="G90" s="4">
        <f t="shared" si="14"/>
        <v>400000</v>
      </c>
      <c r="H90" s="4">
        <f>88211/2</f>
        <v>44105.5</v>
      </c>
      <c r="I90" s="4"/>
      <c r="J90" s="4"/>
      <c r="K90" s="4"/>
      <c r="L90" s="4">
        <f>+E90-G90</f>
        <v>0</v>
      </c>
      <c r="M90" s="4">
        <f>+G90+H90+J90+K90+L90+I90</f>
        <v>444105.5</v>
      </c>
      <c r="N90" s="4">
        <f>+E90*4%</f>
        <v>16000</v>
      </c>
      <c r="O90" s="4">
        <f>+E90*4%</f>
        <v>16000</v>
      </c>
      <c r="P90" s="4"/>
      <c r="Q90" s="4"/>
      <c r="R90" s="4"/>
      <c r="S90" s="4"/>
      <c r="T90" s="4"/>
      <c r="U90" s="4"/>
      <c r="V90" s="4">
        <f t="shared" si="9"/>
        <v>32000</v>
      </c>
      <c r="W90" s="5">
        <f t="shared" si="17"/>
        <v>412105.5</v>
      </c>
      <c r="X90" s="5"/>
      <c r="Y90" s="64"/>
      <c r="Z90" s="5">
        <f t="shared" si="16"/>
        <v>412105.5</v>
      </c>
    </row>
    <row r="91" spans="1:27" ht="24.95" customHeight="1" x14ac:dyDescent="0.25">
      <c r="A91" s="65"/>
      <c r="B91" s="2">
        <f t="shared" si="10"/>
        <v>40</v>
      </c>
      <c r="C91" s="1" t="s">
        <v>128</v>
      </c>
      <c r="D91" s="2" t="s">
        <v>31</v>
      </c>
      <c r="E91" s="4">
        <v>15400000</v>
      </c>
      <c r="F91" s="3">
        <v>30</v>
      </c>
      <c r="G91" s="4">
        <f t="shared" si="14"/>
        <v>15400000</v>
      </c>
      <c r="H91" s="4"/>
      <c r="I91" s="4"/>
      <c r="J91" s="4"/>
      <c r="K91" s="4">
        <v>600000</v>
      </c>
      <c r="L91" s="4">
        <f>+E91-G91</f>
        <v>0</v>
      </c>
      <c r="M91" s="4">
        <f>+G91+H91+J91+K91+L91+I91</f>
        <v>16000000</v>
      </c>
      <c r="N91" s="4">
        <v>616000</v>
      </c>
      <c r="O91" s="4">
        <f>616000+308000</f>
        <v>924000</v>
      </c>
      <c r="P91" s="4">
        <v>112700</v>
      </c>
      <c r="Q91" s="4"/>
      <c r="R91" s="4">
        <v>916000</v>
      </c>
      <c r="S91" s="4">
        <v>5000000</v>
      </c>
      <c r="T91" s="4"/>
      <c r="U91" s="4">
        <v>2314715</v>
      </c>
      <c r="V91" s="4">
        <f t="shared" si="9"/>
        <v>9883415</v>
      </c>
      <c r="W91" s="5">
        <f>+M91-V91</f>
        <v>6116585</v>
      </c>
      <c r="X91" s="5"/>
      <c r="Y91" s="64"/>
      <c r="Z91" s="5">
        <f t="shared" si="16"/>
        <v>6116585</v>
      </c>
    </row>
    <row r="92" spans="1:27" ht="24.95" customHeight="1" x14ac:dyDescent="0.25">
      <c r="A92" s="65"/>
      <c r="B92" s="2">
        <f t="shared" si="10"/>
        <v>41</v>
      </c>
      <c r="C92" s="1" t="s">
        <v>129</v>
      </c>
      <c r="D92" s="2" t="s">
        <v>31</v>
      </c>
      <c r="E92" s="4">
        <v>5500000</v>
      </c>
      <c r="F92" s="3">
        <v>30</v>
      </c>
      <c r="G92" s="4">
        <f t="shared" si="14"/>
        <v>5500000</v>
      </c>
      <c r="H92" s="4"/>
      <c r="I92" s="4"/>
      <c r="J92" s="4"/>
      <c r="K92" s="4">
        <v>500000</v>
      </c>
      <c r="L92" s="4">
        <f>+E92-G92</f>
        <v>0</v>
      </c>
      <c r="M92" s="4">
        <f>+G92+H92+J92+K92+L92+I92</f>
        <v>6000000</v>
      </c>
      <c r="N92" s="4">
        <f>+E92*0.04</f>
        <v>220000</v>
      </c>
      <c r="O92" s="4">
        <f>+E92*0.05</f>
        <v>275000</v>
      </c>
      <c r="P92" s="4"/>
      <c r="Q92" s="4"/>
      <c r="R92" s="4">
        <v>120000</v>
      </c>
      <c r="S92" s="4"/>
      <c r="T92" s="4"/>
      <c r="U92" s="4">
        <v>1138458</v>
      </c>
      <c r="V92" s="4">
        <f t="shared" si="9"/>
        <v>1753458</v>
      </c>
      <c r="W92" s="5">
        <f>+M92-V92</f>
        <v>4246542</v>
      </c>
      <c r="X92" s="5"/>
      <c r="Y92" s="64"/>
      <c r="Z92" s="5">
        <f t="shared" si="16"/>
        <v>4246542</v>
      </c>
      <c r="AA92" s="8"/>
    </row>
    <row r="93" spans="1:27" ht="24.95" customHeight="1" x14ac:dyDescent="0.25">
      <c r="A93" s="65"/>
      <c r="B93" s="2">
        <f t="shared" si="10"/>
        <v>42</v>
      </c>
      <c r="C93" s="1" t="s">
        <v>130</v>
      </c>
      <c r="D93" s="2"/>
      <c r="E93" s="4">
        <v>1600000</v>
      </c>
      <c r="F93" s="3">
        <v>30</v>
      </c>
      <c r="G93" s="4">
        <f t="shared" si="14"/>
        <v>1600000</v>
      </c>
      <c r="H93" s="4"/>
      <c r="I93" s="4"/>
      <c r="J93" s="4"/>
      <c r="K93" s="4"/>
      <c r="L93" s="4">
        <f>+E93-G93</f>
        <v>0</v>
      </c>
      <c r="M93" s="4">
        <f>+G93+H93+J93+K93+L93+I93</f>
        <v>1600000</v>
      </c>
      <c r="N93" s="4">
        <f>+E93*4%</f>
        <v>64000</v>
      </c>
      <c r="O93" s="4">
        <f>+E93*4%</f>
        <v>64000</v>
      </c>
      <c r="P93" s="4"/>
      <c r="Q93" s="4"/>
      <c r="R93" s="4"/>
      <c r="S93" s="4"/>
      <c r="T93" s="4"/>
      <c r="U93" s="4"/>
      <c r="V93" s="4">
        <f t="shared" si="9"/>
        <v>128000</v>
      </c>
      <c r="W93" s="5">
        <f>+M93-V93</f>
        <v>1472000</v>
      </c>
      <c r="X93" s="5"/>
      <c r="Y93" s="64"/>
      <c r="Z93" s="5">
        <f t="shared" si="16"/>
        <v>1472000</v>
      </c>
    </row>
    <row r="94" spans="1:27" ht="24.95" customHeight="1" x14ac:dyDescent="0.25">
      <c r="A94" s="65"/>
      <c r="B94" s="2">
        <f t="shared" si="10"/>
        <v>43</v>
      </c>
      <c r="C94" s="1" t="s">
        <v>131</v>
      </c>
      <c r="D94" s="2" t="s">
        <v>31</v>
      </c>
      <c r="E94" s="4">
        <v>2500000</v>
      </c>
      <c r="F94" s="3">
        <v>30</v>
      </c>
      <c r="G94" s="4">
        <f t="shared" si="14"/>
        <v>2500000</v>
      </c>
      <c r="H94" s="4"/>
      <c r="I94" s="4"/>
      <c r="J94" s="4"/>
      <c r="K94" s="4"/>
      <c r="L94" s="4"/>
      <c r="M94" s="4">
        <f>+G94+H94+J94+K94+L94+I94</f>
        <v>2500000</v>
      </c>
      <c r="N94" s="4">
        <f>+E94*0.04</f>
        <v>100000</v>
      </c>
      <c r="O94" s="4">
        <f>+E94*0.04</f>
        <v>100000</v>
      </c>
      <c r="P94" s="4"/>
      <c r="Q94" s="4"/>
      <c r="R94" s="4">
        <v>0</v>
      </c>
      <c r="S94" s="4"/>
      <c r="T94" s="4"/>
      <c r="U94" s="4"/>
      <c r="V94" s="4">
        <f t="shared" si="9"/>
        <v>200000</v>
      </c>
      <c r="W94" s="5">
        <f>+M94-V94</f>
        <v>2300000</v>
      </c>
      <c r="X94" s="5"/>
      <c r="Y94" s="64"/>
      <c r="Z94" s="5">
        <f t="shared" si="16"/>
        <v>2300000</v>
      </c>
    </row>
    <row r="95" spans="1:27" ht="24.95" customHeight="1" x14ac:dyDescent="0.25">
      <c r="A95" s="65"/>
      <c r="B95" s="2">
        <f t="shared" si="10"/>
        <v>44</v>
      </c>
      <c r="C95" s="9" t="s">
        <v>132</v>
      </c>
      <c r="D95" s="8" t="s">
        <v>31</v>
      </c>
      <c r="E95" s="4">
        <v>3000000</v>
      </c>
      <c r="F95" s="3">
        <v>30</v>
      </c>
      <c r="G95" s="4">
        <f t="shared" si="14"/>
        <v>3000000</v>
      </c>
      <c r="H95" s="4"/>
      <c r="I95" s="4"/>
      <c r="J95" s="4"/>
      <c r="K95" s="4">
        <v>270000</v>
      </c>
      <c r="L95" s="4"/>
      <c r="M95" s="4">
        <f>+G95+H95+J95+K95+L95+I95</f>
        <v>3270000</v>
      </c>
      <c r="N95" s="4">
        <f>+E95*0.04</f>
        <v>120000</v>
      </c>
      <c r="O95" s="4">
        <f>+E95*0.04</f>
        <v>120000</v>
      </c>
      <c r="P95" s="4"/>
      <c r="Q95" s="4"/>
      <c r="R95" s="4">
        <v>0</v>
      </c>
      <c r="S95" s="4"/>
      <c r="T95" s="4"/>
      <c r="U95" s="4">
        <v>514771</v>
      </c>
      <c r="V95" s="4">
        <f t="shared" si="9"/>
        <v>754771</v>
      </c>
      <c r="W95" s="5">
        <f>M95-V95</f>
        <v>2515229</v>
      </c>
      <c r="X95" s="5"/>
      <c r="Y95" s="64"/>
      <c r="Z95" s="5">
        <f t="shared" si="16"/>
        <v>2515229</v>
      </c>
    </row>
    <row r="96" spans="1:27" ht="24.95" customHeight="1" x14ac:dyDescent="0.25">
      <c r="A96" s="65"/>
      <c r="B96" s="2">
        <f t="shared" si="10"/>
        <v>45</v>
      </c>
      <c r="C96" s="1" t="s">
        <v>134</v>
      </c>
      <c r="D96" s="2" t="s">
        <v>31</v>
      </c>
      <c r="E96" s="4">
        <v>3750000</v>
      </c>
      <c r="F96" s="3">
        <v>30</v>
      </c>
      <c r="G96" s="4">
        <f t="shared" si="14"/>
        <v>3750000</v>
      </c>
      <c r="H96" s="4"/>
      <c r="I96" s="4"/>
      <c r="J96" s="4"/>
      <c r="K96" s="4"/>
      <c r="L96" s="4"/>
      <c r="M96" s="4">
        <f>+G96+H96+J96+K96+L96+I96</f>
        <v>3750000</v>
      </c>
      <c r="N96" s="4">
        <f>+E96*4%</f>
        <v>150000</v>
      </c>
      <c r="O96" s="4">
        <f>+E96*5%</f>
        <v>187500</v>
      </c>
      <c r="P96" s="4"/>
      <c r="Q96" s="4"/>
      <c r="R96" s="4"/>
      <c r="S96" s="4"/>
      <c r="T96" s="4"/>
      <c r="U96" s="4">
        <v>360638</v>
      </c>
      <c r="V96" s="4">
        <f t="shared" si="9"/>
        <v>698138</v>
      </c>
      <c r="W96" s="5">
        <f>+M96-V96</f>
        <v>3051862</v>
      </c>
      <c r="X96" s="5"/>
      <c r="Y96" s="64"/>
      <c r="Z96" s="5">
        <f t="shared" si="16"/>
        <v>3051862</v>
      </c>
    </row>
    <row r="97" spans="1:30" ht="24.95" customHeight="1" x14ac:dyDescent="0.25">
      <c r="A97" s="65"/>
      <c r="B97" s="2">
        <f t="shared" si="10"/>
        <v>46</v>
      </c>
      <c r="C97" s="1" t="s">
        <v>135</v>
      </c>
      <c r="D97" s="2" t="s">
        <v>31</v>
      </c>
      <c r="E97" s="4">
        <v>3850220</v>
      </c>
      <c r="F97" s="3">
        <v>30</v>
      </c>
      <c r="G97" s="4">
        <f t="shared" si="14"/>
        <v>3850220</v>
      </c>
      <c r="H97" s="4"/>
      <c r="I97" s="4"/>
      <c r="J97" s="4"/>
      <c r="K97" s="4">
        <v>676390</v>
      </c>
      <c r="L97" s="4">
        <f>+E97-G97</f>
        <v>0</v>
      </c>
      <c r="M97" s="4">
        <f>+G97+H97+J97+K97+L97+I97</f>
        <v>4526610</v>
      </c>
      <c r="N97" s="4">
        <f>+E97*4%</f>
        <v>154008.80000000002</v>
      </c>
      <c r="O97" s="4">
        <f>+E97*5%</f>
        <v>192511</v>
      </c>
      <c r="P97" s="4"/>
      <c r="Q97" s="4"/>
      <c r="R97" s="4"/>
      <c r="S97" s="4"/>
      <c r="T97" s="4"/>
      <c r="U97" s="4"/>
      <c r="V97" s="4">
        <f t="shared" si="9"/>
        <v>346519.80000000005</v>
      </c>
      <c r="W97" s="5">
        <f>+M97-V97</f>
        <v>4180090.2</v>
      </c>
      <c r="X97" s="5"/>
      <c r="Y97" s="64"/>
      <c r="Z97" s="5">
        <f t="shared" si="16"/>
        <v>4180090.2</v>
      </c>
    </row>
    <row r="98" spans="1:30" ht="24.95" customHeight="1" x14ac:dyDescent="0.25">
      <c r="A98" s="65"/>
      <c r="B98" s="2">
        <f t="shared" si="10"/>
        <v>47</v>
      </c>
      <c r="C98" s="1" t="s">
        <v>136</v>
      </c>
      <c r="D98" s="2" t="s">
        <v>31</v>
      </c>
      <c r="E98" s="4">
        <v>3500000</v>
      </c>
      <c r="F98" s="3">
        <v>30</v>
      </c>
      <c r="G98" s="4">
        <f t="shared" si="14"/>
        <v>3500000</v>
      </c>
      <c r="H98" s="4"/>
      <c r="I98" s="4"/>
      <c r="J98" s="4"/>
      <c r="K98" s="4" t="s">
        <v>1</v>
      </c>
      <c r="L98" s="4"/>
      <c r="M98" s="4">
        <v>3500000</v>
      </c>
      <c r="N98" s="4">
        <f>+E98*4%</f>
        <v>140000</v>
      </c>
      <c r="O98" s="4">
        <f>+E98*5%</f>
        <v>175000</v>
      </c>
      <c r="P98" s="4"/>
      <c r="Q98" s="4"/>
      <c r="R98" s="4"/>
      <c r="S98" s="4"/>
      <c r="T98" s="4"/>
      <c r="U98" s="4"/>
      <c r="V98" s="4">
        <f>SUM(N98:U98)</f>
        <v>315000</v>
      </c>
      <c r="W98" s="5">
        <f>+M98-V98</f>
        <v>3185000</v>
      </c>
      <c r="X98" s="5"/>
      <c r="Y98" s="64"/>
      <c r="Z98" s="5">
        <f>W98+X98-Y98</f>
        <v>3185000</v>
      </c>
    </row>
    <row r="99" spans="1:30" ht="24.95" customHeight="1" x14ac:dyDescent="0.25">
      <c r="A99" s="65"/>
      <c r="B99" s="2">
        <f t="shared" si="10"/>
        <v>48</v>
      </c>
      <c r="C99" s="1" t="s">
        <v>137</v>
      </c>
      <c r="D99" s="2" t="s">
        <v>45</v>
      </c>
      <c r="E99" s="4">
        <v>2000000</v>
      </c>
      <c r="F99" s="3">
        <v>30</v>
      </c>
      <c r="G99" s="4">
        <f>+E99-L99</f>
        <v>1533333</v>
      </c>
      <c r="H99" s="4"/>
      <c r="I99" s="4"/>
      <c r="J99" s="4"/>
      <c r="K99" s="4"/>
      <c r="L99" s="4">
        <v>466667</v>
      </c>
      <c r="M99" s="4">
        <f>+G99+H99+J99+K99+L99+I99</f>
        <v>2000000</v>
      </c>
      <c r="N99" s="4">
        <f>+E99*4%</f>
        <v>80000</v>
      </c>
      <c r="O99" s="4">
        <f>+E99*4%</f>
        <v>80000</v>
      </c>
      <c r="P99" s="4"/>
      <c r="Q99" s="4"/>
      <c r="R99" s="7"/>
      <c r="S99" s="4"/>
      <c r="T99" s="4"/>
      <c r="U99" s="4"/>
      <c r="V99" s="4">
        <f t="shared" si="9"/>
        <v>160000</v>
      </c>
      <c r="W99" s="5">
        <f>+M99-V99</f>
        <v>1840000</v>
      </c>
      <c r="X99" s="5"/>
      <c r="Y99" s="64"/>
      <c r="Z99" s="5">
        <f t="shared" si="16"/>
        <v>1840000</v>
      </c>
    </row>
    <row r="100" spans="1:30" ht="24.95" customHeight="1" x14ac:dyDescent="0.25">
      <c r="A100" s="65"/>
      <c r="B100" s="2">
        <f t="shared" si="10"/>
        <v>49</v>
      </c>
      <c r="C100" s="9" t="s">
        <v>138</v>
      </c>
      <c r="D100" s="8" t="s">
        <v>31</v>
      </c>
      <c r="E100" s="4">
        <v>1600000</v>
      </c>
      <c r="F100" s="3">
        <v>30</v>
      </c>
      <c r="G100" s="4">
        <f>+E100/30*27</f>
        <v>1440000</v>
      </c>
      <c r="H100" s="4"/>
      <c r="I100" s="4"/>
      <c r="J100" s="4">
        <f>+E100/30*2+35557</f>
        <v>142223.66666666669</v>
      </c>
      <c r="K100" s="4"/>
      <c r="L100" s="4"/>
      <c r="M100" s="4">
        <f>+G100+H100+J100+K100+L100+I100</f>
        <v>1582223.6666666667</v>
      </c>
      <c r="N100" s="4">
        <f>+E100*4%</f>
        <v>64000</v>
      </c>
      <c r="O100" s="4">
        <f>+E100*0.04</f>
        <v>64000</v>
      </c>
      <c r="P100" s="4"/>
      <c r="Q100" s="4"/>
      <c r="R100" s="4">
        <v>0</v>
      </c>
      <c r="S100" s="4"/>
      <c r="T100" s="4">
        <v>175000</v>
      </c>
      <c r="U100" s="4"/>
      <c r="V100" s="4">
        <f t="shared" si="9"/>
        <v>303000</v>
      </c>
      <c r="W100" s="5">
        <f>M100-V100</f>
        <v>1279223.6666666667</v>
      </c>
      <c r="X100" s="5"/>
      <c r="Y100" s="64"/>
      <c r="Z100" s="5">
        <f t="shared" si="16"/>
        <v>1279223.6666666667</v>
      </c>
    </row>
    <row r="101" spans="1:30" ht="24.95" customHeight="1" x14ac:dyDescent="0.25">
      <c r="A101" s="65"/>
      <c r="B101" s="2">
        <f t="shared" si="10"/>
        <v>50</v>
      </c>
      <c r="C101" s="9" t="s">
        <v>148</v>
      </c>
      <c r="D101" s="8"/>
      <c r="E101" s="4">
        <v>1500000</v>
      </c>
      <c r="F101" s="3">
        <v>16</v>
      </c>
      <c r="G101" s="4">
        <f>+E101/30*F101</f>
        <v>800000</v>
      </c>
      <c r="H101" s="4"/>
      <c r="I101" s="4"/>
      <c r="J101" s="4"/>
      <c r="K101" s="4"/>
      <c r="L101" s="4"/>
      <c r="M101" s="4">
        <f>+G101+H101+J101+K101+L101+I101</f>
        <v>800000</v>
      </c>
      <c r="N101" s="4">
        <f>+G101*4%</f>
        <v>32000</v>
      </c>
      <c r="O101" s="4">
        <f>+G101*0.04</f>
        <v>32000</v>
      </c>
      <c r="P101" s="4"/>
      <c r="Q101" s="4"/>
      <c r="R101" s="4">
        <v>0</v>
      </c>
      <c r="S101" s="4"/>
      <c r="T101" s="4">
        <v>0</v>
      </c>
      <c r="U101" s="4"/>
      <c r="V101" s="4">
        <f t="shared" si="9"/>
        <v>64000</v>
      </c>
      <c r="W101" s="5">
        <f>M101-V101</f>
        <v>736000</v>
      </c>
      <c r="X101" s="5"/>
      <c r="Y101" s="64"/>
      <c r="Z101" s="5">
        <f t="shared" si="16"/>
        <v>736000</v>
      </c>
    </row>
    <row r="102" spans="1:30" ht="24.95" customHeight="1" x14ac:dyDescent="0.25">
      <c r="A102" s="65"/>
      <c r="B102" s="2">
        <f t="shared" si="10"/>
        <v>51</v>
      </c>
      <c r="C102" s="1" t="s">
        <v>139</v>
      </c>
      <c r="D102" s="2" t="s">
        <v>31</v>
      </c>
      <c r="E102" s="4">
        <v>2300000</v>
      </c>
      <c r="F102" s="3">
        <v>30</v>
      </c>
      <c r="G102" s="4">
        <f t="shared" si="14"/>
        <v>2300000</v>
      </c>
      <c r="H102" s="4"/>
      <c r="I102" s="4"/>
      <c r="J102" s="4"/>
      <c r="K102" s="4"/>
      <c r="L102" s="4"/>
      <c r="M102" s="4">
        <f>+G102+H102+J102+K102+L102+I102</f>
        <v>2300000</v>
      </c>
      <c r="N102" s="4">
        <f>+E102*4%</f>
        <v>92000</v>
      </c>
      <c r="O102" s="4">
        <f>+E102*4%</f>
        <v>92000</v>
      </c>
      <c r="P102" s="4"/>
      <c r="Q102" s="4"/>
      <c r="R102" s="4">
        <v>0</v>
      </c>
      <c r="S102" s="4"/>
      <c r="T102" s="4"/>
      <c r="U102" s="4"/>
      <c r="V102" s="4">
        <f t="shared" si="9"/>
        <v>184000</v>
      </c>
      <c r="W102" s="5">
        <f t="shared" ref="W102:W107" si="18">+M102-V102</f>
        <v>2116000</v>
      </c>
      <c r="X102" s="5"/>
      <c r="Y102" s="64"/>
      <c r="Z102" s="5">
        <f t="shared" si="16"/>
        <v>2116000</v>
      </c>
    </row>
    <row r="103" spans="1:30" ht="24.95" customHeight="1" x14ac:dyDescent="0.25">
      <c r="A103" s="65"/>
      <c r="B103" s="2">
        <f t="shared" si="10"/>
        <v>52</v>
      </c>
      <c r="C103" s="1" t="s">
        <v>140</v>
      </c>
      <c r="D103" s="2"/>
      <c r="E103" s="4">
        <v>912000</v>
      </c>
      <c r="F103" s="3">
        <v>30</v>
      </c>
      <c r="G103" s="4">
        <f>+E103/30*26</f>
        <v>790400</v>
      </c>
      <c r="H103" s="4">
        <v>88211</v>
      </c>
      <c r="I103" s="4"/>
      <c r="J103" s="4">
        <v>101335</v>
      </c>
      <c r="K103" s="4"/>
      <c r="L103" s="4"/>
      <c r="M103" s="4">
        <f>+G103+H103+J103+K103+L103+I103</f>
        <v>979946</v>
      </c>
      <c r="N103" s="4">
        <f>+E103*0.04</f>
        <v>36480</v>
      </c>
      <c r="O103" s="4">
        <f>+E103*0.04</f>
        <v>36480</v>
      </c>
      <c r="P103" s="4"/>
      <c r="Q103" s="4"/>
      <c r="R103" s="4"/>
      <c r="S103" s="4"/>
      <c r="T103" s="4"/>
      <c r="U103" s="4"/>
      <c r="V103" s="4">
        <f>SUM(N103:U103)</f>
        <v>72960</v>
      </c>
      <c r="W103" s="5">
        <f>+M103-V103</f>
        <v>906986</v>
      </c>
      <c r="X103" s="5"/>
      <c r="Y103" s="64"/>
      <c r="Z103" s="5">
        <f>W103+X103-Y103</f>
        <v>906986</v>
      </c>
    </row>
    <row r="104" spans="1:30" ht="24.95" customHeight="1" x14ac:dyDescent="0.25">
      <c r="A104" s="65"/>
      <c r="B104" s="2">
        <f t="shared" si="10"/>
        <v>53</v>
      </c>
      <c r="C104" s="1" t="s">
        <v>141</v>
      </c>
      <c r="D104" s="2" t="s">
        <v>31</v>
      </c>
      <c r="E104" s="4">
        <v>2700000</v>
      </c>
      <c r="F104" s="3">
        <v>30</v>
      </c>
      <c r="G104" s="4">
        <f t="shared" si="14"/>
        <v>2700000</v>
      </c>
      <c r="H104" s="4"/>
      <c r="I104" s="4"/>
      <c r="J104" s="4"/>
      <c r="K104" s="4"/>
      <c r="L104" s="4"/>
      <c r="M104" s="4">
        <f>+G104+H104+J104+K104+L104+I104</f>
        <v>2700000</v>
      </c>
      <c r="N104" s="4">
        <f>+E104*0.04</f>
        <v>108000</v>
      </c>
      <c r="O104" s="4">
        <f>+E104*0.04</f>
        <v>108000</v>
      </c>
      <c r="P104" s="4"/>
      <c r="Q104" s="4"/>
      <c r="R104" s="4"/>
      <c r="S104" s="4"/>
      <c r="T104" s="4"/>
      <c r="U104" s="4"/>
      <c r="V104" s="4">
        <f t="shared" si="9"/>
        <v>216000</v>
      </c>
      <c r="W104" s="5">
        <f t="shared" si="18"/>
        <v>2484000</v>
      </c>
      <c r="X104" s="5"/>
      <c r="Y104" s="64"/>
      <c r="Z104" s="5">
        <f t="shared" si="16"/>
        <v>2484000</v>
      </c>
    </row>
    <row r="105" spans="1:30" ht="24.95" customHeight="1" x14ac:dyDescent="0.25">
      <c r="A105" s="65"/>
      <c r="B105" s="2">
        <f t="shared" si="10"/>
        <v>54</v>
      </c>
      <c r="C105" s="1" t="s">
        <v>142</v>
      </c>
      <c r="D105" s="2"/>
      <c r="E105" s="4">
        <v>2000000</v>
      </c>
      <c r="F105" s="3">
        <v>30</v>
      </c>
      <c r="G105" s="4">
        <f t="shared" si="14"/>
        <v>2000000.0000000002</v>
      </c>
      <c r="H105" s="4"/>
      <c r="I105" s="4"/>
      <c r="J105" s="4"/>
      <c r="K105" s="4"/>
      <c r="L105" s="4"/>
      <c r="M105" s="4">
        <f>+G105+H105+J105+K105+L105+I105</f>
        <v>2000000.0000000002</v>
      </c>
      <c r="N105" s="4">
        <f>+E105*4%</f>
        <v>80000</v>
      </c>
      <c r="O105" s="4">
        <f>+E105*4%</f>
        <v>80000</v>
      </c>
      <c r="P105" s="4"/>
      <c r="Q105" s="4"/>
      <c r="R105" s="4">
        <v>0</v>
      </c>
      <c r="S105" s="4"/>
      <c r="T105" s="4"/>
      <c r="U105" s="4"/>
      <c r="V105" s="4">
        <f t="shared" si="9"/>
        <v>160000</v>
      </c>
      <c r="W105" s="5">
        <f t="shared" si="18"/>
        <v>1840000.0000000002</v>
      </c>
      <c r="X105" s="5"/>
      <c r="Y105" s="64"/>
      <c r="Z105" s="5">
        <f t="shared" si="16"/>
        <v>1840000.0000000002</v>
      </c>
    </row>
    <row r="106" spans="1:30" ht="24.95" customHeight="1" x14ac:dyDescent="0.25">
      <c r="A106" s="65"/>
      <c r="B106" s="2">
        <f t="shared" si="10"/>
        <v>55</v>
      </c>
      <c r="C106" s="1" t="s">
        <v>143</v>
      </c>
      <c r="D106" s="2"/>
      <c r="E106" s="4">
        <v>781242</v>
      </c>
      <c r="F106" s="3">
        <v>30</v>
      </c>
      <c r="G106" s="4">
        <f t="shared" si="14"/>
        <v>781242</v>
      </c>
      <c r="H106" s="4"/>
      <c r="I106" s="4"/>
      <c r="J106" s="4"/>
      <c r="K106" s="4"/>
      <c r="L106" s="11"/>
      <c r="M106" s="4">
        <f>+G106+H106+J106+K106+L106+I106</f>
        <v>781242</v>
      </c>
      <c r="N106" s="4"/>
      <c r="O106" s="4"/>
      <c r="P106" s="4"/>
      <c r="Q106" s="4"/>
      <c r="R106" s="4"/>
      <c r="S106" s="4"/>
      <c r="T106" s="4"/>
      <c r="U106" s="4"/>
      <c r="V106" s="4">
        <f t="shared" si="9"/>
        <v>0</v>
      </c>
      <c r="W106" s="5">
        <f t="shared" si="18"/>
        <v>781242</v>
      </c>
      <c r="X106" s="5"/>
      <c r="Y106" s="64"/>
      <c r="Z106" s="5">
        <f t="shared" si="16"/>
        <v>781242</v>
      </c>
    </row>
    <row r="107" spans="1:30" ht="17.25" customHeight="1" x14ac:dyDescent="0.25">
      <c r="A107" s="65"/>
      <c r="B107" s="2">
        <f t="shared" si="10"/>
        <v>56</v>
      </c>
      <c r="C107" s="1" t="s">
        <v>144</v>
      </c>
      <c r="D107" s="2"/>
      <c r="E107" s="4">
        <v>1200000</v>
      </c>
      <c r="F107" s="3">
        <v>30</v>
      </c>
      <c r="G107" s="4">
        <f t="shared" si="14"/>
        <v>1200000</v>
      </c>
      <c r="H107" s="4">
        <v>88211</v>
      </c>
      <c r="I107" s="4"/>
      <c r="J107" s="4"/>
      <c r="K107" s="4"/>
      <c r="L107" s="4"/>
      <c r="M107" s="4">
        <f>+G107+H107+J107+K107+L107+I107</f>
        <v>1288211</v>
      </c>
      <c r="N107" s="4">
        <f>+E107*4%</f>
        <v>48000</v>
      </c>
      <c r="O107" s="4">
        <f>+E107*4%</f>
        <v>48000</v>
      </c>
      <c r="P107" s="4"/>
      <c r="Q107" s="4"/>
      <c r="R107" s="4">
        <v>0</v>
      </c>
      <c r="S107" s="4"/>
      <c r="T107" s="4"/>
      <c r="U107" s="4"/>
      <c r="V107" s="4">
        <f t="shared" si="9"/>
        <v>96000</v>
      </c>
      <c r="W107" s="5">
        <f t="shared" si="18"/>
        <v>1192211</v>
      </c>
      <c r="X107" s="5"/>
      <c r="Y107" s="64"/>
      <c r="Z107" s="5">
        <f t="shared" si="16"/>
        <v>1192211</v>
      </c>
    </row>
    <row r="108" spans="1:30" x14ac:dyDescent="0.25">
      <c r="E108" s="12">
        <f>SUM(E4:E107)</f>
        <v>399332612</v>
      </c>
      <c r="F108" s="12"/>
      <c r="G108" s="12">
        <f t="shared" ref="G108:Z108" si="19">SUM(G4:G107)</f>
        <v>376036679.66666663</v>
      </c>
      <c r="H108" s="12">
        <f t="shared" si="19"/>
        <v>926215.5</v>
      </c>
      <c r="I108" s="12">
        <f t="shared" si="19"/>
        <v>4055892</v>
      </c>
      <c r="J108" s="12">
        <f t="shared" si="19"/>
        <v>2176913.666666667</v>
      </c>
      <c r="K108" s="12">
        <f t="shared" si="19"/>
        <v>15911831</v>
      </c>
      <c r="L108" s="12">
        <f t="shared" si="19"/>
        <v>29312406</v>
      </c>
      <c r="M108" s="12">
        <f t="shared" si="19"/>
        <v>428419937.83333337</v>
      </c>
      <c r="N108" s="12">
        <f t="shared" si="19"/>
        <v>16473086.559999999</v>
      </c>
      <c r="O108" s="12">
        <f t="shared" si="19"/>
        <v>19949056.619999997</v>
      </c>
      <c r="P108" s="12">
        <f t="shared" si="19"/>
        <v>112700</v>
      </c>
      <c r="Q108" s="12">
        <f t="shared" si="19"/>
        <v>0</v>
      </c>
      <c r="R108" s="12">
        <f t="shared" si="19"/>
        <v>4710727</v>
      </c>
      <c r="S108" s="12">
        <f t="shared" si="19"/>
        <v>10015000</v>
      </c>
      <c r="T108" s="12">
        <f t="shared" si="19"/>
        <v>519614</v>
      </c>
      <c r="U108" s="12">
        <f t="shared" si="19"/>
        <v>15697656</v>
      </c>
      <c r="V108" s="12">
        <f t="shared" si="19"/>
        <v>67477840.179999992</v>
      </c>
      <c r="W108" s="12">
        <f t="shared" si="19"/>
        <v>360942097.65333331</v>
      </c>
      <c r="X108" s="12">
        <f t="shared" si="19"/>
        <v>0</v>
      </c>
      <c r="Y108" s="12">
        <f t="shared" si="19"/>
        <v>0</v>
      </c>
      <c r="Z108" s="90">
        <f t="shared" si="19"/>
        <v>356601397.65333331</v>
      </c>
    </row>
    <row r="109" spans="1:30" x14ac:dyDescent="0.25">
      <c r="D109" s="68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66"/>
      <c r="X109" s="68"/>
      <c r="Y109" s="70"/>
      <c r="Z109" s="66"/>
    </row>
    <row r="110" spans="1:30" x14ac:dyDescent="0.25">
      <c r="D110" s="68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T110" s="12"/>
      <c r="U110" s="12"/>
      <c r="V110" s="12"/>
      <c r="W110" s="66"/>
      <c r="X110" s="68"/>
      <c r="Y110" s="70"/>
      <c r="Z110" s="66"/>
    </row>
    <row r="111" spans="1:30" x14ac:dyDescent="0.25">
      <c r="C111" s="72"/>
      <c r="D111" s="68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T111" s="12"/>
      <c r="U111" s="12"/>
      <c r="V111" s="12"/>
      <c r="W111" s="68"/>
      <c r="X111" s="68"/>
      <c r="Y111" s="70"/>
      <c r="Z111" s="66"/>
    </row>
    <row r="112" spans="1:30" x14ac:dyDescent="0.25">
      <c r="C112" s="72"/>
      <c r="D112" s="68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68"/>
      <c r="X112" s="68"/>
      <c r="Y112" s="70"/>
      <c r="Z112" s="68"/>
      <c r="AA112" s="68"/>
      <c r="AB112" s="68"/>
      <c r="AC112" s="68"/>
      <c r="AD112" s="68"/>
    </row>
    <row r="113" spans="2:30" x14ac:dyDescent="0.25">
      <c r="B113" s="68"/>
      <c r="C113" s="72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12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68"/>
      <c r="AB113" s="68"/>
      <c r="AC113" s="68"/>
      <c r="AD113" s="68"/>
    </row>
    <row r="114" spans="2:30" x14ac:dyDescent="0.25">
      <c r="B114" s="68"/>
      <c r="C114" s="72"/>
      <c r="D114" s="68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68"/>
      <c r="X114" s="68"/>
      <c r="Y114" s="70"/>
      <c r="Z114" s="68"/>
      <c r="AA114" s="68"/>
      <c r="AB114" s="68"/>
      <c r="AC114" s="68"/>
      <c r="AD114" s="68"/>
    </row>
    <row r="115" spans="2:30" x14ac:dyDescent="0.25">
      <c r="B115" s="68"/>
      <c r="C115" s="72"/>
      <c r="D115" s="68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68"/>
      <c r="X115" s="68"/>
      <c r="Y115" s="70"/>
      <c r="Z115" s="68"/>
      <c r="AA115" s="68"/>
      <c r="AB115" s="68"/>
      <c r="AC115" s="68"/>
      <c r="AD115" s="68"/>
    </row>
    <row r="116" spans="2:30" x14ac:dyDescent="0.25">
      <c r="B116" s="68"/>
      <c r="C116" s="72"/>
      <c r="D116" s="68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68"/>
      <c r="X116" s="68"/>
      <c r="Y116" s="70"/>
      <c r="Z116" s="68"/>
      <c r="AA116" s="68"/>
      <c r="AB116" s="68"/>
      <c r="AC116" s="68"/>
      <c r="AD116" s="68"/>
    </row>
    <row r="117" spans="2:30" x14ac:dyDescent="0.25">
      <c r="B117" s="68"/>
      <c r="C117" s="75"/>
      <c r="D117" s="75"/>
      <c r="E117" s="75"/>
      <c r="F117" s="75"/>
      <c r="G117" s="91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6"/>
      <c r="Y117" s="77"/>
      <c r="Z117" s="76"/>
      <c r="AA117" s="68"/>
      <c r="AB117" s="68"/>
      <c r="AC117" s="68"/>
      <c r="AD117" s="68"/>
    </row>
    <row r="118" spans="2:30" x14ac:dyDescent="0.25">
      <c r="B118" s="78"/>
      <c r="C118" s="92"/>
      <c r="D118" s="76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6"/>
      <c r="X118" s="76"/>
      <c r="Y118" s="77"/>
      <c r="Z118" s="76"/>
      <c r="AA118" s="68"/>
      <c r="AB118" s="68"/>
      <c r="AC118" s="68"/>
      <c r="AD118" s="68"/>
    </row>
    <row r="119" spans="2:30" x14ac:dyDescent="0.25">
      <c r="B119" s="68"/>
      <c r="C119" s="93"/>
      <c r="D119" s="68"/>
      <c r="E119" s="12"/>
      <c r="F119" s="12"/>
      <c r="G119" s="80"/>
      <c r="H119" s="12"/>
      <c r="I119" s="12"/>
      <c r="J119" s="12"/>
      <c r="K119" s="12"/>
      <c r="L119" s="12"/>
      <c r="M119" s="12"/>
      <c r="N119" s="12"/>
      <c r="O119" s="12"/>
      <c r="P119" s="81"/>
      <c r="Q119" s="81"/>
      <c r="R119" s="81"/>
      <c r="S119" s="81"/>
      <c r="T119" s="81"/>
      <c r="U119" s="12"/>
      <c r="V119" s="12"/>
      <c r="W119" s="68"/>
      <c r="X119" s="68"/>
      <c r="Y119" s="70"/>
      <c r="Z119" s="68"/>
      <c r="AA119" s="68"/>
      <c r="AB119" s="68"/>
      <c r="AC119" s="68"/>
      <c r="AD119" s="68"/>
    </row>
    <row r="120" spans="2:30" x14ac:dyDescent="0.25">
      <c r="B120" s="68"/>
      <c r="C120" s="82"/>
      <c r="D120" s="76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6"/>
      <c r="X120" s="76"/>
      <c r="Y120" s="77"/>
      <c r="Z120" s="76"/>
      <c r="AA120" s="68"/>
      <c r="AB120" s="68"/>
      <c r="AC120" s="68"/>
      <c r="AD120" s="68"/>
    </row>
    <row r="121" spans="2:30" x14ac:dyDescent="0.25">
      <c r="B121" s="76"/>
      <c r="C121" s="82"/>
      <c r="D121" s="76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6"/>
      <c r="X121" s="76"/>
      <c r="Y121" s="77"/>
      <c r="Z121" s="76"/>
      <c r="AA121" s="68"/>
      <c r="AB121" s="68"/>
      <c r="AC121" s="68"/>
      <c r="AD121" s="68"/>
    </row>
    <row r="122" spans="2:30" x14ac:dyDescent="0.25">
      <c r="B122" s="68"/>
      <c r="C122" s="82"/>
      <c r="D122" s="76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66"/>
      <c r="X122" s="66"/>
      <c r="Y122" s="70"/>
      <c r="Z122" s="66"/>
      <c r="AA122" s="68"/>
      <c r="AB122" s="68"/>
      <c r="AC122" s="68"/>
      <c r="AD122" s="68"/>
    </row>
    <row r="123" spans="2:30" x14ac:dyDescent="0.25">
      <c r="C123" s="82"/>
      <c r="D123" s="76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66"/>
      <c r="X123" s="66"/>
      <c r="Y123" s="70"/>
      <c r="Z123" s="66"/>
      <c r="AA123" s="68"/>
      <c r="AB123" s="68"/>
      <c r="AC123" s="68"/>
      <c r="AD123" s="68"/>
    </row>
    <row r="124" spans="2:30" x14ac:dyDescent="0.25">
      <c r="C124" s="82"/>
      <c r="D124" s="76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66"/>
      <c r="X124" s="66"/>
      <c r="Y124" s="70"/>
      <c r="Z124" s="66"/>
      <c r="AA124" s="68"/>
      <c r="AB124" s="68"/>
      <c r="AC124" s="68"/>
      <c r="AD124" s="68"/>
    </row>
    <row r="125" spans="2:30" x14ac:dyDescent="0.25">
      <c r="C125" s="82"/>
      <c r="D125" s="76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66"/>
      <c r="X125" s="66"/>
      <c r="Y125" s="70"/>
      <c r="Z125" s="66"/>
      <c r="AA125" s="68"/>
      <c r="AB125" s="68"/>
      <c r="AC125" s="68"/>
      <c r="AD125" s="68"/>
    </row>
    <row r="126" spans="2:30" x14ac:dyDescent="0.25">
      <c r="C126" s="82"/>
      <c r="D126" s="76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66"/>
      <c r="X126" s="66"/>
      <c r="Y126" s="70"/>
      <c r="Z126" s="66"/>
      <c r="AA126" s="68"/>
      <c r="AB126" s="68"/>
      <c r="AC126" s="68"/>
      <c r="AD126" s="68"/>
    </row>
    <row r="127" spans="2:30" x14ac:dyDescent="0.25">
      <c r="C127" s="82"/>
      <c r="D127" s="76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66"/>
      <c r="X127" s="66"/>
      <c r="Y127" s="70"/>
      <c r="Z127" s="66"/>
      <c r="AA127" s="68"/>
      <c r="AB127" s="68"/>
      <c r="AC127" s="68"/>
      <c r="AD127" s="68"/>
    </row>
    <row r="128" spans="2:30" x14ac:dyDescent="0.25">
      <c r="C128" s="72"/>
      <c r="D128" s="68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66"/>
      <c r="X128" s="66"/>
      <c r="Y128" s="70"/>
      <c r="Z128" s="66"/>
      <c r="AA128" s="68"/>
      <c r="AB128" s="68"/>
      <c r="AC128" s="68"/>
      <c r="AD128" s="68"/>
    </row>
    <row r="129" spans="2:30" x14ac:dyDescent="0.25">
      <c r="C129" s="82"/>
      <c r="D129" s="68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66"/>
      <c r="X129" s="66"/>
      <c r="Y129" s="70"/>
      <c r="Z129" s="66"/>
      <c r="AA129" s="68"/>
      <c r="AB129" s="68"/>
      <c r="AC129" s="68"/>
      <c r="AD129" s="68"/>
    </row>
    <row r="130" spans="2:30" x14ac:dyDescent="0.25">
      <c r="C130" s="82"/>
      <c r="D130" s="68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66"/>
      <c r="X130" s="66"/>
      <c r="Y130" s="70"/>
      <c r="Z130" s="66"/>
      <c r="AA130" s="68"/>
      <c r="AB130" s="68"/>
      <c r="AC130" s="68"/>
      <c r="AD130" s="68"/>
    </row>
    <row r="131" spans="2:30" x14ac:dyDescent="0.25">
      <c r="C131" s="82"/>
      <c r="D131" s="68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66"/>
      <c r="X131" s="66"/>
      <c r="Y131" s="70"/>
      <c r="Z131" s="66"/>
      <c r="AA131" s="68"/>
      <c r="AB131" s="68"/>
      <c r="AC131" s="68"/>
      <c r="AD131" s="68"/>
    </row>
    <row r="132" spans="2:30" x14ac:dyDescent="0.25">
      <c r="C132" s="82"/>
      <c r="D132" s="68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66"/>
      <c r="X132" s="66"/>
      <c r="Y132" s="70"/>
      <c r="Z132" s="66"/>
      <c r="AA132" s="68"/>
      <c r="AB132" s="68"/>
      <c r="AC132" s="68"/>
      <c r="AD132" s="68"/>
    </row>
    <row r="133" spans="2:30" x14ac:dyDescent="0.25">
      <c r="C133" s="82"/>
      <c r="D133" s="68"/>
      <c r="E133" s="12"/>
      <c r="F133" s="12"/>
      <c r="G133" s="12"/>
      <c r="H133" s="12"/>
      <c r="I133" s="12"/>
      <c r="J133" s="12"/>
      <c r="K133" s="12"/>
      <c r="L133" s="12"/>
      <c r="M133" s="12">
        <f>737717*4</f>
        <v>2950868</v>
      </c>
      <c r="N133" s="12">
        <f>737717*2</f>
        <v>1475434</v>
      </c>
      <c r="O133" s="12"/>
      <c r="P133" s="12"/>
      <c r="Q133" s="12"/>
      <c r="R133" s="12"/>
      <c r="S133" s="12"/>
      <c r="T133" s="12"/>
      <c r="U133" s="12"/>
      <c r="V133" s="12"/>
      <c r="W133" s="66"/>
      <c r="X133" s="66"/>
      <c r="Y133" s="70"/>
      <c r="Z133" s="66"/>
      <c r="AA133" s="68"/>
      <c r="AB133" s="68"/>
      <c r="AC133" s="68"/>
      <c r="AD133" s="68"/>
    </row>
    <row r="134" spans="2:30" x14ac:dyDescent="0.25">
      <c r="C134" s="82"/>
      <c r="D134" s="68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66"/>
      <c r="X134" s="66"/>
      <c r="Y134" s="70"/>
      <c r="Z134" s="66"/>
      <c r="AA134" s="68"/>
      <c r="AB134" s="68"/>
      <c r="AC134" s="68"/>
      <c r="AD134" s="68"/>
    </row>
    <row r="135" spans="2:30" x14ac:dyDescent="0.25">
      <c r="C135" s="82"/>
      <c r="D135" s="68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66"/>
      <c r="X135" s="66"/>
      <c r="Y135" s="70"/>
      <c r="Z135" s="66"/>
      <c r="AA135" s="68"/>
      <c r="AB135" s="68"/>
      <c r="AC135" s="68"/>
      <c r="AD135" s="68"/>
    </row>
    <row r="136" spans="2:30" x14ac:dyDescent="0.25">
      <c r="C136" s="82"/>
      <c r="D136" s="68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66"/>
      <c r="X136" s="66"/>
      <c r="Y136" s="70"/>
      <c r="Z136" s="66"/>
      <c r="AA136" s="68"/>
      <c r="AB136" s="68"/>
      <c r="AC136" s="68"/>
      <c r="AD136" s="68"/>
    </row>
    <row r="137" spans="2:30" x14ac:dyDescent="0.25">
      <c r="C137" s="82"/>
      <c r="D137" s="68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66"/>
      <c r="X137" s="66"/>
      <c r="Y137" s="70"/>
      <c r="Z137" s="66"/>
      <c r="AA137" s="68"/>
      <c r="AB137" s="68"/>
      <c r="AC137" s="68"/>
      <c r="AD137" s="68"/>
    </row>
    <row r="138" spans="2:30" x14ac:dyDescent="0.25">
      <c r="C138" s="82"/>
      <c r="D138" s="68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66"/>
      <c r="X138" s="66"/>
      <c r="Y138" s="70"/>
      <c r="Z138" s="66"/>
      <c r="AA138" s="68"/>
      <c r="AB138" s="68"/>
      <c r="AC138" s="68"/>
      <c r="AD138" s="68"/>
    </row>
    <row r="139" spans="2:30" x14ac:dyDescent="0.25">
      <c r="C139" s="82"/>
      <c r="D139" s="68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66"/>
      <c r="X139" s="66"/>
      <c r="Y139" s="70"/>
      <c r="Z139" s="66"/>
      <c r="AA139" s="68"/>
      <c r="AB139" s="68"/>
      <c r="AC139" s="68"/>
      <c r="AD139" s="68"/>
    </row>
    <row r="140" spans="2:30" x14ac:dyDescent="0.25">
      <c r="C140" s="72"/>
      <c r="D140" s="68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68"/>
      <c r="X140" s="68"/>
      <c r="Y140" s="70"/>
      <c r="Z140" s="68"/>
      <c r="AA140" s="68"/>
      <c r="AB140" s="68"/>
      <c r="AC140" s="68"/>
      <c r="AD140" s="68"/>
    </row>
    <row r="141" spans="2:30" x14ac:dyDescent="0.25">
      <c r="C141" s="72"/>
      <c r="D141" s="68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68"/>
      <c r="U141" s="12"/>
      <c r="V141" s="12"/>
      <c r="W141" s="68"/>
      <c r="X141" s="68"/>
      <c r="Y141" s="70"/>
      <c r="Z141" s="68"/>
      <c r="AA141" s="68"/>
      <c r="AB141" s="68"/>
      <c r="AC141" s="68"/>
      <c r="AD141" s="68"/>
    </row>
    <row r="142" spans="2:30" x14ac:dyDescent="0.25">
      <c r="B142" s="68"/>
      <c r="C142" s="72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68"/>
      <c r="AB142" s="68"/>
      <c r="AC142" s="68"/>
      <c r="AD142" s="68"/>
    </row>
    <row r="143" spans="2:30" x14ac:dyDescent="0.25">
      <c r="B143" s="68"/>
      <c r="C143" s="72"/>
      <c r="D143" s="68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6"/>
      <c r="X143" s="76"/>
      <c r="Y143" s="77"/>
      <c r="Z143" s="76"/>
      <c r="AA143" s="68"/>
      <c r="AB143" s="68"/>
      <c r="AC143" s="68"/>
      <c r="AD143" s="68"/>
    </row>
    <row r="144" spans="2:30" x14ac:dyDescent="0.25">
      <c r="B144" s="68"/>
      <c r="C144" s="82"/>
      <c r="D144" s="76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6"/>
      <c r="X144" s="76"/>
      <c r="Y144" s="77"/>
      <c r="Z144" s="76"/>
    </row>
    <row r="145" spans="2:26" x14ac:dyDescent="0.25">
      <c r="B145" s="85"/>
      <c r="C145" s="82"/>
      <c r="D145" s="76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6"/>
      <c r="X145" s="76"/>
      <c r="Y145" s="77"/>
      <c r="Z145" s="76"/>
    </row>
    <row r="146" spans="2:26" x14ac:dyDescent="0.25">
      <c r="C146" s="82"/>
      <c r="D146" s="76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66"/>
      <c r="X146" s="66"/>
      <c r="Y146" s="70"/>
      <c r="Z146" s="66"/>
    </row>
    <row r="147" spans="2:26" x14ac:dyDescent="0.25">
      <c r="C147" s="82"/>
      <c r="D147" s="76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66"/>
      <c r="X147" s="66"/>
      <c r="Y147" s="70"/>
      <c r="Z147" s="66"/>
    </row>
    <row r="148" spans="2:26" x14ac:dyDescent="0.25">
      <c r="C148" s="82"/>
      <c r="D148" s="76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66"/>
      <c r="X148" s="66"/>
      <c r="Y148" s="70"/>
      <c r="Z148" s="66"/>
    </row>
    <row r="149" spans="2:26" x14ac:dyDescent="0.25">
      <c r="C149" s="72"/>
      <c r="D149" s="68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66"/>
      <c r="X149" s="66"/>
      <c r="Y149" s="70"/>
      <c r="Z149" s="66"/>
    </row>
    <row r="150" spans="2:26" x14ac:dyDescent="0.25">
      <c r="C150" s="82"/>
      <c r="D150" s="68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66"/>
      <c r="X150" s="66"/>
      <c r="Y150" s="70"/>
      <c r="Z150" s="66"/>
    </row>
    <row r="151" spans="2:26" x14ac:dyDescent="0.25">
      <c r="C151" s="72"/>
      <c r="D151" s="68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68"/>
      <c r="X151" s="68"/>
      <c r="Y151" s="70"/>
      <c r="Z151" s="68"/>
    </row>
    <row r="152" spans="2:26" x14ac:dyDescent="0.25">
      <c r="C152" s="72"/>
      <c r="D152" s="68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66"/>
      <c r="X152" s="66"/>
      <c r="Y152" s="70"/>
      <c r="Z152" s="66"/>
    </row>
    <row r="153" spans="2:26" x14ac:dyDescent="0.25">
      <c r="B153" s="68"/>
      <c r="C153" s="72"/>
      <c r="D153" s="68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68"/>
      <c r="X153" s="68"/>
      <c r="Y153" s="70"/>
      <c r="Z153" s="68"/>
    </row>
    <row r="154" spans="2:26" x14ac:dyDescent="0.25">
      <c r="B154" s="68"/>
      <c r="C154" s="72"/>
      <c r="D154" s="68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68"/>
      <c r="X154" s="68"/>
      <c r="Y154" s="70"/>
      <c r="Z154" s="68"/>
    </row>
    <row r="155" spans="2:26" x14ac:dyDescent="0.25">
      <c r="B155" s="68"/>
      <c r="C155" s="72"/>
      <c r="D155" s="68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86"/>
      <c r="X155" s="86"/>
      <c r="Y155" s="70"/>
      <c r="Z155" s="86"/>
    </row>
    <row r="156" spans="2:26" x14ac:dyDescent="0.25">
      <c r="B156" s="68"/>
      <c r="C156" s="72"/>
      <c r="D156" s="68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87"/>
      <c r="X156" s="87"/>
      <c r="Y156" s="70"/>
      <c r="Z156" s="87"/>
    </row>
    <row r="157" spans="2:26" x14ac:dyDescent="0.25">
      <c r="C157" s="72"/>
      <c r="D157" s="68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68"/>
      <c r="X157" s="68"/>
      <c r="Y157" s="70"/>
      <c r="Z157" s="68"/>
    </row>
    <row r="158" spans="2:26" x14ac:dyDescent="0.25">
      <c r="C158" s="72"/>
      <c r="D158" s="68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68"/>
      <c r="X158" s="68"/>
      <c r="Y158" s="70"/>
      <c r="Z158" s="68"/>
    </row>
    <row r="159" spans="2:26" x14ac:dyDescent="0.25">
      <c r="C159" s="72"/>
      <c r="D159" s="68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68"/>
      <c r="X159" s="68"/>
      <c r="Y159" s="70"/>
      <c r="Z159" s="68"/>
    </row>
    <row r="160" spans="2:26" x14ac:dyDescent="0.25">
      <c r="C160" s="72"/>
      <c r="D160" s="68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68"/>
      <c r="X160" s="68"/>
      <c r="Y160" s="70"/>
      <c r="Z160" s="68"/>
    </row>
    <row r="161" spans="3:26" x14ac:dyDescent="0.25">
      <c r="C161" s="72"/>
      <c r="D161" s="68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68"/>
      <c r="X161" s="68"/>
      <c r="Y161" s="70"/>
      <c r="Z161" s="68"/>
    </row>
    <row r="162" spans="3:26" x14ac:dyDescent="0.25">
      <c r="C162" s="72"/>
      <c r="D162" s="68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68"/>
      <c r="X162" s="68"/>
      <c r="Y162" s="70"/>
      <c r="Z162" s="68"/>
    </row>
    <row r="163" spans="3:26" x14ac:dyDescent="0.25">
      <c r="C163" s="72"/>
      <c r="D163" s="68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68"/>
      <c r="X163" s="68"/>
      <c r="Y163" s="70"/>
      <c r="Z163" s="68"/>
    </row>
    <row r="164" spans="3:26" x14ac:dyDescent="0.25">
      <c r="C164" s="72"/>
      <c r="D164" s="68"/>
      <c r="E164" s="12"/>
      <c r="F164" s="12"/>
      <c r="G164" s="12"/>
      <c r="H164" s="12"/>
      <c r="I164" s="12"/>
      <c r="J164" s="12"/>
      <c r="K164" s="12"/>
      <c r="L164" s="12"/>
      <c r="M164" s="12"/>
      <c r="N164" s="12">
        <v>3003000</v>
      </c>
      <c r="O164" s="12"/>
      <c r="P164" s="12"/>
      <c r="Q164" s="12"/>
      <c r="R164" s="12"/>
      <c r="S164" s="12"/>
      <c r="T164" s="12"/>
      <c r="U164" s="12"/>
      <c r="V164" s="12"/>
      <c r="W164" s="68"/>
      <c r="X164" s="68"/>
      <c r="Y164" s="70"/>
      <c r="Z164" s="68"/>
    </row>
    <row r="165" spans="3:26" x14ac:dyDescent="0.25">
      <c r="C165" s="82"/>
      <c r="D165" s="68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68"/>
      <c r="X165" s="68"/>
      <c r="Y165" s="70"/>
      <c r="Z165" s="68"/>
    </row>
    <row r="166" spans="3:26" x14ac:dyDescent="0.25">
      <c r="C166" s="82"/>
      <c r="D166" s="68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68"/>
      <c r="X166" s="68"/>
      <c r="Y166" s="70"/>
      <c r="Z166" s="68"/>
    </row>
    <row r="167" spans="3:26" x14ac:dyDescent="0.25">
      <c r="C167" s="82"/>
      <c r="D167" s="68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68"/>
      <c r="X167" s="68"/>
      <c r="Y167" s="70"/>
      <c r="Z167" s="68"/>
    </row>
    <row r="168" spans="3:26" x14ac:dyDescent="0.25">
      <c r="C168" s="82"/>
      <c r="D168" s="68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68"/>
      <c r="X168" s="68"/>
      <c r="Y168" s="70"/>
      <c r="Z168" s="68"/>
    </row>
    <row r="169" spans="3:26" x14ac:dyDescent="0.25">
      <c r="C169" s="72">
        <v>42614840</v>
      </c>
      <c r="D169" s="68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>
        <v>412608</v>
      </c>
      <c r="W169" s="68"/>
      <c r="X169" s="68"/>
      <c r="Y169" s="70"/>
      <c r="Z169" s="68"/>
    </row>
    <row r="170" spans="3:26" x14ac:dyDescent="0.25">
      <c r="C170" s="72">
        <v>9675182</v>
      </c>
      <c r="D170" s="68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>
        <v>1880000</v>
      </c>
      <c r="W170" s="68"/>
      <c r="X170" s="68"/>
      <c r="Y170" s="70"/>
      <c r="Z170" s="68"/>
    </row>
    <row r="171" spans="3:26" x14ac:dyDescent="0.25">
      <c r="C171" s="72">
        <v>17903600</v>
      </c>
      <c r="D171" s="68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68"/>
      <c r="X171" s="68"/>
      <c r="Y171" s="70"/>
      <c r="Z171" s="68"/>
    </row>
    <row r="172" spans="3:26" x14ac:dyDescent="0.25">
      <c r="C172" s="72">
        <f>SUM(C169:C171)</f>
        <v>70193622</v>
      </c>
      <c r="D172" s="68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68"/>
      <c r="X172" s="68"/>
      <c r="Y172" s="70"/>
      <c r="Z172" s="68"/>
    </row>
    <row r="173" spans="3:26" x14ac:dyDescent="0.25">
      <c r="C173" s="72">
        <v>400000</v>
      </c>
      <c r="D173" s="68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68"/>
      <c r="X173" s="68"/>
      <c r="Y173" s="70"/>
      <c r="Z173" s="68"/>
    </row>
    <row r="174" spans="3:26" x14ac:dyDescent="0.25">
      <c r="C174" s="72">
        <f>+C172+C173</f>
        <v>70593622</v>
      </c>
      <c r="D174" s="68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68"/>
      <c r="X174" s="68"/>
      <c r="Y174" s="70"/>
      <c r="Z174" s="68"/>
    </row>
    <row r="178" spans="3:3" x14ac:dyDescent="0.25">
      <c r="C178" s="13">
        <v>11000000</v>
      </c>
    </row>
    <row r="179" spans="3:3" x14ac:dyDescent="0.25">
      <c r="C179" s="13">
        <f>+C177+C178</f>
        <v>11000000</v>
      </c>
    </row>
    <row r="184" spans="3:3" x14ac:dyDescent="0.25">
      <c r="C184" s="13">
        <v>3185000</v>
      </c>
    </row>
    <row r="185" spans="3:3" x14ac:dyDescent="0.25">
      <c r="C185" s="13">
        <v>1080000</v>
      </c>
    </row>
    <row r="186" spans="3:3" x14ac:dyDescent="0.25">
      <c r="C186" s="13">
        <v>4850100</v>
      </c>
    </row>
    <row r="187" spans="3:3" x14ac:dyDescent="0.25">
      <c r="C187" s="13">
        <v>5027500</v>
      </c>
    </row>
    <row r="188" spans="3:3" x14ac:dyDescent="0.25">
      <c r="C188" s="13">
        <v>4566000</v>
      </c>
    </row>
    <row r="189" spans="3:3" x14ac:dyDescent="0.25">
      <c r="C189" s="13">
        <v>1050000</v>
      </c>
    </row>
    <row r="190" spans="3:3" x14ac:dyDescent="0.25">
      <c r="C190" s="13">
        <v>3877333</v>
      </c>
    </row>
    <row r="191" spans="3:3" x14ac:dyDescent="0.25">
      <c r="C191" s="13">
        <v>6732440</v>
      </c>
    </row>
    <row r="192" spans="3:3" x14ac:dyDescent="0.25">
      <c r="C192" s="13">
        <v>3460000</v>
      </c>
    </row>
    <row r="193" spans="3:3" x14ac:dyDescent="0.25">
      <c r="C193" s="13">
        <v>588800</v>
      </c>
    </row>
    <row r="194" spans="3:3" x14ac:dyDescent="0.25">
      <c r="C194" s="13">
        <v>1868000</v>
      </c>
    </row>
    <row r="195" spans="3:3" x14ac:dyDescent="0.25">
      <c r="C195" s="13">
        <v>10313000</v>
      </c>
    </row>
    <row r="196" spans="3:3" x14ac:dyDescent="0.25">
      <c r="C196" s="13">
        <v>3443800</v>
      </c>
    </row>
    <row r="197" spans="3:3" x14ac:dyDescent="0.25">
      <c r="C197" s="13">
        <v>8136400</v>
      </c>
    </row>
    <row r="198" spans="3:3" x14ac:dyDescent="0.25">
      <c r="C198" s="13">
        <v>9675183</v>
      </c>
    </row>
    <row r="199" spans="3:3" x14ac:dyDescent="0.25">
      <c r="C199" s="13">
        <f>SUM(C183:C198)</f>
        <v>67853556</v>
      </c>
    </row>
  </sheetData>
  <mergeCells count="7">
    <mergeCell ref="D142:Z142"/>
    <mergeCell ref="C1:W1"/>
    <mergeCell ref="E2:M2"/>
    <mergeCell ref="N2:V2"/>
    <mergeCell ref="A4:A51"/>
    <mergeCell ref="A52:A107"/>
    <mergeCell ref="E141:S14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FD05-8409-4625-8937-CB83B99896A3}">
  <dimension ref="A1:AD202"/>
  <sheetViews>
    <sheetView workbookViewId="0">
      <selection activeCell="F14" sqref="F14"/>
    </sheetView>
  </sheetViews>
  <sheetFormatPr baseColWidth="10" defaultRowHeight="12" x14ac:dyDescent="0.25"/>
  <cols>
    <col min="1" max="1" width="6.7109375" style="62" customWidth="1"/>
    <col min="2" max="2" width="4.85546875" style="62" customWidth="1"/>
    <col min="3" max="3" width="32.28515625" style="13" customWidth="1"/>
    <col min="4" max="4" width="8.5703125" style="62" customWidth="1"/>
    <col min="5" max="5" width="14" style="71" bestFit="1" customWidth="1"/>
    <col min="6" max="6" width="4.42578125" style="71" customWidth="1"/>
    <col min="7" max="7" width="14.28515625" style="71" customWidth="1"/>
    <col min="8" max="10" width="11.28515625" style="71" customWidth="1"/>
    <col min="11" max="11" width="12.28515625" style="71" customWidth="1"/>
    <col min="12" max="12" width="17.7109375" style="71" customWidth="1"/>
    <col min="13" max="13" width="13.28515625" style="71" customWidth="1"/>
    <col min="14" max="15" width="12.28515625" style="71" customWidth="1"/>
    <col min="16" max="18" width="11.28515625" style="71" customWidth="1"/>
    <col min="19" max="19" width="12.28515625" style="71" customWidth="1"/>
    <col min="20" max="20" width="11.28515625" style="71" customWidth="1"/>
    <col min="21" max="21" width="15.7109375" style="71" customWidth="1"/>
    <col min="22" max="22" width="12.42578125" style="71" bestFit="1" customWidth="1"/>
    <col min="23" max="23" width="18" style="62" bestFit="1" customWidth="1"/>
    <col min="24" max="24" width="1.7109375" style="62" customWidth="1"/>
    <col min="25" max="25" width="1.85546875" style="69" customWidth="1"/>
    <col min="26" max="26" width="27.28515625" style="62" customWidth="1"/>
    <col min="27" max="27" width="11.5703125" style="62" bestFit="1" customWidth="1"/>
    <col min="28" max="28" width="11.85546875" style="62" bestFit="1" customWidth="1"/>
    <col min="29" max="29" width="11.5703125" style="62" bestFit="1" customWidth="1"/>
    <col min="30" max="248" width="11.42578125" style="62"/>
    <col min="249" max="249" width="10.5703125" style="62" customWidth="1"/>
    <col min="250" max="250" width="4.85546875" style="62" customWidth="1"/>
    <col min="251" max="251" width="32.42578125" style="62" customWidth="1"/>
    <col min="252" max="252" width="9.85546875" style="62" customWidth="1"/>
    <col min="253" max="253" width="10.140625" style="62" customWidth="1"/>
    <col min="254" max="254" width="12.28515625" style="62" customWidth="1"/>
    <col min="255" max="255" width="15.42578125" style="62" customWidth="1"/>
    <col min="256" max="256" width="11.85546875" style="62" customWidth="1"/>
    <col min="257" max="257" width="13.28515625" style="62" customWidth="1"/>
    <col min="258" max="258" width="15.28515625" style="62" customWidth="1"/>
    <col min="259" max="259" width="11.85546875" style="62" customWidth="1"/>
    <col min="260" max="260" width="6.140625" style="62" customWidth="1"/>
    <col min="261" max="261" width="11.85546875" style="62" customWidth="1"/>
    <col min="262" max="262" width="9.42578125" style="62" customWidth="1"/>
    <col min="263" max="263" width="14.7109375" style="62" customWidth="1"/>
    <col min="264" max="264" width="11.5703125" style="62" customWidth="1"/>
    <col min="265" max="265" width="0.42578125" style="62" customWidth="1"/>
    <col min="266" max="266" width="10.5703125" style="62" bestFit="1" customWidth="1"/>
    <col min="267" max="267" width="12.28515625" style="62" customWidth="1"/>
    <col min="268" max="268" width="12.5703125" style="62" customWidth="1"/>
    <col min="269" max="269" width="10.5703125" style="62" customWidth="1"/>
    <col min="270" max="270" width="10.140625" style="62" customWidth="1"/>
    <col min="271" max="271" width="8.42578125" style="62" customWidth="1"/>
    <col min="272" max="272" width="18.85546875" style="62" customWidth="1"/>
    <col min="273" max="273" width="10.28515625" style="62" customWidth="1"/>
    <col min="274" max="274" width="11.42578125" style="62"/>
    <col min="275" max="275" width="12.140625" style="62" customWidth="1"/>
    <col min="276" max="276" width="10.5703125" style="62" customWidth="1"/>
    <col min="277" max="277" width="12.42578125" style="62" customWidth="1"/>
    <col min="278" max="278" width="15.140625" style="62" customWidth="1"/>
    <col min="279" max="279" width="13.5703125" style="62" customWidth="1"/>
    <col min="280" max="280" width="13.140625" style="62" customWidth="1"/>
    <col min="281" max="281" width="15.7109375" style="62" customWidth="1"/>
    <col min="282" max="282" width="37.5703125" style="62" customWidth="1"/>
    <col min="283" max="504" width="11.42578125" style="62"/>
    <col min="505" max="505" width="10.5703125" style="62" customWidth="1"/>
    <col min="506" max="506" width="4.85546875" style="62" customWidth="1"/>
    <col min="507" max="507" width="32.42578125" style="62" customWidth="1"/>
    <col min="508" max="508" width="9.85546875" style="62" customWidth="1"/>
    <col min="509" max="509" width="10.140625" style="62" customWidth="1"/>
    <col min="510" max="510" width="12.28515625" style="62" customWidth="1"/>
    <col min="511" max="511" width="15.42578125" style="62" customWidth="1"/>
    <col min="512" max="512" width="11.85546875" style="62" customWidth="1"/>
    <col min="513" max="513" width="13.28515625" style="62" customWidth="1"/>
    <col min="514" max="514" width="15.28515625" style="62" customWidth="1"/>
    <col min="515" max="515" width="11.85546875" style="62" customWidth="1"/>
    <col min="516" max="516" width="6.140625" style="62" customWidth="1"/>
    <col min="517" max="517" width="11.85546875" style="62" customWidth="1"/>
    <col min="518" max="518" width="9.42578125" style="62" customWidth="1"/>
    <col min="519" max="519" width="14.7109375" style="62" customWidth="1"/>
    <col min="520" max="520" width="11.5703125" style="62" customWidth="1"/>
    <col min="521" max="521" width="0.42578125" style="62" customWidth="1"/>
    <col min="522" max="522" width="10.5703125" style="62" bestFit="1" customWidth="1"/>
    <col min="523" max="523" width="12.28515625" style="62" customWidth="1"/>
    <col min="524" max="524" width="12.5703125" style="62" customWidth="1"/>
    <col min="525" max="525" width="10.5703125" style="62" customWidth="1"/>
    <col min="526" max="526" width="10.140625" style="62" customWidth="1"/>
    <col min="527" max="527" width="8.42578125" style="62" customWidth="1"/>
    <col min="528" max="528" width="18.85546875" style="62" customWidth="1"/>
    <col min="529" max="529" width="10.28515625" style="62" customWidth="1"/>
    <col min="530" max="530" width="11.42578125" style="62"/>
    <col min="531" max="531" width="12.140625" style="62" customWidth="1"/>
    <col min="532" max="532" width="10.5703125" style="62" customWidth="1"/>
    <col min="533" max="533" width="12.42578125" style="62" customWidth="1"/>
    <col min="534" max="534" width="15.140625" style="62" customWidth="1"/>
    <col min="535" max="535" width="13.5703125" style="62" customWidth="1"/>
    <col min="536" max="536" width="13.140625" style="62" customWidth="1"/>
    <col min="537" max="537" width="15.7109375" style="62" customWidth="1"/>
    <col min="538" max="538" width="37.5703125" style="62" customWidth="1"/>
    <col min="539" max="760" width="11.42578125" style="62"/>
    <col min="761" max="761" width="10.5703125" style="62" customWidth="1"/>
    <col min="762" max="762" width="4.85546875" style="62" customWidth="1"/>
    <col min="763" max="763" width="32.42578125" style="62" customWidth="1"/>
    <col min="764" max="764" width="9.85546875" style="62" customWidth="1"/>
    <col min="765" max="765" width="10.140625" style="62" customWidth="1"/>
    <col min="766" max="766" width="12.28515625" style="62" customWidth="1"/>
    <col min="767" max="767" width="15.42578125" style="62" customWidth="1"/>
    <col min="768" max="768" width="11.85546875" style="62" customWidth="1"/>
    <col min="769" max="769" width="13.28515625" style="62" customWidth="1"/>
    <col min="770" max="770" width="15.28515625" style="62" customWidth="1"/>
    <col min="771" max="771" width="11.85546875" style="62" customWidth="1"/>
    <col min="772" max="772" width="6.140625" style="62" customWidth="1"/>
    <col min="773" max="773" width="11.85546875" style="62" customWidth="1"/>
    <col min="774" max="774" width="9.42578125" style="62" customWidth="1"/>
    <col min="775" max="775" width="14.7109375" style="62" customWidth="1"/>
    <col min="776" max="776" width="11.5703125" style="62" customWidth="1"/>
    <col min="777" max="777" width="0.42578125" style="62" customWidth="1"/>
    <col min="778" max="778" width="10.5703125" style="62" bestFit="1" customWidth="1"/>
    <col min="779" max="779" width="12.28515625" style="62" customWidth="1"/>
    <col min="780" max="780" width="12.5703125" style="62" customWidth="1"/>
    <col min="781" max="781" width="10.5703125" style="62" customWidth="1"/>
    <col min="782" max="782" width="10.140625" style="62" customWidth="1"/>
    <col min="783" max="783" width="8.42578125" style="62" customWidth="1"/>
    <col min="784" max="784" width="18.85546875" style="62" customWidth="1"/>
    <col min="785" max="785" width="10.28515625" style="62" customWidth="1"/>
    <col min="786" max="786" width="11.42578125" style="62"/>
    <col min="787" max="787" width="12.140625" style="62" customWidth="1"/>
    <col min="788" max="788" width="10.5703125" style="62" customWidth="1"/>
    <col min="789" max="789" width="12.42578125" style="62" customWidth="1"/>
    <col min="790" max="790" width="15.140625" style="62" customWidth="1"/>
    <col min="791" max="791" width="13.5703125" style="62" customWidth="1"/>
    <col min="792" max="792" width="13.140625" style="62" customWidth="1"/>
    <col min="793" max="793" width="15.7109375" style="62" customWidth="1"/>
    <col min="794" max="794" width="37.5703125" style="62" customWidth="1"/>
    <col min="795" max="1016" width="11.42578125" style="62"/>
    <col min="1017" max="1017" width="10.5703125" style="62" customWidth="1"/>
    <col min="1018" max="1018" width="4.85546875" style="62" customWidth="1"/>
    <col min="1019" max="1019" width="32.42578125" style="62" customWidth="1"/>
    <col min="1020" max="1020" width="9.85546875" style="62" customWidth="1"/>
    <col min="1021" max="1021" width="10.140625" style="62" customWidth="1"/>
    <col min="1022" max="1022" width="12.28515625" style="62" customWidth="1"/>
    <col min="1023" max="1023" width="15.42578125" style="62" customWidth="1"/>
    <col min="1024" max="1024" width="11.85546875" style="62" customWidth="1"/>
    <col min="1025" max="1025" width="13.28515625" style="62" customWidth="1"/>
    <col min="1026" max="1026" width="15.28515625" style="62" customWidth="1"/>
    <col min="1027" max="1027" width="11.85546875" style="62" customWidth="1"/>
    <col min="1028" max="1028" width="6.140625" style="62" customWidth="1"/>
    <col min="1029" max="1029" width="11.85546875" style="62" customWidth="1"/>
    <col min="1030" max="1030" width="9.42578125" style="62" customWidth="1"/>
    <col min="1031" max="1031" width="14.7109375" style="62" customWidth="1"/>
    <col min="1032" max="1032" width="11.5703125" style="62" customWidth="1"/>
    <col min="1033" max="1033" width="0.42578125" style="62" customWidth="1"/>
    <col min="1034" max="1034" width="10.5703125" style="62" bestFit="1" customWidth="1"/>
    <col min="1035" max="1035" width="12.28515625" style="62" customWidth="1"/>
    <col min="1036" max="1036" width="12.5703125" style="62" customWidth="1"/>
    <col min="1037" max="1037" width="10.5703125" style="62" customWidth="1"/>
    <col min="1038" max="1038" width="10.140625" style="62" customWidth="1"/>
    <col min="1039" max="1039" width="8.42578125" style="62" customWidth="1"/>
    <col min="1040" max="1040" width="18.85546875" style="62" customWidth="1"/>
    <col min="1041" max="1041" width="10.28515625" style="62" customWidth="1"/>
    <col min="1042" max="1042" width="11.42578125" style="62"/>
    <col min="1043" max="1043" width="12.140625" style="62" customWidth="1"/>
    <col min="1044" max="1044" width="10.5703125" style="62" customWidth="1"/>
    <col min="1045" max="1045" width="12.42578125" style="62" customWidth="1"/>
    <col min="1046" max="1046" width="15.140625" style="62" customWidth="1"/>
    <col min="1047" max="1047" width="13.5703125" style="62" customWidth="1"/>
    <col min="1048" max="1048" width="13.140625" style="62" customWidth="1"/>
    <col min="1049" max="1049" width="15.7109375" style="62" customWidth="1"/>
    <col min="1050" max="1050" width="37.5703125" style="62" customWidth="1"/>
    <col min="1051" max="1272" width="11.42578125" style="62"/>
    <col min="1273" max="1273" width="10.5703125" style="62" customWidth="1"/>
    <col min="1274" max="1274" width="4.85546875" style="62" customWidth="1"/>
    <col min="1275" max="1275" width="32.42578125" style="62" customWidth="1"/>
    <col min="1276" max="1276" width="9.85546875" style="62" customWidth="1"/>
    <col min="1277" max="1277" width="10.140625" style="62" customWidth="1"/>
    <col min="1278" max="1278" width="12.28515625" style="62" customWidth="1"/>
    <col min="1279" max="1279" width="15.42578125" style="62" customWidth="1"/>
    <col min="1280" max="1280" width="11.85546875" style="62" customWidth="1"/>
    <col min="1281" max="1281" width="13.28515625" style="62" customWidth="1"/>
    <col min="1282" max="1282" width="15.28515625" style="62" customWidth="1"/>
    <col min="1283" max="1283" width="11.85546875" style="62" customWidth="1"/>
    <col min="1284" max="1284" width="6.140625" style="62" customWidth="1"/>
    <col min="1285" max="1285" width="11.85546875" style="62" customWidth="1"/>
    <col min="1286" max="1286" width="9.42578125" style="62" customWidth="1"/>
    <col min="1287" max="1287" width="14.7109375" style="62" customWidth="1"/>
    <col min="1288" max="1288" width="11.5703125" style="62" customWidth="1"/>
    <col min="1289" max="1289" width="0.42578125" style="62" customWidth="1"/>
    <col min="1290" max="1290" width="10.5703125" style="62" bestFit="1" customWidth="1"/>
    <col min="1291" max="1291" width="12.28515625" style="62" customWidth="1"/>
    <col min="1292" max="1292" width="12.5703125" style="62" customWidth="1"/>
    <col min="1293" max="1293" width="10.5703125" style="62" customWidth="1"/>
    <col min="1294" max="1294" width="10.140625" style="62" customWidth="1"/>
    <col min="1295" max="1295" width="8.42578125" style="62" customWidth="1"/>
    <col min="1296" max="1296" width="18.85546875" style="62" customWidth="1"/>
    <col min="1297" max="1297" width="10.28515625" style="62" customWidth="1"/>
    <col min="1298" max="1298" width="11.42578125" style="62"/>
    <col min="1299" max="1299" width="12.140625" style="62" customWidth="1"/>
    <col min="1300" max="1300" width="10.5703125" style="62" customWidth="1"/>
    <col min="1301" max="1301" width="12.42578125" style="62" customWidth="1"/>
    <col min="1302" max="1302" width="15.140625" style="62" customWidth="1"/>
    <col min="1303" max="1303" width="13.5703125" style="62" customWidth="1"/>
    <col min="1304" max="1304" width="13.140625" style="62" customWidth="1"/>
    <col min="1305" max="1305" width="15.7109375" style="62" customWidth="1"/>
    <col min="1306" max="1306" width="37.5703125" style="62" customWidth="1"/>
    <col min="1307" max="1528" width="11.42578125" style="62"/>
    <col min="1529" max="1529" width="10.5703125" style="62" customWidth="1"/>
    <col min="1530" max="1530" width="4.85546875" style="62" customWidth="1"/>
    <col min="1531" max="1531" width="32.42578125" style="62" customWidth="1"/>
    <col min="1532" max="1532" width="9.85546875" style="62" customWidth="1"/>
    <col min="1533" max="1533" width="10.140625" style="62" customWidth="1"/>
    <col min="1534" max="1534" width="12.28515625" style="62" customWidth="1"/>
    <col min="1535" max="1535" width="15.42578125" style="62" customWidth="1"/>
    <col min="1536" max="1536" width="11.85546875" style="62" customWidth="1"/>
    <col min="1537" max="1537" width="13.28515625" style="62" customWidth="1"/>
    <col min="1538" max="1538" width="15.28515625" style="62" customWidth="1"/>
    <col min="1539" max="1539" width="11.85546875" style="62" customWidth="1"/>
    <col min="1540" max="1540" width="6.140625" style="62" customWidth="1"/>
    <col min="1541" max="1541" width="11.85546875" style="62" customWidth="1"/>
    <col min="1542" max="1542" width="9.42578125" style="62" customWidth="1"/>
    <col min="1543" max="1543" width="14.7109375" style="62" customWidth="1"/>
    <col min="1544" max="1544" width="11.5703125" style="62" customWidth="1"/>
    <col min="1545" max="1545" width="0.42578125" style="62" customWidth="1"/>
    <col min="1546" max="1546" width="10.5703125" style="62" bestFit="1" customWidth="1"/>
    <col min="1547" max="1547" width="12.28515625" style="62" customWidth="1"/>
    <col min="1548" max="1548" width="12.5703125" style="62" customWidth="1"/>
    <col min="1549" max="1549" width="10.5703125" style="62" customWidth="1"/>
    <col min="1550" max="1550" width="10.140625" style="62" customWidth="1"/>
    <col min="1551" max="1551" width="8.42578125" style="62" customWidth="1"/>
    <col min="1552" max="1552" width="18.85546875" style="62" customWidth="1"/>
    <col min="1553" max="1553" width="10.28515625" style="62" customWidth="1"/>
    <col min="1554" max="1554" width="11.42578125" style="62"/>
    <col min="1555" max="1555" width="12.140625" style="62" customWidth="1"/>
    <col min="1556" max="1556" width="10.5703125" style="62" customWidth="1"/>
    <col min="1557" max="1557" width="12.42578125" style="62" customWidth="1"/>
    <col min="1558" max="1558" width="15.140625" style="62" customWidth="1"/>
    <col min="1559" max="1559" width="13.5703125" style="62" customWidth="1"/>
    <col min="1560" max="1560" width="13.140625" style="62" customWidth="1"/>
    <col min="1561" max="1561" width="15.7109375" style="62" customWidth="1"/>
    <col min="1562" max="1562" width="37.5703125" style="62" customWidth="1"/>
    <col min="1563" max="1784" width="11.42578125" style="62"/>
    <col min="1785" max="1785" width="10.5703125" style="62" customWidth="1"/>
    <col min="1786" max="1786" width="4.85546875" style="62" customWidth="1"/>
    <col min="1787" max="1787" width="32.42578125" style="62" customWidth="1"/>
    <col min="1788" max="1788" width="9.85546875" style="62" customWidth="1"/>
    <col min="1789" max="1789" width="10.140625" style="62" customWidth="1"/>
    <col min="1790" max="1790" width="12.28515625" style="62" customWidth="1"/>
    <col min="1791" max="1791" width="15.42578125" style="62" customWidth="1"/>
    <col min="1792" max="1792" width="11.85546875" style="62" customWidth="1"/>
    <col min="1793" max="1793" width="13.28515625" style="62" customWidth="1"/>
    <col min="1794" max="1794" width="15.28515625" style="62" customWidth="1"/>
    <col min="1795" max="1795" width="11.85546875" style="62" customWidth="1"/>
    <col min="1796" max="1796" width="6.140625" style="62" customWidth="1"/>
    <col min="1797" max="1797" width="11.85546875" style="62" customWidth="1"/>
    <col min="1798" max="1798" width="9.42578125" style="62" customWidth="1"/>
    <col min="1799" max="1799" width="14.7109375" style="62" customWidth="1"/>
    <col min="1800" max="1800" width="11.5703125" style="62" customWidth="1"/>
    <col min="1801" max="1801" width="0.42578125" style="62" customWidth="1"/>
    <col min="1802" max="1802" width="10.5703125" style="62" bestFit="1" customWidth="1"/>
    <col min="1803" max="1803" width="12.28515625" style="62" customWidth="1"/>
    <col min="1804" max="1804" width="12.5703125" style="62" customWidth="1"/>
    <col min="1805" max="1805" width="10.5703125" style="62" customWidth="1"/>
    <col min="1806" max="1806" width="10.140625" style="62" customWidth="1"/>
    <col min="1807" max="1807" width="8.42578125" style="62" customWidth="1"/>
    <col min="1808" max="1808" width="18.85546875" style="62" customWidth="1"/>
    <col min="1809" max="1809" width="10.28515625" style="62" customWidth="1"/>
    <col min="1810" max="1810" width="11.42578125" style="62"/>
    <col min="1811" max="1811" width="12.140625" style="62" customWidth="1"/>
    <col min="1812" max="1812" width="10.5703125" style="62" customWidth="1"/>
    <col min="1813" max="1813" width="12.42578125" style="62" customWidth="1"/>
    <col min="1814" max="1814" width="15.140625" style="62" customWidth="1"/>
    <col min="1815" max="1815" width="13.5703125" style="62" customWidth="1"/>
    <col min="1816" max="1816" width="13.140625" style="62" customWidth="1"/>
    <col min="1817" max="1817" width="15.7109375" style="62" customWidth="1"/>
    <col min="1818" max="1818" width="37.5703125" style="62" customWidth="1"/>
    <col min="1819" max="2040" width="11.42578125" style="62"/>
    <col min="2041" max="2041" width="10.5703125" style="62" customWidth="1"/>
    <col min="2042" max="2042" width="4.85546875" style="62" customWidth="1"/>
    <col min="2043" max="2043" width="32.42578125" style="62" customWidth="1"/>
    <col min="2044" max="2044" width="9.85546875" style="62" customWidth="1"/>
    <col min="2045" max="2045" width="10.140625" style="62" customWidth="1"/>
    <col min="2046" max="2046" width="12.28515625" style="62" customWidth="1"/>
    <col min="2047" max="2047" width="15.42578125" style="62" customWidth="1"/>
    <col min="2048" max="2048" width="11.85546875" style="62" customWidth="1"/>
    <col min="2049" max="2049" width="13.28515625" style="62" customWidth="1"/>
    <col min="2050" max="2050" width="15.28515625" style="62" customWidth="1"/>
    <col min="2051" max="2051" width="11.85546875" style="62" customWidth="1"/>
    <col min="2052" max="2052" width="6.140625" style="62" customWidth="1"/>
    <col min="2053" max="2053" width="11.85546875" style="62" customWidth="1"/>
    <col min="2054" max="2054" width="9.42578125" style="62" customWidth="1"/>
    <col min="2055" max="2055" width="14.7109375" style="62" customWidth="1"/>
    <col min="2056" max="2056" width="11.5703125" style="62" customWidth="1"/>
    <col min="2057" max="2057" width="0.42578125" style="62" customWidth="1"/>
    <col min="2058" max="2058" width="10.5703125" style="62" bestFit="1" customWidth="1"/>
    <col min="2059" max="2059" width="12.28515625" style="62" customWidth="1"/>
    <col min="2060" max="2060" width="12.5703125" style="62" customWidth="1"/>
    <col min="2061" max="2061" width="10.5703125" style="62" customWidth="1"/>
    <col min="2062" max="2062" width="10.140625" style="62" customWidth="1"/>
    <col min="2063" max="2063" width="8.42578125" style="62" customWidth="1"/>
    <col min="2064" max="2064" width="18.85546875" style="62" customWidth="1"/>
    <col min="2065" max="2065" width="10.28515625" style="62" customWidth="1"/>
    <col min="2066" max="2066" width="11.42578125" style="62"/>
    <col min="2067" max="2067" width="12.140625" style="62" customWidth="1"/>
    <col min="2068" max="2068" width="10.5703125" style="62" customWidth="1"/>
    <col min="2069" max="2069" width="12.42578125" style="62" customWidth="1"/>
    <col min="2070" max="2070" width="15.140625" style="62" customWidth="1"/>
    <col min="2071" max="2071" width="13.5703125" style="62" customWidth="1"/>
    <col min="2072" max="2072" width="13.140625" style="62" customWidth="1"/>
    <col min="2073" max="2073" width="15.7109375" style="62" customWidth="1"/>
    <col min="2074" max="2074" width="37.5703125" style="62" customWidth="1"/>
    <col min="2075" max="2296" width="11.42578125" style="62"/>
    <col min="2297" max="2297" width="10.5703125" style="62" customWidth="1"/>
    <col min="2298" max="2298" width="4.85546875" style="62" customWidth="1"/>
    <col min="2299" max="2299" width="32.42578125" style="62" customWidth="1"/>
    <col min="2300" max="2300" width="9.85546875" style="62" customWidth="1"/>
    <col min="2301" max="2301" width="10.140625" style="62" customWidth="1"/>
    <col min="2302" max="2302" width="12.28515625" style="62" customWidth="1"/>
    <col min="2303" max="2303" width="15.42578125" style="62" customWidth="1"/>
    <col min="2304" max="2304" width="11.85546875" style="62" customWidth="1"/>
    <col min="2305" max="2305" width="13.28515625" style="62" customWidth="1"/>
    <col min="2306" max="2306" width="15.28515625" style="62" customWidth="1"/>
    <col min="2307" max="2307" width="11.85546875" style="62" customWidth="1"/>
    <col min="2308" max="2308" width="6.140625" style="62" customWidth="1"/>
    <col min="2309" max="2309" width="11.85546875" style="62" customWidth="1"/>
    <col min="2310" max="2310" width="9.42578125" style="62" customWidth="1"/>
    <col min="2311" max="2311" width="14.7109375" style="62" customWidth="1"/>
    <col min="2312" max="2312" width="11.5703125" style="62" customWidth="1"/>
    <col min="2313" max="2313" width="0.42578125" style="62" customWidth="1"/>
    <col min="2314" max="2314" width="10.5703125" style="62" bestFit="1" customWidth="1"/>
    <col min="2315" max="2315" width="12.28515625" style="62" customWidth="1"/>
    <col min="2316" max="2316" width="12.5703125" style="62" customWidth="1"/>
    <col min="2317" max="2317" width="10.5703125" style="62" customWidth="1"/>
    <col min="2318" max="2318" width="10.140625" style="62" customWidth="1"/>
    <col min="2319" max="2319" width="8.42578125" style="62" customWidth="1"/>
    <col min="2320" max="2320" width="18.85546875" style="62" customWidth="1"/>
    <col min="2321" max="2321" width="10.28515625" style="62" customWidth="1"/>
    <col min="2322" max="2322" width="11.42578125" style="62"/>
    <col min="2323" max="2323" width="12.140625" style="62" customWidth="1"/>
    <col min="2324" max="2324" width="10.5703125" style="62" customWidth="1"/>
    <col min="2325" max="2325" width="12.42578125" style="62" customWidth="1"/>
    <col min="2326" max="2326" width="15.140625" style="62" customWidth="1"/>
    <col min="2327" max="2327" width="13.5703125" style="62" customWidth="1"/>
    <col min="2328" max="2328" width="13.140625" style="62" customWidth="1"/>
    <col min="2329" max="2329" width="15.7109375" style="62" customWidth="1"/>
    <col min="2330" max="2330" width="37.5703125" style="62" customWidth="1"/>
    <col min="2331" max="2552" width="11.42578125" style="62"/>
    <col min="2553" max="2553" width="10.5703125" style="62" customWidth="1"/>
    <col min="2554" max="2554" width="4.85546875" style="62" customWidth="1"/>
    <col min="2555" max="2555" width="32.42578125" style="62" customWidth="1"/>
    <col min="2556" max="2556" width="9.85546875" style="62" customWidth="1"/>
    <col min="2557" max="2557" width="10.140625" style="62" customWidth="1"/>
    <col min="2558" max="2558" width="12.28515625" style="62" customWidth="1"/>
    <col min="2559" max="2559" width="15.42578125" style="62" customWidth="1"/>
    <col min="2560" max="2560" width="11.85546875" style="62" customWidth="1"/>
    <col min="2561" max="2561" width="13.28515625" style="62" customWidth="1"/>
    <col min="2562" max="2562" width="15.28515625" style="62" customWidth="1"/>
    <col min="2563" max="2563" width="11.85546875" style="62" customWidth="1"/>
    <col min="2564" max="2564" width="6.140625" style="62" customWidth="1"/>
    <col min="2565" max="2565" width="11.85546875" style="62" customWidth="1"/>
    <col min="2566" max="2566" width="9.42578125" style="62" customWidth="1"/>
    <col min="2567" max="2567" width="14.7109375" style="62" customWidth="1"/>
    <col min="2568" max="2568" width="11.5703125" style="62" customWidth="1"/>
    <col min="2569" max="2569" width="0.42578125" style="62" customWidth="1"/>
    <col min="2570" max="2570" width="10.5703125" style="62" bestFit="1" customWidth="1"/>
    <col min="2571" max="2571" width="12.28515625" style="62" customWidth="1"/>
    <col min="2572" max="2572" width="12.5703125" style="62" customWidth="1"/>
    <col min="2573" max="2573" width="10.5703125" style="62" customWidth="1"/>
    <col min="2574" max="2574" width="10.140625" style="62" customWidth="1"/>
    <col min="2575" max="2575" width="8.42578125" style="62" customWidth="1"/>
    <col min="2576" max="2576" width="18.85546875" style="62" customWidth="1"/>
    <col min="2577" max="2577" width="10.28515625" style="62" customWidth="1"/>
    <col min="2578" max="2578" width="11.42578125" style="62"/>
    <col min="2579" max="2579" width="12.140625" style="62" customWidth="1"/>
    <col min="2580" max="2580" width="10.5703125" style="62" customWidth="1"/>
    <col min="2581" max="2581" width="12.42578125" style="62" customWidth="1"/>
    <col min="2582" max="2582" width="15.140625" style="62" customWidth="1"/>
    <col min="2583" max="2583" width="13.5703125" style="62" customWidth="1"/>
    <col min="2584" max="2584" width="13.140625" style="62" customWidth="1"/>
    <col min="2585" max="2585" width="15.7109375" style="62" customWidth="1"/>
    <col min="2586" max="2586" width="37.5703125" style="62" customWidth="1"/>
    <col min="2587" max="2808" width="11.42578125" style="62"/>
    <col min="2809" max="2809" width="10.5703125" style="62" customWidth="1"/>
    <col min="2810" max="2810" width="4.85546875" style="62" customWidth="1"/>
    <col min="2811" max="2811" width="32.42578125" style="62" customWidth="1"/>
    <col min="2812" max="2812" width="9.85546875" style="62" customWidth="1"/>
    <col min="2813" max="2813" width="10.140625" style="62" customWidth="1"/>
    <col min="2814" max="2814" width="12.28515625" style="62" customWidth="1"/>
    <col min="2815" max="2815" width="15.42578125" style="62" customWidth="1"/>
    <col min="2816" max="2816" width="11.85546875" style="62" customWidth="1"/>
    <col min="2817" max="2817" width="13.28515625" style="62" customWidth="1"/>
    <col min="2818" max="2818" width="15.28515625" style="62" customWidth="1"/>
    <col min="2819" max="2819" width="11.85546875" style="62" customWidth="1"/>
    <col min="2820" max="2820" width="6.140625" style="62" customWidth="1"/>
    <col min="2821" max="2821" width="11.85546875" style="62" customWidth="1"/>
    <col min="2822" max="2822" width="9.42578125" style="62" customWidth="1"/>
    <col min="2823" max="2823" width="14.7109375" style="62" customWidth="1"/>
    <col min="2824" max="2824" width="11.5703125" style="62" customWidth="1"/>
    <col min="2825" max="2825" width="0.42578125" style="62" customWidth="1"/>
    <col min="2826" max="2826" width="10.5703125" style="62" bestFit="1" customWidth="1"/>
    <col min="2827" max="2827" width="12.28515625" style="62" customWidth="1"/>
    <col min="2828" max="2828" width="12.5703125" style="62" customWidth="1"/>
    <col min="2829" max="2829" width="10.5703125" style="62" customWidth="1"/>
    <col min="2830" max="2830" width="10.140625" style="62" customWidth="1"/>
    <col min="2831" max="2831" width="8.42578125" style="62" customWidth="1"/>
    <col min="2832" max="2832" width="18.85546875" style="62" customWidth="1"/>
    <col min="2833" max="2833" width="10.28515625" style="62" customWidth="1"/>
    <col min="2834" max="2834" width="11.42578125" style="62"/>
    <col min="2835" max="2835" width="12.140625" style="62" customWidth="1"/>
    <col min="2836" max="2836" width="10.5703125" style="62" customWidth="1"/>
    <col min="2837" max="2837" width="12.42578125" style="62" customWidth="1"/>
    <col min="2838" max="2838" width="15.140625" style="62" customWidth="1"/>
    <col min="2839" max="2839" width="13.5703125" style="62" customWidth="1"/>
    <col min="2840" max="2840" width="13.140625" style="62" customWidth="1"/>
    <col min="2841" max="2841" width="15.7109375" style="62" customWidth="1"/>
    <col min="2842" max="2842" width="37.5703125" style="62" customWidth="1"/>
    <col min="2843" max="3064" width="11.42578125" style="62"/>
    <col min="3065" max="3065" width="10.5703125" style="62" customWidth="1"/>
    <col min="3066" max="3066" width="4.85546875" style="62" customWidth="1"/>
    <col min="3067" max="3067" width="32.42578125" style="62" customWidth="1"/>
    <col min="3068" max="3068" width="9.85546875" style="62" customWidth="1"/>
    <col min="3069" max="3069" width="10.140625" style="62" customWidth="1"/>
    <col min="3070" max="3070" width="12.28515625" style="62" customWidth="1"/>
    <col min="3071" max="3071" width="15.42578125" style="62" customWidth="1"/>
    <col min="3072" max="3072" width="11.85546875" style="62" customWidth="1"/>
    <col min="3073" max="3073" width="13.28515625" style="62" customWidth="1"/>
    <col min="3074" max="3074" width="15.28515625" style="62" customWidth="1"/>
    <col min="3075" max="3075" width="11.85546875" style="62" customWidth="1"/>
    <col min="3076" max="3076" width="6.140625" style="62" customWidth="1"/>
    <col min="3077" max="3077" width="11.85546875" style="62" customWidth="1"/>
    <col min="3078" max="3078" width="9.42578125" style="62" customWidth="1"/>
    <col min="3079" max="3079" width="14.7109375" style="62" customWidth="1"/>
    <col min="3080" max="3080" width="11.5703125" style="62" customWidth="1"/>
    <col min="3081" max="3081" width="0.42578125" style="62" customWidth="1"/>
    <col min="3082" max="3082" width="10.5703125" style="62" bestFit="1" customWidth="1"/>
    <col min="3083" max="3083" width="12.28515625" style="62" customWidth="1"/>
    <col min="3084" max="3084" width="12.5703125" style="62" customWidth="1"/>
    <col min="3085" max="3085" width="10.5703125" style="62" customWidth="1"/>
    <col min="3086" max="3086" width="10.140625" style="62" customWidth="1"/>
    <col min="3087" max="3087" width="8.42578125" style="62" customWidth="1"/>
    <col min="3088" max="3088" width="18.85546875" style="62" customWidth="1"/>
    <col min="3089" max="3089" width="10.28515625" style="62" customWidth="1"/>
    <col min="3090" max="3090" width="11.42578125" style="62"/>
    <col min="3091" max="3091" width="12.140625" style="62" customWidth="1"/>
    <col min="3092" max="3092" width="10.5703125" style="62" customWidth="1"/>
    <col min="3093" max="3093" width="12.42578125" style="62" customWidth="1"/>
    <col min="3094" max="3094" width="15.140625" style="62" customWidth="1"/>
    <col min="3095" max="3095" width="13.5703125" style="62" customWidth="1"/>
    <col min="3096" max="3096" width="13.140625" style="62" customWidth="1"/>
    <col min="3097" max="3097" width="15.7109375" style="62" customWidth="1"/>
    <col min="3098" max="3098" width="37.5703125" style="62" customWidth="1"/>
    <col min="3099" max="3320" width="11.42578125" style="62"/>
    <col min="3321" max="3321" width="10.5703125" style="62" customWidth="1"/>
    <col min="3322" max="3322" width="4.85546875" style="62" customWidth="1"/>
    <col min="3323" max="3323" width="32.42578125" style="62" customWidth="1"/>
    <col min="3324" max="3324" width="9.85546875" style="62" customWidth="1"/>
    <col min="3325" max="3325" width="10.140625" style="62" customWidth="1"/>
    <col min="3326" max="3326" width="12.28515625" style="62" customWidth="1"/>
    <col min="3327" max="3327" width="15.42578125" style="62" customWidth="1"/>
    <col min="3328" max="3328" width="11.85546875" style="62" customWidth="1"/>
    <col min="3329" max="3329" width="13.28515625" style="62" customWidth="1"/>
    <col min="3330" max="3330" width="15.28515625" style="62" customWidth="1"/>
    <col min="3331" max="3331" width="11.85546875" style="62" customWidth="1"/>
    <col min="3332" max="3332" width="6.140625" style="62" customWidth="1"/>
    <col min="3333" max="3333" width="11.85546875" style="62" customWidth="1"/>
    <col min="3334" max="3334" width="9.42578125" style="62" customWidth="1"/>
    <col min="3335" max="3335" width="14.7109375" style="62" customWidth="1"/>
    <col min="3336" max="3336" width="11.5703125" style="62" customWidth="1"/>
    <col min="3337" max="3337" width="0.42578125" style="62" customWidth="1"/>
    <col min="3338" max="3338" width="10.5703125" style="62" bestFit="1" customWidth="1"/>
    <col min="3339" max="3339" width="12.28515625" style="62" customWidth="1"/>
    <col min="3340" max="3340" width="12.5703125" style="62" customWidth="1"/>
    <col min="3341" max="3341" width="10.5703125" style="62" customWidth="1"/>
    <col min="3342" max="3342" width="10.140625" style="62" customWidth="1"/>
    <col min="3343" max="3343" width="8.42578125" style="62" customWidth="1"/>
    <col min="3344" max="3344" width="18.85546875" style="62" customWidth="1"/>
    <col min="3345" max="3345" width="10.28515625" style="62" customWidth="1"/>
    <col min="3346" max="3346" width="11.42578125" style="62"/>
    <col min="3347" max="3347" width="12.140625" style="62" customWidth="1"/>
    <col min="3348" max="3348" width="10.5703125" style="62" customWidth="1"/>
    <col min="3349" max="3349" width="12.42578125" style="62" customWidth="1"/>
    <col min="3350" max="3350" width="15.140625" style="62" customWidth="1"/>
    <col min="3351" max="3351" width="13.5703125" style="62" customWidth="1"/>
    <col min="3352" max="3352" width="13.140625" style="62" customWidth="1"/>
    <col min="3353" max="3353" width="15.7109375" style="62" customWidth="1"/>
    <col min="3354" max="3354" width="37.5703125" style="62" customWidth="1"/>
    <col min="3355" max="3576" width="11.42578125" style="62"/>
    <col min="3577" max="3577" width="10.5703125" style="62" customWidth="1"/>
    <col min="3578" max="3578" width="4.85546875" style="62" customWidth="1"/>
    <col min="3579" max="3579" width="32.42578125" style="62" customWidth="1"/>
    <col min="3580" max="3580" width="9.85546875" style="62" customWidth="1"/>
    <col min="3581" max="3581" width="10.140625" style="62" customWidth="1"/>
    <col min="3582" max="3582" width="12.28515625" style="62" customWidth="1"/>
    <col min="3583" max="3583" width="15.42578125" style="62" customWidth="1"/>
    <col min="3584" max="3584" width="11.85546875" style="62" customWidth="1"/>
    <col min="3585" max="3585" width="13.28515625" style="62" customWidth="1"/>
    <col min="3586" max="3586" width="15.28515625" style="62" customWidth="1"/>
    <col min="3587" max="3587" width="11.85546875" style="62" customWidth="1"/>
    <col min="3588" max="3588" width="6.140625" style="62" customWidth="1"/>
    <col min="3589" max="3589" width="11.85546875" style="62" customWidth="1"/>
    <col min="3590" max="3590" width="9.42578125" style="62" customWidth="1"/>
    <col min="3591" max="3591" width="14.7109375" style="62" customWidth="1"/>
    <col min="3592" max="3592" width="11.5703125" style="62" customWidth="1"/>
    <col min="3593" max="3593" width="0.42578125" style="62" customWidth="1"/>
    <col min="3594" max="3594" width="10.5703125" style="62" bestFit="1" customWidth="1"/>
    <col min="3595" max="3595" width="12.28515625" style="62" customWidth="1"/>
    <col min="3596" max="3596" width="12.5703125" style="62" customWidth="1"/>
    <col min="3597" max="3597" width="10.5703125" style="62" customWidth="1"/>
    <col min="3598" max="3598" width="10.140625" style="62" customWidth="1"/>
    <col min="3599" max="3599" width="8.42578125" style="62" customWidth="1"/>
    <col min="3600" max="3600" width="18.85546875" style="62" customWidth="1"/>
    <col min="3601" max="3601" width="10.28515625" style="62" customWidth="1"/>
    <col min="3602" max="3602" width="11.42578125" style="62"/>
    <col min="3603" max="3603" width="12.140625" style="62" customWidth="1"/>
    <col min="3604" max="3604" width="10.5703125" style="62" customWidth="1"/>
    <col min="3605" max="3605" width="12.42578125" style="62" customWidth="1"/>
    <col min="3606" max="3606" width="15.140625" style="62" customWidth="1"/>
    <col min="3607" max="3607" width="13.5703125" style="62" customWidth="1"/>
    <col min="3608" max="3608" width="13.140625" style="62" customWidth="1"/>
    <col min="3609" max="3609" width="15.7109375" style="62" customWidth="1"/>
    <col min="3610" max="3610" width="37.5703125" style="62" customWidth="1"/>
    <col min="3611" max="3832" width="11.42578125" style="62"/>
    <col min="3833" max="3833" width="10.5703125" style="62" customWidth="1"/>
    <col min="3834" max="3834" width="4.85546875" style="62" customWidth="1"/>
    <col min="3835" max="3835" width="32.42578125" style="62" customWidth="1"/>
    <col min="3836" max="3836" width="9.85546875" style="62" customWidth="1"/>
    <col min="3837" max="3837" width="10.140625" style="62" customWidth="1"/>
    <col min="3838" max="3838" width="12.28515625" style="62" customWidth="1"/>
    <col min="3839" max="3839" width="15.42578125" style="62" customWidth="1"/>
    <col min="3840" max="3840" width="11.85546875" style="62" customWidth="1"/>
    <col min="3841" max="3841" width="13.28515625" style="62" customWidth="1"/>
    <col min="3842" max="3842" width="15.28515625" style="62" customWidth="1"/>
    <col min="3843" max="3843" width="11.85546875" style="62" customWidth="1"/>
    <col min="3844" max="3844" width="6.140625" style="62" customWidth="1"/>
    <col min="3845" max="3845" width="11.85546875" style="62" customWidth="1"/>
    <col min="3846" max="3846" width="9.42578125" style="62" customWidth="1"/>
    <col min="3847" max="3847" width="14.7109375" style="62" customWidth="1"/>
    <col min="3848" max="3848" width="11.5703125" style="62" customWidth="1"/>
    <col min="3849" max="3849" width="0.42578125" style="62" customWidth="1"/>
    <col min="3850" max="3850" width="10.5703125" style="62" bestFit="1" customWidth="1"/>
    <col min="3851" max="3851" width="12.28515625" style="62" customWidth="1"/>
    <col min="3852" max="3852" width="12.5703125" style="62" customWidth="1"/>
    <col min="3853" max="3853" width="10.5703125" style="62" customWidth="1"/>
    <col min="3854" max="3854" width="10.140625" style="62" customWidth="1"/>
    <col min="3855" max="3855" width="8.42578125" style="62" customWidth="1"/>
    <col min="3856" max="3856" width="18.85546875" style="62" customWidth="1"/>
    <col min="3857" max="3857" width="10.28515625" style="62" customWidth="1"/>
    <col min="3858" max="3858" width="11.42578125" style="62"/>
    <col min="3859" max="3859" width="12.140625" style="62" customWidth="1"/>
    <col min="3860" max="3860" width="10.5703125" style="62" customWidth="1"/>
    <col min="3861" max="3861" width="12.42578125" style="62" customWidth="1"/>
    <col min="3862" max="3862" width="15.140625" style="62" customWidth="1"/>
    <col min="3863" max="3863" width="13.5703125" style="62" customWidth="1"/>
    <col min="3864" max="3864" width="13.140625" style="62" customWidth="1"/>
    <col min="3865" max="3865" width="15.7109375" style="62" customWidth="1"/>
    <col min="3866" max="3866" width="37.5703125" style="62" customWidth="1"/>
    <col min="3867" max="4088" width="11.42578125" style="62"/>
    <col min="4089" max="4089" width="10.5703125" style="62" customWidth="1"/>
    <col min="4090" max="4090" width="4.85546875" style="62" customWidth="1"/>
    <col min="4091" max="4091" width="32.42578125" style="62" customWidth="1"/>
    <col min="4092" max="4092" width="9.85546875" style="62" customWidth="1"/>
    <col min="4093" max="4093" width="10.140625" style="62" customWidth="1"/>
    <col min="4094" max="4094" width="12.28515625" style="62" customWidth="1"/>
    <col min="4095" max="4095" width="15.42578125" style="62" customWidth="1"/>
    <col min="4096" max="4096" width="11.85546875" style="62" customWidth="1"/>
    <col min="4097" max="4097" width="13.28515625" style="62" customWidth="1"/>
    <col min="4098" max="4098" width="15.28515625" style="62" customWidth="1"/>
    <col min="4099" max="4099" width="11.85546875" style="62" customWidth="1"/>
    <col min="4100" max="4100" width="6.140625" style="62" customWidth="1"/>
    <col min="4101" max="4101" width="11.85546875" style="62" customWidth="1"/>
    <col min="4102" max="4102" width="9.42578125" style="62" customWidth="1"/>
    <col min="4103" max="4103" width="14.7109375" style="62" customWidth="1"/>
    <col min="4104" max="4104" width="11.5703125" style="62" customWidth="1"/>
    <col min="4105" max="4105" width="0.42578125" style="62" customWidth="1"/>
    <col min="4106" max="4106" width="10.5703125" style="62" bestFit="1" customWidth="1"/>
    <col min="4107" max="4107" width="12.28515625" style="62" customWidth="1"/>
    <col min="4108" max="4108" width="12.5703125" style="62" customWidth="1"/>
    <col min="4109" max="4109" width="10.5703125" style="62" customWidth="1"/>
    <col min="4110" max="4110" width="10.140625" style="62" customWidth="1"/>
    <col min="4111" max="4111" width="8.42578125" style="62" customWidth="1"/>
    <col min="4112" max="4112" width="18.85546875" style="62" customWidth="1"/>
    <col min="4113" max="4113" width="10.28515625" style="62" customWidth="1"/>
    <col min="4114" max="4114" width="11.42578125" style="62"/>
    <col min="4115" max="4115" width="12.140625" style="62" customWidth="1"/>
    <col min="4116" max="4116" width="10.5703125" style="62" customWidth="1"/>
    <col min="4117" max="4117" width="12.42578125" style="62" customWidth="1"/>
    <col min="4118" max="4118" width="15.140625" style="62" customWidth="1"/>
    <col min="4119" max="4119" width="13.5703125" style="62" customWidth="1"/>
    <col min="4120" max="4120" width="13.140625" style="62" customWidth="1"/>
    <col min="4121" max="4121" width="15.7109375" style="62" customWidth="1"/>
    <col min="4122" max="4122" width="37.5703125" style="62" customWidth="1"/>
    <col min="4123" max="4344" width="11.42578125" style="62"/>
    <col min="4345" max="4345" width="10.5703125" style="62" customWidth="1"/>
    <col min="4346" max="4346" width="4.85546875" style="62" customWidth="1"/>
    <col min="4347" max="4347" width="32.42578125" style="62" customWidth="1"/>
    <col min="4348" max="4348" width="9.85546875" style="62" customWidth="1"/>
    <col min="4349" max="4349" width="10.140625" style="62" customWidth="1"/>
    <col min="4350" max="4350" width="12.28515625" style="62" customWidth="1"/>
    <col min="4351" max="4351" width="15.42578125" style="62" customWidth="1"/>
    <col min="4352" max="4352" width="11.85546875" style="62" customWidth="1"/>
    <col min="4353" max="4353" width="13.28515625" style="62" customWidth="1"/>
    <col min="4354" max="4354" width="15.28515625" style="62" customWidth="1"/>
    <col min="4355" max="4355" width="11.85546875" style="62" customWidth="1"/>
    <col min="4356" max="4356" width="6.140625" style="62" customWidth="1"/>
    <col min="4357" max="4357" width="11.85546875" style="62" customWidth="1"/>
    <col min="4358" max="4358" width="9.42578125" style="62" customWidth="1"/>
    <col min="4359" max="4359" width="14.7109375" style="62" customWidth="1"/>
    <col min="4360" max="4360" width="11.5703125" style="62" customWidth="1"/>
    <col min="4361" max="4361" width="0.42578125" style="62" customWidth="1"/>
    <col min="4362" max="4362" width="10.5703125" style="62" bestFit="1" customWidth="1"/>
    <col min="4363" max="4363" width="12.28515625" style="62" customWidth="1"/>
    <col min="4364" max="4364" width="12.5703125" style="62" customWidth="1"/>
    <col min="4365" max="4365" width="10.5703125" style="62" customWidth="1"/>
    <col min="4366" max="4366" width="10.140625" style="62" customWidth="1"/>
    <col min="4367" max="4367" width="8.42578125" style="62" customWidth="1"/>
    <col min="4368" max="4368" width="18.85546875" style="62" customWidth="1"/>
    <col min="4369" max="4369" width="10.28515625" style="62" customWidth="1"/>
    <col min="4370" max="4370" width="11.42578125" style="62"/>
    <col min="4371" max="4371" width="12.140625" style="62" customWidth="1"/>
    <col min="4372" max="4372" width="10.5703125" style="62" customWidth="1"/>
    <col min="4373" max="4373" width="12.42578125" style="62" customWidth="1"/>
    <col min="4374" max="4374" width="15.140625" style="62" customWidth="1"/>
    <col min="4375" max="4375" width="13.5703125" style="62" customWidth="1"/>
    <col min="4376" max="4376" width="13.140625" style="62" customWidth="1"/>
    <col min="4377" max="4377" width="15.7109375" style="62" customWidth="1"/>
    <col min="4378" max="4378" width="37.5703125" style="62" customWidth="1"/>
    <col min="4379" max="4600" width="11.42578125" style="62"/>
    <col min="4601" max="4601" width="10.5703125" style="62" customWidth="1"/>
    <col min="4602" max="4602" width="4.85546875" style="62" customWidth="1"/>
    <col min="4603" max="4603" width="32.42578125" style="62" customWidth="1"/>
    <col min="4604" max="4604" width="9.85546875" style="62" customWidth="1"/>
    <col min="4605" max="4605" width="10.140625" style="62" customWidth="1"/>
    <col min="4606" max="4606" width="12.28515625" style="62" customWidth="1"/>
    <col min="4607" max="4607" width="15.42578125" style="62" customWidth="1"/>
    <col min="4608" max="4608" width="11.85546875" style="62" customWidth="1"/>
    <col min="4609" max="4609" width="13.28515625" style="62" customWidth="1"/>
    <col min="4610" max="4610" width="15.28515625" style="62" customWidth="1"/>
    <col min="4611" max="4611" width="11.85546875" style="62" customWidth="1"/>
    <col min="4612" max="4612" width="6.140625" style="62" customWidth="1"/>
    <col min="4613" max="4613" width="11.85546875" style="62" customWidth="1"/>
    <col min="4614" max="4614" width="9.42578125" style="62" customWidth="1"/>
    <col min="4615" max="4615" width="14.7109375" style="62" customWidth="1"/>
    <col min="4616" max="4616" width="11.5703125" style="62" customWidth="1"/>
    <col min="4617" max="4617" width="0.42578125" style="62" customWidth="1"/>
    <col min="4618" max="4618" width="10.5703125" style="62" bestFit="1" customWidth="1"/>
    <col min="4619" max="4619" width="12.28515625" style="62" customWidth="1"/>
    <col min="4620" max="4620" width="12.5703125" style="62" customWidth="1"/>
    <col min="4621" max="4621" width="10.5703125" style="62" customWidth="1"/>
    <col min="4622" max="4622" width="10.140625" style="62" customWidth="1"/>
    <col min="4623" max="4623" width="8.42578125" style="62" customWidth="1"/>
    <col min="4624" max="4624" width="18.85546875" style="62" customWidth="1"/>
    <col min="4625" max="4625" width="10.28515625" style="62" customWidth="1"/>
    <col min="4626" max="4626" width="11.42578125" style="62"/>
    <col min="4627" max="4627" width="12.140625" style="62" customWidth="1"/>
    <col min="4628" max="4628" width="10.5703125" style="62" customWidth="1"/>
    <col min="4629" max="4629" width="12.42578125" style="62" customWidth="1"/>
    <col min="4630" max="4630" width="15.140625" style="62" customWidth="1"/>
    <col min="4631" max="4631" width="13.5703125" style="62" customWidth="1"/>
    <col min="4632" max="4632" width="13.140625" style="62" customWidth="1"/>
    <col min="4633" max="4633" width="15.7109375" style="62" customWidth="1"/>
    <col min="4634" max="4634" width="37.5703125" style="62" customWidth="1"/>
    <col min="4635" max="4856" width="11.42578125" style="62"/>
    <col min="4857" max="4857" width="10.5703125" style="62" customWidth="1"/>
    <col min="4858" max="4858" width="4.85546875" style="62" customWidth="1"/>
    <col min="4859" max="4859" width="32.42578125" style="62" customWidth="1"/>
    <col min="4860" max="4860" width="9.85546875" style="62" customWidth="1"/>
    <col min="4861" max="4861" width="10.140625" style="62" customWidth="1"/>
    <col min="4862" max="4862" width="12.28515625" style="62" customWidth="1"/>
    <col min="4863" max="4863" width="15.42578125" style="62" customWidth="1"/>
    <col min="4864" max="4864" width="11.85546875" style="62" customWidth="1"/>
    <col min="4865" max="4865" width="13.28515625" style="62" customWidth="1"/>
    <col min="4866" max="4866" width="15.28515625" style="62" customWidth="1"/>
    <col min="4867" max="4867" width="11.85546875" style="62" customWidth="1"/>
    <col min="4868" max="4868" width="6.140625" style="62" customWidth="1"/>
    <col min="4869" max="4869" width="11.85546875" style="62" customWidth="1"/>
    <col min="4870" max="4870" width="9.42578125" style="62" customWidth="1"/>
    <col min="4871" max="4871" width="14.7109375" style="62" customWidth="1"/>
    <col min="4872" max="4872" width="11.5703125" style="62" customWidth="1"/>
    <col min="4873" max="4873" width="0.42578125" style="62" customWidth="1"/>
    <col min="4874" max="4874" width="10.5703125" style="62" bestFit="1" customWidth="1"/>
    <col min="4875" max="4875" width="12.28515625" style="62" customWidth="1"/>
    <col min="4876" max="4876" width="12.5703125" style="62" customWidth="1"/>
    <col min="4877" max="4877" width="10.5703125" style="62" customWidth="1"/>
    <col min="4878" max="4878" width="10.140625" style="62" customWidth="1"/>
    <col min="4879" max="4879" width="8.42578125" style="62" customWidth="1"/>
    <col min="4880" max="4880" width="18.85546875" style="62" customWidth="1"/>
    <col min="4881" max="4881" width="10.28515625" style="62" customWidth="1"/>
    <col min="4882" max="4882" width="11.42578125" style="62"/>
    <col min="4883" max="4883" width="12.140625" style="62" customWidth="1"/>
    <col min="4884" max="4884" width="10.5703125" style="62" customWidth="1"/>
    <col min="4885" max="4885" width="12.42578125" style="62" customWidth="1"/>
    <col min="4886" max="4886" width="15.140625" style="62" customWidth="1"/>
    <col min="4887" max="4887" width="13.5703125" style="62" customWidth="1"/>
    <col min="4888" max="4888" width="13.140625" style="62" customWidth="1"/>
    <col min="4889" max="4889" width="15.7109375" style="62" customWidth="1"/>
    <col min="4890" max="4890" width="37.5703125" style="62" customWidth="1"/>
    <col min="4891" max="5112" width="11.42578125" style="62"/>
    <col min="5113" max="5113" width="10.5703125" style="62" customWidth="1"/>
    <col min="5114" max="5114" width="4.85546875" style="62" customWidth="1"/>
    <col min="5115" max="5115" width="32.42578125" style="62" customWidth="1"/>
    <col min="5116" max="5116" width="9.85546875" style="62" customWidth="1"/>
    <col min="5117" max="5117" width="10.140625" style="62" customWidth="1"/>
    <col min="5118" max="5118" width="12.28515625" style="62" customWidth="1"/>
    <col min="5119" max="5119" width="15.42578125" style="62" customWidth="1"/>
    <col min="5120" max="5120" width="11.85546875" style="62" customWidth="1"/>
    <col min="5121" max="5121" width="13.28515625" style="62" customWidth="1"/>
    <col min="5122" max="5122" width="15.28515625" style="62" customWidth="1"/>
    <col min="5123" max="5123" width="11.85546875" style="62" customWidth="1"/>
    <col min="5124" max="5124" width="6.140625" style="62" customWidth="1"/>
    <col min="5125" max="5125" width="11.85546875" style="62" customWidth="1"/>
    <col min="5126" max="5126" width="9.42578125" style="62" customWidth="1"/>
    <col min="5127" max="5127" width="14.7109375" style="62" customWidth="1"/>
    <col min="5128" max="5128" width="11.5703125" style="62" customWidth="1"/>
    <col min="5129" max="5129" width="0.42578125" style="62" customWidth="1"/>
    <col min="5130" max="5130" width="10.5703125" style="62" bestFit="1" customWidth="1"/>
    <col min="5131" max="5131" width="12.28515625" style="62" customWidth="1"/>
    <col min="5132" max="5132" width="12.5703125" style="62" customWidth="1"/>
    <col min="5133" max="5133" width="10.5703125" style="62" customWidth="1"/>
    <col min="5134" max="5134" width="10.140625" style="62" customWidth="1"/>
    <col min="5135" max="5135" width="8.42578125" style="62" customWidth="1"/>
    <col min="5136" max="5136" width="18.85546875" style="62" customWidth="1"/>
    <col min="5137" max="5137" width="10.28515625" style="62" customWidth="1"/>
    <col min="5138" max="5138" width="11.42578125" style="62"/>
    <col min="5139" max="5139" width="12.140625" style="62" customWidth="1"/>
    <col min="5140" max="5140" width="10.5703125" style="62" customWidth="1"/>
    <col min="5141" max="5141" width="12.42578125" style="62" customWidth="1"/>
    <col min="5142" max="5142" width="15.140625" style="62" customWidth="1"/>
    <col min="5143" max="5143" width="13.5703125" style="62" customWidth="1"/>
    <col min="5144" max="5144" width="13.140625" style="62" customWidth="1"/>
    <col min="5145" max="5145" width="15.7109375" style="62" customWidth="1"/>
    <col min="5146" max="5146" width="37.5703125" style="62" customWidth="1"/>
    <col min="5147" max="5368" width="11.42578125" style="62"/>
    <col min="5369" max="5369" width="10.5703125" style="62" customWidth="1"/>
    <col min="5370" max="5370" width="4.85546875" style="62" customWidth="1"/>
    <col min="5371" max="5371" width="32.42578125" style="62" customWidth="1"/>
    <col min="5372" max="5372" width="9.85546875" style="62" customWidth="1"/>
    <col min="5373" max="5373" width="10.140625" style="62" customWidth="1"/>
    <col min="5374" max="5374" width="12.28515625" style="62" customWidth="1"/>
    <col min="5375" max="5375" width="15.42578125" style="62" customWidth="1"/>
    <col min="5376" max="5376" width="11.85546875" style="62" customWidth="1"/>
    <col min="5377" max="5377" width="13.28515625" style="62" customWidth="1"/>
    <col min="5378" max="5378" width="15.28515625" style="62" customWidth="1"/>
    <col min="5379" max="5379" width="11.85546875" style="62" customWidth="1"/>
    <col min="5380" max="5380" width="6.140625" style="62" customWidth="1"/>
    <col min="5381" max="5381" width="11.85546875" style="62" customWidth="1"/>
    <col min="5382" max="5382" width="9.42578125" style="62" customWidth="1"/>
    <col min="5383" max="5383" width="14.7109375" style="62" customWidth="1"/>
    <col min="5384" max="5384" width="11.5703125" style="62" customWidth="1"/>
    <col min="5385" max="5385" width="0.42578125" style="62" customWidth="1"/>
    <col min="5386" max="5386" width="10.5703125" style="62" bestFit="1" customWidth="1"/>
    <col min="5387" max="5387" width="12.28515625" style="62" customWidth="1"/>
    <col min="5388" max="5388" width="12.5703125" style="62" customWidth="1"/>
    <col min="5389" max="5389" width="10.5703125" style="62" customWidth="1"/>
    <col min="5390" max="5390" width="10.140625" style="62" customWidth="1"/>
    <col min="5391" max="5391" width="8.42578125" style="62" customWidth="1"/>
    <col min="5392" max="5392" width="18.85546875" style="62" customWidth="1"/>
    <col min="5393" max="5393" width="10.28515625" style="62" customWidth="1"/>
    <col min="5394" max="5394" width="11.42578125" style="62"/>
    <col min="5395" max="5395" width="12.140625" style="62" customWidth="1"/>
    <col min="5396" max="5396" width="10.5703125" style="62" customWidth="1"/>
    <col min="5397" max="5397" width="12.42578125" style="62" customWidth="1"/>
    <col min="5398" max="5398" width="15.140625" style="62" customWidth="1"/>
    <col min="5399" max="5399" width="13.5703125" style="62" customWidth="1"/>
    <col min="5400" max="5400" width="13.140625" style="62" customWidth="1"/>
    <col min="5401" max="5401" width="15.7109375" style="62" customWidth="1"/>
    <col min="5402" max="5402" width="37.5703125" style="62" customWidth="1"/>
    <col min="5403" max="5624" width="11.42578125" style="62"/>
    <col min="5625" max="5625" width="10.5703125" style="62" customWidth="1"/>
    <col min="5626" max="5626" width="4.85546875" style="62" customWidth="1"/>
    <col min="5627" max="5627" width="32.42578125" style="62" customWidth="1"/>
    <col min="5628" max="5628" width="9.85546875" style="62" customWidth="1"/>
    <col min="5629" max="5629" width="10.140625" style="62" customWidth="1"/>
    <col min="5630" max="5630" width="12.28515625" style="62" customWidth="1"/>
    <col min="5631" max="5631" width="15.42578125" style="62" customWidth="1"/>
    <col min="5632" max="5632" width="11.85546875" style="62" customWidth="1"/>
    <col min="5633" max="5633" width="13.28515625" style="62" customWidth="1"/>
    <col min="5634" max="5634" width="15.28515625" style="62" customWidth="1"/>
    <col min="5635" max="5635" width="11.85546875" style="62" customWidth="1"/>
    <col min="5636" max="5636" width="6.140625" style="62" customWidth="1"/>
    <col min="5637" max="5637" width="11.85546875" style="62" customWidth="1"/>
    <col min="5638" max="5638" width="9.42578125" style="62" customWidth="1"/>
    <col min="5639" max="5639" width="14.7109375" style="62" customWidth="1"/>
    <col min="5640" max="5640" width="11.5703125" style="62" customWidth="1"/>
    <col min="5641" max="5641" width="0.42578125" style="62" customWidth="1"/>
    <col min="5642" max="5642" width="10.5703125" style="62" bestFit="1" customWidth="1"/>
    <col min="5643" max="5643" width="12.28515625" style="62" customWidth="1"/>
    <col min="5644" max="5644" width="12.5703125" style="62" customWidth="1"/>
    <col min="5645" max="5645" width="10.5703125" style="62" customWidth="1"/>
    <col min="5646" max="5646" width="10.140625" style="62" customWidth="1"/>
    <col min="5647" max="5647" width="8.42578125" style="62" customWidth="1"/>
    <col min="5648" max="5648" width="18.85546875" style="62" customWidth="1"/>
    <col min="5649" max="5649" width="10.28515625" style="62" customWidth="1"/>
    <col min="5650" max="5650" width="11.42578125" style="62"/>
    <col min="5651" max="5651" width="12.140625" style="62" customWidth="1"/>
    <col min="5652" max="5652" width="10.5703125" style="62" customWidth="1"/>
    <col min="5653" max="5653" width="12.42578125" style="62" customWidth="1"/>
    <col min="5654" max="5654" width="15.140625" style="62" customWidth="1"/>
    <col min="5655" max="5655" width="13.5703125" style="62" customWidth="1"/>
    <col min="5656" max="5656" width="13.140625" style="62" customWidth="1"/>
    <col min="5657" max="5657" width="15.7109375" style="62" customWidth="1"/>
    <col min="5658" max="5658" width="37.5703125" style="62" customWidth="1"/>
    <col min="5659" max="5880" width="11.42578125" style="62"/>
    <col min="5881" max="5881" width="10.5703125" style="62" customWidth="1"/>
    <col min="5882" max="5882" width="4.85546875" style="62" customWidth="1"/>
    <col min="5883" max="5883" width="32.42578125" style="62" customWidth="1"/>
    <col min="5884" max="5884" width="9.85546875" style="62" customWidth="1"/>
    <col min="5885" max="5885" width="10.140625" style="62" customWidth="1"/>
    <col min="5886" max="5886" width="12.28515625" style="62" customWidth="1"/>
    <col min="5887" max="5887" width="15.42578125" style="62" customWidth="1"/>
    <col min="5888" max="5888" width="11.85546875" style="62" customWidth="1"/>
    <col min="5889" max="5889" width="13.28515625" style="62" customWidth="1"/>
    <col min="5890" max="5890" width="15.28515625" style="62" customWidth="1"/>
    <col min="5891" max="5891" width="11.85546875" style="62" customWidth="1"/>
    <col min="5892" max="5892" width="6.140625" style="62" customWidth="1"/>
    <col min="5893" max="5893" width="11.85546875" style="62" customWidth="1"/>
    <col min="5894" max="5894" width="9.42578125" style="62" customWidth="1"/>
    <col min="5895" max="5895" width="14.7109375" style="62" customWidth="1"/>
    <col min="5896" max="5896" width="11.5703125" style="62" customWidth="1"/>
    <col min="5897" max="5897" width="0.42578125" style="62" customWidth="1"/>
    <col min="5898" max="5898" width="10.5703125" style="62" bestFit="1" customWidth="1"/>
    <col min="5899" max="5899" width="12.28515625" style="62" customWidth="1"/>
    <col min="5900" max="5900" width="12.5703125" style="62" customWidth="1"/>
    <col min="5901" max="5901" width="10.5703125" style="62" customWidth="1"/>
    <col min="5902" max="5902" width="10.140625" style="62" customWidth="1"/>
    <col min="5903" max="5903" width="8.42578125" style="62" customWidth="1"/>
    <col min="5904" max="5904" width="18.85546875" style="62" customWidth="1"/>
    <col min="5905" max="5905" width="10.28515625" style="62" customWidth="1"/>
    <col min="5906" max="5906" width="11.42578125" style="62"/>
    <col min="5907" max="5907" width="12.140625" style="62" customWidth="1"/>
    <col min="5908" max="5908" width="10.5703125" style="62" customWidth="1"/>
    <col min="5909" max="5909" width="12.42578125" style="62" customWidth="1"/>
    <col min="5910" max="5910" width="15.140625" style="62" customWidth="1"/>
    <col min="5911" max="5911" width="13.5703125" style="62" customWidth="1"/>
    <col min="5912" max="5912" width="13.140625" style="62" customWidth="1"/>
    <col min="5913" max="5913" width="15.7109375" style="62" customWidth="1"/>
    <col min="5914" max="5914" width="37.5703125" style="62" customWidth="1"/>
    <col min="5915" max="6136" width="11.42578125" style="62"/>
    <col min="6137" max="6137" width="10.5703125" style="62" customWidth="1"/>
    <col min="6138" max="6138" width="4.85546875" style="62" customWidth="1"/>
    <col min="6139" max="6139" width="32.42578125" style="62" customWidth="1"/>
    <col min="6140" max="6140" width="9.85546875" style="62" customWidth="1"/>
    <col min="6141" max="6141" width="10.140625" style="62" customWidth="1"/>
    <col min="6142" max="6142" width="12.28515625" style="62" customWidth="1"/>
    <col min="6143" max="6143" width="15.42578125" style="62" customWidth="1"/>
    <col min="6144" max="6144" width="11.85546875" style="62" customWidth="1"/>
    <col min="6145" max="6145" width="13.28515625" style="62" customWidth="1"/>
    <col min="6146" max="6146" width="15.28515625" style="62" customWidth="1"/>
    <col min="6147" max="6147" width="11.85546875" style="62" customWidth="1"/>
    <col min="6148" max="6148" width="6.140625" style="62" customWidth="1"/>
    <col min="6149" max="6149" width="11.85546875" style="62" customWidth="1"/>
    <col min="6150" max="6150" width="9.42578125" style="62" customWidth="1"/>
    <col min="6151" max="6151" width="14.7109375" style="62" customWidth="1"/>
    <col min="6152" max="6152" width="11.5703125" style="62" customWidth="1"/>
    <col min="6153" max="6153" width="0.42578125" style="62" customWidth="1"/>
    <col min="6154" max="6154" width="10.5703125" style="62" bestFit="1" customWidth="1"/>
    <col min="6155" max="6155" width="12.28515625" style="62" customWidth="1"/>
    <col min="6156" max="6156" width="12.5703125" style="62" customWidth="1"/>
    <col min="6157" max="6157" width="10.5703125" style="62" customWidth="1"/>
    <col min="6158" max="6158" width="10.140625" style="62" customWidth="1"/>
    <col min="6159" max="6159" width="8.42578125" style="62" customWidth="1"/>
    <col min="6160" max="6160" width="18.85546875" style="62" customWidth="1"/>
    <col min="6161" max="6161" width="10.28515625" style="62" customWidth="1"/>
    <col min="6162" max="6162" width="11.42578125" style="62"/>
    <col min="6163" max="6163" width="12.140625" style="62" customWidth="1"/>
    <col min="6164" max="6164" width="10.5703125" style="62" customWidth="1"/>
    <col min="6165" max="6165" width="12.42578125" style="62" customWidth="1"/>
    <col min="6166" max="6166" width="15.140625" style="62" customWidth="1"/>
    <col min="6167" max="6167" width="13.5703125" style="62" customWidth="1"/>
    <col min="6168" max="6168" width="13.140625" style="62" customWidth="1"/>
    <col min="6169" max="6169" width="15.7109375" style="62" customWidth="1"/>
    <col min="6170" max="6170" width="37.5703125" style="62" customWidth="1"/>
    <col min="6171" max="6392" width="11.42578125" style="62"/>
    <col min="6393" max="6393" width="10.5703125" style="62" customWidth="1"/>
    <col min="6394" max="6394" width="4.85546875" style="62" customWidth="1"/>
    <col min="6395" max="6395" width="32.42578125" style="62" customWidth="1"/>
    <col min="6396" max="6396" width="9.85546875" style="62" customWidth="1"/>
    <col min="6397" max="6397" width="10.140625" style="62" customWidth="1"/>
    <col min="6398" max="6398" width="12.28515625" style="62" customWidth="1"/>
    <col min="6399" max="6399" width="15.42578125" style="62" customWidth="1"/>
    <col min="6400" max="6400" width="11.85546875" style="62" customWidth="1"/>
    <col min="6401" max="6401" width="13.28515625" style="62" customWidth="1"/>
    <col min="6402" max="6402" width="15.28515625" style="62" customWidth="1"/>
    <col min="6403" max="6403" width="11.85546875" style="62" customWidth="1"/>
    <col min="6404" max="6404" width="6.140625" style="62" customWidth="1"/>
    <col min="6405" max="6405" width="11.85546875" style="62" customWidth="1"/>
    <col min="6406" max="6406" width="9.42578125" style="62" customWidth="1"/>
    <col min="6407" max="6407" width="14.7109375" style="62" customWidth="1"/>
    <col min="6408" max="6408" width="11.5703125" style="62" customWidth="1"/>
    <col min="6409" max="6409" width="0.42578125" style="62" customWidth="1"/>
    <col min="6410" max="6410" width="10.5703125" style="62" bestFit="1" customWidth="1"/>
    <col min="6411" max="6411" width="12.28515625" style="62" customWidth="1"/>
    <col min="6412" max="6412" width="12.5703125" style="62" customWidth="1"/>
    <col min="6413" max="6413" width="10.5703125" style="62" customWidth="1"/>
    <col min="6414" max="6414" width="10.140625" style="62" customWidth="1"/>
    <col min="6415" max="6415" width="8.42578125" style="62" customWidth="1"/>
    <col min="6416" max="6416" width="18.85546875" style="62" customWidth="1"/>
    <col min="6417" max="6417" width="10.28515625" style="62" customWidth="1"/>
    <col min="6418" max="6418" width="11.42578125" style="62"/>
    <col min="6419" max="6419" width="12.140625" style="62" customWidth="1"/>
    <col min="6420" max="6420" width="10.5703125" style="62" customWidth="1"/>
    <col min="6421" max="6421" width="12.42578125" style="62" customWidth="1"/>
    <col min="6422" max="6422" width="15.140625" style="62" customWidth="1"/>
    <col min="6423" max="6423" width="13.5703125" style="62" customWidth="1"/>
    <col min="6424" max="6424" width="13.140625" style="62" customWidth="1"/>
    <col min="6425" max="6425" width="15.7109375" style="62" customWidth="1"/>
    <col min="6426" max="6426" width="37.5703125" style="62" customWidth="1"/>
    <col min="6427" max="6648" width="11.42578125" style="62"/>
    <col min="6649" max="6649" width="10.5703125" style="62" customWidth="1"/>
    <col min="6650" max="6650" width="4.85546875" style="62" customWidth="1"/>
    <col min="6651" max="6651" width="32.42578125" style="62" customWidth="1"/>
    <col min="6652" max="6652" width="9.85546875" style="62" customWidth="1"/>
    <col min="6653" max="6653" width="10.140625" style="62" customWidth="1"/>
    <col min="6654" max="6654" width="12.28515625" style="62" customWidth="1"/>
    <col min="6655" max="6655" width="15.42578125" style="62" customWidth="1"/>
    <col min="6656" max="6656" width="11.85546875" style="62" customWidth="1"/>
    <col min="6657" max="6657" width="13.28515625" style="62" customWidth="1"/>
    <col min="6658" max="6658" width="15.28515625" style="62" customWidth="1"/>
    <col min="6659" max="6659" width="11.85546875" style="62" customWidth="1"/>
    <col min="6660" max="6660" width="6.140625" style="62" customWidth="1"/>
    <col min="6661" max="6661" width="11.85546875" style="62" customWidth="1"/>
    <col min="6662" max="6662" width="9.42578125" style="62" customWidth="1"/>
    <col min="6663" max="6663" width="14.7109375" style="62" customWidth="1"/>
    <col min="6664" max="6664" width="11.5703125" style="62" customWidth="1"/>
    <col min="6665" max="6665" width="0.42578125" style="62" customWidth="1"/>
    <col min="6666" max="6666" width="10.5703125" style="62" bestFit="1" customWidth="1"/>
    <col min="6667" max="6667" width="12.28515625" style="62" customWidth="1"/>
    <col min="6668" max="6668" width="12.5703125" style="62" customWidth="1"/>
    <col min="6669" max="6669" width="10.5703125" style="62" customWidth="1"/>
    <col min="6670" max="6670" width="10.140625" style="62" customWidth="1"/>
    <col min="6671" max="6671" width="8.42578125" style="62" customWidth="1"/>
    <col min="6672" max="6672" width="18.85546875" style="62" customWidth="1"/>
    <col min="6673" max="6673" width="10.28515625" style="62" customWidth="1"/>
    <col min="6674" max="6674" width="11.42578125" style="62"/>
    <col min="6675" max="6675" width="12.140625" style="62" customWidth="1"/>
    <col min="6676" max="6676" width="10.5703125" style="62" customWidth="1"/>
    <col min="6677" max="6677" width="12.42578125" style="62" customWidth="1"/>
    <col min="6678" max="6678" width="15.140625" style="62" customWidth="1"/>
    <col min="6679" max="6679" width="13.5703125" style="62" customWidth="1"/>
    <col min="6680" max="6680" width="13.140625" style="62" customWidth="1"/>
    <col min="6681" max="6681" width="15.7109375" style="62" customWidth="1"/>
    <col min="6682" max="6682" width="37.5703125" style="62" customWidth="1"/>
    <col min="6683" max="6904" width="11.42578125" style="62"/>
    <col min="6905" max="6905" width="10.5703125" style="62" customWidth="1"/>
    <col min="6906" max="6906" width="4.85546875" style="62" customWidth="1"/>
    <col min="6907" max="6907" width="32.42578125" style="62" customWidth="1"/>
    <col min="6908" max="6908" width="9.85546875" style="62" customWidth="1"/>
    <col min="6909" max="6909" width="10.140625" style="62" customWidth="1"/>
    <col min="6910" max="6910" width="12.28515625" style="62" customWidth="1"/>
    <col min="6911" max="6911" width="15.42578125" style="62" customWidth="1"/>
    <col min="6912" max="6912" width="11.85546875" style="62" customWidth="1"/>
    <col min="6913" max="6913" width="13.28515625" style="62" customWidth="1"/>
    <col min="6914" max="6914" width="15.28515625" style="62" customWidth="1"/>
    <col min="6915" max="6915" width="11.85546875" style="62" customWidth="1"/>
    <col min="6916" max="6916" width="6.140625" style="62" customWidth="1"/>
    <col min="6917" max="6917" width="11.85546875" style="62" customWidth="1"/>
    <col min="6918" max="6918" width="9.42578125" style="62" customWidth="1"/>
    <col min="6919" max="6919" width="14.7109375" style="62" customWidth="1"/>
    <col min="6920" max="6920" width="11.5703125" style="62" customWidth="1"/>
    <col min="6921" max="6921" width="0.42578125" style="62" customWidth="1"/>
    <col min="6922" max="6922" width="10.5703125" style="62" bestFit="1" customWidth="1"/>
    <col min="6923" max="6923" width="12.28515625" style="62" customWidth="1"/>
    <col min="6924" max="6924" width="12.5703125" style="62" customWidth="1"/>
    <col min="6925" max="6925" width="10.5703125" style="62" customWidth="1"/>
    <col min="6926" max="6926" width="10.140625" style="62" customWidth="1"/>
    <col min="6927" max="6927" width="8.42578125" style="62" customWidth="1"/>
    <col min="6928" max="6928" width="18.85546875" style="62" customWidth="1"/>
    <col min="6929" max="6929" width="10.28515625" style="62" customWidth="1"/>
    <col min="6930" max="6930" width="11.42578125" style="62"/>
    <col min="6931" max="6931" width="12.140625" style="62" customWidth="1"/>
    <col min="6932" max="6932" width="10.5703125" style="62" customWidth="1"/>
    <col min="6933" max="6933" width="12.42578125" style="62" customWidth="1"/>
    <col min="6934" max="6934" width="15.140625" style="62" customWidth="1"/>
    <col min="6935" max="6935" width="13.5703125" style="62" customWidth="1"/>
    <col min="6936" max="6936" width="13.140625" style="62" customWidth="1"/>
    <col min="6937" max="6937" width="15.7109375" style="62" customWidth="1"/>
    <col min="6938" max="6938" width="37.5703125" style="62" customWidth="1"/>
    <col min="6939" max="7160" width="11.42578125" style="62"/>
    <col min="7161" max="7161" width="10.5703125" style="62" customWidth="1"/>
    <col min="7162" max="7162" width="4.85546875" style="62" customWidth="1"/>
    <col min="7163" max="7163" width="32.42578125" style="62" customWidth="1"/>
    <col min="7164" max="7164" width="9.85546875" style="62" customWidth="1"/>
    <col min="7165" max="7165" width="10.140625" style="62" customWidth="1"/>
    <col min="7166" max="7166" width="12.28515625" style="62" customWidth="1"/>
    <col min="7167" max="7167" width="15.42578125" style="62" customWidth="1"/>
    <col min="7168" max="7168" width="11.85546875" style="62" customWidth="1"/>
    <col min="7169" max="7169" width="13.28515625" style="62" customWidth="1"/>
    <col min="7170" max="7170" width="15.28515625" style="62" customWidth="1"/>
    <col min="7171" max="7171" width="11.85546875" style="62" customWidth="1"/>
    <col min="7172" max="7172" width="6.140625" style="62" customWidth="1"/>
    <col min="7173" max="7173" width="11.85546875" style="62" customWidth="1"/>
    <col min="7174" max="7174" width="9.42578125" style="62" customWidth="1"/>
    <col min="7175" max="7175" width="14.7109375" style="62" customWidth="1"/>
    <col min="7176" max="7176" width="11.5703125" style="62" customWidth="1"/>
    <col min="7177" max="7177" width="0.42578125" style="62" customWidth="1"/>
    <col min="7178" max="7178" width="10.5703125" style="62" bestFit="1" customWidth="1"/>
    <col min="7179" max="7179" width="12.28515625" style="62" customWidth="1"/>
    <col min="7180" max="7180" width="12.5703125" style="62" customWidth="1"/>
    <col min="7181" max="7181" width="10.5703125" style="62" customWidth="1"/>
    <col min="7182" max="7182" width="10.140625" style="62" customWidth="1"/>
    <col min="7183" max="7183" width="8.42578125" style="62" customWidth="1"/>
    <col min="7184" max="7184" width="18.85546875" style="62" customWidth="1"/>
    <col min="7185" max="7185" width="10.28515625" style="62" customWidth="1"/>
    <col min="7186" max="7186" width="11.42578125" style="62"/>
    <col min="7187" max="7187" width="12.140625" style="62" customWidth="1"/>
    <col min="7188" max="7188" width="10.5703125" style="62" customWidth="1"/>
    <col min="7189" max="7189" width="12.42578125" style="62" customWidth="1"/>
    <col min="7190" max="7190" width="15.140625" style="62" customWidth="1"/>
    <col min="7191" max="7191" width="13.5703125" style="62" customWidth="1"/>
    <col min="7192" max="7192" width="13.140625" style="62" customWidth="1"/>
    <col min="7193" max="7193" width="15.7109375" style="62" customWidth="1"/>
    <col min="7194" max="7194" width="37.5703125" style="62" customWidth="1"/>
    <col min="7195" max="7416" width="11.42578125" style="62"/>
    <col min="7417" max="7417" width="10.5703125" style="62" customWidth="1"/>
    <col min="7418" max="7418" width="4.85546875" style="62" customWidth="1"/>
    <col min="7419" max="7419" width="32.42578125" style="62" customWidth="1"/>
    <col min="7420" max="7420" width="9.85546875" style="62" customWidth="1"/>
    <col min="7421" max="7421" width="10.140625" style="62" customWidth="1"/>
    <col min="7422" max="7422" width="12.28515625" style="62" customWidth="1"/>
    <col min="7423" max="7423" width="15.42578125" style="62" customWidth="1"/>
    <col min="7424" max="7424" width="11.85546875" style="62" customWidth="1"/>
    <col min="7425" max="7425" width="13.28515625" style="62" customWidth="1"/>
    <col min="7426" max="7426" width="15.28515625" style="62" customWidth="1"/>
    <col min="7427" max="7427" width="11.85546875" style="62" customWidth="1"/>
    <col min="7428" max="7428" width="6.140625" style="62" customWidth="1"/>
    <col min="7429" max="7429" width="11.85546875" style="62" customWidth="1"/>
    <col min="7430" max="7430" width="9.42578125" style="62" customWidth="1"/>
    <col min="7431" max="7431" width="14.7109375" style="62" customWidth="1"/>
    <col min="7432" max="7432" width="11.5703125" style="62" customWidth="1"/>
    <col min="7433" max="7433" width="0.42578125" style="62" customWidth="1"/>
    <col min="7434" max="7434" width="10.5703125" style="62" bestFit="1" customWidth="1"/>
    <col min="7435" max="7435" width="12.28515625" style="62" customWidth="1"/>
    <col min="7436" max="7436" width="12.5703125" style="62" customWidth="1"/>
    <col min="7437" max="7437" width="10.5703125" style="62" customWidth="1"/>
    <col min="7438" max="7438" width="10.140625" style="62" customWidth="1"/>
    <col min="7439" max="7439" width="8.42578125" style="62" customWidth="1"/>
    <col min="7440" max="7440" width="18.85546875" style="62" customWidth="1"/>
    <col min="7441" max="7441" width="10.28515625" style="62" customWidth="1"/>
    <col min="7442" max="7442" width="11.42578125" style="62"/>
    <col min="7443" max="7443" width="12.140625" style="62" customWidth="1"/>
    <col min="7444" max="7444" width="10.5703125" style="62" customWidth="1"/>
    <col min="7445" max="7445" width="12.42578125" style="62" customWidth="1"/>
    <col min="7446" max="7446" width="15.140625" style="62" customWidth="1"/>
    <col min="7447" max="7447" width="13.5703125" style="62" customWidth="1"/>
    <col min="7448" max="7448" width="13.140625" style="62" customWidth="1"/>
    <col min="7449" max="7449" width="15.7109375" style="62" customWidth="1"/>
    <col min="7450" max="7450" width="37.5703125" style="62" customWidth="1"/>
    <col min="7451" max="7672" width="11.42578125" style="62"/>
    <col min="7673" max="7673" width="10.5703125" style="62" customWidth="1"/>
    <col min="7674" max="7674" width="4.85546875" style="62" customWidth="1"/>
    <col min="7675" max="7675" width="32.42578125" style="62" customWidth="1"/>
    <col min="7676" max="7676" width="9.85546875" style="62" customWidth="1"/>
    <col min="7677" max="7677" width="10.140625" style="62" customWidth="1"/>
    <col min="7678" max="7678" width="12.28515625" style="62" customWidth="1"/>
    <col min="7679" max="7679" width="15.42578125" style="62" customWidth="1"/>
    <col min="7680" max="7680" width="11.85546875" style="62" customWidth="1"/>
    <col min="7681" max="7681" width="13.28515625" style="62" customWidth="1"/>
    <col min="7682" max="7682" width="15.28515625" style="62" customWidth="1"/>
    <col min="7683" max="7683" width="11.85546875" style="62" customWidth="1"/>
    <col min="7684" max="7684" width="6.140625" style="62" customWidth="1"/>
    <col min="7685" max="7685" width="11.85546875" style="62" customWidth="1"/>
    <col min="7686" max="7686" width="9.42578125" style="62" customWidth="1"/>
    <col min="7687" max="7687" width="14.7109375" style="62" customWidth="1"/>
    <col min="7688" max="7688" width="11.5703125" style="62" customWidth="1"/>
    <col min="7689" max="7689" width="0.42578125" style="62" customWidth="1"/>
    <col min="7690" max="7690" width="10.5703125" style="62" bestFit="1" customWidth="1"/>
    <col min="7691" max="7691" width="12.28515625" style="62" customWidth="1"/>
    <col min="7692" max="7692" width="12.5703125" style="62" customWidth="1"/>
    <col min="7693" max="7693" width="10.5703125" style="62" customWidth="1"/>
    <col min="7694" max="7694" width="10.140625" style="62" customWidth="1"/>
    <col min="7695" max="7695" width="8.42578125" style="62" customWidth="1"/>
    <col min="7696" max="7696" width="18.85546875" style="62" customWidth="1"/>
    <col min="7697" max="7697" width="10.28515625" style="62" customWidth="1"/>
    <col min="7698" max="7698" width="11.42578125" style="62"/>
    <col min="7699" max="7699" width="12.140625" style="62" customWidth="1"/>
    <col min="7700" max="7700" width="10.5703125" style="62" customWidth="1"/>
    <col min="7701" max="7701" width="12.42578125" style="62" customWidth="1"/>
    <col min="7702" max="7702" width="15.140625" style="62" customWidth="1"/>
    <col min="7703" max="7703" width="13.5703125" style="62" customWidth="1"/>
    <col min="7704" max="7704" width="13.140625" style="62" customWidth="1"/>
    <col min="7705" max="7705" width="15.7109375" style="62" customWidth="1"/>
    <col min="7706" max="7706" width="37.5703125" style="62" customWidth="1"/>
    <col min="7707" max="7928" width="11.42578125" style="62"/>
    <col min="7929" max="7929" width="10.5703125" style="62" customWidth="1"/>
    <col min="7930" max="7930" width="4.85546875" style="62" customWidth="1"/>
    <col min="7931" max="7931" width="32.42578125" style="62" customWidth="1"/>
    <col min="7932" max="7932" width="9.85546875" style="62" customWidth="1"/>
    <col min="7933" max="7933" width="10.140625" style="62" customWidth="1"/>
    <col min="7934" max="7934" width="12.28515625" style="62" customWidth="1"/>
    <col min="7935" max="7935" width="15.42578125" style="62" customWidth="1"/>
    <col min="7936" max="7936" width="11.85546875" style="62" customWidth="1"/>
    <col min="7937" max="7937" width="13.28515625" style="62" customWidth="1"/>
    <col min="7938" max="7938" width="15.28515625" style="62" customWidth="1"/>
    <col min="7939" max="7939" width="11.85546875" style="62" customWidth="1"/>
    <col min="7940" max="7940" width="6.140625" style="62" customWidth="1"/>
    <col min="7941" max="7941" width="11.85546875" style="62" customWidth="1"/>
    <col min="7942" max="7942" width="9.42578125" style="62" customWidth="1"/>
    <col min="7943" max="7943" width="14.7109375" style="62" customWidth="1"/>
    <col min="7944" max="7944" width="11.5703125" style="62" customWidth="1"/>
    <col min="7945" max="7945" width="0.42578125" style="62" customWidth="1"/>
    <col min="7946" max="7946" width="10.5703125" style="62" bestFit="1" customWidth="1"/>
    <col min="7947" max="7947" width="12.28515625" style="62" customWidth="1"/>
    <col min="7948" max="7948" width="12.5703125" style="62" customWidth="1"/>
    <col min="7949" max="7949" width="10.5703125" style="62" customWidth="1"/>
    <col min="7950" max="7950" width="10.140625" style="62" customWidth="1"/>
    <col min="7951" max="7951" width="8.42578125" style="62" customWidth="1"/>
    <col min="7952" max="7952" width="18.85546875" style="62" customWidth="1"/>
    <col min="7953" max="7953" width="10.28515625" style="62" customWidth="1"/>
    <col min="7954" max="7954" width="11.42578125" style="62"/>
    <col min="7955" max="7955" width="12.140625" style="62" customWidth="1"/>
    <col min="7956" max="7956" width="10.5703125" style="62" customWidth="1"/>
    <col min="7957" max="7957" width="12.42578125" style="62" customWidth="1"/>
    <col min="7958" max="7958" width="15.140625" style="62" customWidth="1"/>
    <col min="7959" max="7959" width="13.5703125" style="62" customWidth="1"/>
    <col min="7960" max="7960" width="13.140625" style="62" customWidth="1"/>
    <col min="7961" max="7961" width="15.7109375" style="62" customWidth="1"/>
    <col min="7962" max="7962" width="37.5703125" style="62" customWidth="1"/>
    <col min="7963" max="8184" width="11.42578125" style="62"/>
    <col min="8185" max="8185" width="10.5703125" style="62" customWidth="1"/>
    <col min="8186" max="8186" width="4.85546875" style="62" customWidth="1"/>
    <col min="8187" max="8187" width="32.42578125" style="62" customWidth="1"/>
    <col min="8188" max="8188" width="9.85546875" style="62" customWidth="1"/>
    <col min="8189" max="8189" width="10.140625" style="62" customWidth="1"/>
    <col min="8190" max="8190" width="12.28515625" style="62" customWidth="1"/>
    <col min="8191" max="8191" width="15.42578125" style="62" customWidth="1"/>
    <col min="8192" max="8192" width="11.85546875" style="62" customWidth="1"/>
    <col min="8193" max="8193" width="13.28515625" style="62" customWidth="1"/>
    <col min="8194" max="8194" width="15.28515625" style="62" customWidth="1"/>
    <col min="8195" max="8195" width="11.85546875" style="62" customWidth="1"/>
    <col min="8196" max="8196" width="6.140625" style="62" customWidth="1"/>
    <col min="8197" max="8197" width="11.85546875" style="62" customWidth="1"/>
    <col min="8198" max="8198" width="9.42578125" style="62" customWidth="1"/>
    <col min="8199" max="8199" width="14.7109375" style="62" customWidth="1"/>
    <col min="8200" max="8200" width="11.5703125" style="62" customWidth="1"/>
    <col min="8201" max="8201" width="0.42578125" style="62" customWidth="1"/>
    <col min="8202" max="8202" width="10.5703125" style="62" bestFit="1" customWidth="1"/>
    <col min="8203" max="8203" width="12.28515625" style="62" customWidth="1"/>
    <col min="8204" max="8204" width="12.5703125" style="62" customWidth="1"/>
    <col min="8205" max="8205" width="10.5703125" style="62" customWidth="1"/>
    <col min="8206" max="8206" width="10.140625" style="62" customWidth="1"/>
    <col min="8207" max="8207" width="8.42578125" style="62" customWidth="1"/>
    <col min="8208" max="8208" width="18.85546875" style="62" customWidth="1"/>
    <col min="8209" max="8209" width="10.28515625" style="62" customWidth="1"/>
    <col min="8210" max="8210" width="11.42578125" style="62"/>
    <col min="8211" max="8211" width="12.140625" style="62" customWidth="1"/>
    <col min="8212" max="8212" width="10.5703125" style="62" customWidth="1"/>
    <col min="8213" max="8213" width="12.42578125" style="62" customWidth="1"/>
    <col min="8214" max="8214" width="15.140625" style="62" customWidth="1"/>
    <col min="8215" max="8215" width="13.5703125" style="62" customWidth="1"/>
    <col min="8216" max="8216" width="13.140625" style="62" customWidth="1"/>
    <col min="8217" max="8217" width="15.7109375" style="62" customWidth="1"/>
    <col min="8218" max="8218" width="37.5703125" style="62" customWidth="1"/>
    <col min="8219" max="8440" width="11.42578125" style="62"/>
    <col min="8441" max="8441" width="10.5703125" style="62" customWidth="1"/>
    <col min="8442" max="8442" width="4.85546875" style="62" customWidth="1"/>
    <col min="8443" max="8443" width="32.42578125" style="62" customWidth="1"/>
    <col min="8444" max="8444" width="9.85546875" style="62" customWidth="1"/>
    <col min="8445" max="8445" width="10.140625" style="62" customWidth="1"/>
    <col min="8446" max="8446" width="12.28515625" style="62" customWidth="1"/>
    <col min="8447" max="8447" width="15.42578125" style="62" customWidth="1"/>
    <col min="8448" max="8448" width="11.85546875" style="62" customWidth="1"/>
    <col min="8449" max="8449" width="13.28515625" style="62" customWidth="1"/>
    <col min="8450" max="8450" width="15.28515625" style="62" customWidth="1"/>
    <col min="8451" max="8451" width="11.85546875" style="62" customWidth="1"/>
    <col min="8452" max="8452" width="6.140625" style="62" customWidth="1"/>
    <col min="8453" max="8453" width="11.85546875" style="62" customWidth="1"/>
    <col min="8454" max="8454" width="9.42578125" style="62" customWidth="1"/>
    <col min="8455" max="8455" width="14.7109375" style="62" customWidth="1"/>
    <col min="8456" max="8456" width="11.5703125" style="62" customWidth="1"/>
    <col min="8457" max="8457" width="0.42578125" style="62" customWidth="1"/>
    <col min="8458" max="8458" width="10.5703125" style="62" bestFit="1" customWidth="1"/>
    <col min="8459" max="8459" width="12.28515625" style="62" customWidth="1"/>
    <col min="8460" max="8460" width="12.5703125" style="62" customWidth="1"/>
    <col min="8461" max="8461" width="10.5703125" style="62" customWidth="1"/>
    <col min="8462" max="8462" width="10.140625" style="62" customWidth="1"/>
    <col min="8463" max="8463" width="8.42578125" style="62" customWidth="1"/>
    <col min="8464" max="8464" width="18.85546875" style="62" customWidth="1"/>
    <col min="8465" max="8465" width="10.28515625" style="62" customWidth="1"/>
    <col min="8466" max="8466" width="11.42578125" style="62"/>
    <col min="8467" max="8467" width="12.140625" style="62" customWidth="1"/>
    <col min="8468" max="8468" width="10.5703125" style="62" customWidth="1"/>
    <col min="8469" max="8469" width="12.42578125" style="62" customWidth="1"/>
    <col min="8470" max="8470" width="15.140625" style="62" customWidth="1"/>
    <col min="8471" max="8471" width="13.5703125" style="62" customWidth="1"/>
    <col min="8472" max="8472" width="13.140625" style="62" customWidth="1"/>
    <col min="8473" max="8473" width="15.7109375" style="62" customWidth="1"/>
    <col min="8474" max="8474" width="37.5703125" style="62" customWidth="1"/>
    <col min="8475" max="8696" width="11.42578125" style="62"/>
    <col min="8697" max="8697" width="10.5703125" style="62" customWidth="1"/>
    <col min="8698" max="8698" width="4.85546875" style="62" customWidth="1"/>
    <col min="8699" max="8699" width="32.42578125" style="62" customWidth="1"/>
    <col min="8700" max="8700" width="9.85546875" style="62" customWidth="1"/>
    <col min="8701" max="8701" width="10.140625" style="62" customWidth="1"/>
    <col min="8702" max="8702" width="12.28515625" style="62" customWidth="1"/>
    <col min="8703" max="8703" width="15.42578125" style="62" customWidth="1"/>
    <col min="8704" max="8704" width="11.85546875" style="62" customWidth="1"/>
    <col min="8705" max="8705" width="13.28515625" style="62" customWidth="1"/>
    <col min="8706" max="8706" width="15.28515625" style="62" customWidth="1"/>
    <col min="8707" max="8707" width="11.85546875" style="62" customWidth="1"/>
    <col min="8708" max="8708" width="6.140625" style="62" customWidth="1"/>
    <col min="8709" max="8709" width="11.85546875" style="62" customWidth="1"/>
    <col min="8710" max="8710" width="9.42578125" style="62" customWidth="1"/>
    <col min="8711" max="8711" width="14.7109375" style="62" customWidth="1"/>
    <col min="8712" max="8712" width="11.5703125" style="62" customWidth="1"/>
    <col min="8713" max="8713" width="0.42578125" style="62" customWidth="1"/>
    <col min="8714" max="8714" width="10.5703125" style="62" bestFit="1" customWidth="1"/>
    <col min="8715" max="8715" width="12.28515625" style="62" customWidth="1"/>
    <col min="8716" max="8716" width="12.5703125" style="62" customWidth="1"/>
    <col min="8717" max="8717" width="10.5703125" style="62" customWidth="1"/>
    <col min="8718" max="8718" width="10.140625" style="62" customWidth="1"/>
    <col min="8719" max="8719" width="8.42578125" style="62" customWidth="1"/>
    <col min="8720" max="8720" width="18.85546875" style="62" customWidth="1"/>
    <col min="8721" max="8721" width="10.28515625" style="62" customWidth="1"/>
    <col min="8722" max="8722" width="11.42578125" style="62"/>
    <col min="8723" max="8723" width="12.140625" style="62" customWidth="1"/>
    <col min="8724" max="8724" width="10.5703125" style="62" customWidth="1"/>
    <col min="8725" max="8725" width="12.42578125" style="62" customWidth="1"/>
    <col min="8726" max="8726" width="15.140625" style="62" customWidth="1"/>
    <col min="8727" max="8727" width="13.5703125" style="62" customWidth="1"/>
    <col min="8728" max="8728" width="13.140625" style="62" customWidth="1"/>
    <col min="8729" max="8729" width="15.7109375" style="62" customWidth="1"/>
    <col min="8730" max="8730" width="37.5703125" style="62" customWidth="1"/>
    <col min="8731" max="8952" width="11.42578125" style="62"/>
    <col min="8953" max="8953" width="10.5703125" style="62" customWidth="1"/>
    <col min="8954" max="8954" width="4.85546875" style="62" customWidth="1"/>
    <col min="8955" max="8955" width="32.42578125" style="62" customWidth="1"/>
    <col min="8956" max="8956" width="9.85546875" style="62" customWidth="1"/>
    <col min="8957" max="8957" width="10.140625" style="62" customWidth="1"/>
    <col min="8958" max="8958" width="12.28515625" style="62" customWidth="1"/>
    <col min="8959" max="8959" width="15.42578125" style="62" customWidth="1"/>
    <col min="8960" max="8960" width="11.85546875" style="62" customWidth="1"/>
    <col min="8961" max="8961" width="13.28515625" style="62" customWidth="1"/>
    <col min="8962" max="8962" width="15.28515625" style="62" customWidth="1"/>
    <col min="8963" max="8963" width="11.85546875" style="62" customWidth="1"/>
    <col min="8964" max="8964" width="6.140625" style="62" customWidth="1"/>
    <col min="8965" max="8965" width="11.85546875" style="62" customWidth="1"/>
    <col min="8966" max="8966" width="9.42578125" style="62" customWidth="1"/>
    <col min="8967" max="8967" width="14.7109375" style="62" customWidth="1"/>
    <col min="8968" max="8968" width="11.5703125" style="62" customWidth="1"/>
    <col min="8969" max="8969" width="0.42578125" style="62" customWidth="1"/>
    <col min="8970" max="8970" width="10.5703125" style="62" bestFit="1" customWidth="1"/>
    <col min="8971" max="8971" width="12.28515625" style="62" customWidth="1"/>
    <col min="8972" max="8972" width="12.5703125" style="62" customWidth="1"/>
    <col min="8973" max="8973" width="10.5703125" style="62" customWidth="1"/>
    <col min="8974" max="8974" width="10.140625" style="62" customWidth="1"/>
    <col min="8975" max="8975" width="8.42578125" style="62" customWidth="1"/>
    <col min="8976" max="8976" width="18.85546875" style="62" customWidth="1"/>
    <col min="8977" max="8977" width="10.28515625" style="62" customWidth="1"/>
    <col min="8978" max="8978" width="11.42578125" style="62"/>
    <col min="8979" max="8979" width="12.140625" style="62" customWidth="1"/>
    <col min="8980" max="8980" width="10.5703125" style="62" customWidth="1"/>
    <col min="8981" max="8981" width="12.42578125" style="62" customWidth="1"/>
    <col min="8982" max="8982" width="15.140625" style="62" customWidth="1"/>
    <col min="8983" max="8983" width="13.5703125" style="62" customWidth="1"/>
    <col min="8984" max="8984" width="13.140625" style="62" customWidth="1"/>
    <col min="8985" max="8985" width="15.7109375" style="62" customWidth="1"/>
    <col min="8986" max="8986" width="37.5703125" style="62" customWidth="1"/>
    <col min="8987" max="9208" width="11.42578125" style="62"/>
    <col min="9209" max="9209" width="10.5703125" style="62" customWidth="1"/>
    <col min="9210" max="9210" width="4.85546875" style="62" customWidth="1"/>
    <col min="9211" max="9211" width="32.42578125" style="62" customWidth="1"/>
    <col min="9212" max="9212" width="9.85546875" style="62" customWidth="1"/>
    <col min="9213" max="9213" width="10.140625" style="62" customWidth="1"/>
    <col min="9214" max="9214" width="12.28515625" style="62" customWidth="1"/>
    <col min="9215" max="9215" width="15.42578125" style="62" customWidth="1"/>
    <col min="9216" max="9216" width="11.85546875" style="62" customWidth="1"/>
    <col min="9217" max="9217" width="13.28515625" style="62" customWidth="1"/>
    <col min="9218" max="9218" width="15.28515625" style="62" customWidth="1"/>
    <col min="9219" max="9219" width="11.85546875" style="62" customWidth="1"/>
    <col min="9220" max="9220" width="6.140625" style="62" customWidth="1"/>
    <col min="9221" max="9221" width="11.85546875" style="62" customWidth="1"/>
    <col min="9222" max="9222" width="9.42578125" style="62" customWidth="1"/>
    <col min="9223" max="9223" width="14.7109375" style="62" customWidth="1"/>
    <col min="9224" max="9224" width="11.5703125" style="62" customWidth="1"/>
    <col min="9225" max="9225" width="0.42578125" style="62" customWidth="1"/>
    <col min="9226" max="9226" width="10.5703125" style="62" bestFit="1" customWidth="1"/>
    <col min="9227" max="9227" width="12.28515625" style="62" customWidth="1"/>
    <col min="9228" max="9228" width="12.5703125" style="62" customWidth="1"/>
    <col min="9229" max="9229" width="10.5703125" style="62" customWidth="1"/>
    <col min="9230" max="9230" width="10.140625" style="62" customWidth="1"/>
    <col min="9231" max="9231" width="8.42578125" style="62" customWidth="1"/>
    <col min="9232" max="9232" width="18.85546875" style="62" customWidth="1"/>
    <col min="9233" max="9233" width="10.28515625" style="62" customWidth="1"/>
    <col min="9234" max="9234" width="11.42578125" style="62"/>
    <col min="9235" max="9235" width="12.140625" style="62" customWidth="1"/>
    <col min="9236" max="9236" width="10.5703125" style="62" customWidth="1"/>
    <col min="9237" max="9237" width="12.42578125" style="62" customWidth="1"/>
    <col min="9238" max="9238" width="15.140625" style="62" customWidth="1"/>
    <col min="9239" max="9239" width="13.5703125" style="62" customWidth="1"/>
    <col min="9240" max="9240" width="13.140625" style="62" customWidth="1"/>
    <col min="9241" max="9241" width="15.7109375" style="62" customWidth="1"/>
    <col min="9242" max="9242" width="37.5703125" style="62" customWidth="1"/>
    <col min="9243" max="9464" width="11.42578125" style="62"/>
    <col min="9465" max="9465" width="10.5703125" style="62" customWidth="1"/>
    <col min="9466" max="9466" width="4.85546875" style="62" customWidth="1"/>
    <col min="9467" max="9467" width="32.42578125" style="62" customWidth="1"/>
    <col min="9468" max="9468" width="9.85546875" style="62" customWidth="1"/>
    <col min="9469" max="9469" width="10.140625" style="62" customWidth="1"/>
    <col min="9470" max="9470" width="12.28515625" style="62" customWidth="1"/>
    <col min="9471" max="9471" width="15.42578125" style="62" customWidth="1"/>
    <col min="9472" max="9472" width="11.85546875" style="62" customWidth="1"/>
    <col min="9473" max="9473" width="13.28515625" style="62" customWidth="1"/>
    <col min="9474" max="9474" width="15.28515625" style="62" customWidth="1"/>
    <col min="9475" max="9475" width="11.85546875" style="62" customWidth="1"/>
    <col min="9476" max="9476" width="6.140625" style="62" customWidth="1"/>
    <col min="9477" max="9477" width="11.85546875" style="62" customWidth="1"/>
    <col min="9478" max="9478" width="9.42578125" style="62" customWidth="1"/>
    <col min="9479" max="9479" width="14.7109375" style="62" customWidth="1"/>
    <col min="9480" max="9480" width="11.5703125" style="62" customWidth="1"/>
    <col min="9481" max="9481" width="0.42578125" style="62" customWidth="1"/>
    <col min="9482" max="9482" width="10.5703125" style="62" bestFit="1" customWidth="1"/>
    <col min="9483" max="9483" width="12.28515625" style="62" customWidth="1"/>
    <col min="9484" max="9484" width="12.5703125" style="62" customWidth="1"/>
    <col min="9485" max="9485" width="10.5703125" style="62" customWidth="1"/>
    <col min="9486" max="9486" width="10.140625" style="62" customWidth="1"/>
    <col min="9487" max="9487" width="8.42578125" style="62" customWidth="1"/>
    <col min="9488" max="9488" width="18.85546875" style="62" customWidth="1"/>
    <col min="9489" max="9489" width="10.28515625" style="62" customWidth="1"/>
    <col min="9490" max="9490" width="11.42578125" style="62"/>
    <col min="9491" max="9491" width="12.140625" style="62" customWidth="1"/>
    <col min="9492" max="9492" width="10.5703125" style="62" customWidth="1"/>
    <col min="9493" max="9493" width="12.42578125" style="62" customWidth="1"/>
    <col min="9494" max="9494" width="15.140625" style="62" customWidth="1"/>
    <col min="9495" max="9495" width="13.5703125" style="62" customWidth="1"/>
    <col min="9496" max="9496" width="13.140625" style="62" customWidth="1"/>
    <col min="9497" max="9497" width="15.7109375" style="62" customWidth="1"/>
    <col min="9498" max="9498" width="37.5703125" style="62" customWidth="1"/>
    <col min="9499" max="9720" width="11.42578125" style="62"/>
    <col min="9721" max="9721" width="10.5703125" style="62" customWidth="1"/>
    <col min="9722" max="9722" width="4.85546875" style="62" customWidth="1"/>
    <col min="9723" max="9723" width="32.42578125" style="62" customWidth="1"/>
    <col min="9724" max="9724" width="9.85546875" style="62" customWidth="1"/>
    <col min="9725" max="9725" width="10.140625" style="62" customWidth="1"/>
    <col min="9726" max="9726" width="12.28515625" style="62" customWidth="1"/>
    <col min="9727" max="9727" width="15.42578125" style="62" customWidth="1"/>
    <col min="9728" max="9728" width="11.85546875" style="62" customWidth="1"/>
    <col min="9729" max="9729" width="13.28515625" style="62" customWidth="1"/>
    <col min="9730" max="9730" width="15.28515625" style="62" customWidth="1"/>
    <col min="9731" max="9731" width="11.85546875" style="62" customWidth="1"/>
    <col min="9732" max="9732" width="6.140625" style="62" customWidth="1"/>
    <col min="9733" max="9733" width="11.85546875" style="62" customWidth="1"/>
    <col min="9734" max="9734" width="9.42578125" style="62" customWidth="1"/>
    <col min="9735" max="9735" width="14.7109375" style="62" customWidth="1"/>
    <col min="9736" max="9736" width="11.5703125" style="62" customWidth="1"/>
    <col min="9737" max="9737" width="0.42578125" style="62" customWidth="1"/>
    <col min="9738" max="9738" width="10.5703125" style="62" bestFit="1" customWidth="1"/>
    <col min="9739" max="9739" width="12.28515625" style="62" customWidth="1"/>
    <col min="9740" max="9740" width="12.5703125" style="62" customWidth="1"/>
    <col min="9741" max="9741" width="10.5703125" style="62" customWidth="1"/>
    <col min="9742" max="9742" width="10.140625" style="62" customWidth="1"/>
    <col min="9743" max="9743" width="8.42578125" style="62" customWidth="1"/>
    <col min="9744" max="9744" width="18.85546875" style="62" customWidth="1"/>
    <col min="9745" max="9745" width="10.28515625" style="62" customWidth="1"/>
    <col min="9746" max="9746" width="11.42578125" style="62"/>
    <col min="9747" max="9747" width="12.140625" style="62" customWidth="1"/>
    <col min="9748" max="9748" width="10.5703125" style="62" customWidth="1"/>
    <col min="9749" max="9749" width="12.42578125" style="62" customWidth="1"/>
    <col min="9750" max="9750" width="15.140625" style="62" customWidth="1"/>
    <col min="9751" max="9751" width="13.5703125" style="62" customWidth="1"/>
    <col min="9752" max="9752" width="13.140625" style="62" customWidth="1"/>
    <col min="9753" max="9753" width="15.7109375" style="62" customWidth="1"/>
    <col min="9754" max="9754" width="37.5703125" style="62" customWidth="1"/>
    <col min="9755" max="9976" width="11.42578125" style="62"/>
    <col min="9977" max="9977" width="10.5703125" style="62" customWidth="1"/>
    <col min="9978" max="9978" width="4.85546875" style="62" customWidth="1"/>
    <col min="9979" max="9979" width="32.42578125" style="62" customWidth="1"/>
    <col min="9980" max="9980" width="9.85546875" style="62" customWidth="1"/>
    <col min="9981" max="9981" width="10.140625" style="62" customWidth="1"/>
    <col min="9982" max="9982" width="12.28515625" style="62" customWidth="1"/>
    <col min="9983" max="9983" width="15.42578125" style="62" customWidth="1"/>
    <col min="9984" max="9984" width="11.85546875" style="62" customWidth="1"/>
    <col min="9985" max="9985" width="13.28515625" style="62" customWidth="1"/>
    <col min="9986" max="9986" width="15.28515625" style="62" customWidth="1"/>
    <col min="9987" max="9987" width="11.85546875" style="62" customWidth="1"/>
    <col min="9988" max="9988" width="6.140625" style="62" customWidth="1"/>
    <col min="9989" max="9989" width="11.85546875" style="62" customWidth="1"/>
    <col min="9990" max="9990" width="9.42578125" style="62" customWidth="1"/>
    <col min="9991" max="9991" width="14.7109375" style="62" customWidth="1"/>
    <col min="9992" max="9992" width="11.5703125" style="62" customWidth="1"/>
    <col min="9993" max="9993" width="0.42578125" style="62" customWidth="1"/>
    <col min="9994" max="9994" width="10.5703125" style="62" bestFit="1" customWidth="1"/>
    <col min="9995" max="9995" width="12.28515625" style="62" customWidth="1"/>
    <col min="9996" max="9996" width="12.5703125" style="62" customWidth="1"/>
    <col min="9997" max="9997" width="10.5703125" style="62" customWidth="1"/>
    <col min="9998" max="9998" width="10.140625" style="62" customWidth="1"/>
    <col min="9999" max="9999" width="8.42578125" style="62" customWidth="1"/>
    <col min="10000" max="10000" width="18.85546875" style="62" customWidth="1"/>
    <col min="10001" max="10001" width="10.28515625" style="62" customWidth="1"/>
    <col min="10002" max="10002" width="11.42578125" style="62"/>
    <col min="10003" max="10003" width="12.140625" style="62" customWidth="1"/>
    <col min="10004" max="10004" width="10.5703125" style="62" customWidth="1"/>
    <col min="10005" max="10005" width="12.42578125" style="62" customWidth="1"/>
    <col min="10006" max="10006" width="15.140625" style="62" customWidth="1"/>
    <col min="10007" max="10007" width="13.5703125" style="62" customWidth="1"/>
    <col min="10008" max="10008" width="13.140625" style="62" customWidth="1"/>
    <col min="10009" max="10009" width="15.7109375" style="62" customWidth="1"/>
    <col min="10010" max="10010" width="37.5703125" style="62" customWidth="1"/>
    <col min="10011" max="10232" width="11.42578125" style="62"/>
    <col min="10233" max="10233" width="10.5703125" style="62" customWidth="1"/>
    <col min="10234" max="10234" width="4.85546875" style="62" customWidth="1"/>
    <col min="10235" max="10235" width="32.42578125" style="62" customWidth="1"/>
    <col min="10236" max="10236" width="9.85546875" style="62" customWidth="1"/>
    <col min="10237" max="10237" width="10.140625" style="62" customWidth="1"/>
    <col min="10238" max="10238" width="12.28515625" style="62" customWidth="1"/>
    <col min="10239" max="10239" width="15.42578125" style="62" customWidth="1"/>
    <col min="10240" max="10240" width="11.85546875" style="62" customWidth="1"/>
    <col min="10241" max="10241" width="13.28515625" style="62" customWidth="1"/>
    <col min="10242" max="10242" width="15.28515625" style="62" customWidth="1"/>
    <col min="10243" max="10243" width="11.85546875" style="62" customWidth="1"/>
    <col min="10244" max="10244" width="6.140625" style="62" customWidth="1"/>
    <col min="10245" max="10245" width="11.85546875" style="62" customWidth="1"/>
    <col min="10246" max="10246" width="9.42578125" style="62" customWidth="1"/>
    <col min="10247" max="10247" width="14.7109375" style="62" customWidth="1"/>
    <col min="10248" max="10248" width="11.5703125" style="62" customWidth="1"/>
    <col min="10249" max="10249" width="0.42578125" style="62" customWidth="1"/>
    <col min="10250" max="10250" width="10.5703125" style="62" bestFit="1" customWidth="1"/>
    <col min="10251" max="10251" width="12.28515625" style="62" customWidth="1"/>
    <col min="10252" max="10252" width="12.5703125" style="62" customWidth="1"/>
    <col min="10253" max="10253" width="10.5703125" style="62" customWidth="1"/>
    <col min="10254" max="10254" width="10.140625" style="62" customWidth="1"/>
    <col min="10255" max="10255" width="8.42578125" style="62" customWidth="1"/>
    <col min="10256" max="10256" width="18.85546875" style="62" customWidth="1"/>
    <col min="10257" max="10257" width="10.28515625" style="62" customWidth="1"/>
    <col min="10258" max="10258" width="11.42578125" style="62"/>
    <col min="10259" max="10259" width="12.140625" style="62" customWidth="1"/>
    <col min="10260" max="10260" width="10.5703125" style="62" customWidth="1"/>
    <col min="10261" max="10261" width="12.42578125" style="62" customWidth="1"/>
    <col min="10262" max="10262" width="15.140625" style="62" customWidth="1"/>
    <col min="10263" max="10263" width="13.5703125" style="62" customWidth="1"/>
    <col min="10264" max="10264" width="13.140625" style="62" customWidth="1"/>
    <col min="10265" max="10265" width="15.7109375" style="62" customWidth="1"/>
    <col min="10266" max="10266" width="37.5703125" style="62" customWidth="1"/>
    <col min="10267" max="10488" width="11.42578125" style="62"/>
    <col min="10489" max="10489" width="10.5703125" style="62" customWidth="1"/>
    <col min="10490" max="10490" width="4.85546875" style="62" customWidth="1"/>
    <col min="10491" max="10491" width="32.42578125" style="62" customWidth="1"/>
    <col min="10492" max="10492" width="9.85546875" style="62" customWidth="1"/>
    <col min="10493" max="10493" width="10.140625" style="62" customWidth="1"/>
    <col min="10494" max="10494" width="12.28515625" style="62" customWidth="1"/>
    <col min="10495" max="10495" width="15.42578125" style="62" customWidth="1"/>
    <col min="10496" max="10496" width="11.85546875" style="62" customWidth="1"/>
    <col min="10497" max="10497" width="13.28515625" style="62" customWidth="1"/>
    <col min="10498" max="10498" width="15.28515625" style="62" customWidth="1"/>
    <col min="10499" max="10499" width="11.85546875" style="62" customWidth="1"/>
    <col min="10500" max="10500" width="6.140625" style="62" customWidth="1"/>
    <col min="10501" max="10501" width="11.85546875" style="62" customWidth="1"/>
    <col min="10502" max="10502" width="9.42578125" style="62" customWidth="1"/>
    <col min="10503" max="10503" width="14.7109375" style="62" customWidth="1"/>
    <col min="10504" max="10504" width="11.5703125" style="62" customWidth="1"/>
    <col min="10505" max="10505" width="0.42578125" style="62" customWidth="1"/>
    <col min="10506" max="10506" width="10.5703125" style="62" bestFit="1" customWidth="1"/>
    <col min="10507" max="10507" width="12.28515625" style="62" customWidth="1"/>
    <col min="10508" max="10508" width="12.5703125" style="62" customWidth="1"/>
    <col min="10509" max="10509" width="10.5703125" style="62" customWidth="1"/>
    <col min="10510" max="10510" width="10.140625" style="62" customWidth="1"/>
    <col min="10511" max="10511" width="8.42578125" style="62" customWidth="1"/>
    <col min="10512" max="10512" width="18.85546875" style="62" customWidth="1"/>
    <col min="10513" max="10513" width="10.28515625" style="62" customWidth="1"/>
    <col min="10514" max="10514" width="11.42578125" style="62"/>
    <col min="10515" max="10515" width="12.140625" style="62" customWidth="1"/>
    <col min="10516" max="10516" width="10.5703125" style="62" customWidth="1"/>
    <col min="10517" max="10517" width="12.42578125" style="62" customWidth="1"/>
    <col min="10518" max="10518" width="15.140625" style="62" customWidth="1"/>
    <col min="10519" max="10519" width="13.5703125" style="62" customWidth="1"/>
    <col min="10520" max="10520" width="13.140625" style="62" customWidth="1"/>
    <col min="10521" max="10521" width="15.7109375" style="62" customWidth="1"/>
    <col min="10522" max="10522" width="37.5703125" style="62" customWidth="1"/>
    <col min="10523" max="10744" width="11.42578125" style="62"/>
    <col min="10745" max="10745" width="10.5703125" style="62" customWidth="1"/>
    <col min="10746" max="10746" width="4.85546875" style="62" customWidth="1"/>
    <col min="10747" max="10747" width="32.42578125" style="62" customWidth="1"/>
    <col min="10748" max="10748" width="9.85546875" style="62" customWidth="1"/>
    <col min="10749" max="10749" width="10.140625" style="62" customWidth="1"/>
    <col min="10750" max="10750" width="12.28515625" style="62" customWidth="1"/>
    <col min="10751" max="10751" width="15.42578125" style="62" customWidth="1"/>
    <col min="10752" max="10752" width="11.85546875" style="62" customWidth="1"/>
    <col min="10753" max="10753" width="13.28515625" style="62" customWidth="1"/>
    <col min="10754" max="10754" width="15.28515625" style="62" customWidth="1"/>
    <col min="10755" max="10755" width="11.85546875" style="62" customWidth="1"/>
    <col min="10756" max="10756" width="6.140625" style="62" customWidth="1"/>
    <col min="10757" max="10757" width="11.85546875" style="62" customWidth="1"/>
    <col min="10758" max="10758" width="9.42578125" style="62" customWidth="1"/>
    <col min="10759" max="10759" width="14.7109375" style="62" customWidth="1"/>
    <col min="10760" max="10760" width="11.5703125" style="62" customWidth="1"/>
    <col min="10761" max="10761" width="0.42578125" style="62" customWidth="1"/>
    <col min="10762" max="10762" width="10.5703125" style="62" bestFit="1" customWidth="1"/>
    <col min="10763" max="10763" width="12.28515625" style="62" customWidth="1"/>
    <col min="10764" max="10764" width="12.5703125" style="62" customWidth="1"/>
    <col min="10765" max="10765" width="10.5703125" style="62" customWidth="1"/>
    <col min="10766" max="10766" width="10.140625" style="62" customWidth="1"/>
    <col min="10767" max="10767" width="8.42578125" style="62" customWidth="1"/>
    <col min="10768" max="10768" width="18.85546875" style="62" customWidth="1"/>
    <col min="10769" max="10769" width="10.28515625" style="62" customWidth="1"/>
    <col min="10770" max="10770" width="11.42578125" style="62"/>
    <col min="10771" max="10771" width="12.140625" style="62" customWidth="1"/>
    <col min="10772" max="10772" width="10.5703125" style="62" customWidth="1"/>
    <col min="10773" max="10773" width="12.42578125" style="62" customWidth="1"/>
    <col min="10774" max="10774" width="15.140625" style="62" customWidth="1"/>
    <col min="10775" max="10775" width="13.5703125" style="62" customWidth="1"/>
    <col min="10776" max="10776" width="13.140625" style="62" customWidth="1"/>
    <col min="10777" max="10777" width="15.7109375" style="62" customWidth="1"/>
    <col min="10778" max="10778" width="37.5703125" style="62" customWidth="1"/>
    <col min="10779" max="11000" width="11.42578125" style="62"/>
    <col min="11001" max="11001" width="10.5703125" style="62" customWidth="1"/>
    <col min="11002" max="11002" width="4.85546875" style="62" customWidth="1"/>
    <col min="11003" max="11003" width="32.42578125" style="62" customWidth="1"/>
    <col min="11004" max="11004" width="9.85546875" style="62" customWidth="1"/>
    <col min="11005" max="11005" width="10.140625" style="62" customWidth="1"/>
    <col min="11006" max="11006" width="12.28515625" style="62" customWidth="1"/>
    <col min="11007" max="11007" width="15.42578125" style="62" customWidth="1"/>
    <col min="11008" max="11008" width="11.85546875" style="62" customWidth="1"/>
    <col min="11009" max="11009" width="13.28515625" style="62" customWidth="1"/>
    <col min="11010" max="11010" width="15.28515625" style="62" customWidth="1"/>
    <col min="11011" max="11011" width="11.85546875" style="62" customWidth="1"/>
    <col min="11012" max="11012" width="6.140625" style="62" customWidth="1"/>
    <col min="11013" max="11013" width="11.85546875" style="62" customWidth="1"/>
    <col min="11014" max="11014" width="9.42578125" style="62" customWidth="1"/>
    <col min="11015" max="11015" width="14.7109375" style="62" customWidth="1"/>
    <col min="11016" max="11016" width="11.5703125" style="62" customWidth="1"/>
    <col min="11017" max="11017" width="0.42578125" style="62" customWidth="1"/>
    <col min="11018" max="11018" width="10.5703125" style="62" bestFit="1" customWidth="1"/>
    <col min="11019" max="11019" width="12.28515625" style="62" customWidth="1"/>
    <col min="11020" max="11020" width="12.5703125" style="62" customWidth="1"/>
    <col min="11021" max="11021" width="10.5703125" style="62" customWidth="1"/>
    <col min="11022" max="11022" width="10.140625" style="62" customWidth="1"/>
    <col min="11023" max="11023" width="8.42578125" style="62" customWidth="1"/>
    <col min="11024" max="11024" width="18.85546875" style="62" customWidth="1"/>
    <col min="11025" max="11025" width="10.28515625" style="62" customWidth="1"/>
    <col min="11026" max="11026" width="11.42578125" style="62"/>
    <col min="11027" max="11027" width="12.140625" style="62" customWidth="1"/>
    <col min="11028" max="11028" width="10.5703125" style="62" customWidth="1"/>
    <col min="11029" max="11029" width="12.42578125" style="62" customWidth="1"/>
    <col min="11030" max="11030" width="15.140625" style="62" customWidth="1"/>
    <col min="11031" max="11031" width="13.5703125" style="62" customWidth="1"/>
    <col min="11032" max="11032" width="13.140625" style="62" customWidth="1"/>
    <col min="11033" max="11033" width="15.7109375" style="62" customWidth="1"/>
    <col min="11034" max="11034" width="37.5703125" style="62" customWidth="1"/>
    <col min="11035" max="11256" width="11.42578125" style="62"/>
    <col min="11257" max="11257" width="10.5703125" style="62" customWidth="1"/>
    <col min="11258" max="11258" width="4.85546875" style="62" customWidth="1"/>
    <col min="11259" max="11259" width="32.42578125" style="62" customWidth="1"/>
    <col min="11260" max="11260" width="9.85546875" style="62" customWidth="1"/>
    <col min="11261" max="11261" width="10.140625" style="62" customWidth="1"/>
    <col min="11262" max="11262" width="12.28515625" style="62" customWidth="1"/>
    <col min="11263" max="11263" width="15.42578125" style="62" customWidth="1"/>
    <col min="11264" max="11264" width="11.85546875" style="62" customWidth="1"/>
    <col min="11265" max="11265" width="13.28515625" style="62" customWidth="1"/>
    <col min="11266" max="11266" width="15.28515625" style="62" customWidth="1"/>
    <col min="11267" max="11267" width="11.85546875" style="62" customWidth="1"/>
    <col min="11268" max="11268" width="6.140625" style="62" customWidth="1"/>
    <col min="11269" max="11269" width="11.85546875" style="62" customWidth="1"/>
    <col min="11270" max="11270" width="9.42578125" style="62" customWidth="1"/>
    <col min="11271" max="11271" width="14.7109375" style="62" customWidth="1"/>
    <col min="11272" max="11272" width="11.5703125" style="62" customWidth="1"/>
    <col min="11273" max="11273" width="0.42578125" style="62" customWidth="1"/>
    <col min="11274" max="11274" width="10.5703125" style="62" bestFit="1" customWidth="1"/>
    <col min="11275" max="11275" width="12.28515625" style="62" customWidth="1"/>
    <col min="11276" max="11276" width="12.5703125" style="62" customWidth="1"/>
    <col min="11277" max="11277" width="10.5703125" style="62" customWidth="1"/>
    <col min="11278" max="11278" width="10.140625" style="62" customWidth="1"/>
    <col min="11279" max="11279" width="8.42578125" style="62" customWidth="1"/>
    <col min="11280" max="11280" width="18.85546875" style="62" customWidth="1"/>
    <col min="11281" max="11281" width="10.28515625" style="62" customWidth="1"/>
    <col min="11282" max="11282" width="11.42578125" style="62"/>
    <col min="11283" max="11283" width="12.140625" style="62" customWidth="1"/>
    <col min="11284" max="11284" width="10.5703125" style="62" customWidth="1"/>
    <col min="11285" max="11285" width="12.42578125" style="62" customWidth="1"/>
    <col min="11286" max="11286" width="15.140625" style="62" customWidth="1"/>
    <col min="11287" max="11287" width="13.5703125" style="62" customWidth="1"/>
    <col min="11288" max="11288" width="13.140625" style="62" customWidth="1"/>
    <col min="11289" max="11289" width="15.7109375" style="62" customWidth="1"/>
    <col min="11290" max="11290" width="37.5703125" style="62" customWidth="1"/>
    <col min="11291" max="11512" width="11.42578125" style="62"/>
    <col min="11513" max="11513" width="10.5703125" style="62" customWidth="1"/>
    <col min="11514" max="11514" width="4.85546875" style="62" customWidth="1"/>
    <col min="11515" max="11515" width="32.42578125" style="62" customWidth="1"/>
    <col min="11516" max="11516" width="9.85546875" style="62" customWidth="1"/>
    <col min="11517" max="11517" width="10.140625" style="62" customWidth="1"/>
    <col min="11518" max="11518" width="12.28515625" style="62" customWidth="1"/>
    <col min="11519" max="11519" width="15.42578125" style="62" customWidth="1"/>
    <col min="11520" max="11520" width="11.85546875" style="62" customWidth="1"/>
    <col min="11521" max="11521" width="13.28515625" style="62" customWidth="1"/>
    <col min="11522" max="11522" width="15.28515625" style="62" customWidth="1"/>
    <col min="11523" max="11523" width="11.85546875" style="62" customWidth="1"/>
    <col min="11524" max="11524" width="6.140625" style="62" customWidth="1"/>
    <col min="11525" max="11525" width="11.85546875" style="62" customWidth="1"/>
    <col min="11526" max="11526" width="9.42578125" style="62" customWidth="1"/>
    <col min="11527" max="11527" width="14.7109375" style="62" customWidth="1"/>
    <col min="11528" max="11528" width="11.5703125" style="62" customWidth="1"/>
    <col min="11529" max="11529" width="0.42578125" style="62" customWidth="1"/>
    <col min="11530" max="11530" width="10.5703125" style="62" bestFit="1" customWidth="1"/>
    <col min="11531" max="11531" width="12.28515625" style="62" customWidth="1"/>
    <col min="11532" max="11532" width="12.5703125" style="62" customWidth="1"/>
    <col min="11533" max="11533" width="10.5703125" style="62" customWidth="1"/>
    <col min="11534" max="11534" width="10.140625" style="62" customWidth="1"/>
    <col min="11535" max="11535" width="8.42578125" style="62" customWidth="1"/>
    <col min="11536" max="11536" width="18.85546875" style="62" customWidth="1"/>
    <col min="11537" max="11537" width="10.28515625" style="62" customWidth="1"/>
    <col min="11538" max="11538" width="11.42578125" style="62"/>
    <col min="11539" max="11539" width="12.140625" style="62" customWidth="1"/>
    <col min="11540" max="11540" width="10.5703125" style="62" customWidth="1"/>
    <col min="11541" max="11541" width="12.42578125" style="62" customWidth="1"/>
    <col min="11542" max="11542" width="15.140625" style="62" customWidth="1"/>
    <col min="11543" max="11543" width="13.5703125" style="62" customWidth="1"/>
    <col min="11544" max="11544" width="13.140625" style="62" customWidth="1"/>
    <col min="11545" max="11545" width="15.7109375" style="62" customWidth="1"/>
    <col min="11546" max="11546" width="37.5703125" style="62" customWidth="1"/>
    <col min="11547" max="11768" width="11.42578125" style="62"/>
    <col min="11769" max="11769" width="10.5703125" style="62" customWidth="1"/>
    <col min="11770" max="11770" width="4.85546875" style="62" customWidth="1"/>
    <col min="11771" max="11771" width="32.42578125" style="62" customWidth="1"/>
    <col min="11772" max="11772" width="9.85546875" style="62" customWidth="1"/>
    <col min="11773" max="11773" width="10.140625" style="62" customWidth="1"/>
    <col min="11774" max="11774" width="12.28515625" style="62" customWidth="1"/>
    <col min="11775" max="11775" width="15.42578125" style="62" customWidth="1"/>
    <col min="11776" max="11776" width="11.85546875" style="62" customWidth="1"/>
    <col min="11777" max="11777" width="13.28515625" style="62" customWidth="1"/>
    <col min="11778" max="11778" width="15.28515625" style="62" customWidth="1"/>
    <col min="11779" max="11779" width="11.85546875" style="62" customWidth="1"/>
    <col min="11780" max="11780" width="6.140625" style="62" customWidth="1"/>
    <col min="11781" max="11781" width="11.85546875" style="62" customWidth="1"/>
    <col min="11782" max="11782" width="9.42578125" style="62" customWidth="1"/>
    <col min="11783" max="11783" width="14.7109375" style="62" customWidth="1"/>
    <col min="11784" max="11784" width="11.5703125" style="62" customWidth="1"/>
    <col min="11785" max="11785" width="0.42578125" style="62" customWidth="1"/>
    <col min="11786" max="11786" width="10.5703125" style="62" bestFit="1" customWidth="1"/>
    <col min="11787" max="11787" width="12.28515625" style="62" customWidth="1"/>
    <col min="11788" max="11788" width="12.5703125" style="62" customWidth="1"/>
    <col min="11789" max="11789" width="10.5703125" style="62" customWidth="1"/>
    <col min="11790" max="11790" width="10.140625" style="62" customWidth="1"/>
    <col min="11791" max="11791" width="8.42578125" style="62" customWidth="1"/>
    <col min="11792" max="11792" width="18.85546875" style="62" customWidth="1"/>
    <col min="11793" max="11793" width="10.28515625" style="62" customWidth="1"/>
    <col min="11794" max="11794" width="11.42578125" style="62"/>
    <col min="11795" max="11795" width="12.140625" style="62" customWidth="1"/>
    <col min="11796" max="11796" width="10.5703125" style="62" customWidth="1"/>
    <col min="11797" max="11797" width="12.42578125" style="62" customWidth="1"/>
    <col min="11798" max="11798" width="15.140625" style="62" customWidth="1"/>
    <col min="11799" max="11799" width="13.5703125" style="62" customWidth="1"/>
    <col min="11800" max="11800" width="13.140625" style="62" customWidth="1"/>
    <col min="11801" max="11801" width="15.7109375" style="62" customWidth="1"/>
    <col min="11802" max="11802" width="37.5703125" style="62" customWidth="1"/>
    <col min="11803" max="12024" width="11.42578125" style="62"/>
    <col min="12025" max="12025" width="10.5703125" style="62" customWidth="1"/>
    <col min="12026" max="12026" width="4.85546875" style="62" customWidth="1"/>
    <col min="12027" max="12027" width="32.42578125" style="62" customWidth="1"/>
    <col min="12028" max="12028" width="9.85546875" style="62" customWidth="1"/>
    <col min="12029" max="12029" width="10.140625" style="62" customWidth="1"/>
    <col min="12030" max="12030" width="12.28515625" style="62" customWidth="1"/>
    <col min="12031" max="12031" width="15.42578125" style="62" customWidth="1"/>
    <col min="12032" max="12032" width="11.85546875" style="62" customWidth="1"/>
    <col min="12033" max="12033" width="13.28515625" style="62" customWidth="1"/>
    <col min="12034" max="12034" width="15.28515625" style="62" customWidth="1"/>
    <col min="12035" max="12035" width="11.85546875" style="62" customWidth="1"/>
    <col min="12036" max="12036" width="6.140625" style="62" customWidth="1"/>
    <col min="12037" max="12037" width="11.85546875" style="62" customWidth="1"/>
    <col min="12038" max="12038" width="9.42578125" style="62" customWidth="1"/>
    <col min="12039" max="12039" width="14.7109375" style="62" customWidth="1"/>
    <col min="12040" max="12040" width="11.5703125" style="62" customWidth="1"/>
    <col min="12041" max="12041" width="0.42578125" style="62" customWidth="1"/>
    <col min="12042" max="12042" width="10.5703125" style="62" bestFit="1" customWidth="1"/>
    <col min="12043" max="12043" width="12.28515625" style="62" customWidth="1"/>
    <col min="12044" max="12044" width="12.5703125" style="62" customWidth="1"/>
    <col min="12045" max="12045" width="10.5703125" style="62" customWidth="1"/>
    <col min="12046" max="12046" width="10.140625" style="62" customWidth="1"/>
    <col min="12047" max="12047" width="8.42578125" style="62" customWidth="1"/>
    <col min="12048" max="12048" width="18.85546875" style="62" customWidth="1"/>
    <col min="12049" max="12049" width="10.28515625" style="62" customWidth="1"/>
    <col min="12050" max="12050" width="11.42578125" style="62"/>
    <col min="12051" max="12051" width="12.140625" style="62" customWidth="1"/>
    <col min="12052" max="12052" width="10.5703125" style="62" customWidth="1"/>
    <col min="12053" max="12053" width="12.42578125" style="62" customWidth="1"/>
    <col min="12054" max="12054" width="15.140625" style="62" customWidth="1"/>
    <col min="12055" max="12055" width="13.5703125" style="62" customWidth="1"/>
    <col min="12056" max="12056" width="13.140625" style="62" customWidth="1"/>
    <col min="12057" max="12057" width="15.7109375" style="62" customWidth="1"/>
    <col min="12058" max="12058" width="37.5703125" style="62" customWidth="1"/>
    <col min="12059" max="12280" width="11.42578125" style="62"/>
    <col min="12281" max="12281" width="10.5703125" style="62" customWidth="1"/>
    <col min="12282" max="12282" width="4.85546875" style="62" customWidth="1"/>
    <col min="12283" max="12283" width="32.42578125" style="62" customWidth="1"/>
    <col min="12284" max="12284" width="9.85546875" style="62" customWidth="1"/>
    <col min="12285" max="12285" width="10.140625" style="62" customWidth="1"/>
    <col min="12286" max="12286" width="12.28515625" style="62" customWidth="1"/>
    <col min="12287" max="12287" width="15.42578125" style="62" customWidth="1"/>
    <col min="12288" max="12288" width="11.85546875" style="62" customWidth="1"/>
    <col min="12289" max="12289" width="13.28515625" style="62" customWidth="1"/>
    <col min="12290" max="12290" width="15.28515625" style="62" customWidth="1"/>
    <col min="12291" max="12291" width="11.85546875" style="62" customWidth="1"/>
    <col min="12292" max="12292" width="6.140625" style="62" customWidth="1"/>
    <col min="12293" max="12293" width="11.85546875" style="62" customWidth="1"/>
    <col min="12294" max="12294" width="9.42578125" style="62" customWidth="1"/>
    <col min="12295" max="12295" width="14.7109375" style="62" customWidth="1"/>
    <col min="12296" max="12296" width="11.5703125" style="62" customWidth="1"/>
    <col min="12297" max="12297" width="0.42578125" style="62" customWidth="1"/>
    <col min="12298" max="12298" width="10.5703125" style="62" bestFit="1" customWidth="1"/>
    <col min="12299" max="12299" width="12.28515625" style="62" customWidth="1"/>
    <col min="12300" max="12300" width="12.5703125" style="62" customWidth="1"/>
    <col min="12301" max="12301" width="10.5703125" style="62" customWidth="1"/>
    <col min="12302" max="12302" width="10.140625" style="62" customWidth="1"/>
    <col min="12303" max="12303" width="8.42578125" style="62" customWidth="1"/>
    <col min="12304" max="12304" width="18.85546875" style="62" customWidth="1"/>
    <col min="12305" max="12305" width="10.28515625" style="62" customWidth="1"/>
    <col min="12306" max="12306" width="11.42578125" style="62"/>
    <col min="12307" max="12307" width="12.140625" style="62" customWidth="1"/>
    <col min="12308" max="12308" width="10.5703125" style="62" customWidth="1"/>
    <col min="12309" max="12309" width="12.42578125" style="62" customWidth="1"/>
    <col min="12310" max="12310" width="15.140625" style="62" customWidth="1"/>
    <col min="12311" max="12311" width="13.5703125" style="62" customWidth="1"/>
    <col min="12312" max="12312" width="13.140625" style="62" customWidth="1"/>
    <col min="12313" max="12313" width="15.7109375" style="62" customWidth="1"/>
    <col min="12314" max="12314" width="37.5703125" style="62" customWidth="1"/>
    <col min="12315" max="12536" width="11.42578125" style="62"/>
    <col min="12537" max="12537" width="10.5703125" style="62" customWidth="1"/>
    <col min="12538" max="12538" width="4.85546875" style="62" customWidth="1"/>
    <col min="12539" max="12539" width="32.42578125" style="62" customWidth="1"/>
    <col min="12540" max="12540" width="9.85546875" style="62" customWidth="1"/>
    <col min="12541" max="12541" width="10.140625" style="62" customWidth="1"/>
    <col min="12542" max="12542" width="12.28515625" style="62" customWidth="1"/>
    <col min="12543" max="12543" width="15.42578125" style="62" customWidth="1"/>
    <col min="12544" max="12544" width="11.85546875" style="62" customWidth="1"/>
    <col min="12545" max="12545" width="13.28515625" style="62" customWidth="1"/>
    <col min="12546" max="12546" width="15.28515625" style="62" customWidth="1"/>
    <col min="12547" max="12547" width="11.85546875" style="62" customWidth="1"/>
    <col min="12548" max="12548" width="6.140625" style="62" customWidth="1"/>
    <col min="12549" max="12549" width="11.85546875" style="62" customWidth="1"/>
    <col min="12550" max="12550" width="9.42578125" style="62" customWidth="1"/>
    <col min="12551" max="12551" width="14.7109375" style="62" customWidth="1"/>
    <col min="12552" max="12552" width="11.5703125" style="62" customWidth="1"/>
    <col min="12553" max="12553" width="0.42578125" style="62" customWidth="1"/>
    <col min="12554" max="12554" width="10.5703125" style="62" bestFit="1" customWidth="1"/>
    <col min="12555" max="12555" width="12.28515625" style="62" customWidth="1"/>
    <col min="12556" max="12556" width="12.5703125" style="62" customWidth="1"/>
    <col min="12557" max="12557" width="10.5703125" style="62" customWidth="1"/>
    <col min="12558" max="12558" width="10.140625" style="62" customWidth="1"/>
    <col min="12559" max="12559" width="8.42578125" style="62" customWidth="1"/>
    <col min="12560" max="12560" width="18.85546875" style="62" customWidth="1"/>
    <col min="12561" max="12561" width="10.28515625" style="62" customWidth="1"/>
    <col min="12562" max="12562" width="11.42578125" style="62"/>
    <col min="12563" max="12563" width="12.140625" style="62" customWidth="1"/>
    <col min="12564" max="12564" width="10.5703125" style="62" customWidth="1"/>
    <col min="12565" max="12565" width="12.42578125" style="62" customWidth="1"/>
    <col min="12566" max="12566" width="15.140625" style="62" customWidth="1"/>
    <col min="12567" max="12567" width="13.5703125" style="62" customWidth="1"/>
    <col min="12568" max="12568" width="13.140625" style="62" customWidth="1"/>
    <col min="12569" max="12569" width="15.7109375" style="62" customWidth="1"/>
    <col min="12570" max="12570" width="37.5703125" style="62" customWidth="1"/>
    <col min="12571" max="12792" width="11.42578125" style="62"/>
    <col min="12793" max="12793" width="10.5703125" style="62" customWidth="1"/>
    <col min="12794" max="12794" width="4.85546875" style="62" customWidth="1"/>
    <col min="12795" max="12795" width="32.42578125" style="62" customWidth="1"/>
    <col min="12796" max="12796" width="9.85546875" style="62" customWidth="1"/>
    <col min="12797" max="12797" width="10.140625" style="62" customWidth="1"/>
    <col min="12798" max="12798" width="12.28515625" style="62" customWidth="1"/>
    <col min="12799" max="12799" width="15.42578125" style="62" customWidth="1"/>
    <col min="12800" max="12800" width="11.85546875" style="62" customWidth="1"/>
    <col min="12801" max="12801" width="13.28515625" style="62" customWidth="1"/>
    <col min="12802" max="12802" width="15.28515625" style="62" customWidth="1"/>
    <col min="12803" max="12803" width="11.85546875" style="62" customWidth="1"/>
    <col min="12804" max="12804" width="6.140625" style="62" customWidth="1"/>
    <col min="12805" max="12805" width="11.85546875" style="62" customWidth="1"/>
    <col min="12806" max="12806" width="9.42578125" style="62" customWidth="1"/>
    <col min="12807" max="12807" width="14.7109375" style="62" customWidth="1"/>
    <col min="12808" max="12808" width="11.5703125" style="62" customWidth="1"/>
    <col min="12809" max="12809" width="0.42578125" style="62" customWidth="1"/>
    <col min="12810" max="12810" width="10.5703125" style="62" bestFit="1" customWidth="1"/>
    <col min="12811" max="12811" width="12.28515625" style="62" customWidth="1"/>
    <col min="12812" max="12812" width="12.5703125" style="62" customWidth="1"/>
    <col min="12813" max="12813" width="10.5703125" style="62" customWidth="1"/>
    <col min="12814" max="12814" width="10.140625" style="62" customWidth="1"/>
    <col min="12815" max="12815" width="8.42578125" style="62" customWidth="1"/>
    <col min="12816" max="12816" width="18.85546875" style="62" customWidth="1"/>
    <col min="12817" max="12817" width="10.28515625" style="62" customWidth="1"/>
    <col min="12818" max="12818" width="11.42578125" style="62"/>
    <col min="12819" max="12819" width="12.140625" style="62" customWidth="1"/>
    <col min="12820" max="12820" width="10.5703125" style="62" customWidth="1"/>
    <col min="12821" max="12821" width="12.42578125" style="62" customWidth="1"/>
    <col min="12822" max="12822" width="15.140625" style="62" customWidth="1"/>
    <col min="12823" max="12823" width="13.5703125" style="62" customWidth="1"/>
    <col min="12824" max="12824" width="13.140625" style="62" customWidth="1"/>
    <col min="12825" max="12825" width="15.7109375" style="62" customWidth="1"/>
    <col min="12826" max="12826" width="37.5703125" style="62" customWidth="1"/>
    <col min="12827" max="13048" width="11.42578125" style="62"/>
    <col min="13049" max="13049" width="10.5703125" style="62" customWidth="1"/>
    <col min="13050" max="13050" width="4.85546875" style="62" customWidth="1"/>
    <col min="13051" max="13051" width="32.42578125" style="62" customWidth="1"/>
    <col min="13052" max="13052" width="9.85546875" style="62" customWidth="1"/>
    <col min="13053" max="13053" width="10.140625" style="62" customWidth="1"/>
    <col min="13054" max="13054" width="12.28515625" style="62" customWidth="1"/>
    <col min="13055" max="13055" width="15.42578125" style="62" customWidth="1"/>
    <col min="13056" max="13056" width="11.85546875" style="62" customWidth="1"/>
    <col min="13057" max="13057" width="13.28515625" style="62" customWidth="1"/>
    <col min="13058" max="13058" width="15.28515625" style="62" customWidth="1"/>
    <col min="13059" max="13059" width="11.85546875" style="62" customWidth="1"/>
    <col min="13060" max="13060" width="6.140625" style="62" customWidth="1"/>
    <col min="13061" max="13061" width="11.85546875" style="62" customWidth="1"/>
    <col min="13062" max="13062" width="9.42578125" style="62" customWidth="1"/>
    <col min="13063" max="13063" width="14.7109375" style="62" customWidth="1"/>
    <col min="13064" max="13064" width="11.5703125" style="62" customWidth="1"/>
    <col min="13065" max="13065" width="0.42578125" style="62" customWidth="1"/>
    <col min="13066" max="13066" width="10.5703125" style="62" bestFit="1" customWidth="1"/>
    <col min="13067" max="13067" width="12.28515625" style="62" customWidth="1"/>
    <col min="13068" max="13068" width="12.5703125" style="62" customWidth="1"/>
    <col min="13069" max="13069" width="10.5703125" style="62" customWidth="1"/>
    <col min="13070" max="13070" width="10.140625" style="62" customWidth="1"/>
    <col min="13071" max="13071" width="8.42578125" style="62" customWidth="1"/>
    <col min="13072" max="13072" width="18.85546875" style="62" customWidth="1"/>
    <col min="13073" max="13073" width="10.28515625" style="62" customWidth="1"/>
    <col min="13074" max="13074" width="11.42578125" style="62"/>
    <col min="13075" max="13075" width="12.140625" style="62" customWidth="1"/>
    <col min="13076" max="13076" width="10.5703125" style="62" customWidth="1"/>
    <col min="13077" max="13077" width="12.42578125" style="62" customWidth="1"/>
    <col min="13078" max="13078" width="15.140625" style="62" customWidth="1"/>
    <col min="13079" max="13079" width="13.5703125" style="62" customWidth="1"/>
    <col min="13080" max="13080" width="13.140625" style="62" customWidth="1"/>
    <col min="13081" max="13081" width="15.7109375" style="62" customWidth="1"/>
    <col min="13082" max="13082" width="37.5703125" style="62" customWidth="1"/>
    <col min="13083" max="13304" width="11.42578125" style="62"/>
    <col min="13305" max="13305" width="10.5703125" style="62" customWidth="1"/>
    <col min="13306" max="13306" width="4.85546875" style="62" customWidth="1"/>
    <col min="13307" max="13307" width="32.42578125" style="62" customWidth="1"/>
    <col min="13308" max="13308" width="9.85546875" style="62" customWidth="1"/>
    <col min="13309" max="13309" width="10.140625" style="62" customWidth="1"/>
    <col min="13310" max="13310" width="12.28515625" style="62" customWidth="1"/>
    <col min="13311" max="13311" width="15.42578125" style="62" customWidth="1"/>
    <col min="13312" max="13312" width="11.85546875" style="62" customWidth="1"/>
    <col min="13313" max="13313" width="13.28515625" style="62" customWidth="1"/>
    <col min="13314" max="13314" width="15.28515625" style="62" customWidth="1"/>
    <col min="13315" max="13315" width="11.85546875" style="62" customWidth="1"/>
    <col min="13316" max="13316" width="6.140625" style="62" customWidth="1"/>
    <col min="13317" max="13317" width="11.85546875" style="62" customWidth="1"/>
    <col min="13318" max="13318" width="9.42578125" style="62" customWidth="1"/>
    <col min="13319" max="13319" width="14.7109375" style="62" customWidth="1"/>
    <col min="13320" max="13320" width="11.5703125" style="62" customWidth="1"/>
    <col min="13321" max="13321" width="0.42578125" style="62" customWidth="1"/>
    <col min="13322" max="13322" width="10.5703125" style="62" bestFit="1" customWidth="1"/>
    <col min="13323" max="13323" width="12.28515625" style="62" customWidth="1"/>
    <col min="13324" max="13324" width="12.5703125" style="62" customWidth="1"/>
    <col min="13325" max="13325" width="10.5703125" style="62" customWidth="1"/>
    <col min="13326" max="13326" width="10.140625" style="62" customWidth="1"/>
    <col min="13327" max="13327" width="8.42578125" style="62" customWidth="1"/>
    <col min="13328" max="13328" width="18.85546875" style="62" customWidth="1"/>
    <col min="13329" max="13329" width="10.28515625" style="62" customWidth="1"/>
    <col min="13330" max="13330" width="11.42578125" style="62"/>
    <col min="13331" max="13331" width="12.140625" style="62" customWidth="1"/>
    <col min="13332" max="13332" width="10.5703125" style="62" customWidth="1"/>
    <col min="13333" max="13333" width="12.42578125" style="62" customWidth="1"/>
    <col min="13334" max="13334" width="15.140625" style="62" customWidth="1"/>
    <col min="13335" max="13335" width="13.5703125" style="62" customWidth="1"/>
    <col min="13336" max="13336" width="13.140625" style="62" customWidth="1"/>
    <col min="13337" max="13337" width="15.7109375" style="62" customWidth="1"/>
    <col min="13338" max="13338" width="37.5703125" style="62" customWidth="1"/>
    <col min="13339" max="13560" width="11.42578125" style="62"/>
    <col min="13561" max="13561" width="10.5703125" style="62" customWidth="1"/>
    <col min="13562" max="13562" width="4.85546875" style="62" customWidth="1"/>
    <col min="13563" max="13563" width="32.42578125" style="62" customWidth="1"/>
    <col min="13564" max="13564" width="9.85546875" style="62" customWidth="1"/>
    <col min="13565" max="13565" width="10.140625" style="62" customWidth="1"/>
    <col min="13566" max="13566" width="12.28515625" style="62" customWidth="1"/>
    <col min="13567" max="13567" width="15.42578125" style="62" customWidth="1"/>
    <col min="13568" max="13568" width="11.85546875" style="62" customWidth="1"/>
    <col min="13569" max="13569" width="13.28515625" style="62" customWidth="1"/>
    <col min="13570" max="13570" width="15.28515625" style="62" customWidth="1"/>
    <col min="13571" max="13571" width="11.85546875" style="62" customWidth="1"/>
    <col min="13572" max="13572" width="6.140625" style="62" customWidth="1"/>
    <col min="13573" max="13573" width="11.85546875" style="62" customWidth="1"/>
    <col min="13574" max="13574" width="9.42578125" style="62" customWidth="1"/>
    <col min="13575" max="13575" width="14.7109375" style="62" customWidth="1"/>
    <col min="13576" max="13576" width="11.5703125" style="62" customWidth="1"/>
    <col min="13577" max="13577" width="0.42578125" style="62" customWidth="1"/>
    <col min="13578" max="13578" width="10.5703125" style="62" bestFit="1" customWidth="1"/>
    <col min="13579" max="13579" width="12.28515625" style="62" customWidth="1"/>
    <col min="13580" max="13580" width="12.5703125" style="62" customWidth="1"/>
    <col min="13581" max="13581" width="10.5703125" style="62" customWidth="1"/>
    <col min="13582" max="13582" width="10.140625" style="62" customWidth="1"/>
    <col min="13583" max="13583" width="8.42578125" style="62" customWidth="1"/>
    <col min="13584" max="13584" width="18.85546875" style="62" customWidth="1"/>
    <col min="13585" max="13585" width="10.28515625" style="62" customWidth="1"/>
    <col min="13586" max="13586" width="11.42578125" style="62"/>
    <col min="13587" max="13587" width="12.140625" style="62" customWidth="1"/>
    <col min="13588" max="13588" width="10.5703125" style="62" customWidth="1"/>
    <col min="13589" max="13589" width="12.42578125" style="62" customWidth="1"/>
    <col min="13590" max="13590" width="15.140625" style="62" customWidth="1"/>
    <col min="13591" max="13591" width="13.5703125" style="62" customWidth="1"/>
    <col min="13592" max="13592" width="13.140625" style="62" customWidth="1"/>
    <col min="13593" max="13593" width="15.7109375" style="62" customWidth="1"/>
    <col min="13594" max="13594" width="37.5703125" style="62" customWidth="1"/>
    <col min="13595" max="13816" width="11.42578125" style="62"/>
    <col min="13817" max="13817" width="10.5703125" style="62" customWidth="1"/>
    <col min="13818" max="13818" width="4.85546875" style="62" customWidth="1"/>
    <col min="13819" max="13819" width="32.42578125" style="62" customWidth="1"/>
    <col min="13820" max="13820" width="9.85546875" style="62" customWidth="1"/>
    <col min="13821" max="13821" width="10.140625" style="62" customWidth="1"/>
    <col min="13822" max="13822" width="12.28515625" style="62" customWidth="1"/>
    <col min="13823" max="13823" width="15.42578125" style="62" customWidth="1"/>
    <col min="13824" max="13824" width="11.85546875" style="62" customWidth="1"/>
    <col min="13825" max="13825" width="13.28515625" style="62" customWidth="1"/>
    <col min="13826" max="13826" width="15.28515625" style="62" customWidth="1"/>
    <col min="13827" max="13827" width="11.85546875" style="62" customWidth="1"/>
    <col min="13828" max="13828" width="6.140625" style="62" customWidth="1"/>
    <col min="13829" max="13829" width="11.85546875" style="62" customWidth="1"/>
    <col min="13830" max="13830" width="9.42578125" style="62" customWidth="1"/>
    <col min="13831" max="13831" width="14.7109375" style="62" customWidth="1"/>
    <col min="13832" max="13832" width="11.5703125" style="62" customWidth="1"/>
    <col min="13833" max="13833" width="0.42578125" style="62" customWidth="1"/>
    <col min="13834" max="13834" width="10.5703125" style="62" bestFit="1" customWidth="1"/>
    <col min="13835" max="13835" width="12.28515625" style="62" customWidth="1"/>
    <col min="13836" max="13836" width="12.5703125" style="62" customWidth="1"/>
    <col min="13837" max="13837" width="10.5703125" style="62" customWidth="1"/>
    <col min="13838" max="13838" width="10.140625" style="62" customWidth="1"/>
    <col min="13839" max="13839" width="8.42578125" style="62" customWidth="1"/>
    <col min="13840" max="13840" width="18.85546875" style="62" customWidth="1"/>
    <col min="13841" max="13841" width="10.28515625" style="62" customWidth="1"/>
    <col min="13842" max="13842" width="11.42578125" style="62"/>
    <col min="13843" max="13843" width="12.140625" style="62" customWidth="1"/>
    <col min="13844" max="13844" width="10.5703125" style="62" customWidth="1"/>
    <col min="13845" max="13845" width="12.42578125" style="62" customWidth="1"/>
    <col min="13846" max="13846" width="15.140625" style="62" customWidth="1"/>
    <col min="13847" max="13847" width="13.5703125" style="62" customWidth="1"/>
    <col min="13848" max="13848" width="13.140625" style="62" customWidth="1"/>
    <col min="13849" max="13849" width="15.7109375" style="62" customWidth="1"/>
    <col min="13850" max="13850" width="37.5703125" style="62" customWidth="1"/>
    <col min="13851" max="14072" width="11.42578125" style="62"/>
    <col min="14073" max="14073" width="10.5703125" style="62" customWidth="1"/>
    <col min="14074" max="14074" width="4.85546875" style="62" customWidth="1"/>
    <col min="14075" max="14075" width="32.42578125" style="62" customWidth="1"/>
    <col min="14076" max="14076" width="9.85546875" style="62" customWidth="1"/>
    <col min="14077" max="14077" width="10.140625" style="62" customWidth="1"/>
    <col min="14078" max="14078" width="12.28515625" style="62" customWidth="1"/>
    <col min="14079" max="14079" width="15.42578125" style="62" customWidth="1"/>
    <col min="14080" max="14080" width="11.85546875" style="62" customWidth="1"/>
    <col min="14081" max="14081" width="13.28515625" style="62" customWidth="1"/>
    <col min="14082" max="14082" width="15.28515625" style="62" customWidth="1"/>
    <col min="14083" max="14083" width="11.85546875" style="62" customWidth="1"/>
    <col min="14084" max="14084" width="6.140625" style="62" customWidth="1"/>
    <col min="14085" max="14085" width="11.85546875" style="62" customWidth="1"/>
    <col min="14086" max="14086" width="9.42578125" style="62" customWidth="1"/>
    <col min="14087" max="14087" width="14.7109375" style="62" customWidth="1"/>
    <col min="14088" max="14088" width="11.5703125" style="62" customWidth="1"/>
    <col min="14089" max="14089" width="0.42578125" style="62" customWidth="1"/>
    <col min="14090" max="14090" width="10.5703125" style="62" bestFit="1" customWidth="1"/>
    <col min="14091" max="14091" width="12.28515625" style="62" customWidth="1"/>
    <col min="14092" max="14092" width="12.5703125" style="62" customWidth="1"/>
    <col min="14093" max="14093" width="10.5703125" style="62" customWidth="1"/>
    <col min="14094" max="14094" width="10.140625" style="62" customWidth="1"/>
    <col min="14095" max="14095" width="8.42578125" style="62" customWidth="1"/>
    <col min="14096" max="14096" width="18.85546875" style="62" customWidth="1"/>
    <col min="14097" max="14097" width="10.28515625" style="62" customWidth="1"/>
    <col min="14098" max="14098" width="11.42578125" style="62"/>
    <col min="14099" max="14099" width="12.140625" style="62" customWidth="1"/>
    <col min="14100" max="14100" width="10.5703125" style="62" customWidth="1"/>
    <col min="14101" max="14101" width="12.42578125" style="62" customWidth="1"/>
    <col min="14102" max="14102" width="15.140625" style="62" customWidth="1"/>
    <col min="14103" max="14103" width="13.5703125" style="62" customWidth="1"/>
    <col min="14104" max="14104" width="13.140625" style="62" customWidth="1"/>
    <col min="14105" max="14105" width="15.7109375" style="62" customWidth="1"/>
    <col min="14106" max="14106" width="37.5703125" style="62" customWidth="1"/>
    <col min="14107" max="14328" width="11.42578125" style="62"/>
    <col min="14329" max="14329" width="10.5703125" style="62" customWidth="1"/>
    <col min="14330" max="14330" width="4.85546875" style="62" customWidth="1"/>
    <col min="14331" max="14331" width="32.42578125" style="62" customWidth="1"/>
    <col min="14332" max="14332" width="9.85546875" style="62" customWidth="1"/>
    <col min="14333" max="14333" width="10.140625" style="62" customWidth="1"/>
    <col min="14334" max="14334" width="12.28515625" style="62" customWidth="1"/>
    <col min="14335" max="14335" width="15.42578125" style="62" customWidth="1"/>
    <col min="14336" max="14336" width="11.85546875" style="62" customWidth="1"/>
    <col min="14337" max="14337" width="13.28515625" style="62" customWidth="1"/>
    <col min="14338" max="14338" width="15.28515625" style="62" customWidth="1"/>
    <col min="14339" max="14339" width="11.85546875" style="62" customWidth="1"/>
    <col min="14340" max="14340" width="6.140625" style="62" customWidth="1"/>
    <col min="14341" max="14341" width="11.85546875" style="62" customWidth="1"/>
    <col min="14342" max="14342" width="9.42578125" style="62" customWidth="1"/>
    <col min="14343" max="14343" width="14.7109375" style="62" customWidth="1"/>
    <col min="14344" max="14344" width="11.5703125" style="62" customWidth="1"/>
    <col min="14345" max="14345" width="0.42578125" style="62" customWidth="1"/>
    <col min="14346" max="14346" width="10.5703125" style="62" bestFit="1" customWidth="1"/>
    <col min="14347" max="14347" width="12.28515625" style="62" customWidth="1"/>
    <col min="14348" max="14348" width="12.5703125" style="62" customWidth="1"/>
    <col min="14349" max="14349" width="10.5703125" style="62" customWidth="1"/>
    <col min="14350" max="14350" width="10.140625" style="62" customWidth="1"/>
    <col min="14351" max="14351" width="8.42578125" style="62" customWidth="1"/>
    <col min="14352" max="14352" width="18.85546875" style="62" customWidth="1"/>
    <col min="14353" max="14353" width="10.28515625" style="62" customWidth="1"/>
    <col min="14354" max="14354" width="11.42578125" style="62"/>
    <col min="14355" max="14355" width="12.140625" style="62" customWidth="1"/>
    <col min="14356" max="14356" width="10.5703125" style="62" customWidth="1"/>
    <col min="14357" max="14357" width="12.42578125" style="62" customWidth="1"/>
    <col min="14358" max="14358" width="15.140625" style="62" customWidth="1"/>
    <col min="14359" max="14359" width="13.5703125" style="62" customWidth="1"/>
    <col min="14360" max="14360" width="13.140625" style="62" customWidth="1"/>
    <col min="14361" max="14361" width="15.7109375" style="62" customWidth="1"/>
    <col min="14362" max="14362" width="37.5703125" style="62" customWidth="1"/>
    <col min="14363" max="14584" width="11.42578125" style="62"/>
    <col min="14585" max="14585" width="10.5703125" style="62" customWidth="1"/>
    <col min="14586" max="14586" width="4.85546875" style="62" customWidth="1"/>
    <col min="14587" max="14587" width="32.42578125" style="62" customWidth="1"/>
    <col min="14588" max="14588" width="9.85546875" style="62" customWidth="1"/>
    <col min="14589" max="14589" width="10.140625" style="62" customWidth="1"/>
    <col min="14590" max="14590" width="12.28515625" style="62" customWidth="1"/>
    <col min="14591" max="14591" width="15.42578125" style="62" customWidth="1"/>
    <col min="14592" max="14592" width="11.85546875" style="62" customWidth="1"/>
    <col min="14593" max="14593" width="13.28515625" style="62" customWidth="1"/>
    <col min="14594" max="14594" width="15.28515625" style="62" customWidth="1"/>
    <col min="14595" max="14595" width="11.85546875" style="62" customWidth="1"/>
    <col min="14596" max="14596" width="6.140625" style="62" customWidth="1"/>
    <col min="14597" max="14597" width="11.85546875" style="62" customWidth="1"/>
    <col min="14598" max="14598" width="9.42578125" style="62" customWidth="1"/>
    <col min="14599" max="14599" width="14.7109375" style="62" customWidth="1"/>
    <col min="14600" max="14600" width="11.5703125" style="62" customWidth="1"/>
    <col min="14601" max="14601" width="0.42578125" style="62" customWidth="1"/>
    <col min="14602" max="14602" width="10.5703125" style="62" bestFit="1" customWidth="1"/>
    <col min="14603" max="14603" width="12.28515625" style="62" customWidth="1"/>
    <col min="14604" max="14604" width="12.5703125" style="62" customWidth="1"/>
    <col min="14605" max="14605" width="10.5703125" style="62" customWidth="1"/>
    <col min="14606" max="14606" width="10.140625" style="62" customWidth="1"/>
    <col min="14607" max="14607" width="8.42578125" style="62" customWidth="1"/>
    <col min="14608" max="14608" width="18.85546875" style="62" customWidth="1"/>
    <col min="14609" max="14609" width="10.28515625" style="62" customWidth="1"/>
    <col min="14610" max="14610" width="11.42578125" style="62"/>
    <col min="14611" max="14611" width="12.140625" style="62" customWidth="1"/>
    <col min="14612" max="14612" width="10.5703125" style="62" customWidth="1"/>
    <col min="14613" max="14613" width="12.42578125" style="62" customWidth="1"/>
    <col min="14614" max="14614" width="15.140625" style="62" customWidth="1"/>
    <col min="14615" max="14615" width="13.5703125" style="62" customWidth="1"/>
    <col min="14616" max="14616" width="13.140625" style="62" customWidth="1"/>
    <col min="14617" max="14617" width="15.7109375" style="62" customWidth="1"/>
    <col min="14618" max="14618" width="37.5703125" style="62" customWidth="1"/>
    <col min="14619" max="14840" width="11.42578125" style="62"/>
    <col min="14841" max="14841" width="10.5703125" style="62" customWidth="1"/>
    <col min="14842" max="14842" width="4.85546875" style="62" customWidth="1"/>
    <col min="14843" max="14843" width="32.42578125" style="62" customWidth="1"/>
    <col min="14844" max="14844" width="9.85546875" style="62" customWidth="1"/>
    <col min="14845" max="14845" width="10.140625" style="62" customWidth="1"/>
    <col min="14846" max="14846" width="12.28515625" style="62" customWidth="1"/>
    <col min="14847" max="14847" width="15.42578125" style="62" customWidth="1"/>
    <col min="14848" max="14848" width="11.85546875" style="62" customWidth="1"/>
    <col min="14849" max="14849" width="13.28515625" style="62" customWidth="1"/>
    <col min="14850" max="14850" width="15.28515625" style="62" customWidth="1"/>
    <col min="14851" max="14851" width="11.85546875" style="62" customWidth="1"/>
    <col min="14852" max="14852" width="6.140625" style="62" customWidth="1"/>
    <col min="14853" max="14853" width="11.85546875" style="62" customWidth="1"/>
    <col min="14854" max="14854" width="9.42578125" style="62" customWidth="1"/>
    <col min="14855" max="14855" width="14.7109375" style="62" customWidth="1"/>
    <col min="14856" max="14856" width="11.5703125" style="62" customWidth="1"/>
    <col min="14857" max="14857" width="0.42578125" style="62" customWidth="1"/>
    <col min="14858" max="14858" width="10.5703125" style="62" bestFit="1" customWidth="1"/>
    <col min="14859" max="14859" width="12.28515625" style="62" customWidth="1"/>
    <col min="14860" max="14860" width="12.5703125" style="62" customWidth="1"/>
    <col min="14861" max="14861" width="10.5703125" style="62" customWidth="1"/>
    <col min="14862" max="14862" width="10.140625" style="62" customWidth="1"/>
    <col min="14863" max="14863" width="8.42578125" style="62" customWidth="1"/>
    <col min="14864" max="14864" width="18.85546875" style="62" customWidth="1"/>
    <col min="14865" max="14865" width="10.28515625" style="62" customWidth="1"/>
    <col min="14866" max="14866" width="11.42578125" style="62"/>
    <col min="14867" max="14867" width="12.140625" style="62" customWidth="1"/>
    <col min="14868" max="14868" width="10.5703125" style="62" customWidth="1"/>
    <col min="14869" max="14869" width="12.42578125" style="62" customWidth="1"/>
    <col min="14870" max="14870" width="15.140625" style="62" customWidth="1"/>
    <col min="14871" max="14871" width="13.5703125" style="62" customWidth="1"/>
    <col min="14872" max="14872" width="13.140625" style="62" customWidth="1"/>
    <col min="14873" max="14873" width="15.7109375" style="62" customWidth="1"/>
    <col min="14874" max="14874" width="37.5703125" style="62" customWidth="1"/>
    <col min="14875" max="15096" width="11.42578125" style="62"/>
    <col min="15097" max="15097" width="10.5703125" style="62" customWidth="1"/>
    <col min="15098" max="15098" width="4.85546875" style="62" customWidth="1"/>
    <col min="15099" max="15099" width="32.42578125" style="62" customWidth="1"/>
    <col min="15100" max="15100" width="9.85546875" style="62" customWidth="1"/>
    <col min="15101" max="15101" width="10.140625" style="62" customWidth="1"/>
    <col min="15102" max="15102" width="12.28515625" style="62" customWidth="1"/>
    <col min="15103" max="15103" width="15.42578125" style="62" customWidth="1"/>
    <col min="15104" max="15104" width="11.85546875" style="62" customWidth="1"/>
    <col min="15105" max="15105" width="13.28515625" style="62" customWidth="1"/>
    <col min="15106" max="15106" width="15.28515625" style="62" customWidth="1"/>
    <col min="15107" max="15107" width="11.85546875" style="62" customWidth="1"/>
    <col min="15108" max="15108" width="6.140625" style="62" customWidth="1"/>
    <col min="15109" max="15109" width="11.85546875" style="62" customWidth="1"/>
    <col min="15110" max="15110" width="9.42578125" style="62" customWidth="1"/>
    <col min="15111" max="15111" width="14.7109375" style="62" customWidth="1"/>
    <col min="15112" max="15112" width="11.5703125" style="62" customWidth="1"/>
    <col min="15113" max="15113" width="0.42578125" style="62" customWidth="1"/>
    <col min="15114" max="15114" width="10.5703125" style="62" bestFit="1" customWidth="1"/>
    <col min="15115" max="15115" width="12.28515625" style="62" customWidth="1"/>
    <col min="15116" max="15116" width="12.5703125" style="62" customWidth="1"/>
    <col min="15117" max="15117" width="10.5703125" style="62" customWidth="1"/>
    <col min="15118" max="15118" width="10.140625" style="62" customWidth="1"/>
    <col min="15119" max="15119" width="8.42578125" style="62" customWidth="1"/>
    <col min="15120" max="15120" width="18.85546875" style="62" customWidth="1"/>
    <col min="15121" max="15121" width="10.28515625" style="62" customWidth="1"/>
    <col min="15122" max="15122" width="11.42578125" style="62"/>
    <col min="15123" max="15123" width="12.140625" style="62" customWidth="1"/>
    <col min="15124" max="15124" width="10.5703125" style="62" customWidth="1"/>
    <col min="15125" max="15125" width="12.42578125" style="62" customWidth="1"/>
    <col min="15126" max="15126" width="15.140625" style="62" customWidth="1"/>
    <col min="15127" max="15127" width="13.5703125" style="62" customWidth="1"/>
    <col min="15128" max="15128" width="13.140625" style="62" customWidth="1"/>
    <col min="15129" max="15129" width="15.7109375" style="62" customWidth="1"/>
    <col min="15130" max="15130" width="37.5703125" style="62" customWidth="1"/>
    <col min="15131" max="15352" width="11.42578125" style="62"/>
    <col min="15353" max="15353" width="10.5703125" style="62" customWidth="1"/>
    <col min="15354" max="15354" width="4.85546875" style="62" customWidth="1"/>
    <col min="15355" max="15355" width="32.42578125" style="62" customWidth="1"/>
    <col min="15356" max="15356" width="9.85546875" style="62" customWidth="1"/>
    <col min="15357" max="15357" width="10.140625" style="62" customWidth="1"/>
    <col min="15358" max="15358" width="12.28515625" style="62" customWidth="1"/>
    <col min="15359" max="15359" width="15.42578125" style="62" customWidth="1"/>
    <col min="15360" max="15360" width="11.85546875" style="62" customWidth="1"/>
    <col min="15361" max="15361" width="13.28515625" style="62" customWidth="1"/>
    <col min="15362" max="15362" width="15.28515625" style="62" customWidth="1"/>
    <col min="15363" max="15363" width="11.85546875" style="62" customWidth="1"/>
    <col min="15364" max="15364" width="6.140625" style="62" customWidth="1"/>
    <col min="15365" max="15365" width="11.85546875" style="62" customWidth="1"/>
    <col min="15366" max="15366" width="9.42578125" style="62" customWidth="1"/>
    <col min="15367" max="15367" width="14.7109375" style="62" customWidth="1"/>
    <col min="15368" max="15368" width="11.5703125" style="62" customWidth="1"/>
    <col min="15369" max="15369" width="0.42578125" style="62" customWidth="1"/>
    <col min="15370" max="15370" width="10.5703125" style="62" bestFit="1" customWidth="1"/>
    <col min="15371" max="15371" width="12.28515625" style="62" customWidth="1"/>
    <col min="15372" max="15372" width="12.5703125" style="62" customWidth="1"/>
    <col min="15373" max="15373" width="10.5703125" style="62" customWidth="1"/>
    <col min="15374" max="15374" width="10.140625" style="62" customWidth="1"/>
    <col min="15375" max="15375" width="8.42578125" style="62" customWidth="1"/>
    <col min="15376" max="15376" width="18.85546875" style="62" customWidth="1"/>
    <col min="15377" max="15377" width="10.28515625" style="62" customWidth="1"/>
    <col min="15378" max="15378" width="11.42578125" style="62"/>
    <col min="15379" max="15379" width="12.140625" style="62" customWidth="1"/>
    <col min="15380" max="15380" width="10.5703125" style="62" customWidth="1"/>
    <col min="15381" max="15381" width="12.42578125" style="62" customWidth="1"/>
    <col min="15382" max="15382" width="15.140625" style="62" customWidth="1"/>
    <col min="15383" max="15383" width="13.5703125" style="62" customWidth="1"/>
    <col min="15384" max="15384" width="13.140625" style="62" customWidth="1"/>
    <col min="15385" max="15385" width="15.7109375" style="62" customWidth="1"/>
    <col min="15386" max="15386" width="37.5703125" style="62" customWidth="1"/>
    <col min="15387" max="15608" width="11.42578125" style="62"/>
    <col min="15609" max="15609" width="10.5703125" style="62" customWidth="1"/>
    <col min="15610" max="15610" width="4.85546875" style="62" customWidth="1"/>
    <col min="15611" max="15611" width="32.42578125" style="62" customWidth="1"/>
    <col min="15612" max="15612" width="9.85546875" style="62" customWidth="1"/>
    <col min="15613" max="15613" width="10.140625" style="62" customWidth="1"/>
    <col min="15614" max="15614" width="12.28515625" style="62" customWidth="1"/>
    <col min="15615" max="15615" width="15.42578125" style="62" customWidth="1"/>
    <col min="15616" max="15616" width="11.85546875" style="62" customWidth="1"/>
    <col min="15617" max="15617" width="13.28515625" style="62" customWidth="1"/>
    <col min="15618" max="15618" width="15.28515625" style="62" customWidth="1"/>
    <col min="15619" max="15619" width="11.85546875" style="62" customWidth="1"/>
    <col min="15620" max="15620" width="6.140625" style="62" customWidth="1"/>
    <col min="15621" max="15621" width="11.85546875" style="62" customWidth="1"/>
    <col min="15622" max="15622" width="9.42578125" style="62" customWidth="1"/>
    <col min="15623" max="15623" width="14.7109375" style="62" customWidth="1"/>
    <col min="15624" max="15624" width="11.5703125" style="62" customWidth="1"/>
    <col min="15625" max="15625" width="0.42578125" style="62" customWidth="1"/>
    <col min="15626" max="15626" width="10.5703125" style="62" bestFit="1" customWidth="1"/>
    <col min="15627" max="15627" width="12.28515625" style="62" customWidth="1"/>
    <col min="15628" max="15628" width="12.5703125" style="62" customWidth="1"/>
    <col min="15629" max="15629" width="10.5703125" style="62" customWidth="1"/>
    <col min="15630" max="15630" width="10.140625" style="62" customWidth="1"/>
    <col min="15631" max="15631" width="8.42578125" style="62" customWidth="1"/>
    <col min="15632" max="15632" width="18.85546875" style="62" customWidth="1"/>
    <col min="15633" max="15633" width="10.28515625" style="62" customWidth="1"/>
    <col min="15634" max="15634" width="11.42578125" style="62"/>
    <col min="15635" max="15635" width="12.140625" style="62" customWidth="1"/>
    <col min="15636" max="15636" width="10.5703125" style="62" customWidth="1"/>
    <col min="15637" max="15637" width="12.42578125" style="62" customWidth="1"/>
    <col min="15638" max="15638" width="15.140625" style="62" customWidth="1"/>
    <col min="15639" max="15639" width="13.5703125" style="62" customWidth="1"/>
    <col min="15640" max="15640" width="13.140625" style="62" customWidth="1"/>
    <col min="15641" max="15641" width="15.7109375" style="62" customWidth="1"/>
    <col min="15642" max="15642" width="37.5703125" style="62" customWidth="1"/>
    <col min="15643" max="15864" width="11.42578125" style="62"/>
    <col min="15865" max="15865" width="10.5703125" style="62" customWidth="1"/>
    <col min="15866" max="15866" width="4.85546875" style="62" customWidth="1"/>
    <col min="15867" max="15867" width="32.42578125" style="62" customWidth="1"/>
    <col min="15868" max="15868" width="9.85546875" style="62" customWidth="1"/>
    <col min="15869" max="15869" width="10.140625" style="62" customWidth="1"/>
    <col min="15870" max="15870" width="12.28515625" style="62" customWidth="1"/>
    <col min="15871" max="15871" width="15.42578125" style="62" customWidth="1"/>
    <col min="15872" max="15872" width="11.85546875" style="62" customWidth="1"/>
    <col min="15873" max="15873" width="13.28515625" style="62" customWidth="1"/>
    <col min="15874" max="15874" width="15.28515625" style="62" customWidth="1"/>
    <col min="15875" max="15875" width="11.85546875" style="62" customWidth="1"/>
    <col min="15876" max="15876" width="6.140625" style="62" customWidth="1"/>
    <col min="15877" max="15877" width="11.85546875" style="62" customWidth="1"/>
    <col min="15878" max="15878" width="9.42578125" style="62" customWidth="1"/>
    <col min="15879" max="15879" width="14.7109375" style="62" customWidth="1"/>
    <col min="15880" max="15880" width="11.5703125" style="62" customWidth="1"/>
    <col min="15881" max="15881" width="0.42578125" style="62" customWidth="1"/>
    <col min="15882" max="15882" width="10.5703125" style="62" bestFit="1" customWidth="1"/>
    <col min="15883" max="15883" width="12.28515625" style="62" customWidth="1"/>
    <col min="15884" max="15884" width="12.5703125" style="62" customWidth="1"/>
    <col min="15885" max="15885" width="10.5703125" style="62" customWidth="1"/>
    <col min="15886" max="15886" width="10.140625" style="62" customWidth="1"/>
    <col min="15887" max="15887" width="8.42578125" style="62" customWidth="1"/>
    <col min="15888" max="15888" width="18.85546875" style="62" customWidth="1"/>
    <col min="15889" max="15889" width="10.28515625" style="62" customWidth="1"/>
    <col min="15890" max="15890" width="11.42578125" style="62"/>
    <col min="15891" max="15891" width="12.140625" style="62" customWidth="1"/>
    <col min="15892" max="15892" width="10.5703125" style="62" customWidth="1"/>
    <col min="15893" max="15893" width="12.42578125" style="62" customWidth="1"/>
    <col min="15894" max="15894" width="15.140625" style="62" customWidth="1"/>
    <col min="15895" max="15895" width="13.5703125" style="62" customWidth="1"/>
    <col min="15896" max="15896" width="13.140625" style="62" customWidth="1"/>
    <col min="15897" max="15897" width="15.7109375" style="62" customWidth="1"/>
    <col min="15898" max="15898" width="37.5703125" style="62" customWidth="1"/>
    <col min="15899" max="16120" width="11.42578125" style="62"/>
    <col min="16121" max="16121" width="10.5703125" style="62" customWidth="1"/>
    <col min="16122" max="16122" width="4.85546875" style="62" customWidth="1"/>
    <col min="16123" max="16123" width="32.42578125" style="62" customWidth="1"/>
    <col min="16124" max="16124" width="9.85546875" style="62" customWidth="1"/>
    <col min="16125" max="16125" width="10.140625" style="62" customWidth="1"/>
    <col min="16126" max="16126" width="12.28515625" style="62" customWidth="1"/>
    <col min="16127" max="16127" width="15.42578125" style="62" customWidth="1"/>
    <col min="16128" max="16128" width="11.85546875" style="62" customWidth="1"/>
    <col min="16129" max="16129" width="13.28515625" style="62" customWidth="1"/>
    <col min="16130" max="16130" width="15.28515625" style="62" customWidth="1"/>
    <col min="16131" max="16131" width="11.85546875" style="62" customWidth="1"/>
    <col min="16132" max="16132" width="6.140625" style="62" customWidth="1"/>
    <col min="16133" max="16133" width="11.85546875" style="62" customWidth="1"/>
    <col min="16134" max="16134" width="9.42578125" style="62" customWidth="1"/>
    <col min="16135" max="16135" width="14.7109375" style="62" customWidth="1"/>
    <col min="16136" max="16136" width="11.5703125" style="62" customWidth="1"/>
    <col min="16137" max="16137" width="0.42578125" style="62" customWidth="1"/>
    <col min="16138" max="16138" width="10.5703125" style="62" bestFit="1" customWidth="1"/>
    <col min="16139" max="16139" width="12.28515625" style="62" customWidth="1"/>
    <col min="16140" max="16140" width="12.5703125" style="62" customWidth="1"/>
    <col min="16141" max="16141" width="10.5703125" style="62" customWidth="1"/>
    <col min="16142" max="16142" width="10.140625" style="62" customWidth="1"/>
    <col min="16143" max="16143" width="8.42578125" style="62" customWidth="1"/>
    <col min="16144" max="16144" width="18.85546875" style="62" customWidth="1"/>
    <col min="16145" max="16145" width="10.28515625" style="62" customWidth="1"/>
    <col min="16146" max="16146" width="11.42578125" style="62"/>
    <col min="16147" max="16147" width="12.140625" style="62" customWidth="1"/>
    <col min="16148" max="16148" width="10.5703125" style="62" customWidth="1"/>
    <col min="16149" max="16149" width="12.42578125" style="62" customWidth="1"/>
    <col min="16150" max="16150" width="15.140625" style="62" customWidth="1"/>
    <col min="16151" max="16151" width="13.5703125" style="62" customWidth="1"/>
    <col min="16152" max="16152" width="13.140625" style="62" customWidth="1"/>
    <col min="16153" max="16153" width="15.7109375" style="62" customWidth="1"/>
    <col min="16154" max="16154" width="37.5703125" style="62" customWidth="1"/>
    <col min="16155" max="16384" width="11.42578125" style="62"/>
  </cols>
  <sheetData>
    <row r="1" spans="1:26" x14ac:dyDescent="0.25">
      <c r="C1" s="63" t="s">
        <v>149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8"/>
      <c r="Y1" s="64"/>
      <c r="Z1" s="8"/>
    </row>
    <row r="2" spans="1:26" x14ac:dyDescent="0.25">
      <c r="C2" s="9" t="s">
        <v>1</v>
      </c>
      <c r="D2" s="8"/>
      <c r="E2" s="88" t="s">
        <v>2</v>
      </c>
      <c r="F2" s="88"/>
      <c r="G2" s="88"/>
      <c r="H2" s="88"/>
      <c r="I2" s="88"/>
      <c r="J2" s="88"/>
      <c r="K2" s="88"/>
      <c r="L2" s="88"/>
      <c r="M2" s="88"/>
      <c r="N2" s="88" t="s">
        <v>3</v>
      </c>
      <c r="O2" s="88"/>
      <c r="P2" s="88"/>
      <c r="Q2" s="88"/>
      <c r="R2" s="88"/>
      <c r="S2" s="88"/>
      <c r="T2" s="88"/>
      <c r="U2" s="88"/>
      <c r="V2" s="88"/>
      <c r="W2" s="8"/>
      <c r="X2" s="8"/>
      <c r="Y2" s="64"/>
      <c r="Z2" s="8"/>
    </row>
    <row r="3" spans="1:26" ht="24.95" customHeight="1" x14ac:dyDescent="0.25">
      <c r="B3" s="2" t="s">
        <v>4</v>
      </c>
      <c r="C3" s="2" t="s">
        <v>5</v>
      </c>
      <c r="D3" s="2" t="s">
        <v>6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146</v>
      </c>
      <c r="J3" s="3" t="s">
        <v>13</v>
      </c>
      <c r="K3" s="3" t="s">
        <v>14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2" t="s">
        <v>27</v>
      </c>
      <c r="X3" s="2"/>
      <c r="Y3" s="89"/>
      <c r="Z3" s="2" t="s">
        <v>28</v>
      </c>
    </row>
    <row r="4" spans="1:26" s="13" customFormat="1" ht="24.95" customHeight="1" x14ac:dyDescent="0.25">
      <c r="A4" s="65" t="s">
        <v>29</v>
      </c>
      <c r="B4" s="2">
        <v>1</v>
      </c>
      <c r="C4" s="1" t="s">
        <v>147</v>
      </c>
      <c r="D4" s="1"/>
      <c r="E4" s="3">
        <v>4500000</v>
      </c>
      <c r="F4" s="3">
        <v>30</v>
      </c>
      <c r="G4" s="3">
        <f>+E4/30*F4</f>
        <v>4500000</v>
      </c>
      <c r="H4" s="3"/>
      <c r="I4" s="3"/>
      <c r="J4" s="3"/>
      <c r="K4" s="3"/>
      <c r="L4" s="3"/>
      <c r="M4" s="3">
        <f>+G4+L4+K4+J4+I4+H4</f>
        <v>4500000</v>
      </c>
      <c r="N4" s="3">
        <f>+E4*0.04</f>
        <v>180000</v>
      </c>
      <c r="O4" s="3">
        <f>+E4*0.05</f>
        <v>225000</v>
      </c>
      <c r="P4" s="3"/>
      <c r="Q4" s="3"/>
      <c r="R4" s="3"/>
      <c r="S4" s="3"/>
      <c r="T4" s="3"/>
      <c r="U4" s="3"/>
      <c r="V4" s="4">
        <f>SUM(N4:U4)</f>
        <v>405000</v>
      </c>
      <c r="W4" s="5">
        <f>+M4-V4</f>
        <v>4095000</v>
      </c>
      <c r="X4" s="5"/>
      <c r="Y4" s="64"/>
      <c r="Z4" s="5">
        <f t="shared" ref="Z4:Z67" si="0">W4+X4-Y4</f>
        <v>4095000</v>
      </c>
    </row>
    <row r="5" spans="1:26" ht="24.95" customHeight="1" x14ac:dyDescent="0.25">
      <c r="A5" s="65"/>
      <c r="B5" s="2">
        <v>2</v>
      </c>
      <c r="C5" s="1" t="s">
        <v>30</v>
      </c>
      <c r="D5" s="2" t="s">
        <v>31</v>
      </c>
      <c r="E5" s="4">
        <v>4500000</v>
      </c>
      <c r="F5" s="3">
        <v>30</v>
      </c>
      <c r="G5" s="3">
        <f>+E5-L5</f>
        <v>3900000</v>
      </c>
      <c r="H5" s="4"/>
      <c r="I5" s="4"/>
      <c r="J5" s="4"/>
      <c r="K5" s="4">
        <v>500000</v>
      </c>
      <c r="L5" s="4">
        <v>600000</v>
      </c>
      <c r="M5" s="4">
        <f>+G5+H5+J5+K5+L5+I5</f>
        <v>5000000</v>
      </c>
      <c r="N5" s="4">
        <f>+E5*4%</f>
        <v>180000</v>
      </c>
      <c r="O5" s="4">
        <f>+E5*5%</f>
        <v>225000</v>
      </c>
      <c r="P5" s="4"/>
      <c r="Q5" s="4"/>
      <c r="R5" s="4">
        <v>30672</v>
      </c>
      <c r="S5" s="4"/>
      <c r="T5" s="4"/>
      <c r="U5" s="4"/>
      <c r="V5" s="4">
        <f t="shared" ref="V5:V10" si="1">SUM(N5:U5)</f>
        <v>435672</v>
      </c>
      <c r="W5" s="5">
        <f>+M5-V5</f>
        <v>4564328</v>
      </c>
      <c r="X5" s="5"/>
      <c r="Y5" s="64"/>
      <c r="Z5" s="5">
        <f t="shared" si="0"/>
        <v>4564328</v>
      </c>
    </row>
    <row r="6" spans="1:26" ht="24.95" customHeight="1" x14ac:dyDescent="0.25">
      <c r="A6" s="65"/>
      <c r="B6" s="2">
        <v>3</v>
      </c>
      <c r="C6" s="1" t="s">
        <v>33</v>
      </c>
      <c r="D6" s="2" t="s">
        <v>31</v>
      </c>
      <c r="E6" s="4">
        <v>6000000</v>
      </c>
      <c r="F6" s="3">
        <v>30</v>
      </c>
      <c r="G6" s="3">
        <f t="shared" ref="G6:G73" si="2">+E6/30*F6</f>
        <v>6000000</v>
      </c>
      <c r="H6" s="4"/>
      <c r="I6" s="4"/>
      <c r="J6" s="4"/>
      <c r="K6" s="4">
        <v>600000</v>
      </c>
      <c r="L6" s="4"/>
      <c r="M6" s="4">
        <f t="shared" ref="M6:M73" si="3">+G6+H6+J6+K6+L6+I6</f>
        <v>6600000</v>
      </c>
      <c r="N6" s="4">
        <f>E6*4%</f>
        <v>240000</v>
      </c>
      <c r="O6" s="4">
        <f>E6*5%</f>
        <v>300000</v>
      </c>
      <c r="P6" s="4"/>
      <c r="Q6" s="4"/>
      <c r="R6" s="4">
        <v>102000</v>
      </c>
      <c r="S6" s="4"/>
      <c r="T6" s="4"/>
      <c r="U6" s="4">
        <v>1212777</v>
      </c>
      <c r="V6" s="4">
        <f t="shared" si="1"/>
        <v>1854777</v>
      </c>
      <c r="W6" s="5">
        <f t="shared" ref="W6:W7" si="4">+M6-V6</f>
        <v>4745223</v>
      </c>
      <c r="X6" s="5"/>
      <c r="Y6" s="64"/>
      <c r="Z6" s="5">
        <f t="shared" si="0"/>
        <v>4745223</v>
      </c>
    </row>
    <row r="7" spans="1:26" ht="24.95" customHeight="1" x14ac:dyDescent="0.25">
      <c r="A7" s="65"/>
      <c r="B7" s="2">
        <v>4</v>
      </c>
      <c r="C7" s="1" t="s">
        <v>34</v>
      </c>
      <c r="D7" s="2" t="s">
        <v>31</v>
      </c>
      <c r="E7" s="4">
        <v>5492319</v>
      </c>
      <c r="F7" s="3">
        <v>30</v>
      </c>
      <c r="G7" s="3">
        <f t="shared" si="2"/>
        <v>5492319</v>
      </c>
      <c r="H7" s="4"/>
      <c r="I7" s="4"/>
      <c r="J7" s="4"/>
      <c r="K7" s="4"/>
      <c r="L7" s="4"/>
      <c r="M7" s="4">
        <f t="shared" si="3"/>
        <v>5492319</v>
      </c>
      <c r="N7" s="4">
        <f t="shared" ref="N7:N14" si="5">+E7*4%</f>
        <v>219692.76</v>
      </c>
      <c r="O7" s="4">
        <f t="shared" ref="O7:O12" si="6">+E7*5%</f>
        <v>274615.95</v>
      </c>
      <c r="P7" s="4"/>
      <c r="Q7" s="4"/>
      <c r="R7" s="7">
        <v>98000</v>
      </c>
      <c r="S7" s="4"/>
      <c r="T7" s="4"/>
      <c r="U7" s="4">
        <v>726520</v>
      </c>
      <c r="V7" s="4">
        <f t="shared" si="1"/>
        <v>1318828.71</v>
      </c>
      <c r="W7" s="5">
        <f t="shared" si="4"/>
        <v>4173490.29</v>
      </c>
      <c r="X7" s="5"/>
      <c r="Y7" s="64"/>
      <c r="Z7" s="5">
        <f t="shared" si="0"/>
        <v>4173490.29</v>
      </c>
    </row>
    <row r="8" spans="1:26" ht="24.95" customHeight="1" x14ac:dyDescent="0.25">
      <c r="A8" s="65"/>
      <c r="B8" s="2">
        <v>5</v>
      </c>
      <c r="C8" s="1" t="s">
        <v>35</v>
      </c>
      <c r="D8" s="2" t="s">
        <v>31</v>
      </c>
      <c r="E8" s="4">
        <v>5000000</v>
      </c>
      <c r="F8" s="3">
        <v>30</v>
      </c>
      <c r="G8" s="3">
        <f t="shared" si="2"/>
        <v>5000000</v>
      </c>
      <c r="H8" s="4"/>
      <c r="I8" s="4">
        <v>0</v>
      </c>
      <c r="J8" s="4"/>
      <c r="K8" s="4"/>
      <c r="L8" s="4"/>
      <c r="M8" s="4">
        <f t="shared" si="3"/>
        <v>5000000</v>
      </c>
      <c r="N8" s="4">
        <f t="shared" si="5"/>
        <v>200000</v>
      </c>
      <c r="O8" s="4">
        <f t="shared" si="6"/>
        <v>250000</v>
      </c>
      <c r="P8" s="4"/>
      <c r="Q8" s="4"/>
      <c r="R8" s="7">
        <v>21409</v>
      </c>
      <c r="S8" s="4">
        <v>500000</v>
      </c>
      <c r="T8" s="4">
        <v>111000</v>
      </c>
      <c r="U8" s="4"/>
      <c r="V8" s="4">
        <f t="shared" si="1"/>
        <v>1082409</v>
      </c>
      <c r="W8" s="5">
        <f>+M8-V8</f>
        <v>3917591</v>
      </c>
      <c r="X8" s="5"/>
      <c r="Y8" s="64"/>
      <c r="Z8" s="5">
        <f t="shared" si="0"/>
        <v>3917591</v>
      </c>
    </row>
    <row r="9" spans="1:26" ht="24.95" customHeight="1" x14ac:dyDescent="0.25">
      <c r="A9" s="65"/>
      <c r="B9" s="2">
        <v>6</v>
      </c>
      <c r="C9" s="1" t="s">
        <v>36</v>
      </c>
      <c r="D9" s="2" t="s">
        <v>31</v>
      </c>
      <c r="E9" s="4">
        <v>5300000</v>
      </c>
      <c r="F9" s="3">
        <v>30</v>
      </c>
      <c r="G9" s="3">
        <f t="shared" si="2"/>
        <v>5300000</v>
      </c>
      <c r="H9" s="4"/>
      <c r="I9" s="4"/>
      <c r="J9" s="4"/>
      <c r="K9" s="4">
        <v>2012670</v>
      </c>
      <c r="L9" s="4"/>
      <c r="M9" s="4">
        <f t="shared" si="3"/>
        <v>7312670</v>
      </c>
      <c r="N9" s="4">
        <f t="shared" si="5"/>
        <v>212000</v>
      </c>
      <c r="O9" s="4">
        <f t="shared" si="6"/>
        <v>265000</v>
      </c>
      <c r="P9" s="4"/>
      <c r="Q9" s="4"/>
      <c r="R9" s="4">
        <v>50000</v>
      </c>
      <c r="S9" s="4">
        <v>700000</v>
      </c>
      <c r="T9" s="4"/>
      <c r="U9" s="4"/>
      <c r="V9" s="4">
        <f t="shared" si="1"/>
        <v>1227000</v>
      </c>
      <c r="W9" s="5">
        <f>+M9-V9</f>
        <v>6085670</v>
      </c>
      <c r="X9" s="5"/>
      <c r="Y9" s="64"/>
      <c r="Z9" s="5">
        <f t="shared" si="0"/>
        <v>6085670</v>
      </c>
    </row>
    <row r="10" spans="1:26" ht="24.95" customHeight="1" x14ac:dyDescent="0.25">
      <c r="A10" s="65"/>
      <c r="B10" s="2">
        <v>7</v>
      </c>
      <c r="C10" s="1" t="s">
        <v>37</v>
      </c>
      <c r="D10" s="2" t="s">
        <v>31</v>
      </c>
      <c r="E10" s="4">
        <v>5200000</v>
      </c>
      <c r="F10" s="3">
        <v>30</v>
      </c>
      <c r="G10" s="3">
        <f>+E10-L10</f>
        <v>3986667</v>
      </c>
      <c r="H10" s="4"/>
      <c r="I10" s="4">
        <v>0</v>
      </c>
      <c r="J10" s="4"/>
      <c r="K10" s="4"/>
      <c r="L10" s="4">
        <v>1213333</v>
      </c>
      <c r="M10" s="4">
        <f t="shared" si="3"/>
        <v>5200000</v>
      </c>
      <c r="N10" s="4">
        <f>+E10*4%</f>
        <v>208000</v>
      </c>
      <c r="O10" s="4">
        <f>+E10*5%</f>
        <v>260000</v>
      </c>
      <c r="P10" s="4"/>
      <c r="Q10" s="4"/>
      <c r="R10" s="4">
        <v>0</v>
      </c>
      <c r="S10" s="4"/>
      <c r="T10" s="4"/>
      <c r="U10" s="4">
        <f>945750+420786</f>
        <v>1366536</v>
      </c>
      <c r="V10" s="4">
        <f t="shared" si="1"/>
        <v>1834536</v>
      </c>
      <c r="W10" s="5">
        <f>M10-V10</f>
        <v>3365464</v>
      </c>
      <c r="X10" s="5"/>
      <c r="Y10" s="64"/>
      <c r="Z10" s="5">
        <f t="shared" si="0"/>
        <v>3365464</v>
      </c>
    </row>
    <row r="11" spans="1:26" ht="24.95" customHeight="1" x14ac:dyDescent="0.25">
      <c r="A11" s="65"/>
      <c r="B11" s="2">
        <v>8</v>
      </c>
      <c r="C11" s="1" t="s">
        <v>39</v>
      </c>
      <c r="D11" s="2" t="s">
        <v>31</v>
      </c>
      <c r="E11" s="4">
        <v>4800000</v>
      </c>
      <c r="F11" s="3">
        <v>30</v>
      </c>
      <c r="G11" s="3">
        <f t="shared" si="2"/>
        <v>4800000</v>
      </c>
      <c r="H11" s="4"/>
      <c r="I11" s="4"/>
      <c r="J11" s="4"/>
      <c r="K11" s="4"/>
      <c r="L11" s="4"/>
      <c r="M11" s="4">
        <f t="shared" si="3"/>
        <v>4800000</v>
      </c>
      <c r="N11" s="4">
        <f t="shared" si="5"/>
        <v>192000</v>
      </c>
      <c r="O11" s="4">
        <f t="shared" si="6"/>
        <v>240000</v>
      </c>
      <c r="P11" s="4"/>
      <c r="Q11" s="4"/>
      <c r="R11" s="4">
        <v>0</v>
      </c>
      <c r="S11" s="4"/>
      <c r="T11" s="4"/>
      <c r="U11" s="4"/>
      <c r="V11" s="4">
        <f t="shared" ref="V11:V56" si="7">SUM(N11:U11)</f>
        <v>432000</v>
      </c>
      <c r="W11" s="5">
        <f>M11-V11</f>
        <v>4368000</v>
      </c>
      <c r="X11" s="5"/>
      <c r="Y11" s="64"/>
      <c r="Z11" s="5">
        <f t="shared" si="0"/>
        <v>4368000</v>
      </c>
    </row>
    <row r="12" spans="1:26" ht="24.95" customHeight="1" x14ac:dyDescent="0.25">
      <c r="A12" s="65"/>
      <c r="B12" s="2">
        <v>9</v>
      </c>
      <c r="C12" s="1" t="s">
        <v>40</v>
      </c>
      <c r="D12" s="2" t="s">
        <v>31</v>
      </c>
      <c r="E12" s="4">
        <v>5725000</v>
      </c>
      <c r="F12" s="3">
        <v>30</v>
      </c>
      <c r="G12" s="3">
        <f>+E12-L12</f>
        <v>4770833</v>
      </c>
      <c r="H12" s="4"/>
      <c r="I12" s="4"/>
      <c r="J12" s="4"/>
      <c r="K12" s="4"/>
      <c r="L12" s="4">
        <v>954167</v>
      </c>
      <c r="M12" s="4">
        <f t="shared" si="3"/>
        <v>5725000</v>
      </c>
      <c r="N12" s="4">
        <f t="shared" si="5"/>
        <v>229000</v>
      </c>
      <c r="O12" s="4">
        <f t="shared" si="6"/>
        <v>286250</v>
      </c>
      <c r="P12" s="4"/>
      <c r="Q12" s="4">
        <v>2781617</v>
      </c>
      <c r="R12" s="4">
        <v>0</v>
      </c>
      <c r="S12" s="4"/>
      <c r="T12" s="4"/>
      <c r="U12" s="4"/>
      <c r="V12" s="4">
        <f t="shared" si="7"/>
        <v>3296867</v>
      </c>
      <c r="W12" s="5">
        <f t="shared" ref="W12:W20" si="8">+M12-V12</f>
        <v>2428133</v>
      </c>
      <c r="X12" s="5"/>
      <c r="Y12" s="64"/>
      <c r="Z12" s="5">
        <f t="shared" si="0"/>
        <v>2428133</v>
      </c>
    </row>
    <row r="13" spans="1:26" ht="24.95" customHeight="1" x14ac:dyDescent="0.25">
      <c r="A13" s="65"/>
      <c r="B13" s="2">
        <v>10</v>
      </c>
      <c r="C13" s="1" t="s">
        <v>41</v>
      </c>
      <c r="D13" s="2" t="s">
        <v>31</v>
      </c>
      <c r="E13" s="4">
        <v>4500000</v>
      </c>
      <c r="F13" s="3">
        <v>30</v>
      </c>
      <c r="G13" s="3">
        <f>+E13-J13</f>
        <v>4200000</v>
      </c>
      <c r="H13" s="4"/>
      <c r="I13" s="4"/>
      <c r="J13" s="4">
        <v>300000</v>
      </c>
      <c r="K13" s="4"/>
      <c r="L13" s="4"/>
      <c r="M13" s="4">
        <f t="shared" si="3"/>
        <v>4500000</v>
      </c>
      <c r="N13" s="4">
        <f t="shared" si="5"/>
        <v>180000</v>
      </c>
      <c r="O13" s="4">
        <f>+G13*5%</f>
        <v>210000</v>
      </c>
      <c r="P13" s="4"/>
      <c r="Q13" s="4"/>
      <c r="R13" s="7">
        <v>0</v>
      </c>
      <c r="S13" s="4"/>
      <c r="T13" s="4"/>
      <c r="U13" s="4"/>
      <c r="V13" s="4">
        <f t="shared" si="7"/>
        <v>390000</v>
      </c>
      <c r="W13" s="5">
        <f t="shared" si="8"/>
        <v>4110000</v>
      </c>
      <c r="X13" s="5"/>
      <c r="Y13" s="64"/>
      <c r="Z13" s="5">
        <f t="shared" si="0"/>
        <v>4110000</v>
      </c>
    </row>
    <row r="14" spans="1:26" ht="24.95" customHeight="1" x14ac:dyDescent="0.25">
      <c r="A14" s="65"/>
      <c r="B14" s="2">
        <v>11</v>
      </c>
      <c r="C14" s="9" t="s">
        <v>42</v>
      </c>
      <c r="D14" s="8" t="s">
        <v>31</v>
      </c>
      <c r="E14" s="4">
        <v>4800000</v>
      </c>
      <c r="F14" s="3">
        <v>30</v>
      </c>
      <c r="G14" s="3">
        <f t="shared" si="2"/>
        <v>4800000</v>
      </c>
      <c r="H14" s="4"/>
      <c r="I14" s="4"/>
      <c r="J14" s="4"/>
      <c r="K14" s="4"/>
      <c r="L14" s="4"/>
      <c r="M14" s="4">
        <f t="shared" si="3"/>
        <v>4800000</v>
      </c>
      <c r="N14" s="4">
        <f t="shared" si="5"/>
        <v>192000</v>
      </c>
      <c r="O14" s="4">
        <f>+E14*0.05</f>
        <v>240000</v>
      </c>
      <c r="P14" s="4"/>
      <c r="Q14" s="4"/>
      <c r="R14" s="4">
        <v>0</v>
      </c>
      <c r="S14" s="4"/>
      <c r="T14" s="4"/>
      <c r="U14" s="4"/>
      <c r="V14" s="4">
        <f t="shared" si="7"/>
        <v>432000</v>
      </c>
      <c r="W14" s="5">
        <f t="shared" si="8"/>
        <v>4368000</v>
      </c>
      <c r="X14" s="5"/>
      <c r="Y14" s="64"/>
      <c r="Z14" s="5">
        <f t="shared" si="0"/>
        <v>4368000</v>
      </c>
    </row>
    <row r="15" spans="1:26" ht="24.95" customHeight="1" x14ac:dyDescent="0.25">
      <c r="A15" s="65"/>
      <c r="B15" s="2">
        <v>12</v>
      </c>
      <c r="C15" s="9" t="s">
        <v>43</v>
      </c>
      <c r="D15" s="8" t="s">
        <v>31</v>
      </c>
      <c r="E15" s="4">
        <v>4685000</v>
      </c>
      <c r="F15" s="3">
        <v>30</v>
      </c>
      <c r="G15" s="3">
        <f t="shared" si="2"/>
        <v>4685000</v>
      </c>
      <c r="H15" s="4"/>
      <c r="I15" s="4"/>
      <c r="J15" s="4"/>
      <c r="K15" s="4">
        <v>0</v>
      </c>
      <c r="L15" s="4"/>
      <c r="M15" s="4">
        <f>+G15+H15+J15+K15+L15+I15</f>
        <v>4685000</v>
      </c>
      <c r="N15" s="4">
        <f>+E15*4%</f>
        <v>187400</v>
      </c>
      <c r="O15" s="4">
        <f>+E15*5%</f>
        <v>234250</v>
      </c>
      <c r="P15" s="4"/>
      <c r="Q15" s="4"/>
      <c r="R15" s="4">
        <v>11000</v>
      </c>
      <c r="S15" s="4"/>
      <c r="T15" s="4"/>
      <c r="U15" s="4">
        <v>0</v>
      </c>
      <c r="V15" s="4">
        <f t="shared" si="7"/>
        <v>432650</v>
      </c>
      <c r="W15" s="5">
        <f t="shared" si="8"/>
        <v>4252350</v>
      </c>
      <c r="X15" s="5"/>
      <c r="Y15" s="64"/>
      <c r="Z15" s="5">
        <f t="shared" si="0"/>
        <v>4252350</v>
      </c>
    </row>
    <row r="16" spans="1:26" ht="24.95" customHeight="1" x14ac:dyDescent="0.25">
      <c r="A16" s="65"/>
      <c r="B16" s="2">
        <v>13</v>
      </c>
      <c r="C16" s="9" t="s">
        <v>44</v>
      </c>
      <c r="D16" s="8" t="s">
        <v>45</v>
      </c>
      <c r="E16" s="4">
        <v>4000000</v>
      </c>
      <c r="F16" s="3">
        <v>30</v>
      </c>
      <c r="G16" s="3">
        <f t="shared" si="2"/>
        <v>4000000.0000000005</v>
      </c>
      <c r="H16" s="4"/>
      <c r="I16" s="4"/>
      <c r="J16" s="4"/>
      <c r="K16" s="4"/>
      <c r="L16" s="4">
        <f>+E16-G16</f>
        <v>0</v>
      </c>
      <c r="M16" s="4">
        <f t="shared" si="3"/>
        <v>4000000.0000000005</v>
      </c>
      <c r="N16" s="4">
        <f>+E16*0.04</f>
        <v>160000</v>
      </c>
      <c r="O16" s="4">
        <f>+E16*0.05</f>
        <v>200000</v>
      </c>
      <c r="P16" s="4"/>
      <c r="Q16" s="4"/>
      <c r="R16" s="4"/>
      <c r="S16" s="4"/>
      <c r="T16" s="4"/>
      <c r="U16" s="4"/>
      <c r="V16" s="4">
        <f t="shared" si="7"/>
        <v>360000</v>
      </c>
      <c r="W16" s="5">
        <f t="shared" si="8"/>
        <v>3640000.0000000005</v>
      </c>
      <c r="X16" s="5"/>
      <c r="Y16" s="64"/>
      <c r="Z16" s="5">
        <f t="shared" si="0"/>
        <v>3640000.0000000005</v>
      </c>
    </row>
    <row r="17" spans="1:26" ht="24.95" customHeight="1" x14ac:dyDescent="0.25">
      <c r="A17" s="65"/>
      <c r="B17" s="2">
        <v>14</v>
      </c>
      <c r="C17" s="9" t="s">
        <v>46</v>
      </c>
      <c r="D17" s="8"/>
      <c r="E17" s="4">
        <v>5500000</v>
      </c>
      <c r="F17" s="3">
        <v>30</v>
      </c>
      <c r="G17" s="3">
        <f>+E17-J17</f>
        <v>5133333</v>
      </c>
      <c r="H17" s="4"/>
      <c r="I17" s="4"/>
      <c r="J17" s="4">
        <v>366667</v>
      </c>
      <c r="K17" s="4"/>
      <c r="L17" s="4"/>
      <c r="M17" s="4">
        <f t="shared" si="3"/>
        <v>5500000</v>
      </c>
      <c r="N17" s="4">
        <f>+E17*0.04</f>
        <v>220000</v>
      </c>
      <c r="O17" s="4">
        <f>+E17*0.05</f>
        <v>275000</v>
      </c>
      <c r="P17" s="4"/>
      <c r="Q17" s="4"/>
      <c r="R17" s="4">
        <v>83397</v>
      </c>
      <c r="S17" s="4"/>
      <c r="T17" s="4"/>
      <c r="U17" s="4"/>
      <c r="V17" s="4">
        <f t="shared" si="7"/>
        <v>578397</v>
      </c>
      <c r="W17" s="5">
        <f t="shared" si="8"/>
        <v>4921603</v>
      </c>
      <c r="X17" s="5"/>
      <c r="Y17" s="64"/>
      <c r="Z17" s="5">
        <f t="shared" si="0"/>
        <v>4921603</v>
      </c>
    </row>
    <row r="18" spans="1:26" ht="24.95" customHeight="1" x14ac:dyDescent="0.25">
      <c r="A18" s="65"/>
      <c r="B18" s="2">
        <v>15</v>
      </c>
      <c r="C18" s="1" t="s">
        <v>150</v>
      </c>
      <c r="D18" s="2"/>
      <c r="E18" s="4">
        <v>7000000</v>
      </c>
      <c r="F18" s="3">
        <v>16</v>
      </c>
      <c r="G18" s="3">
        <f>+E18/30*F18</f>
        <v>3733333.3333333335</v>
      </c>
      <c r="H18" s="4"/>
      <c r="I18" s="4"/>
      <c r="J18" s="4"/>
      <c r="K18" s="4"/>
      <c r="L18" s="4"/>
      <c r="M18" s="4">
        <f>+G18+H18+J18+K18+L18+I18</f>
        <v>3733333.3333333335</v>
      </c>
      <c r="N18" s="4">
        <f>G18*4%</f>
        <v>149333.33333333334</v>
      </c>
      <c r="O18" s="4">
        <f>+G18*5%</f>
        <v>186666.66666666669</v>
      </c>
      <c r="P18" s="4"/>
      <c r="Q18" s="4"/>
      <c r="R18" s="4"/>
      <c r="S18" s="4"/>
      <c r="T18" s="4"/>
      <c r="U18" s="4"/>
      <c r="V18" s="4">
        <f>SUM(N18:U18)</f>
        <v>336000</v>
      </c>
      <c r="W18" s="5">
        <f>M18-V18</f>
        <v>3397333.3333333335</v>
      </c>
      <c r="X18" s="5"/>
      <c r="Y18" s="64"/>
      <c r="Z18" s="5">
        <f>W18+X18-Y18</f>
        <v>3397333.3333333335</v>
      </c>
    </row>
    <row r="19" spans="1:26" ht="24.95" customHeight="1" x14ac:dyDescent="0.25">
      <c r="A19" s="65"/>
      <c r="B19" s="2">
        <v>16</v>
      </c>
      <c r="C19" s="9" t="s">
        <v>47</v>
      </c>
      <c r="D19" s="8" t="s">
        <v>45</v>
      </c>
      <c r="E19" s="4">
        <v>5200000</v>
      </c>
      <c r="F19" s="3">
        <v>30</v>
      </c>
      <c r="G19" s="3">
        <f t="shared" si="2"/>
        <v>5200000</v>
      </c>
      <c r="H19" s="4"/>
      <c r="I19" s="4"/>
      <c r="J19" s="4"/>
      <c r="K19" s="4"/>
      <c r="L19" s="4">
        <v>0</v>
      </c>
      <c r="M19" s="4">
        <f t="shared" si="3"/>
        <v>5200000</v>
      </c>
      <c r="N19" s="4">
        <f>+E19*4%</f>
        <v>208000</v>
      </c>
      <c r="O19" s="4">
        <f>+E19*5%</f>
        <v>260000</v>
      </c>
      <c r="P19" s="4"/>
      <c r="Q19" s="4"/>
      <c r="R19" s="4">
        <v>46204</v>
      </c>
      <c r="S19" s="4"/>
      <c r="T19" s="4"/>
      <c r="U19" s="4"/>
      <c r="V19" s="4">
        <f t="shared" si="7"/>
        <v>514204</v>
      </c>
      <c r="W19" s="5">
        <f t="shared" si="8"/>
        <v>4685796</v>
      </c>
      <c r="X19" s="5"/>
      <c r="Y19" s="64"/>
      <c r="Z19" s="5">
        <f t="shared" si="0"/>
        <v>4685796</v>
      </c>
    </row>
    <row r="20" spans="1:26" ht="24.95" customHeight="1" x14ac:dyDescent="0.25">
      <c r="A20" s="65"/>
      <c r="B20" s="2">
        <v>17</v>
      </c>
      <c r="C20" s="1" t="s">
        <v>48</v>
      </c>
      <c r="D20" s="2" t="s">
        <v>31</v>
      </c>
      <c r="E20" s="4">
        <v>5500000</v>
      </c>
      <c r="F20" s="3">
        <v>30</v>
      </c>
      <c r="G20" s="3">
        <f t="shared" si="2"/>
        <v>5500000</v>
      </c>
      <c r="H20" s="4"/>
      <c r="I20" s="4"/>
      <c r="J20" s="4"/>
      <c r="K20" s="4">
        <v>450000</v>
      </c>
      <c r="L20" s="4"/>
      <c r="M20" s="4">
        <f t="shared" si="3"/>
        <v>5950000</v>
      </c>
      <c r="N20" s="4">
        <f>+E20*4%</f>
        <v>220000</v>
      </c>
      <c r="O20" s="4">
        <f>+E20*5%</f>
        <v>275000</v>
      </c>
      <c r="P20" s="4"/>
      <c r="Q20" s="4"/>
      <c r="R20" s="7">
        <v>150521</v>
      </c>
      <c r="S20" s="4">
        <v>1365000</v>
      </c>
      <c r="T20" s="4"/>
      <c r="U20" s="4"/>
      <c r="V20" s="4">
        <f t="shared" si="7"/>
        <v>2010521</v>
      </c>
      <c r="W20" s="5">
        <f t="shared" si="8"/>
        <v>3939479</v>
      </c>
      <c r="X20" s="5"/>
      <c r="Y20" s="64"/>
      <c r="Z20" s="5">
        <f t="shared" si="0"/>
        <v>3939479</v>
      </c>
    </row>
    <row r="21" spans="1:26" ht="24.95" customHeight="1" x14ac:dyDescent="0.25">
      <c r="A21" s="65"/>
      <c r="B21" s="2">
        <v>18</v>
      </c>
      <c r="C21" s="1" t="s">
        <v>49</v>
      </c>
      <c r="D21" s="2" t="s">
        <v>31</v>
      </c>
      <c r="E21" s="4">
        <v>5350000</v>
      </c>
      <c r="F21" s="3">
        <v>30</v>
      </c>
      <c r="G21" s="3">
        <f t="shared" si="2"/>
        <v>5350000</v>
      </c>
      <c r="H21" s="4"/>
      <c r="I21" s="4"/>
      <c r="J21" s="4"/>
      <c r="K21" s="4">
        <v>1000000</v>
      </c>
      <c r="L21" s="4"/>
      <c r="M21" s="4">
        <f t="shared" si="3"/>
        <v>6350000</v>
      </c>
      <c r="N21" s="4">
        <f>+E21*4%</f>
        <v>214000</v>
      </c>
      <c r="O21" s="4">
        <f>+E21*0.05</f>
        <v>267500</v>
      </c>
      <c r="P21" s="4"/>
      <c r="Q21" s="4"/>
      <c r="R21" s="7">
        <v>116813</v>
      </c>
      <c r="S21" s="4"/>
      <c r="T21" s="4"/>
      <c r="U21" s="4">
        <v>810005</v>
      </c>
      <c r="V21" s="4">
        <f t="shared" si="7"/>
        <v>1408318</v>
      </c>
      <c r="W21" s="5">
        <f>M21-V21</f>
        <v>4941682</v>
      </c>
      <c r="X21" s="5"/>
      <c r="Y21" s="64"/>
      <c r="Z21" s="5">
        <f t="shared" si="0"/>
        <v>4941682</v>
      </c>
    </row>
    <row r="22" spans="1:26" ht="24.95" customHeight="1" x14ac:dyDescent="0.25">
      <c r="A22" s="65"/>
      <c r="B22" s="2">
        <v>19</v>
      </c>
      <c r="C22" s="1" t="s">
        <v>50</v>
      </c>
      <c r="D22" s="2" t="s">
        <v>31</v>
      </c>
      <c r="E22" s="4">
        <v>7000000</v>
      </c>
      <c r="F22" s="3">
        <v>30</v>
      </c>
      <c r="G22" s="3">
        <f>+E22-L22</f>
        <v>5833333</v>
      </c>
      <c r="H22" s="4"/>
      <c r="I22" s="4"/>
      <c r="J22" s="4"/>
      <c r="K22" s="4"/>
      <c r="L22" s="4">
        <v>1166667</v>
      </c>
      <c r="M22" s="4">
        <f t="shared" si="3"/>
        <v>7000000</v>
      </c>
      <c r="N22" s="4">
        <f>+E22*4%</f>
        <v>280000</v>
      </c>
      <c r="O22" s="4">
        <f>+E22*0.05</f>
        <v>350000</v>
      </c>
      <c r="P22" s="4"/>
      <c r="Q22" s="4"/>
      <c r="R22" s="7">
        <v>269359</v>
      </c>
      <c r="S22" s="4"/>
      <c r="T22" s="4"/>
      <c r="U22" s="4"/>
      <c r="V22" s="4">
        <f t="shared" si="7"/>
        <v>899359</v>
      </c>
      <c r="W22" s="5">
        <f>M22-V22</f>
        <v>6100641</v>
      </c>
      <c r="X22" s="5"/>
      <c r="Y22" s="64"/>
      <c r="Z22" s="5">
        <f t="shared" si="0"/>
        <v>6100641</v>
      </c>
    </row>
    <row r="23" spans="1:26" ht="24.95" customHeight="1" x14ac:dyDescent="0.25">
      <c r="A23" s="65"/>
      <c r="B23" s="2">
        <v>20</v>
      </c>
      <c r="C23" s="1" t="s">
        <v>51</v>
      </c>
      <c r="D23" s="2" t="s">
        <v>31</v>
      </c>
      <c r="E23" s="4">
        <v>6900000</v>
      </c>
      <c r="F23" s="3">
        <v>30</v>
      </c>
      <c r="G23" s="3">
        <f t="shared" si="2"/>
        <v>6900000</v>
      </c>
      <c r="H23" s="4"/>
      <c r="I23" s="4"/>
      <c r="J23" s="4"/>
      <c r="K23" s="4">
        <v>1400000</v>
      </c>
      <c r="L23" s="10"/>
      <c r="M23" s="4">
        <f t="shared" si="3"/>
        <v>8300000</v>
      </c>
      <c r="N23" s="4">
        <f>+E23*4%</f>
        <v>276000</v>
      </c>
      <c r="O23" s="4">
        <f>+E23*5%</f>
        <v>345000</v>
      </c>
      <c r="P23" s="4"/>
      <c r="Q23" s="4"/>
      <c r="R23" s="7">
        <v>113000</v>
      </c>
      <c r="S23" s="4">
        <v>1300000</v>
      </c>
      <c r="T23" s="4"/>
      <c r="U23" s="4"/>
      <c r="V23" s="4">
        <f t="shared" si="7"/>
        <v>2034000</v>
      </c>
      <c r="W23" s="5">
        <f>M23-V23</f>
        <v>6266000</v>
      </c>
      <c r="X23" s="5"/>
      <c r="Y23" s="64"/>
      <c r="Z23" s="5">
        <f t="shared" si="0"/>
        <v>6266000</v>
      </c>
    </row>
    <row r="24" spans="1:26" ht="24.95" customHeight="1" x14ac:dyDescent="0.25">
      <c r="A24" s="65"/>
      <c r="B24" s="2">
        <v>21</v>
      </c>
      <c r="C24" s="9" t="s">
        <v>151</v>
      </c>
      <c r="D24" s="8"/>
      <c r="E24" s="4">
        <v>4000000</v>
      </c>
      <c r="F24" s="3">
        <v>26</v>
      </c>
      <c r="G24" s="3">
        <f>+E24/30*F24</f>
        <v>3466666.666666667</v>
      </c>
      <c r="H24" s="4"/>
      <c r="I24" s="4"/>
      <c r="J24" s="4"/>
      <c r="K24" s="4"/>
      <c r="L24" s="4"/>
      <c r="M24" s="4">
        <f>+G24+H24+J24+K24+L24+I24</f>
        <v>3466666.666666667</v>
      </c>
      <c r="N24" s="4">
        <f>+G24*4%</f>
        <v>138666.66666666669</v>
      </c>
      <c r="O24" s="4">
        <f>+G24*5%</f>
        <v>173333.33333333337</v>
      </c>
      <c r="P24" s="4"/>
      <c r="Q24" s="4"/>
      <c r="R24" s="4"/>
      <c r="S24" s="4"/>
      <c r="T24" s="4"/>
      <c r="U24" s="4"/>
      <c r="V24" s="4">
        <f>SUM(N24:U24)</f>
        <v>312000.00000000006</v>
      </c>
      <c r="W24" s="5">
        <f>M24-V24</f>
        <v>3154666.666666667</v>
      </c>
      <c r="X24" s="5"/>
      <c r="Y24" s="64"/>
      <c r="Z24" s="5">
        <f>W24+X24-Y24</f>
        <v>3154666.666666667</v>
      </c>
    </row>
    <row r="25" spans="1:26" ht="24.95" customHeight="1" x14ac:dyDescent="0.25">
      <c r="A25" s="65"/>
      <c r="B25" s="2">
        <v>22</v>
      </c>
      <c r="C25" s="1" t="s">
        <v>52</v>
      </c>
      <c r="D25" s="2"/>
      <c r="E25" s="4">
        <v>4000000</v>
      </c>
      <c r="F25" s="3">
        <v>30</v>
      </c>
      <c r="G25" s="3">
        <f t="shared" si="2"/>
        <v>4000000.0000000005</v>
      </c>
      <c r="H25" s="4"/>
      <c r="I25" s="4"/>
      <c r="J25" s="4"/>
      <c r="K25" s="4">
        <v>360000</v>
      </c>
      <c r="L25" s="4"/>
      <c r="M25" s="4">
        <f t="shared" si="3"/>
        <v>4360000</v>
      </c>
      <c r="N25" s="4">
        <f t="shared" ref="N25:N53" si="9">E25*4/100</f>
        <v>160000</v>
      </c>
      <c r="O25" s="4">
        <f t="shared" ref="O25:O53" si="10">+E25*0.05</f>
        <v>200000</v>
      </c>
      <c r="P25" s="4"/>
      <c r="Q25" s="4"/>
      <c r="R25" s="4"/>
      <c r="S25" s="4"/>
      <c r="T25" s="4"/>
      <c r="U25" s="4"/>
      <c r="V25" s="4">
        <f t="shared" si="7"/>
        <v>360000</v>
      </c>
      <c r="W25" s="5">
        <f t="shared" ref="W25:W30" si="11">+M25-V25</f>
        <v>4000000</v>
      </c>
      <c r="X25" s="5"/>
      <c r="Y25" s="64"/>
      <c r="Z25" s="5">
        <f t="shared" si="0"/>
        <v>4000000</v>
      </c>
    </row>
    <row r="26" spans="1:26" ht="24.95" customHeight="1" x14ac:dyDescent="0.25">
      <c r="A26" s="65"/>
      <c r="B26" s="2">
        <v>23</v>
      </c>
      <c r="C26" s="1" t="s">
        <v>152</v>
      </c>
      <c r="D26" s="2"/>
      <c r="E26" s="4">
        <v>4500000</v>
      </c>
      <c r="F26" s="3">
        <v>5</v>
      </c>
      <c r="G26" s="3">
        <f>+E26/30*F26</f>
        <v>750000</v>
      </c>
      <c r="H26" s="4"/>
      <c r="I26" s="4"/>
      <c r="J26" s="4"/>
      <c r="K26" s="4"/>
      <c r="L26" s="4"/>
      <c r="M26" s="4">
        <f t="shared" si="3"/>
        <v>750000</v>
      </c>
      <c r="N26" s="4">
        <f>G26*4/100</f>
        <v>30000</v>
      </c>
      <c r="O26" s="4">
        <f>+G26*0.04</f>
        <v>30000</v>
      </c>
      <c r="P26" s="4"/>
      <c r="Q26" s="4"/>
      <c r="R26" s="7"/>
      <c r="S26" s="4"/>
      <c r="T26" s="4"/>
      <c r="U26" s="4"/>
      <c r="V26" s="4">
        <f>SUM(N26:U26)</f>
        <v>60000</v>
      </c>
      <c r="W26" s="5">
        <f t="shared" si="11"/>
        <v>690000</v>
      </c>
      <c r="X26" s="5"/>
      <c r="Y26" s="64"/>
      <c r="Z26" s="5">
        <f t="shared" si="0"/>
        <v>690000</v>
      </c>
    </row>
    <row r="27" spans="1:26" ht="24.95" customHeight="1" x14ac:dyDescent="0.25">
      <c r="A27" s="65"/>
      <c r="B27" s="2">
        <v>24</v>
      </c>
      <c r="C27" s="1" t="s">
        <v>53</v>
      </c>
      <c r="D27" s="2" t="s">
        <v>31</v>
      </c>
      <c r="E27" s="4">
        <v>5300000</v>
      </c>
      <c r="F27" s="3">
        <v>30</v>
      </c>
      <c r="G27" s="3">
        <f t="shared" si="2"/>
        <v>5300000</v>
      </c>
      <c r="H27" s="4"/>
      <c r="I27" s="4"/>
      <c r="J27" s="4"/>
      <c r="K27" s="4">
        <v>1621317</v>
      </c>
      <c r="L27" s="4"/>
      <c r="M27" s="4">
        <f t="shared" si="3"/>
        <v>6921317</v>
      </c>
      <c r="N27" s="4">
        <f t="shared" si="9"/>
        <v>212000</v>
      </c>
      <c r="O27" s="4">
        <f t="shared" si="10"/>
        <v>265000</v>
      </c>
      <c r="P27" s="4"/>
      <c r="Q27" s="4"/>
      <c r="R27" s="7">
        <v>100000</v>
      </c>
      <c r="S27" s="4"/>
      <c r="T27" s="4"/>
      <c r="U27" s="4">
        <f>884747</f>
        <v>884747</v>
      </c>
      <c r="V27" s="4">
        <f t="shared" si="7"/>
        <v>1461747</v>
      </c>
      <c r="W27" s="5">
        <f t="shared" si="11"/>
        <v>5459570</v>
      </c>
      <c r="X27" s="5"/>
      <c r="Y27" s="64"/>
      <c r="Z27" s="5">
        <f t="shared" si="0"/>
        <v>5459570</v>
      </c>
    </row>
    <row r="28" spans="1:26" ht="24.95" customHeight="1" x14ac:dyDescent="0.25">
      <c r="A28" s="65"/>
      <c r="B28" s="2">
        <v>25</v>
      </c>
      <c r="C28" s="1" t="s">
        <v>54</v>
      </c>
      <c r="D28" s="2" t="s">
        <v>31</v>
      </c>
      <c r="E28" s="4">
        <v>4800000</v>
      </c>
      <c r="F28" s="3">
        <v>30</v>
      </c>
      <c r="G28" s="3">
        <f t="shared" si="2"/>
        <v>4800000</v>
      </c>
      <c r="H28" s="4"/>
      <c r="I28" s="4"/>
      <c r="J28" s="4"/>
      <c r="K28" s="4">
        <v>92925</v>
      </c>
      <c r="L28" s="4"/>
      <c r="M28" s="4">
        <f t="shared" si="3"/>
        <v>4892925</v>
      </c>
      <c r="N28" s="4">
        <f t="shared" si="9"/>
        <v>192000</v>
      </c>
      <c r="O28" s="4">
        <f t="shared" si="10"/>
        <v>240000</v>
      </c>
      <c r="P28" s="4"/>
      <c r="Q28" s="4"/>
      <c r="R28" s="7">
        <v>0</v>
      </c>
      <c r="S28" s="4"/>
      <c r="T28" s="4"/>
      <c r="U28" s="4"/>
      <c r="V28" s="4">
        <f t="shared" si="7"/>
        <v>432000</v>
      </c>
      <c r="W28" s="5">
        <f t="shared" si="11"/>
        <v>4460925</v>
      </c>
      <c r="X28" s="5"/>
      <c r="Y28" s="64"/>
      <c r="Z28" s="5">
        <f t="shared" si="0"/>
        <v>4460925</v>
      </c>
    </row>
    <row r="29" spans="1:26" ht="24.95" customHeight="1" x14ac:dyDescent="0.25">
      <c r="A29" s="65"/>
      <c r="B29" s="2">
        <v>26</v>
      </c>
      <c r="C29" s="1" t="s">
        <v>55</v>
      </c>
      <c r="D29" s="2" t="s">
        <v>31</v>
      </c>
      <c r="E29" s="4">
        <v>5500000</v>
      </c>
      <c r="F29" s="3">
        <v>30</v>
      </c>
      <c r="G29" s="3">
        <f t="shared" si="2"/>
        <v>5500000</v>
      </c>
      <c r="H29" s="4"/>
      <c r="I29" s="4"/>
      <c r="J29" s="4"/>
      <c r="K29" s="4"/>
      <c r="L29" s="4"/>
      <c r="M29" s="4">
        <f t="shared" si="3"/>
        <v>5500000</v>
      </c>
      <c r="N29" s="4">
        <f t="shared" si="9"/>
        <v>220000</v>
      </c>
      <c r="O29" s="4">
        <f t="shared" si="10"/>
        <v>275000</v>
      </c>
      <c r="P29" s="4"/>
      <c r="Q29" s="4"/>
      <c r="R29" s="4">
        <v>5022</v>
      </c>
      <c r="S29" s="4"/>
      <c r="T29" s="4"/>
      <c r="U29" s="4"/>
      <c r="V29" s="4">
        <f t="shared" si="7"/>
        <v>500022</v>
      </c>
      <c r="W29" s="5">
        <f t="shared" si="11"/>
        <v>4999978</v>
      </c>
      <c r="X29" s="5"/>
      <c r="Y29" s="64"/>
      <c r="Z29" s="5">
        <f t="shared" si="0"/>
        <v>4999978</v>
      </c>
    </row>
    <row r="30" spans="1:26" ht="24.95" customHeight="1" x14ac:dyDescent="0.25">
      <c r="A30" s="65"/>
      <c r="B30" s="2">
        <v>27</v>
      </c>
      <c r="C30" s="1" t="s">
        <v>56</v>
      </c>
      <c r="D30" s="2" t="s">
        <v>31</v>
      </c>
      <c r="E30" s="4">
        <v>5500000</v>
      </c>
      <c r="F30" s="3">
        <v>30</v>
      </c>
      <c r="G30" s="3">
        <f t="shared" si="2"/>
        <v>5500000</v>
      </c>
      <c r="H30" s="4"/>
      <c r="I30" s="4"/>
      <c r="J30" s="4"/>
      <c r="K30" s="4"/>
      <c r="L30" s="4"/>
      <c r="M30" s="4">
        <f t="shared" si="3"/>
        <v>5500000</v>
      </c>
      <c r="N30" s="4">
        <f t="shared" si="9"/>
        <v>220000</v>
      </c>
      <c r="O30" s="4">
        <f t="shared" si="10"/>
        <v>275000</v>
      </c>
      <c r="P30" s="4"/>
      <c r="Q30" s="4"/>
      <c r="R30" s="7">
        <v>141000</v>
      </c>
      <c r="S30" s="4"/>
      <c r="T30" s="4"/>
      <c r="U30" s="4"/>
      <c r="V30" s="4">
        <f t="shared" si="7"/>
        <v>636000</v>
      </c>
      <c r="W30" s="5">
        <f t="shared" si="11"/>
        <v>4864000</v>
      </c>
      <c r="X30" s="5"/>
      <c r="Y30" s="64"/>
      <c r="Z30" s="5">
        <f t="shared" si="0"/>
        <v>4864000</v>
      </c>
    </row>
    <row r="31" spans="1:26" ht="24.95" customHeight="1" x14ac:dyDescent="0.25">
      <c r="A31" s="65"/>
      <c r="B31" s="2">
        <v>28</v>
      </c>
      <c r="C31" s="1" t="s">
        <v>59</v>
      </c>
      <c r="D31" s="2" t="s">
        <v>31</v>
      </c>
      <c r="E31" s="4">
        <v>6600000</v>
      </c>
      <c r="F31" s="3">
        <v>30</v>
      </c>
      <c r="G31" s="3">
        <f t="shared" si="2"/>
        <v>6600000</v>
      </c>
      <c r="H31" s="4"/>
      <c r="I31" s="4"/>
      <c r="J31" s="4"/>
      <c r="K31" s="4"/>
      <c r="L31" s="10"/>
      <c r="M31" s="4">
        <f t="shared" si="3"/>
        <v>6600000</v>
      </c>
      <c r="N31" s="4">
        <f t="shared" si="9"/>
        <v>264000</v>
      </c>
      <c r="O31" s="4">
        <f t="shared" si="10"/>
        <v>330000</v>
      </c>
      <c r="P31" s="4"/>
      <c r="Q31" s="4">
        <v>157145</v>
      </c>
      <c r="R31" s="7">
        <v>86000</v>
      </c>
      <c r="S31" s="4"/>
      <c r="T31" s="4"/>
      <c r="U31" s="4"/>
      <c r="V31" s="4">
        <f t="shared" si="7"/>
        <v>837145</v>
      </c>
      <c r="W31" s="5">
        <f>M31-V31</f>
        <v>5762855</v>
      </c>
      <c r="X31" s="5"/>
      <c r="Y31" s="64"/>
      <c r="Z31" s="5">
        <f t="shared" si="0"/>
        <v>5762855</v>
      </c>
    </row>
    <row r="32" spans="1:26" ht="24.95" customHeight="1" x14ac:dyDescent="0.25">
      <c r="A32" s="65"/>
      <c r="B32" s="2">
        <v>29</v>
      </c>
      <c r="C32" s="1" t="s">
        <v>60</v>
      </c>
      <c r="D32" s="2"/>
      <c r="E32" s="4">
        <v>7000000</v>
      </c>
      <c r="F32" s="3">
        <v>30</v>
      </c>
      <c r="G32" s="3">
        <f t="shared" si="2"/>
        <v>7000000</v>
      </c>
      <c r="H32" s="4"/>
      <c r="I32" s="4"/>
      <c r="J32" s="4"/>
      <c r="K32" s="4"/>
      <c r="L32" s="11"/>
      <c r="M32" s="4">
        <f t="shared" si="3"/>
        <v>7000000</v>
      </c>
      <c r="N32" s="4">
        <f t="shared" si="9"/>
        <v>280000</v>
      </c>
      <c r="O32" s="4">
        <f t="shared" si="10"/>
        <v>350000</v>
      </c>
      <c r="P32" s="4"/>
      <c r="Q32" s="4"/>
      <c r="R32" s="7">
        <v>86000</v>
      </c>
      <c r="S32" s="4"/>
      <c r="T32" s="4"/>
      <c r="U32" s="4"/>
      <c r="V32" s="4">
        <f t="shared" si="7"/>
        <v>716000</v>
      </c>
      <c r="W32" s="5">
        <f>M32-V32</f>
        <v>6284000</v>
      </c>
      <c r="X32" s="5"/>
      <c r="Y32" s="64"/>
      <c r="Z32" s="5">
        <f t="shared" si="0"/>
        <v>6284000</v>
      </c>
    </row>
    <row r="33" spans="1:29" ht="24.95" customHeight="1" x14ac:dyDescent="0.25">
      <c r="A33" s="65"/>
      <c r="B33" s="2">
        <v>30</v>
      </c>
      <c r="C33" s="1" t="s">
        <v>61</v>
      </c>
      <c r="D33" s="2" t="s">
        <v>31</v>
      </c>
      <c r="E33" s="4">
        <v>3500000</v>
      </c>
      <c r="F33" s="3">
        <v>30</v>
      </c>
      <c r="G33" s="3">
        <f>3150000-233346</f>
        <v>2916654</v>
      </c>
      <c r="H33" s="4"/>
      <c r="I33" s="4"/>
      <c r="J33" s="4">
        <v>466679</v>
      </c>
      <c r="K33" s="4"/>
      <c r="L33" s="4"/>
      <c r="M33" s="4">
        <f>+G33+H33+J33+K33+L33+I33</f>
        <v>3383333</v>
      </c>
      <c r="N33" s="4">
        <f t="shared" si="9"/>
        <v>140000</v>
      </c>
      <c r="O33" s="4">
        <f t="shared" si="10"/>
        <v>175000</v>
      </c>
      <c r="P33" s="4"/>
      <c r="Q33" s="4"/>
      <c r="R33" s="7">
        <v>0</v>
      </c>
      <c r="S33" s="4"/>
      <c r="T33" s="4">
        <v>111000</v>
      </c>
      <c r="U33" s="4"/>
      <c r="V33" s="4">
        <f t="shared" si="7"/>
        <v>426000</v>
      </c>
      <c r="W33" s="5">
        <f>M33-V33</f>
        <v>2957333</v>
      </c>
      <c r="X33" s="5"/>
      <c r="Y33" s="64"/>
      <c r="Z33" s="5">
        <f t="shared" si="0"/>
        <v>2957333</v>
      </c>
    </row>
    <row r="34" spans="1:29" ht="24.95" customHeight="1" x14ac:dyDescent="0.25">
      <c r="A34" s="65"/>
      <c r="B34" s="2">
        <v>31</v>
      </c>
      <c r="C34" s="1" t="s">
        <v>62</v>
      </c>
      <c r="D34" s="2" t="s">
        <v>31</v>
      </c>
      <c r="E34" s="4">
        <v>5088000</v>
      </c>
      <c r="F34" s="3">
        <v>30</v>
      </c>
      <c r="G34" s="3">
        <f t="shared" si="2"/>
        <v>5088000</v>
      </c>
      <c r="H34" s="4"/>
      <c r="I34" s="4"/>
      <c r="J34" s="4"/>
      <c r="K34" s="4"/>
      <c r="L34" s="4"/>
      <c r="M34" s="4">
        <f t="shared" si="3"/>
        <v>5088000</v>
      </c>
      <c r="N34" s="4">
        <f>E34*4/100</f>
        <v>203520</v>
      </c>
      <c r="O34" s="4">
        <f>+E34*0.05</f>
        <v>254400</v>
      </c>
      <c r="P34" s="4"/>
      <c r="Q34" s="4"/>
      <c r="R34" s="4">
        <v>0</v>
      </c>
      <c r="S34" s="4">
        <f>1150000</f>
        <v>1150000</v>
      </c>
      <c r="T34" s="4"/>
      <c r="U34" s="4">
        <f>209579</f>
        <v>209579</v>
      </c>
      <c r="V34" s="4">
        <f t="shared" si="7"/>
        <v>1817499</v>
      </c>
      <c r="W34" s="5">
        <f>M34-V34</f>
        <v>3270501</v>
      </c>
      <c r="X34" s="5"/>
      <c r="Y34" s="64"/>
      <c r="Z34" s="5">
        <f t="shared" si="0"/>
        <v>3270501</v>
      </c>
    </row>
    <row r="35" spans="1:29" ht="24.95" customHeight="1" x14ac:dyDescent="0.25">
      <c r="A35" s="65"/>
      <c r="B35" s="2">
        <v>32</v>
      </c>
      <c r="C35" s="1" t="s">
        <v>63</v>
      </c>
      <c r="D35" s="2" t="s">
        <v>31</v>
      </c>
      <c r="E35" s="4">
        <v>4540000</v>
      </c>
      <c r="F35" s="3">
        <v>30</v>
      </c>
      <c r="G35" s="3">
        <f t="shared" si="2"/>
        <v>4540000</v>
      </c>
      <c r="H35" s="4"/>
      <c r="I35" s="4"/>
      <c r="J35" s="4"/>
      <c r="K35" s="4"/>
      <c r="L35" s="4"/>
      <c r="M35" s="4">
        <f t="shared" si="3"/>
        <v>4540000</v>
      </c>
      <c r="N35" s="4">
        <f t="shared" si="9"/>
        <v>181600</v>
      </c>
      <c r="O35" s="4">
        <f t="shared" si="10"/>
        <v>227000</v>
      </c>
      <c r="P35" s="4"/>
      <c r="Q35" s="4"/>
      <c r="R35" s="7">
        <v>0</v>
      </c>
      <c r="S35" s="4"/>
      <c r="T35" s="4"/>
      <c r="U35" s="4" t="s">
        <v>1</v>
      </c>
      <c r="V35" s="4">
        <f t="shared" si="7"/>
        <v>408600</v>
      </c>
      <c r="W35" s="5">
        <f>M35-V35</f>
        <v>4131400</v>
      </c>
      <c r="X35" s="5"/>
      <c r="Y35" s="64"/>
      <c r="Z35" s="5">
        <f t="shared" si="0"/>
        <v>4131400</v>
      </c>
    </row>
    <row r="36" spans="1:29" ht="24.95" customHeight="1" x14ac:dyDescent="0.25">
      <c r="A36" s="65"/>
      <c r="B36" s="2">
        <v>33</v>
      </c>
      <c r="C36" s="1" t="s">
        <v>64</v>
      </c>
      <c r="D36" s="2" t="s">
        <v>31</v>
      </c>
      <c r="E36" s="4">
        <v>3500000</v>
      </c>
      <c r="F36" s="3">
        <v>30</v>
      </c>
      <c r="G36" s="3">
        <f>+E36-L36</f>
        <v>2683333</v>
      </c>
      <c r="H36" s="4"/>
      <c r="I36" s="4"/>
      <c r="J36" s="4"/>
      <c r="K36" s="4"/>
      <c r="L36" s="4">
        <v>816667</v>
      </c>
      <c r="M36" s="4">
        <f t="shared" si="3"/>
        <v>3500000</v>
      </c>
      <c r="N36" s="4">
        <f t="shared" si="9"/>
        <v>140000</v>
      </c>
      <c r="O36" s="4">
        <f t="shared" si="10"/>
        <v>175000</v>
      </c>
      <c r="P36" s="4"/>
      <c r="Q36" s="4"/>
      <c r="R36" s="4">
        <v>0</v>
      </c>
      <c r="S36" s="4"/>
      <c r="T36" s="4"/>
      <c r="U36" s="4">
        <v>257196</v>
      </c>
      <c r="V36" s="4">
        <f t="shared" si="7"/>
        <v>572196</v>
      </c>
      <c r="W36" s="5">
        <f>+M36-V36</f>
        <v>2927804</v>
      </c>
      <c r="X36" s="5"/>
      <c r="Y36" s="64"/>
      <c r="Z36" s="5">
        <f t="shared" si="0"/>
        <v>2927804</v>
      </c>
    </row>
    <row r="37" spans="1:29" ht="24.95" customHeight="1" x14ac:dyDescent="0.25">
      <c r="A37" s="65"/>
      <c r="B37" s="2">
        <v>34</v>
      </c>
      <c r="C37" s="1" t="s">
        <v>65</v>
      </c>
      <c r="D37" s="2"/>
      <c r="E37" s="4">
        <v>4500000</v>
      </c>
      <c r="F37" s="3">
        <v>30</v>
      </c>
      <c r="G37" s="3">
        <f t="shared" si="2"/>
        <v>4500000</v>
      </c>
      <c r="H37" s="4"/>
      <c r="I37" s="4"/>
      <c r="J37" s="4"/>
      <c r="K37" s="4"/>
      <c r="L37" s="4"/>
      <c r="M37" s="4">
        <f t="shared" si="3"/>
        <v>4500000</v>
      </c>
      <c r="N37" s="4">
        <f t="shared" si="9"/>
        <v>180000</v>
      </c>
      <c r="O37" s="4">
        <f t="shared" si="10"/>
        <v>225000</v>
      </c>
      <c r="P37" s="4"/>
      <c r="Q37" s="4"/>
      <c r="R37" s="4">
        <v>0</v>
      </c>
      <c r="S37" s="4"/>
      <c r="T37" s="4"/>
      <c r="U37" s="4"/>
      <c r="V37" s="4">
        <f t="shared" si="7"/>
        <v>405000</v>
      </c>
      <c r="W37" s="5">
        <f>+M37-V37</f>
        <v>4095000</v>
      </c>
      <c r="X37" s="5"/>
      <c r="Y37" s="64"/>
      <c r="Z37" s="5">
        <f t="shared" si="0"/>
        <v>4095000</v>
      </c>
    </row>
    <row r="38" spans="1:29" ht="24.95" customHeight="1" x14ac:dyDescent="0.25">
      <c r="A38" s="65"/>
      <c r="B38" s="2">
        <v>35</v>
      </c>
      <c r="C38" s="1" t="s">
        <v>66</v>
      </c>
      <c r="D38" s="2" t="s">
        <v>31</v>
      </c>
      <c r="E38" s="4">
        <v>6360000</v>
      </c>
      <c r="F38" s="3">
        <v>30</v>
      </c>
      <c r="G38" s="3">
        <f>+E38-L38</f>
        <v>3604000</v>
      </c>
      <c r="H38" s="4"/>
      <c r="I38" s="4"/>
      <c r="J38" s="4"/>
      <c r="K38" s="4"/>
      <c r="L38" s="4">
        <v>2756000</v>
      </c>
      <c r="M38" s="4">
        <f t="shared" si="3"/>
        <v>6360000</v>
      </c>
      <c r="N38" s="4">
        <f t="shared" si="9"/>
        <v>254400</v>
      </c>
      <c r="O38" s="4">
        <f t="shared" si="10"/>
        <v>318000</v>
      </c>
      <c r="P38" s="4"/>
      <c r="Q38" s="4"/>
      <c r="R38" s="4">
        <v>208000</v>
      </c>
      <c r="S38" s="4"/>
      <c r="T38" s="4">
        <v>122614</v>
      </c>
      <c r="U38" s="4"/>
      <c r="V38" s="4">
        <f t="shared" si="7"/>
        <v>903014</v>
      </c>
      <c r="W38" s="5">
        <f>+M38-V38</f>
        <v>5456986</v>
      </c>
      <c r="X38" s="5"/>
      <c r="Y38" s="64"/>
      <c r="Z38" s="5">
        <f t="shared" si="0"/>
        <v>5456986</v>
      </c>
    </row>
    <row r="39" spans="1:29" ht="24.95" customHeight="1" x14ac:dyDescent="0.25">
      <c r="A39" s="65"/>
      <c r="B39" s="2">
        <v>36</v>
      </c>
      <c r="C39" s="1" t="s">
        <v>153</v>
      </c>
      <c r="D39" s="2"/>
      <c r="E39" s="4">
        <v>3500000</v>
      </c>
      <c r="F39" s="3">
        <v>19</v>
      </c>
      <c r="G39" s="3">
        <f>+E39/30*F39</f>
        <v>2216666.666666667</v>
      </c>
      <c r="H39" s="4"/>
      <c r="I39" s="4"/>
      <c r="J39" s="4"/>
      <c r="K39" s="4"/>
      <c r="L39" s="4"/>
      <c r="M39" s="4">
        <f>+G39+H39+J39+K39+L39+I39</f>
        <v>2216666.666666667</v>
      </c>
      <c r="N39" s="4">
        <f>G39*4/100</f>
        <v>88666.666666666686</v>
      </c>
      <c r="O39" s="4">
        <f>+G39*0.04</f>
        <v>88666.666666666686</v>
      </c>
      <c r="P39" s="4"/>
      <c r="Q39" s="4"/>
      <c r="R39" s="4">
        <v>0</v>
      </c>
      <c r="S39" s="4"/>
      <c r="T39" s="4">
        <v>0</v>
      </c>
      <c r="U39" s="4"/>
      <c r="V39" s="4">
        <f t="shared" ref="V39" si="12">SUM(N39:U39)</f>
        <v>177333.33333333337</v>
      </c>
      <c r="W39" s="5">
        <f>+M39-V39</f>
        <v>2039333.3333333335</v>
      </c>
      <c r="X39" s="5"/>
      <c r="Y39" s="64"/>
      <c r="Z39" s="5">
        <f t="shared" si="0"/>
        <v>2039333.3333333335</v>
      </c>
    </row>
    <row r="40" spans="1:29" ht="24.95" customHeight="1" x14ac:dyDescent="0.25">
      <c r="A40" s="65"/>
      <c r="B40" s="2">
        <v>37</v>
      </c>
      <c r="C40" s="1" t="s">
        <v>67</v>
      </c>
      <c r="D40" s="2" t="s">
        <v>31</v>
      </c>
      <c r="E40" s="4">
        <v>4770000</v>
      </c>
      <c r="F40" s="3">
        <v>30</v>
      </c>
      <c r="G40" s="3">
        <f t="shared" si="2"/>
        <v>4770000</v>
      </c>
      <c r="H40" s="4"/>
      <c r="I40" s="4"/>
      <c r="J40" s="4"/>
      <c r="K40" s="4">
        <v>500000</v>
      </c>
      <c r="L40" s="4"/>
      <c r="M40" s="4">
        <f t="shared" si="3"/>
        <v>5270000</v>
      </c>
      <c r="N40" s="4">
        <f t="shared" si="9"/>
        <v>190800</v>
      </c>
      <c r="O40" s="4">
        <f t="shared" si="10"/>
        <v>238500</v>
      </c>
      <c r="P40" s="4"/>
      <c r="Q40" s="4"/>
      <c r="R40" s="4">
        <v>0</v>
      </c>
      <c r="S40" s="4"/>
      <c r="T40" s="4"/>
      <c r="U40" s="4">
        <v>551399</v>
      </c>
      <c r="V40" s="4">
        <f t="shared" si="7"/>
        <v>980699</v>
      </c>
      <c r="W40" s="5">
        <f>+M40-V40</f>
        <v>4289301</v>
      </c>
      <c r="X40" s="5"/>
      <c r="Y40" s="64"/>
      <c r="Z40" s="5">
        <f t="shared" si="0"/>
        <v>4289301</v>
      </c>
      <c r="AA40" s="62" t="s">
        <v>68</v>
      </c>
    </row>
    <row r="41" spans="1:29" ht="24.95" customHeight="1" x14ac:dyDescent="0.25">
      <c r="A41" s="65"/>
      <c r="B41" s="2">
        <v>38</v>
      </c>
      <c r="C41" s="1" t="s">
        <v>69</v>
      </c>
      <c r="D41" s="2" t="s">
        <v>31</v>
      </c>
      <c r="E41" s="4">
        <v>6000000</v>
      </c>
      <c r="F41" s="3">
        <v>30</v>
      </c>
      <c r="G41" s="3">
        <f t="shared" si="2"/>
        <v>6000000</v>
      </c>
      <c r="H41" s="4"/>
      <c r="I41" s="4"/>
      <c r="J41" s="4"/>
      <c r="K41" s="4"/>
      <c r="L41" s="4"/>
      <c r="M41" s="4">
        <f t="shared" si="3"/>
        <v>6000000</v>
      </c>
      <c r="N41" s="4">
        <f t="shared" si="9"/>
        <v>240000</v>
      </c>
      <c r="O41" s="4">
        <f t="shared" si="10"/>
        <v>300000</v>
      </c>
      <c r="P41" s="4">
        <v>0</v>
      </c>
      <c r="Q41" s="4"/>
      <c r="R41" s="4">
        <v>0</v>
      </c>
      <c r="S41" s="4"/>
      <c r="T41" s="4"/>
      <c r="U41" s="4"/>
      <c r="V41" s="4">
        <f t="shared" si="7"/>
        <v>540000</v>
      </c>
      <c r="W41" s="5">
        <f>M41-V41</f>
        <v>5460000</v>
      </c>
      <c r="X41" s="5"/>
      <c r="Y41" s="64"/>
      <c r="Z41" s="5">
        <f t="shared" si="0"/>
        <v>5460000</v>
      </c>
    </row>
    <row r="42" spans="1:29" ht="24.95" customHeight="1" x14ac:dyDescent="0.25">
      <c r="A42" s="65"/>
      <c r="B42" s="2">
        <v>39</v>
      </c>
      <c r="C42" s="1" t="s">
        <v>70</v>
      </c>
      <c r="D42" s="2" t="s">
        <v>31</v>
      </c>
      <c r="E42" s="4">
        <v>6420000</v>
      </c>
      <c r="F42" s="3">
        <v>30</v>
      </c>
      <c r="G42" s="3">
        <f t="shared" si="2"/>
        <v>6420000</v>
      </c>
      <c r="H42" s="4"/>
      <c r="I42" s="4"/>
      <c r="J42" s="4"/>
      <c r="K42" s="4"/>
      <c r="L42" s="4"/>
      <c r="M42" s="4">
        <f t="shared" si="3"/>
        <v>6420000</v>
      </c>
      <c r="N42" s="4">
        <f t="shared" si="9"/>
        <v>256800</v>
      </c>
      <c r="O42" s="4">
        <f t="shared" si="10"/>
        <v>321000</v>
      </c>
      <c r="P42" s="4"/>
      <c r="Q42" s="4"/>
      <c r="R42" s="4">
        <v>231000</v>
      </c>
      <c r="S42" s="4"/>
      <c r="T42" s="4"/>
      <c r="U42" s="4"/>
      <c r="V42" s="4">
        <f t="shared" si="7"/>
        <v>808800</v>
      </c>
      <c r="W42" s="5">
        <f>+M42-V42</f>
        <v>5611200</v>
      </c>
      <c r="X42" s="5"/>
      <c r="Y42" s="64"/>
      <c r="Z42" s="5">
        <f t="shared" si="0"/>
        <v>5611200</v>
      </c>
    </row>
    <row r="43" spans="1:29" ht="24.95" customHeight="1" x14ac:dyDescent="0.25">
      <c r="A43" s="65"/>
      <c r="B43" s="2">
        <v>40</v>
      </c>
      <c r="C43" s="9" t="s">
        <v>71</v>
      </c>
      <c r="D43" s="8" t="s">
        <v>31</v>
      </c>
      <c r="E43" s="4">
        <v>7590000</v>
      </c>
      <c r="F43" s="3">
        <v>30</v>
      </c>
      <c r="G43" s="3">
        <f t="shared" si="2"/>
        <v>7590000</v>
      </c>
      <c r="H43" s="4"/>
      <c r="I43" s="4">
        <v>0</v>
      </c>
      <c r="J43" s="4"/>
      <c r="K43" s="4">
        <v>1500000</v>
      </c>
      <c r="L43" s="11"/>
      <c r="M43" s="4">
        <f t="shared" si="3"/>
        <v>9090000</v>
      </c>
      <c r="N43" s="4">
        <f t="shared" si="9"/>
        <v>303600</v>
      </c>
      <c r="O43" s="4">
        <f t="shared" si="10"/>
        <v>379500</v>
      </c>
      <c r="P43" s="4"/>
      <c r="Q43" s="4"/>
      <c r="R43" s="4">
        <v>449811</v>
      </c>
      <c r="S43" s="4"/>
      <c r="T43" s="4"/>
      <c r="U43" s="4"/>
      <c r="V43" s="4">
        <f t="shared" si="7"/>
        <v>1132911</v>
      </c>
      <c r="W43" s="5">
        <f>M43-V43</f>
        <v>7957089</v>
      </c>
      <c r="X43" s="5"/>
      <c r="Y43" s="64"/>
      <c r="Z43" s="5">
        <f t="shared" si="0"/>
        <v>7957089</v>
      </c>
    </row>
    <row r="44" spans="1:29" ht="24.95" customHeight="1" x14ac:dyDescent="0.25">
      <c r="A44" s="65"/>
      <c r="B44" s="2">
        <v>41</v>
      </c>
      <c r="C44" s="9" t="s">
        <v>72</v>
      </c>
      <c r="D44" s="8" t="s">
        <v>31</v>
      </c>
      <c r="E44" s="4">
        <v>6000000</v>
      </c>
      <c r="F44" s="3">
        <v>30</v>
      </c>
      <c r="G44" s="3">
        <f>+E44-L44</f>
        <v>5000000</v>
      </c>
      <c r="H44" s="4"/>
      <c r="I44" s="4"/>
      <c r="J44" s="4">
        <v>0</v>
      </c>
      <c r="K44" s="4">
        <v>500000</v>
      </c>
      <c r="L44" s="4">
        <v>1000000</v>
      </c>
      <c r="M44" s="4">
        <f t="shared" si="3"/>
        <v>6500000</v>
      </c>
      <c r="N44" s="4">
        <f t="shared" si="9"/>
        <v>240000</v>
      </c>
      <c r="O44" s="4">
        <f t="shared" si="10"/>
        <v>300000</v>
      </c>
      <c r="P44" s="4"/>
      <c r="Q44" s="4"/>
      <c r="R44" s="4">
        <v>144000</v>
      </c>
      <c r="S44" s="4"/>
      <c r="T44" s="4"/>
      <c r="U44" s="4"/>
      <c r="V44" s="4">
        <f t="shared" si="7"/>
        <v>684000</v>
      </c>
      <c r="W44" s="5">
        <f>M44-V44</f>
        <v>5816000</v>
      </c>
      <c r="X44" s="5"/>
      <c r="Y44" s="64"/>
      <c r="Z44" s="5">
        <f t="shared" si="0"/>
        <v>5816000</v>
      </c>
    </row>
    <row r="45" spans="1:29" ht="24.95" customHeight="1" x14ac:dyDescent="0.25">
      <c r="A45" s="65"/>
      <c r="B45" s="2">
        <v>42</v>
      </c>
      <c r="C45" s="1" t="s">
        <v>73</v>
      </c>
      <c r="D45" s="2" t="s">
        <v>31</v>
      </c>
      <c r="E45" s="4">
        <v>5350000</v>
      </c>
      <c r="F45" s="3">
        <v>30</v>
      </c>
      <c r="G45" s="3">
        <f t="shared" si="2"/>
        <v>5350000</v>
      </c>
      <c r="H45" s="4"/>
      <c r="I45" s="4"/>
      <c r="J45" s="4"/>
      <c r="K45" s="4"/>
      <c r="L45" s="4"/>
      <c r="M45" s="4">
        <f t="shared" si="3"/>
        <v>5350000</v>
      </c>
      <c r="N45" s="4">
        <f t="shared" si="9"/>
        <v>214000</v>
      </c>
      <c r="O45" s="4">
        <f t="shared" si="10"/>
        <v>267500</v>
      </c>
      <c r="P45" s="4"/>
      <c r="Q45" s="4"/>
      <c r="R45" s="4">
        <v>121000</v>
      </c>
      <c r="S45" s="4"/>
      <c r="T45" s="4"/>
      <c r="U45" s="4"/>
      <c r="V45" s="4">
        <f t="shared" si="7"/>
        <v>602500</v>
      </c>
      <c r="W45" s="5">
        <f t="shared" ref="W45:W51" si="13">+M45-V45</f>
        <v>4747500</v>
      </c>
      <c r="X45" s="5"/>
      <c r="Y45" s="64"/>
      <c r="Z45" s="5">
        <f t="shared" si="0"/>
        <v>4747500</v>
      </c>
    </row>
    <row r="46" spans="1:29" ht="24.95" customHeight="1" x14ac:dyDescent="0.25">
      <c r="A46" s="65"/>
      <c r="B46" s="2">
        <v>43</v>
      </c>
      <c r="C46" s="1" t="s">
        <v>74</v>
      </c>
      <c r="D46" s="2"/>
      <c r="E46" s="4">
        <v>4000000</v>
      </c>
      <c r="F46" s="3">
        <v>30</v>
      </c>
      <c r="G46" s="3">
        <f>+E46-L46</f>
        <v>2666667</v>
      </c>
      <c r="H46" s="4"/>
      <c r="I46" s="4"/>
      <c r="J46" s="4"/>
      <c r="K46" s="4"/>
      <c r="L46" s="4">
        <v>1333333</v>
      </c>
      <c r="M46" s="4">
        <f t="shared" si="3"/>
        <v>4000000</v>
      </c>
      <c r="N46" s="4">
        <f t="shared" si="9"/>
        <v>160000</v>
      </c>
      <c r="O46" s="4">
        <f t="shared" si="10"/>
        <v>200000</v>
      </c>
      <c r="P46" s="4"/>
      <c r="Q46" s="4"/>
      <c r="R46" s="4">
        <v>0</v>
      </c>
      <c r="S46" s="4"/>
      <c r="T46" s="4"/>
      <c r="U46" s="4"/>
      <c r="V46" s="4">
        <f t="shared" si="7"/>
        <v>360000</v>
      </c>
      <c r="W46" s="5">
        <f t="shared" si="13"/>
        <v>3640000</v>
      </c>
      <c r="X46" s="5"/>
      <c r="Y46" s="64"/>
      <c r="Z46" s="5">
        <f t="shared" si="0"/>
        <v>3640000</v>
      </c>
    </row>
    <row r="47" spans="1:29" ht="24.95" customHeight="1" x14ac:dyDescent="0.25">
      <c r="A47" s="65"/>
      <c r="B47" s="2">
        <v>44</v>
      </c>
      <c r="C47" s="1" t="s">
        <v>75</v>
      </c>
      <c r="D47" s="2" t="s">
        <v>31</v>
      </c>
      <c r="E47" s="4">
        <v>4770000</v>
      </c>
      <c r="F47" s="3">
        <v>30</v>
      </c>
      <c r="G47" s="3">
        <f t="shared" si="2"/>
        <v>4770000</v>
      </c>
      <c r="H47" s="4"/>
      <c r="I47" s="4"/>
      <c r="J47" s="4"/>
      <c r="K47" s="4"/>
      <c r="L47" s="4"/>
      <c r="M47" s="4">
        <f t="shared" si="3"/>
        <v>4770000</v>
      </c>
      <c r="N47" s="4">
        <f t="shared" si="9"/>
        <v>190800</v>
      </c>
      <c r="O47" s="4">
        <f t="shared" si="10"/>
        <v>238500</v>
      </c>
      <c r="P47" s="4"/>
      <c r="Q47" s="4"/>
      <c r="R47" s="4">
        <v>0</v>
      </c>
      <c r="S47" s="4"/>
      <c r="T47" s="4"/>
      <c r="U47" s="4">
        <v>317224</v>
      </c>
      <c r="V47" s="4">
        <f t="shared" si="7"/>
        <v>746524</v>
      </c>
      <c r="W47" s="5">
        <f t="shared" si="13"/>
        <v>4023476</v>
      </c>
      <c r="X47" s="5"/>
      <c r="Y47" s="64"/>
      <c r="Z47" s="5">
        <f t="shared" si="0"/>
        <v>4023476</v>
      </c>
      <c r="AC47" s="62">
        <f>1840000-1196000</f>
        <v>644000</v>
      </c>
    </row>
    <row r="48" spans="1:29" ht="24.95" customHeight="1" x14ac:dyDescent="0.25">
      <c r="A48" s="65"/>
      <c r="B48" s="2">
        <v>45</v>
      </c>
      <c r="C48" s="1" t="s">
        <v>76</v>
      </c>
      <c r="D48" s="2" t="s">
        <v>31</v>
      </c>
      <c r="E48" s="4">
        <v>4800000</v>
      </c>
      <c r="F48" s="3">
        <v>30</v>
      </c>
      <c r="G48" s="3">
        <f>+E48-L48</f>
        <v>3040000</v>
      </c>
      <c r="H48" s="4"/>
      <c r="I48" s="4"/>
      <c r="J48" s="4"/>
      <c r="K48" s="4"/>
      <c r="L48" s="4">
        <v>1760000</v>
      </c>
      <c r="M48" s="4">
        <f t="shared" si="3"/>
        <v>4800000</v>
      </c>
      <c r="N48" s="4">
        <f t="shared" si="9"/>
        <v>192000</v>
      </c>
      <c r="O48" s="4">
        <f t="shared" si="10"/>
        <v>240000</v>
      </c>
      <c r="P48" s="4"/>
      <c r="Q48" s="4"/>
      <c r="R48" s="4">
        <v>0</v>
      </c>
      <c r="S48" s="4"/>
      <c r="T48" s="4"/>
      <c r="U48" s="4">
        <v>1198791</v>
      </c>
      <c r="V48" s="4">
        <f t="shared" si="7"/>
        <v>1630791</v>
      </c>
      <c r="W48" s="5">
        <f t="shared" si="13"/>
        <v>3169209</v>
      </c>
      <c r="X48" s="5"/>
      <c r="Y48" s="64"/>
      <c r="Z48" s="5">
        <f t="shared" si="0"/>
        <v>3169209</v>
      </c>
    </row>
    <row r="49" spans="1:29" ht="24.95" customHeight="1" x14ac:dyDescent="0.25">
      <c r="A49" s="65"/>
      <c r="B49" s="2">
        <v>46</v>
      </c>
      <c r="C49" s="1" t="s">
        <v>77</v>
      </c>
      <c r="D49" s="2"/>
      <c r="E49" s="4">
        <v>4000000</v>
      </c>
      <c r="F49" s="3">
        <v>30</v>
      </c>
      <c r="G49" s="3">
        <f>+E49-L49</f>
        <v>3466667</v>
      </c>
      <c r="H49" s="4"/>
      <c r="I49" s="4"/>
      <c r="J49" s="4"/>
      <c r="K49" s="4"/>
      <c r="L49" s="4">
        <v>533333</v>
      </c>
      <c r="M49" s="4">
        <f t="shared" si="3"/>
        <v>4000000</v>
      </c>
      <c r="N49" s="4">
        <f>E49*4/100</f>
        <v>160000</v>
      </c>
      <c r="O49" s="4">
        <f t="shared" si="10"/>
        <v>200000</v>
      </c>
      <c r="P49" s="4"/>
      <c r="Q49" s="4"/>
      <c r="R49" s="4">
        <v>0</v>
      </c>
      <c r="S49" s="4"/>
      <c r="T49" s="4"/>
      <c r="U49" s="4">
        <v>141077</v>
      </c>
      <c r="V49" s="4">
        <f t="shared" si="7"/>
        <v>501077</v>
      </c>
      <c r="W49" s="5">
        <f t="shared" si="13"/>
        <v>3498923</v>
      </c>
      <c r="X49" s="5"/>
      <c r="Y49" s="64"/>
      <c r="Z49" s="5">
        <f t="shared" si="0"/>
        <v>3498923</v>
      </c>
    </row>
    <row r="50" spans="1:29" ht="24.95" customHeight="1" x14ac:dyDescent="0.25">
      <c r="A50" s="65"/>
      <c r="B50" s="2">
        <v>47</v>
      </c>
      <c r="C50" s="1" t="s">
        <v>78</v>
      </c>
      <c r="D50" s="2" t="s">
        <v>31</v>
      </c>
      <c r="E50" s="4">
        <v>6000000</v>
      </c>
      <c r="F50" s="3">
        <v>30</v>
      </c>
      <c r="G50" s="3">
        <f t="shared" si="2"/>
        <v>6000000</v>
      </c>
      <c r="H50" s="4"/>
      <c r="I50" s="4"/>
      <c r="J50" s="4"/>
      <c r="K50" s="4">
        <v>400000</v>
      </c>
      <c r="L50" s="4"/>
      <c r="M50" s="4">
        <f t="shared" si="3"/>
        <v>6400000</v>
      </c>
      <c r="N50" s="4">
        <f t="shared" si="9"/>
        <v>240000</v>
      </c>
      <c r="O50" s="4">
        <f t="shared" si="10"/>
        <v>300000</v>
      </c>
      <c r="P50" s="4"/>
      <c r="Q50" s="4"/>
      <c r="R50" s="4">
        <v>126000</v>
      </c>
      <c r="S50" s="4"/>
      <c r="T50" s="4"/>
      <c r="U50" s="4"/>
      <c r="V50" s="4">
        <f t="shared" si="7"/>
        <v>666000</v>
      </c>
      <c r="W50" s="5">
        <f t="shared" si="13"/>
        <v>5734000</v>
      </c>
      <c r="X50" s="5"/>
      <c r="Y50" s="64"/>
      <c r="Z50" s="5">
        <f t="shared" si="0"/>
        <v>5734000</v>
      </c>
    </row>
    <row r="51" spans="1:29" ht="24.95" customHeight="1" x14ac:dyDescent="0.25">
      <c r="A51" s="65"/>
      <c r="B51" s="2">
        <v>48</v>
      </c>
      <c r="C51" s="1" t="s">
        <v>154</v>
      </c>
      <c r="D51" s="2"/>
      <c r="E51" s="4">
        <v>4000000</v>
      </c>
      <c r="F51" s="3">
        <v>11</v>
      </c>
      <c r="G51" s="3">
        <f t="shared" si="2"/>
        <v>1466666.6666666667</v>
      </c>
      <c r="H51" s="4"/>
      <c r="I51" s="4"/>
      <c r="J51" s="4"/>
      <c r="K51" s="4"/>
      <c r="L51" s="4"/>
      <c r="M51" s="4">
        <f t="shared" si="3"/>
        <v>1466666.6666666667</v>
      </c>
      <c r="N51" s="4">
        <f>G51*4/100</f>
        <v>58666.666666666672</v>
      </c>
      <c r="O51" s="4">
        <f>+G51*0.05</f>
        <v>73333.333333333343</v>
      </c>
      <c r="P51" s="4"/>
      <c r="Q51" s="4"/>
      <c r="R51" s="4"/>
      <c r="S51" s="4"/>
      <c r="T51" s="4"/>
      <c r="U51" s="4"/>
      <c r="V51" s="4">
        <f t="shared" ref="V51" si="14">SUM(N51:U51)</f>
        <v>132000</v>
      </c>
      <c r="W51" s="5">
        <f t="shared" si="13"/>
        <v>1334666.6666666667</v>
      </c>
      <c r="X51" s="5"/>
      <c r="Y51" s="64"/>
      <c r="Z51" s="5">
        <f t="shared" si="0"/>
        <v>1334666.6666666667</v>
      </c>
    </row>
    <row r="52" spans="1:29" ht="24.95" customHeight="1" x14ac:dyDescent="0.25">
      <c r="A52" s="65"/>
      <c r="B52" s="2">
        <v>49</v>
      </c>
      <c r="C52" s="1" t="s">
        <v>79</v>
      </c>
      <c r="D52" s="2" t="s">
        <v>31</v>
      </c>
      <c r="E52" s="4">
        <v>4500000</v>
      </c>
      <c r="F52" s="3">
        <v>30</v>
      </c>
      <c r="G52" s="3">
        <f t="shared" si="2"/>
        <v>4500000</v>
      </c>
      <c r="H52" s="4"/>
      <c r="I52" s="4"/>
      <c r="J52" s="4"/>
      <c r="K52" s="4"/>
      <c r="L52" s="4">
        <v>0</v>
      </c>
      <c r="M52" s="4">
        <f t="shared" si="3"/>
        <v>4500000</v>
      </c>
      <c r="N52" s="4">
        <f t="shared" si="9"/>
        <v>180000</v>
      </c>
      <c r="O52" s="4">
        <f t="shared" si="10"/>
        <v>225000</v>
      </c>
      <c r="P52" s="4"/>
      <c r="Q52" s="4"/>
      <c r="R52" s="4">
        <v>0</v>
      </c>
      <c r="S52" s="4"/>
      <c r="T52" s="4"/>
      <c r="U52" s="4"/>
      <c r="V52" s="4">
        <f t="shared" si="7"/>
        <v>405000</v>
      </c>
      <c r="W52" s="5">
        <f>M52-V52</f>
        <v>4095000</v>
      </c>
      <c r="X52" s="5"/>
      <c r="Y52" s="64"/>
      <c r="Z52" s="5">
        <f t="shared" si="0"/>
        <v>4095000</v>
      </c>
      <c r="AC52" s="62">
        <f>1840000-1196000</f>
        <v>644000</v>
      </c>
    </row>
    <row r="53" spans="1:29" ht="24.95" customHeight="1" x14ac:dyDescent="0.25">
      <c r="A53" s="65"/>
      <c r="B53" s="2">
        <v>50</v>
      </c>
      <c r="C53" s="1" t="s">
        <v>80</v>
      </c>
      <c r="D53" s="2" t="s">
        <v>31</v>
      </c>
      <c r="E53" s="4">
        <v>6000000</v>
      </c>
      <c r="F53" s="3">
        <v>30</v>
      </c>
      <c r="G53" s="3">
        <f t="shared" si="2"/>
        <v>6000000</v>
      </c>
      <c r="H53" s="4"/>
      <c r="I53" s="4"/>
      <c r="J53" s="4"/>
      <c r="K53" s="4">
        <v>400000</v>
      </c>
      <c r="L53" s="4"/>
      <c r="M53" s="4">
        <f t="shared" si="3"/>
        <v>6400000</v>
      </c>
      <c r="N53" s="4">
        <f t="shared" si="9"/>
        <v>240000</v>
      </c>
      <c r="O53" s="4">
        <f t="shared" si="10"/>
        <v>300000</v>
      </c>
      <c r="P53" s="4"/>
      <c r="Q53" s="4"/>
      <c r="R53" s="4">
        <v>120000</v>
      </c>
      <c r="S53" s="4"/>
      <c r="T53" s="4"/>
      <c r="U53" s="4"/>
      <c r="V53" s="4">
        <f t="shared" si="7"/>
        <v>660000</v>
      </c>
      <c r="W53" s="5">
        <f>M53-V53</f>
        <v>5740000</v>
      </c>
      <c r="X53" s="5"/>
      <c r="Y53" s="64"/>
      <c r="Z53" s="5">
        <f t="shared" si="0"/>
        <v>5740000</v>
      </c>
    </row>
    <row r="54" spans="1:29" ht="24.95" customHeight="1" x14ac:dyDescent="0.25">
      <c r="A54" s="65"/>
      <c r="B54" s="2">
        <v>51</v>
      </c>
      <c r="C54" s="1" t="s">
        <v>81</v>
      </c>
      <c r="D54" s="2"/>
      <c r="E54" s="4">
        <v>4800000</v>
      </c>
      <c r="F54" s="3">
        <v>30</v>
      </c>
      <c r="G54" s="3">
        <f>+E54-L54</f>
        <v>4480000</v>
      </c>
      <c r="H54" s="4"/>
      <c r="I54" s="4"/>
      <c r="J54" s="4"/>
      <c r="K54" s="4"/>
      <c r="L54" s="4">
        <v>320000</v>
      </c>
      <c r="M54" s="4">
        <f t="shared" si="3"/>
        <v>4800000</v>
      </c>
      <c r="N54" s="4">
        <f>+E54*4%</f>
        <v>192000</v>
      </c>
      <c r="O54" s="4">
        <f>+E54*5%</f>
        <v>240000</v>
      </c>
      <c r="P54" s="4"/>
      <c r="Q54" s="4"/>
      <c r="R54" s="4">
        <v>0</v>
      </c>
      <c r="S54" s="4"/>
      <c r="T54" s="4"/>
      <c r="U54" s="4"/>
      <c r="V54" s="4">
        <f t="shared" si="7"/>
        <v>432000</v>
      </c>
      <c r="W54" s="5">
        <f>+M54-V54</f>
        <v>4368000</v>
      </c>
      <c r="X54" s="5"/>
      <c r="Y54" s="64"/>
      <c r="Z54" s="5">
        <f t="shared" si="0"/>
        <v>4368000</v>
      </c>
    </row>
    <row r="55" spans="1:29" ht="24.95" customHeight="1" x14ac:dyDescent="0.25">
      <c r="A55" s="65"/>
      <c r="B55" s="2">
        <v>52</v>
      </c>
      <c r="C55" s="1" t="s">
        <v>155</v>
      </c>
      <c r="D55" s="2"/>
      <c r="E55" s="4">
        <v>4500000</v>
      </c>
      <c r="F55" s="3">
        <v>11</v>
      </c>
      <c r="G55" s="3">
        <f t="shared" si="2"/>
        <v>1650000</v>
      </c>
      <c r="H55" s="4"/>
      <c r="I55" s="4"/>
      <c r="J55" s="4"/>
      <c r="K55" s="4"/>
      <c r="L55" s="4"/>
      <c r="M55" s="4">
        <f t="shared" si="3"/>
        <v>1650000</v>
      </c>
      <c r="N55" s="4">
        <f>+G55*4%</f>
        <v>66000</v>
      </c>
      <c r="O55" s="4">
        <f>+G55*5%</f>
        <v>82500</v>
      </c>
      <c r="P55" s="4"/>
      <c r="Q55" s="4"/>
      <c r="R55" s="4"/>
      <c r="S55" s="4"/>
      <c r="T55" s="4"/>
      <c r="U55" s="4"/>
      <c r="V55" s="4">
        <f t="shared" ref="V55" si="15">SUM(N55:U55)</f>
        <v>148500</v>
      </c>
      <c r="W55" s="5">
        <f>+M55-V55</f>
        <v>1501500</v>
      </c>
      <c r="X55" s="5"/>
      <c r="Y55" s="64"/>
      <c r="Z55" s="5">
        <f t="shared" si="0"/>
        <v>1501500</v>
      </c>
    </row>
    <row r="56" spans="1:29" ht="24.95" customHeight="1" x14ac:dyDescent="0.25">
      <c r="A56" s="65"/>
      <c r="B56" s="2">
        <v>53</v>
      </c>
      <c r="C56" s="1" t="s">
        <v>82</v>
      </c>
      <c r="D56" s="2"/>
      <c r="E56" s="4">
        <v>6500000</v>
      </c>
      <c r="F56" s="3">
        <v>30</v>
      </c>
      <c r="G56" s="3">
        <f t="shared" si="2"/>
        <v>6500000</v>
      </c>
      <c r="H56" s="4"/>
      <c r="I56" s="4"/>
      <c r="J56" s="4"/>
      <c r="K56" s="4"/>
      <c r="L56" s="4"/>
      <c r="M56" s="4">
        <f t="shared" si="3"/>
        <v>6500000</v>
      </c>
      <c r="N56" s="4">
        <f>+E56*0.04</f>
        <v>260000</v>
      </c>
      <c r="O56" s="4">
        <f>+E56*0.05</f>
        <v>325000</v>
      </c>
      <c r="P56" s="4"/>
      <c r="Q56" s="4"/>
      <c r="R56" s="4">
        <v>207372</v>
      </c>
      <c r="S56" s="4"/>
      <c r="T56" s="4"/>
      <c r="U56" s="4"/>
      <c r="V56" s="4">
        <f t="shared" si="7"/>
        <v>792372</v>
      </c>
      <c r="W56" s="5">
        <f>M56-V56</f>
        <v>5707628</v>
      </c>
      <c r="X56" s="5"/>
      <c r="Y56" s="64"/>
      <c r="Z56" s="5">
        <f t="shared" si="0"/>
        <v>5707628</v>
      </c>
    </row>
    <row r="57" spans="1:29" ht="24.95" customHeight="1" x14ac:dyDescent="0.25">
      <c r="A57" s="65" t="s">
        <v>83</v>
      </c>
      <c r="B57" s="2">
        <v>1</v>
      </c>
      <c r="C57" s="1" t="s">
        <v>84</v>
      </c>
      <c r="D57" s="2"/>
      <c r="E57" s="4">
        <v>912000</v>
      </c>
      <c r="F57" s="3">
        <v>30</v>
      </c>
      <c r="G57" s="3">
        <f t="shared" si="2"/>
        <v>912000</v>
      </c>
      <c r="H57" s="4">
        <v>88211</v>
      </c>
      <c r="I57" s="4"/>
      <c r="J57" s="4"/>
      <c r="K57" s="4"/>
      <c r="L57" s="4"/>
      <c r="M57" s="4">
        <f t="shared" si="3"/>
        <v>1000211</v>
      </c>
      <c r="N57" s="4">
        <f>+E57*0.04</f>
        <v>36480</v>
      </c>
      <c r="O57" s="4">
        <f>+E57*0.04</f>
        <v>36480</v>
      </c>
      <c r="P57" s="4"/>
      <c r="Q57" s="4"/>
      <c r="R57" s="4"/>
      <c r="S57" s="4"/>
      <c r="T57" s="4"/>
      <c r="U57" s="4"/>
      <c r="V57" s="4">
        <f>SUM(N57:U57)</f>
        <v>72960</v>
      </c>
      <c r="W57" s="5">
        <f>M57-V57</f>
        <v>927251</v>
      </c>
      <c r="X57" s="5"/>
      <c r="Y57" s="64"/>
      <c r="Z57" s="5">
        <f t="shared" si="0"/>
        <v>927251</v>
      </c>
    </row>
    <row r="58" spans="1:29" ht="24.95" customHeight="1" x14ac:dyDescent="0.25">
      <c r="A58" s="65"/>
      <c r="B58" s="2">
        <f>+B57+1</f>
        <v>2</v>
      </c>
      <c r="C58" s="1" t="s">
        <v>85</v>
      </c>
      <c r="D58" s="2" t="s">
        <v>31</v>
      </c>
      <c r="E58" s="4">
        <v>3000000</v>
      </c>
      <c r="F58" s="3">
        <v>30</v>
      </c>
      <c r="G58" s="3">
        <f t="shared" si="2"/>
        <v>3000000</v>
      </c>
      <c r="H58" s="4"/>
      <c r="I58" s="4"/>
      <c r="J58" s="4"/>
      <c r="K58" s="4"/>
      <c r="L58" s="4">
        <f>+E58-G58</f>
        <v>0</v>
      </c>
      <c r="M58" s="4">
        <f t="shared" si="3"/>
        <v>3000000</v>
      </c>
      <c r="N58" s="4">
        <f>+E58*0.04</f>
        <v>120000</v>
      </c>
      <c r="O58" s="4">
        <f>+E58*0.04</f>
        <v>120000</v>
      </c>
      <c r="P58" s="4"/>
      <c r="Q58" s="4"/>
      <c r="R58" s="4"/>
      <c r="S58" s="4"/>
      <c r="T58" s="4"/>
      <c r="U58" s="4">
        <f>481778</f>
        <v>481778</v>
      </c>
      <c r="V58" s="4">
        <f t="shared" ref="V58:V110" si="16">SUM(N58:U58)</f>
        <v>721778</v>
      </c>
      <c r="W58" s="5">
        <f>M58-V58</f>
        <v>2278222</v>
      </c>
      <c r="X58" s="5"/>
      <c r="Y58" s="64"/>
      <c r="Z58" s="5">
        <f t="shared" si="0"/>
        <v>2278222</v>
      </c>
    </row>
    <row r="59" spans="1:29" ht="24.95" customHeight="1" x14ac:dyDescent="0.25">
      <c r="A59" s="65"/>
      <c r="B59" s="2">
        <f t="shared" ref="B59:B110" si="17">+B58+1</f>
        <v>3</v>
      </c>
      <c r="C59" s="9" t="s">
        <v>86</v>
      </c>
      <c r="D59" s="8" t="s">
        <v>31</v>
      </c>
      <c r="E59" s="4">
        <v>2500000</v>
      </c>
      <c r="F59" s="3">
        <v>30</v>
      </c>
      <c r="G59" s="3">
        <f t="shared" si="2"/>
        <v>2500000</v>
      </c>
      <c r="H59" s="4"/>
      <c r="I59" s="4"/>
      <c r="J59" s="4">
        <v>0</v>
      </c>
      <c r="K59" s="4"/>
      <c r="L59" s="4"/>
      <c r="M59" s="4">
        <f t="shared" si="3"/>
        <v>2500000</v>
      </c>
      <c r="N59" s="4">
        <f>+E59*4%</f>
        <v>100000</v>
      </c>
      <c r="O59" s="4">
        <f>+E59*4%</f>
        <v>100000</v>
      </c>
      <c r="P59" s="4"/>
      <c r="Q59" s="4"/>
      <c r="R59" s="4"/>
      <c r="S59" s="4"/>
      <c r="T59" s="4"/>
      <c r="U59" s="4"/>
      <c r="V59" s="4">
        <f t="shared" si="16"/>
        <v>200000</v>
      </c>
      <c r="W59" s="5">
        <f>M59-V59</f>
        <v>2300000</v>
      </c>
      <c r="X59" s="5"/>
      <c r="Y59" s="64"/>
      <c r="Z59" s="5">
        <f t="shared" si="0"/>
        <v>2300000</v>
      </c>
    </row>
    <row r="60" spans="1:29" ht="24.95" customHeight="1" x14ac:dyDescent="0.25">
      <c r="A60" s="65"/>
      <c r="B60" s="2">
        <f t="shared" si="17"/>
        <v>4</v>
      </c>
      <c r="C60" s="1" t="s">
        <v>87</v>
      </c>
      <c r="D60" s="2" t="s">
        <v>31</v>
      </c>
      <c r="E60" s="4">
        <v>3000000</v>
      </c>
      <c r="F60" s="3">
        <v>30</v>
      </c>
      <c r="G60" s="3">
        <f t="shared" si="2"/>
        <v>3000000</v>
      </c>
      <c r="H60" s="4">
        <v>0</v>
      </c>
      <c r="I60" s="4"/>
      <c r="J60" s="4"/>
      <c r="K60" s="4"/>
      <c r="L60" s="4"/>
      <c r="M60" s="4">
        <f t="shared" si="3"/>
        <v>3000000</v>
      </c>
      <c r="N60" s="4">
        <f>+E60*4%</f>
        <v>120000</v>
      </c>
      <c r="O60" s="4">
        <f>+E60*4%</f>
        <v>120000</v>
      </c>
      <c r="P60" s="4"/>
      <c r="Q60" s="4"/>
      <c r="R60" s="7"/>
      <c r="S60" s="4"/>
      <c r="T60" s="4"/>
      <c r="U60" s="4"/>
      <c r="V60" s="4">
        <f t="shared" si="16"/>
        <v>240000</v>
      </c>
      <c r="W60" s="5">
        <f t="shared" ref="W60:W71" si="18">+M60-V60</f>
        <v>2760000</v>
      </c>
      <c r="X60" s="5"/>
      <c r="Y60" s="64"/>
      <c r="Z60" s="5">
        <f t="shared" si="0"/>
        <v>2760000</v>
      </c>
    </row>
    <row r="61" spans="1:29" ht="24.95" customHeight="1" x14ac:dyDescent="0.25">
      <c r="A61" s="65"/>
      <c r="B61" s="2">
        <f t="shared" si="17"/>
        <v>5</v>
      </c>
      <c r="C61" s="1" t="s">
        <v>156</v>
      </c>
      <c r="D61" s="2"/>
      <c r="E61" s="4">
        <v>781242</v>
      </c>
      <c r="F61" s="3">
        <v>30</v>
      </c>
      <c r="G61" s="3">
        <f t="shared" si="2"/>
        <v>781242</v>
      </c>
      <c r="H61" s="4"/>
      <c r="I61" s="4"/>
      <c r="J61" s="4"/>
      <c r="K61" s="4"/>
      <c r="L61" s="4"/>
      <c r="M61" s="4">
        <f t="shared" si="3"/>
        <v>781242</v>
      </c>
      <c r="N61" s="4">
        <v>0</v>
      </c>
      <c r="O61" s="4">
        <v>0</v>
      </c>
      <c r="P61" s="4"/>
      <c r="Q61" s="4"/>
      <c r="R61" s="7"/>
      <c r="S61" s="4"/>
      <c r="T61" s="4"/>
      <c r="U61" s="4"/>
      <c r="V61" s="4">
        <f t="shared" ref="V61" si="19">SUM(N61:U61)</f>
        <v>0</v>
      </c>
      <c r="W61" s="5">
        <f t="shared" si="18"/>
        <v>781242</v>
      </c>
      <c r="X61" s="5"/>
      <c r="Y61" s="64"/>
      <c r="Z61" s="5">
        <f t="shared" si="0"/>
        <v>781242</v>
      </c>
    </row>
    <row r="62" spans="1:29" ht="24.95" customHeight="1" x14ac:dyDescent="0.25">
      <c r="A62" s="65"/>
      <c r="B62" s="2">
        <f t="shared" si="17"/>
        <v>6</v>
      </c>
      <c r="C62" s="1" t="s">
        <v>89</v>
      </c>
      <c r="D62" s="2" t="s">
        <v>31</v>
      </c>
      <c r="E62" s="4">
        <v>2200000</v>
      </c>
      <c r="F62" s="3">
        <v>30</v>
      </c>
      <c r="G62" s="3">
        <f t="shared" si="2"/>
        <v>2200000</v>
      </c>
      <c r="H62" s="4"/>
      <c r="I62" s="4"/>
      <c r="J62" s="4"/>
      <c r="K62" s="4"/>
      <c r="L62" s="4"/>
      <c r="M62" s="4">
        <f t="shared" si="3"/>
        <v>2200000</v>
      </c>
      <c r="N62" s="4">
        <f>+E62*4%</f>
        <v>88000</v>
      </c>
      <c r="O62" s="4">
        <f>+E62*4%</f>
        <v>88000</v>
      </c>
      <c r="P62" s="4"/>
      <c r="Q62" s="4"/>
      <c r="R62" s="7"/>
      <c r="S62" s="4"/>
      <c r="T62" s="4"/>
      <c r="U62" s="4"/>
      <c r="V62" s="4">
        <f t="shared" si="16"/>
        <v>176000</v>
      </c>
      <c r="W62" s="5">
        <f t="shared" si="18"/>
        <v>2024000</v>
      </c>
      <c r="X62" s="5"/>
      <c r="Y62" s="64"/>
      <c r="Z62" s="5">
        <f t="shared" si="0"/>
        <v>2024000</v>
      </c>
    </row>
    <row r="63" spans="1:29" ht="24.95" customHeight="1" x14ac:dyDescent="0.25">
      <c r="A63" s="65"/>
      <c r="B63" s="2">
        <f t="shared" si="17"/>
        <v>7</v>
      </c>
      <c r="C63" s="1" t="s">
        <v>90</v>
      </c>
      <c r="D63" s="2" t="s">
        <v>31</v>
      </c>
      <c r="E63" s="4">
        <v>1800000</v>
      </c>
      <c r="F63" s="3">
        <v>30</v>
      </c>
      <c r="G63" s="3">
        <f t="shared" si="2"/>
        <v>1800000</v>
      </c>
      <c r="H63" s="4">
        <v>0</v>
      </c>
      <c r="I63" s="4"/>
      <c r="J63" s="4"/>
      <c r="K63" s="4"/>
      <c r="L63" s="4"/>
      <c r="M63" s="4">
        <f t="shared" si="3"/>
        <v>1800000</v>
      </c>
      <c r="N63" s="4">
        <f>+E63*4%</f>
        <v>72000</v>
      </c>
      <c r="O63" s="4">
        <f>+E63*4%</f>
        <v>72000</v>
      </c>
      <c r="P63" s="4"/>
      <c r="Q63" s="4"/>
      <c r="R63" s="4">
        <v>0</v>
      </c>
      <c r="S63" s="4"/>
      <c r="T63" s="4"/>
      <c r="U63" s="4"/>
      <c r="V63" s="4">
        <f t="shared" si="16"/>
        <v>144000</v>
      </c>
      <c r="W63" s="5">
        <f t="shared" si="18"/>
        <v>1656000</v>
      </c>
      <c r="X63" s="5"/>
      <c r="Y63" s="64"/>
      <c r="Z63" s="5">
        <f t="shared" si="0"/>
        <v>1656000</v>
      </c>
    </row>
    <row r="64" spans="1:29" ht="24.95" customHeight="1" x14ac:dyDescent="0.25">
      <c r="A64" s="65"/>
      <c r="B64" s="2">
        <f t="shared" si="17"/>
        <v>8</v>
      </c>
      <c r="C64" s="1" t="s">
        <v>91</v>
      </c>
      <c r="D64" s="2" t="s">
        <v>31</v>
      </c>
      <c r="E64" s="4">
        <v>781242</v>
      </c>
      <c r="F64" s="3">
        <v>30</v>
      </c>
      <c r="G64" s="3">
        <f t="shared" si="2"/>
        <v>781242</v>
      </c>
      <c r="H64" s="4">
        <v>88211</v>
      </c>
      <c r="I64" s="4"/>
      <c r="J64" s="4"/>
      <c r="K64" s="4"/>
      <c r="L64" s="4"/>
      <c r="M64" s="4">
        <f t="shared" si="3"/>
        <v>869453</v>
      </c>
      <c r="N64" s="4">
        <v>31250</v>
      </c>
      <c r="O64" s="4">
        <v>31250</v>
      </c>
      <c r="P64" s="4"/>
      <c r="Q64" s="4"/>
      <c r="R64" s="7"/>
      <c r="S64" s="4"/>
      <c r="T64" s="4"/>
      <c r="U64" s="4"/>
      <c r="V64" s="4">
        <f t="shared" si="16"/>
        <v>62500</v>
      </c>
      <c r="W64" s="5">
        <f t="shared" si="18"/>
        <v>806953</v>
      </c>
      <c r="X64" s="5"/>
      <c r="Y64" s="64"/>
      <c r="Z64" s="5">
        <f t="shared" si="0"/>
        <v>806953</v>
      </c>
    </row>
    <row r="65" spans="1:26" ht="24.95" customHeight="1" x14ac:dyDescent="0.25">
      <c r="A65" s="65"/>
      <c r="B65" s="2">
        <f t="shared" si="17"/>
        <v>9</v>
      </c>
      <c r="C65" s="1" t="s">
        <v>92</v>
      </c>
      <c r="D65" s="2"/>
      <c r="E65" s="4">
        <v>3000000</v>
      </c>
      <c r="F65" s="3">
        <v>30</v>
      </c>
      <c r="G65" s="3">
        <f t="shared" si="2"/>
        <v>3000000</v>
      </c>
      <c r="H65" s="4"/>
      <c r="I65" s="4"/>
      <c r="J65" s="4"/>
      <c r="K65" s="4"/>
      <c r="L65" s="4"/>
      <c r="M65" s="4">
        <f t="shared" si="3"/>
        <v>3000000</v>
      </c>
      <c r="N65" s="4">
        <f t="shared" ref="N65:N72" si="20">+E65*4%</f>
        <v>120000</v>
      </c>
      <c r="O65" s="4">
        <f>+E65*4%</f>
        <v>120000</v>
      </c>
      <c r="P65" s="4"/>
      <c r="Q65" s="4"/>
      <c r="R65" s="4"/>
      <c r="S65" s="4"/>
      <c r="T65" s="4"/>
      <c r="U65" s="4"/>
      <c r="V65" s="4">
        <f t="shared" si="16"/>
        <v>240000</v>
      </c>
      <c r="W65" s="5">
        <f t="shared" si="18"/>
        <v>2760000</v>
      </c>
      <c r="X65" s="5"/>
      <c r="Y65" s="64"/>
      <c r="Z65" s="5">
        <f t="shared" si="0"/>
        <v>2760000</v>
      </c>
    </row>
    <row r="66" spans="1:26" ht="24.95" customHeight="1" x14ac:dyDescent="0.25">
      <c r="A66" s="65"/>
      <c r="B66" s="2">
        <f t="shared" si="17"/>
        <v>10</v>
      </c>
      <c r="C66" s="1" t="s">
        <v>93</v>
      </c>
      <c r="D66" s="2" t="s">
        <v>31</v>
      </c>
      <c r="E66" s="4">
        <v>3500000</v>
      </c>
      <c r="F66" s="3">
        <v>30</v>
      </c>
      <c r="G66" s="3">
        <f t="shared" si="2"/>
        <v>3500000</v>
      </c>
      <c r="H66" s="4"/>
      <c r="I66" s="4"/>
      <c r="J66" s="4"/>
      <c r="K66" s="4"/>
      <c r="L66" s="4"/>
      <c r="M66" s="4">
        <f t="shared" si="3"/>
        <v>3500000</v>
      </c>
      <c r="N66" s="4">
        <f t="shared" si="20"/>
        <v>140000</v>
      </c>
      <c r="O66" s="4">
        <f>+E66*5%</f>
        <v>175000</v>
      </c>
      <c r="P66" s="4"/>
      <c r="Q66" s="4"/>
      <c r="R66" s="4">
        <v>0</v>
      </c>
      <c r="S66" s="4"/>
      <c r="T66" s="4"/>
      <c r="U66" s="4">
        <v>774624</v>
      </c>
      <c r="V66" s="4">
        <f t="shared" si="16"/>
        <v>1089624</v>
      </c>
      <c r="W66" s="5">
        <f t="shared" si="18"/>
        <v>2410376</v>
      </c>
      <c r="X66" s="5"/>
      <c r="Y66" s="64"/>
      <c r="Z66" s="5">
        <f t="shared" si="0"/>
        <v>2410376</v>
      </c>
    </row>
    <row r="67" spans="1:26" ht="24.95" customHeight="1" x14ac:dyDescent="0.25">
      <c r="A67" s="65"/>
      <c r="B67" s="2">
        <f t="shared" si="17"/>
        <v>11</v>
      </c>
      <c r="C67" s="1" t="s">
        <v>94</v>
      </c>
      <c r="D67" s="2" t="s">
        <v>31</v>
      </c>
      <c r="E67" s="4">
        <v>2500000</v>
      </c>
      <c r="F67" s="3">
        <v>30</v>
      </c>
      <c r="G67" s="3">
        <f t="shared" si="2"/>
        <v>2500000</v>
      </c>
      <c r="H67" s="4"/>
      <c r="I67" s="4"/>
      <c r="J67" s="4"/>
      <c r="K67" s="4">
        <v>700000</v>
      </c>
      <c r="L67" s="4"/>
      <c r="M67" s="4">
        <f t="shared" si="3"/>
        <v>3200000</v>
      </c>
      <c r="N67" s="4">
        <f t="shared" si="20"/>
        <v>100000</v>
      </c>
      <c r="O67" s="4">
        <f>+E67*4%</f>
        <v>100000</v>
      </c>
      <c r="P67" s="4"/>
      <c r="Q67" s="4"/>
      <c r="R67" s="4">
        <v>0</v>
      </c>
      <c r="S67" s="4"/>
      <c r="T67" s="4"/>
      <c r="U67" s="4">
        <v>200210</v>
      </c>
      <c r="V67" s="4">
        <f t="shared" si="16"/>
        <v>400210</v>
      </c>
      <c r="W67" s="5">
        <f t="shared" si="18"/>
        <v>2799790</v>
      </c>
      <c r="X67" s="5"/>
      <c r="Y67" s="64"/>
      <c r="Z67" s="5">
        <f t="shared" si="0"/>
        <v>2799790</v>
      </c>
    </row>
    <row r="68" spans="1:26" ht="24.95" customHeight="1" x14ac:dyDescent="0.25">
      <c r="A68" s="65"/>
      <c r="B68" s="2">
        <f t="shared" si="17"/>
        <v>12</v>
      </c>
      <c r="C68" s="1" t="s">
        <v>95</v>
      </c>
      <c r="D68" s="2" t="s">
        <v>31</v>
      </c>
      <c r="E68" s="4">
        <v>2500000</v>
      </c>
      <c r="F68" s="3">
        <v>30</v>
      </c>
      <c r="G68" s="3">
        <f t="shared" si="2"/>
        <v>2500000</v>
      </c>
      <c r="H68" s="4"/>
      <c r="I68" s="4"/>
      <c r="J68" s="4"/>
      <c r="K68" s="4"/>
      <c r="L68" s="4"/>
      <c r="M68" s="4">
        <f t="shared" si="3"/>
        <v>2500000</v>
      </c>
      <c r="N68" s="4">
        <f t="shared" si="20"/>
        <v>100000</v>
      </c>
      <c r="O68" s="4">
        <f>+E68*4%</f>
        <v>100000</v>
      </c>
      <c r="P68" s="4">
        <v>0</v>
      </c>
      <c r="Q68" s="4"/>
      <c r="R68" s="4">
        <v>0</v>
      </c>
      <c r="S68" s="4"/>
      <c r="T68" s="4"/>
      <c r="U68" s="4">
        <v>422966</v>
      </c>
      <c r="V68" s="4">
        <f t="shared" si="16"/>
        <v>622966</v>
      </c>
      <c r="W68" s="5">
        <f t="shared" si="18"/>
        <v>1877034</v>
      </c>
      <c r="X68" s="5"/>
      <c r="Y68" s="64"/>
      <c r="Z68" s="5">
        <f t="shared" ref="Z68:Z82" si="21">W68+X68-Y68</f>
        <v>1877034</v>
      </c>
    </row>
    <row r="69" spans="1:26" ht="24.95" customHeight="1" x14ac:dyDescent="0.25">
      <c r="A69" s="65"/>
      <c r="B69" s="2">
        <f t="shared" si="17"/>
        <v>13</v>
      </c>
      <c r="C69" s="1" t="s">
        <v>96</v>
      </c>
      <c r="D69" s="2" t="s">
        <v>31</v>
      </c>
      <c r="E69" s="4">
        <v>781242</v>
      </c>
      <c r="F69" s="3">
        <v>30</v>
      </c>
      <c r="G69" s="3">
        <f>+E69-J69</f>
        <v>755201</v>
      </c>
      <c r="H69" s="4">
        <v>88211</v>
      </c>
      <c r="I69" s="4"/>
      <c r="J69" s="4">
        <v>26041</v>
      </c>
      <c r="K69" s="4"/>
      <c r="L69" s="4"/>
      <c r="M69" s="4">
        <f t="shared" si="3"/>
        <v>869453</v>
      </c>
      <c r="N69" s="4">
        <f t="shared" si="20"/>
        <v>31249.68</v>
      </c>
      <c r="O69" s="4">
        <f>+E69*4%</f>
        <v>31249.68</v>
      </c>
      <c r="P69" s="4"/>
      <c r="Q69" s="4"/>
      <c r="R69" s="4">
        <v>0</v>
      </c>
      <c r="S69" s="4"/>
      <c r="T69" s="4"/>
      <c r="U69" s="4"/>
      <c r="V69" s="4">
        <f t="shared" si="16"/>
        <v>62499.360000000001</v>
      </c>
      <c r="W69" s="5">
        <f t="shared" si="18"/>
        <v>806953.64</v>
      </c>
      <c r="X69" s="5"/>
      <c r="Y69" s="64"/>
      <c r="Z69" s="5">
        <f t="shared" si="21"/>
        <v>806953.64</v>
      </c>
    </row>
    <row r="70" spans="1:26" ht="24.95" customHeight="1" x14ac:dyDescent="0.25">
      <c r="A70" s="65"/>
      <c r="B70" s="2">
        <f t="shared" si="17"/>
        <v>14</v>
      </c>
      <c r="C70" s="1" t="s">
        <v>97</v>
      </c>
      <c r="D70" s="2" t="s">
        <v>31</v>
      </c>
      <c r="E70" s="4">
        <v>3000000</v>
      </c>
      <c r="F70" s="3">
        <v>30</v>
      </c>
      <c r="G70" s="3">
        <f t="shared" si="2"/>
        <v>3000000</v>
      </c>
      <c r="H70" s="4"/>
      <c r="I70" s="4"/>
      <c r="J70" s="4"/>
      <c r="K70" s="4">
        <v>200000</v>
      </c>
      <c r="L70" s="4"/>
      <c r="M70" s="4">
        <f t="shared" si="3"/>
        <v>3200000</v>
      </c>
      <c r="N70" s="4">
        <f t="shared" si="20"/>
        <v>120000</v>
      </c>
      <c r="O70" s="4">
        <f>+E70*0.04</f>
        <v>120000</v>
      </c>
      <c r="P70" s="4"/>
      <c r="Q70" s="4"/>
      <c r="R70" s="4">
        <v>0</v>
      </c>
      <c r="S70" s="4"/>
      <c r="T70" s="4"/>
      <c r="U70" s="4">
        <v>323803</v>
      </c>
      <c r="V70" s="4">
        <f t="shared" si="16"/>
        <v>563803</v>
      </c>
      <c r="W70" s="5">
        <f t="shared" si="18"/>
        <v>2636197</v>
      </c>
      <c r="X70" s="5"/>
      <c r="Y70" s="64"/>
      <c r="Z70" s="5">
        <f t="shared" si="21"/>
        <v>2636197</v>
      </c>
    </row>
    <row r="71" spans="1:26" ht="24.95" customHeight="1" x14ac:dyDescent="0.25">
      <c r="A71" s="65"/>
      <c r="B71" s="2">
        <f t="shared" si="17"/>
        <v>15</v>
      </c>
      <c r="C71" s="1" t="s">
        <v>98</v>
      </c>
      <c r="D71" s="2"/>
      <c r="E71" s="4">
        <v>2000000</v>
      </c>
      <c r="F71" s="3">
        <v>30</v>
      </c>
      <c r="G71" s="3">
        <f t="shared" si="2"/>
        <v>2000000.0000000002</v>
      </c>
      <c r="H71" s="4"/>
      <c r="I71" s="4"/>
      <c r="J71" s="4"/>
      <c r="K71" s="4"/>
      <c r="L71" s="4"/>
      <c r="M71" s="4">
        <f t="shared" si="3"/>
        <v>2000000.0000000002</v>
      </c>
      <c r="N71" s="4">
        <f t="shared" si="20"/>
        <v>80000</v>
      </c>
      <c r="O71" s="4">
        <f>+E71*4%</f>
        <v>80000</v>
      </c>
      <c r="P71" s="4"/>
      <c r="Q71" s="4"/>
      <c r="R71" s="4">
        <v>0</v>
      </c>
      <c r="S71" s="4"/>
      <c r="T71" s="4"/>
      <c r="U71" s="4"/>
      <c r="V71" s="4">
        <f t="shared" si="16"/>
        <v>160000</v>
      </c>
      <c r="W71" s="5">
        <f t="shared" si="18"/>
        <v>1840000.0000000002</v>
      </c>
      <c r="X71" s="5"/>
      <c r="Y71" s="64"/>
      <c r="Z71" s="5">
        <f t="shared" si="21"/>
        <v>1840000.0000000002</v>
      </c>
    </row>
    <row r="72" spans="1:26" ht="24.95" customHeight="1" x14ac:dyDescent="0.25">
      <c r="A72" s="65"/>
      <c r="B72" s="2">
        <f t="shared" si="17"/>
        <v>16</v>
      </c>
      <c r="C72" s="9" t="s">
        <v>99</v>
      </c>
      <c r="D72" s="8" t="s">
        <v>31</v>
      </c>
      <c r="E72" s="4">
        <v>4100000</v>
      </c>
      <c r="F72" s="3">
        <v>30</v>
      </c>
      <c r="G72" s="3">
        <f t="shared" si="2"/>
        <v>4099999.9999999995</v>
      </c>
      <c r="H72" s="4"/>
      <c r="I72" s="4"/>
      <c r="J72" s="4"/>
      <c r="K72" s="4"/>
      <c r="L72" s="4"/>
      <c r="M72" s="4">
        <f t="shared" si="3"/>
        <v>4099999.9999999995</v>
      </c>
      <c r="N72" s="4">
        <f t="shared" si="20"/>
        <v>164000</v>
      </c>
      <c r="O72" s="4">
        <f>+E72*5%</f>
        <v>205000</v>
      </c>
      <c r="P72" s="4"/>
      <c r="Q72" s="4"/>
      <c r="R72" s="4">
        <v>0</v>
      </c>
      <c r="S72" s="4"/>
      <c r="T72" s="4"/>
      <c r="U72" s="4"/>
      <c r="V72" s="4">
        <f t="shared" si="16"/>
        <v>369000</v>
      </c>
      <c r="W72" s="5">
        <f t="shared" ref="W72:W80" si="22">M72-V72</f>
        <v>3730999.9999999995</v>
      </c>
      <c r="X72" s="5"/>
      <c r="Y72" s="64"/>
      <c r="Z72" s="5">
        <f t="shared" si="21"/>
        <v>3730999.9999999995</v>
      </c>
    </row>
    <row r="73" spans="1:26" ht="24.95" customHeight="1" x14ac:dyDescent="0.25">
      <c r="A73" s="65"/>
      <c r="B73" s="2">
        <f t="shared" si="17"/>
        <v>17</v>
      </c>
      <c r="C73" s="1" t="s">
        <v>101</v>
      </c>
      <c r="D73" s="2" t="s">
        <v>31</v>
      </c>
      <c r="E73" s="4">
        <v>1000000</v>
      </c>
      <c r="F73" s="3">
        <v>30</v>
      </c>
      <c r="G73" s="3">
        <f t="shared" si="2"/>
        <v>1000000.0000000001</v>
      </c>
      <c r="H73" s="4">
        <v>88211</v>
      </c>
      <c r="I73" s="4"/>
      <c r="J73" s="4"/>
      <c r="K73" s="4"/>
      <c r="L73" s="4"/>
      <c r="M73" s="4">
        <f t="shared" si="3"/>
        <v>1088211</v>
      </c>
      <c r="N73" s="4">
        <f>+E73*4%</f>
        <v>40000</v>
      </c>
      <c r="O73" s="4">
        <f>+E73*4%</f>
        <v>40000</v>
      </c>
      <c r="P73" s="4"/>
      <c r="Q73" s="4"/>
      <c r="R73" s="4"/>
      <c r="S73" s="4"/>
      <c r="T73" s="4"/>
      <c r="U73" s="4"/>
      <c r="V73" s="4">
        <f t="shared" si="16"/>
        <v>80000</v>
      </c>
      <c r="W73" s="5">
        <f t="shared" si="22"/>
        <v>1008211</v>
      </c>
      <c r="X73" s="5"/>
      <c r="Y73" s="64"/>
      <c r="Z73" s="5">
        <f t="shared" si="21"/>
        <v>1008211</v>
      </c>
    </row>
    <row r="74" spans="1:26" ht="24.95" customHeight="1" x14ac:dyDescent="0.25">
      <c r="A74" s="65"/>
      <c r="B74" s="2">
        <f t="shared" si="17"/>
        <v>18</v>
      </c>
      <c r="C74" s="1" t="s">
        <v>103</v>
      </c>
      <c r="D74" s="2" t="s">
        <v>31</v>
      </c>
      <c r="E74" s="4">
        <v>4200000</v>
      </c>
      <c r="F74" s="3">
        <v>30</v>
      </c>
      <c r="G74" s="3">
        <f t="shared" ref="G74:G109" si="23">+E74/30*F74</f>
        <v>4200000</v>
      </c>
      <c r="H74" s="4"/>
      <c r="I74" s="4"/>
      <c r="J74" s="4"/>
      <c r="K74" s="4"/>
      <c r="L74" s="4">
        <v>750463</v>
      </c>
      <c r="M74" s="4">
        <f t="shared" ref="M74:M110" si="24">+G74+H74+J74+K74+L74+I74</f>
        <v>4950463</v>
      </c>
      <c r="N74" s="4">
        <f>+E74*0.04</f>
        <v>168000</v>
      </c>
      <c r="O74" s="4">
        <f>+E74*0.05</f>
        <v>210000</v>
      </c>
      <c r="P74" s="4"/>
      <c r="Q74" s="4"/>
      <c r="R74" s="4">
        <v>0</v>
      </c>
      <c r="S74" s="4"/>
      <c r="T74" s="4"/>
      <c r="U74" s="4"/>
      <c r="V74" s="4">
        <f t="shared" si="16"/>
        <v>378000</v>
      </c>
      <c r="W74" s="5">
        <f t="shared" si="22"/>
        <v>4572463</v>
      </c>
      <c r="X74" s="5"/>
      <c r="Y74" s="64"/>
      <c r="Z74" s="5">
        <f t="shared" si="21"/>
        <v>4572463</v>
      </c>
    </row>
    <row r="75" spans="1:26" ht="24.95" customHeight="1" x14ac:dyDescent="0.25">
      <c r="A75" s="65"/>
      <c r="B75" s="2">
        <f t="shared" si="17"/>
        <v>19</v>
      </c>
      <c r="C75" s="1" t="s">
        <v>104</v>
      </c>
      <c r="D75" s="2" t="s">
        <v>31</v>
      </c>
      <c r="E75" s="4">
        <v>1550000</v>
      </c>
      <c r="F75" s="3">
        <v>30</v>
      </c>
      <c r="G75" s="3">
        <f t="shared" si="23"/>
        <v>1550000</v>
      </c>
      <c r="H75" s="4">
        <f>88211*3</f>
        <v>264633</v>
      </c>
      <c r="I75" s="4"/>
      <c r="J75" s="4"/>
      <c r="K75" s="4"/>
      <c r="L75" s="4"/>
      <c r="M75" s="4">
        <f t="shared" si="24"/>
        <v>1814633</v>
      </c>
      <c r="N75" s="4">
        <f>+E75*4%</f>
        <v>62000</v>
      </c>
      <c r="O75" s="4">
        <f>+E75*4%</f>
        <v>62000</v>
      </c>
      <c r="P75" s="4"/>
      <c r="Q75" s="4"/>
      <c r="R75" s="4"/>
      <c r="S75" s="4"/>
      <c r="T75" s="4"/>
      <c r="U75" s="4"/>
      <c r="V75" s="4">
        <f t="shared" si="16"/>
        <v>124000</v>
      </c>
      <c r="W75" s="5">
        <f t="shared" si="22"/>
        <v>1690633</v>
      </c>
      <c r="X75" s="5"/>
      <c r="Y75" s="64"/>
      <c r="Z75" s="5">
        <f t="shared" si="21"/>
        <v>1690633</v>
      </c>
    </row>
    <row r="76" spans="1:26" ht="24.95" customHeight="1" x14ac:dyDescent="0.25">
      <c r="A76" s="65"/>
      <c r="B76" s="2">
        <f t="shared" si="17"/>
        <v>20</v>
      </c>
      <c r="C76" s="1" t="s">
        <v>105</v>
      </c>
      <c r="D76" s="2"/>
      <c r="E76" s="4">
        <v>1200000</v>
      </c>
      <c r="F76" s="3">
        <v>30</v>
      </c>
      <c r="G76" s="3">
        <f t="shared" si="23"/>
        <v>1200000</v>
      </c>
      <c r="H76" s="4">
        <v>88211</v>
      </c>
      <c r="I76" s="4"/>
      <c r="J76" s="4"/>
      <c r="K76" s="4"/>
      <c r="L76" s="4"/>
      <c r="M76" s="4">
        <f t="shared" si="24"/>
        <v>1288211</v>
      </c>
      <c r="N76" s="4">
        <f>+E76*4%</f>
        <v>48000</v>
      </c>
      <c r="O76" s="4">
        <f>+E76*4%</f>
        <v>48000</v>
      </c>
      <c r="P76" s="4"/>
      <c r="Q76" s="4"/>
      <c r="R76" s="4"/>
      <c r="S76" s="4"/>
      <c r="T76" s="4"/>
      <c r="U76" s="4"/>
      <c r="V76" s="4">
        <f t="shared" si="16"/>
        <v>96000</v>
      </c>
      <c r="W76" s="5">
        <f t="shared" si="22"/>
        <v>1192211</v>
      </c>
      <c r="X76" s="5"/>
      <c r="Y76" s="64"/>
      <c r="Z76" s="5">
        <f t="shared" si="21"/>
        <v>1192211</v>
      </c>
    </row>
    <row r="77" spans="1:26" ht="24.95" customHeight="1" x14ac:dyDescent="0.25">
      <c r="A77" s="65"/>
      <c r="B77" s="2">
        <f t="shared" si="17"/>
        <v>21</v>
      </c>
      <c r="C77" s="1" t="s">
        <v>106</v>
      </c>
      <c r="D77" s="2" t="s">
        <v>31</v>
      </c>
      <c r="E77" s="4">
        <v>2500000</v>
      </c>
      <c r="F77" s="3">
        <v>30</v>
      </c>
      <c r="G77" s="3">
        <f t="shared" si="23"/>
        <v>2500000</v>
      </c>
      <c r="H77" s="4"/>
      <c r="I77" s="4"/>
      <c r="J77" s="4"/>
      <c r="K77" s="4"/>
      <c r="L77" s="4"/>
      <c r="M77" s="4">
        <f t="shared" si="24"/>
        <v>2500000</v>
      </c>
      <c r="N77" s="4">
        <f>+E77*4%</f>
        <v>100000</v>
      </c>
      <c r="O77" s="4">
        <f>+E77*4%</f>
        <v>100000</v>
      </c>
      <c r="P77" s="4"/>
      <c r="Q77" s="4"/>
      <c r="R77" s="4">
        <v>0</v>
      </c>
      <c r="S77" s="4"/>
      <c r="T77" s="4"/>
      <c r="U77" s="4"/>
      <c r="V77" s="4">
        <f t="shared" si="16"/>
        <v>200000</v>
      </c>
      <c r="W77" s="5">
        <f t="shared" si="22"/>
        <v>2300000</v>
      </c>
      <c r="X77" s="5"/>
      <c r="Y77" s="64"/>
      <c r="Z77" s="5">
        <f t="shared" si="21"/>
        <v>2300000</v>
      </c>
    </row>
    <row r="78" spans="1:26" ht="24.95" customHeight="1" x14ac:dyDescent="0.25">
      <c r="A78" s="65"/>
      <c r="B78" s="2">
        <f t="shared" si="17"/>
        <v>22</v>
      </c>
      <c r="C78" s="1" t="s">
        <v>107</v>
      </c>
      <c r="D78" s="2"/>
      <c r="E78" s="4">
        <f>781242/2</f>
        <v>390621</v>
      </c>
      <c r="F78" s="3">
        <v>30</v>
      </c>
      <c r="G78" s="3">
        <f t="shared" si="23"/>
        <v>390621</v>
      </c>
      <c r="H78" s="4"/>
      <c r="I78" s="4"/>
      <c r="J78" s="4"/>
      <c r="K78" s="4"/>
      <c r="L78" s="4"/>
      <c r="M78" s="4">
        <f t="shared" si="24"/>
        <v>390621</v>
      </c>
      <c r="N78" s="4"/>
      <c r="O78" s="4"/>
      <c r="P78" s="4"/>
      <c r="Q78" s="4"/>
      <c r="R78" s="4"/>
      <c r="S78" s="4"/>
      <c r="T78" s="4"/>
      <c r="U78" s="4"/>
      <c r="V78" s="4">
        <f t="shared" si="16"/>
        <v>0</v>
      </c>
      <c r="W78" s="5">
        <f t="shared" si="22"/>
        <v>390621</v>
      </c>
      <c r="X78" s="5"/>
      <c r="Y78" s="64"/>
      <c r="Z78" s="5">
        <f t="shared" si="21"/>
        <v>390621</v>
      </c>
    </row>
    <row r="79" spans="1:26" ht="24.95" customHeight="1" x14ac:dyDescent="0.25">
      <c r="A79" s="65"/>
      <c r="B79" s="2">
        <f t="shared" si="17"/>
        <v>23</v>
      </c>
      <c r="C79" s="9" t="s">
        <v>109</v>
      </c>
      <c r="D79" s="8" t="s">
        <v>31</v>
      </c>
      <c r="E79" s="4">
        <v>1700000</v>
      </c>
      <c r="F79" s="3">
        <v>30</v>
      </c>
      <c r="G79" s="3">
        <f t="shared" si="23"/>
        <v>1700000</v>
      </c>
      <c r="H79" s="4"/>
      <c r="I79" s="4"/>
      <c r="J79" s="4"/>
      <c r="K79" s="4"/>
      <c r="L79" s="4"/>
      <c r="M79" s="4">
        <f t="shared" si="24"/>
        <v>1700000</v>
      </c>
      <c r="N79" s="4">
        <f t="shared" ref="N79:N90" si="25">+E79*4%</f>
        <v>68000</v>
      </c>
      <c r="O79" s="4">
        <f>+E79*4%</f>
        <v>68000</v>
      </c>
      <c r="P79" s="4"/>
      <c r="Q79" s="4"/>
      <c r="R79" s="4"/>
      <c r="S79" s="4"/>
      <c r="T79" s="4"/>
      <c r="U79" s="4"/>
      <c r="V79" s="4">
        <f t="shared" si="16"/>
        <v>136000</v>
      </c>
      <c r="W79" s="5">
        <f t="shared" si="22"/>
        <v>1564000</v>
      </c>
      <c r="X79" s="5"/>
      <c r="Y79" s="64"/>
      <c r="Z79" s="5">
        <f t="shared" si="21"/>
        <v>1564000</v>
      </c>
    </row>
    <row r="80" spans="1:26" ht="24.95" customHeight="1" x14ac:dyDescent="0.25">
      <c r="A80" s="65"/>
      <c r="B80" s="2">
        <f t="shared" si="17"/>
        <v>24</v>
      </c>
      <c r="C80" s="9" t="s">
        <v>110</v>
      </c>
      <c r="D80" s="8"/>
      <c r="E80" s="4">
        <v>2400000</v>
      </c>
      <c r="F80" s="3">
        <v>30</v>
      </c>
      <c r="G80" s="3">
        <f t="shared" si="23"/>
        <v>2400000</v>
      </c>
      <c r="H80" s="4"/>
      <c r="I80" s="4"/>
      <c r="J80" s="4"/>
      <c r="K80" s="4"/>
      <c r="L80" s="4">
        <f>+E80-G80</f>
        <v>0</v>
      </c>
      <c r="M80" s="4">
        <f t="shared" si="24"/>
        <v>2400000</v>
      </c>
      <c r="N80" s="4">
        <f t="shared" si="25"/>
        <v>96000</v>
      </c>
      <c r="O80" s="4">
        <f>+E80*4%</f>
        <v>96000</v>
      </c>
      <c r="P80" s="4"/>
      <c r="Q80" s="4"/>
      <c r="R80" s="4"/>
      <c r="S80" s="4"/>
      <c r="T80" s="4"/>
      <c r="U80" s="4"/>
      <c r="V80" s="4">
        <f t="shared" si="16"/>
        <v>192000</v>
      </c>
      <c r="W80" s="5">
        <f t="shared" si="22"/>
        <v>2208000</v>
      </c>
      <c r="X80" s="5"/>
      <c r="Y80" s="64"/>
      <c r="Z80" s="5">
        <f t="shared" si="21"/>
        <v>2208000</v>
      </c>
    </row>
    <row r="81" spans="1:28" ht="24.95" customHeight="1" x14ac:dyDescent="0.25">
      <c r="A81" s="65"/>
      <c r="B81" s="2">
        <f t="shared" si="17"/>
        <v>25</v>
      </c>
      <c r="C81" s="1" t="s">
        <v>111</v>
      </c>
      <c r="D81" s="2" t="s">
        <v>31</v>
      </c>
      <c r="E81" s="4">
        <v>2200000</v>
      </c>
      <c r="F81" s="3">
        <v>30</v>
      </c>
      <c r="G81" s="3">
        <f t="shared" si="23"/>
        <v>2200000</v>
      </c>
      <c r="H81" s="4"/>
      <c r="I81" s="4"/>
      <c r="J81" s="4"/>
      <c r="K81" s="4"/>
      <c r="L81" s="4"/>
      <c r="M81" s="4">
        <f t="shared" si="24"/>
        <v>2200000</v>
      </c>
      <c r="N81" s="4">
        <f t="shared" si="25"/>
        <v>88000</v>
      </c>
      <c r="O81" s="4">
        <f>+E81*4%</f>
        <v>88000</v>
      </c>
      <c r="P81" s="4"/>
      <c r="Q81" s="4"/>
      <c r="R81" s="4">
        <v>0</v>
      </c>
      <c r="S81" s="4"/>
      <c r="T81" s="4"/>
      <c r="U81" s="4"/>
      <c r="V81" s="4">
        <f t="shared" si="16"/>
        <v>176000</v>
      </c>
      <c r="W81" s="5">
        <f>+M81-V81</f>
        <v>2024000</v>
      </c>
      <c r="X81" s="5"/>
      <c r="Y81" s="64"/>
      <c r="Z81" s="5">
        <f t="shared" si="21"/>
        <v>2024000</v>
      </c>
    </row>
    <row r="82" spans="1:28" ht="24.95" customHeight="1" x14ac:dyDescent="0.25">
      <c r="A82" s="65"/>
      <c r="B82" s="2">
        <f t="shared" si="17"/>
        <v>26</v>
      </c>
      <c r="C82" s="1" t="s">
        <v>112</v>
      </c>
      <c r="D82" s="2" t="s">
        <v>31</v>
      </c>
      <c r="E82" s="4">
        <v>3000000</v>
      </c>
      <c r="F82" s="3">
        <v>30</v>
      </c>
      <c r="G82" s="3">
        <f t="shared" si="23"/>
        <v>3000000</v>
      </c>
      <c r="H82" s="4"/>
      <c r="I82" s="4"/>
      <c r="J82" s="4"/>
      <c r="K82" s="4"/>
      <c r="L82" s="4">
        <f>+E82-G82</f>
        <v>0</v>
      </c>
      <c r="M82" s="4">
        <f t="shared" si="24"/>
        <v>3000000</v>
      </c>
      <c r="N82" s="4">
        <f t="shared" si="25"/>
        <v>120000</v>
      </c>
      <c r="O82" s="4">
        <f>+E82*4%</f>
        <v>120000</v>
      </c>
      <c r="P82" s="4"/>
      <c r="Q82" s="4"/>
      <c r="R82" s="7">
        <v>0</v>
      </c>
      <c r="S82" s="4"/>
      <c r="T82" s="4">
        <v>0</v>
      </c>
      <c r="U82" s="4"/>
      <c r="V82" s="4">
        <f t="shared" si="16"/>
        <v>240000</v>
      </c>
      <c r="W82" s="5">
        <f>+M82-V82</f>
        <v>2760000</v>
      </c>
      <c r="X82" s="5"/>
      <c r="Y82" s="64"/>
      <c r="Z82" s="5">
        <f t="shared" si="21"/>
        <v>2760000</v>
      </c>
      <c r="AA82" s="66">
        <v>4886979</v>
      </c>
      <c r="AB82" s="67">
        <f>+Z82-AA82</f>
        <v>-2126979</v>
      </c>
    </row>
    <row r="83" spans="1:28" ht="24.95" customHeight="1" x14ac:dyDescent="0.25">
      <c r="A83" s="65"/>
      <c r="B83" s="2">
        <f t="shared" si="17"/>
        <v>27</v>
      </c>
      <c r="C83" s="1" t="s">
        <v>113</v>
      </c>
      <c r="D83" s="2"/>
      <c r="E83" s="4">
        <v>4770000</v>
      </c>
      <c r="F83" s="3">
        <v>30</v>
      </c>
      <c r="G83" s="3">
        <f t="shared" si="23"/>
        <v>4770000</v>
      </c>
      <c r="H83" s="4"/>
      <c r="I83" s="4"/>
      <c r="J83" s="4"/>
      <c r="K83" s="4">
        <v>160000</v>
      </c>
      <c r="L83" s="4">
        <f>+E83-G83</f>
        <v>0</v>
      </c>
      <c r="M83" s="4">
        <f t="shared" si="24"/>
        <v>4930000</v>
      </c>
      <c r="N83" s="4">
        <f t="shared" si="25"/>
        <v>190800</v>
      </c>
      <c r="O83" s="4">
        <f>+E83*5%</f>
        <v>238500</v>
      </c>
      <c r="P83" s="4"/>
      <c r="Q83" s="4"/>
      <c r="R83" s="7">
        <v>0</v>
      </c>
      <c r="S83" s="4"/>
      <c r="T83" s="4"/>
      <c r="U83" s="4"/>
      <c r="V83" s="4">
        <f t="shared" si="16"/>
        <v>429300</v>
      </c>
      <c r="W83" s="5">
        <f t="shared" ref="W83:W88" si="26">+M83-V83</f>
        <v>4500700</v>
      </c>
      <c r="X83" s="5"/>
      <c r="Y83" s="64"/>
      <c r="Z83" s="5"/>
    </row>
    <row r="84" spans="1:28" ht="24.95" customHeight="1" x14ac:dyDescent="0.25">
      <c r="A84" s="65"/>
      <c r="B84" s="2">
        <f t="shared" si="17"/>
        <v>28</v>
      </c>
      <c r="C84" s="1" t="s">
        <v>114</v>
      </c>
      <c r="D84" s="2"/>
      <c r="E84" s="4">
        <v>5500000</v>
      </c>
      <c r="F84" s="3">
        <v>30</v>
      </c>
      <c r="G84" s="3">
        <f>+E84-J84</f>
        <v>5133333.333333333</v>
      </c>
      <c r="H84" s="4"/>
      <c r="I84" s="4"/>
      <c r="J84" s="4">
        <f>+E84/30*2</f>
        <v>366666.66666666669</v>
      </c>
      <c r="K84" s="4">
        <v>500000</v>
      </c>
      <c r="L84" s="4">
        <v>0</v>
      </c>
      <c r="M84" s="4">
        <f t="shared" si="24"/>
        <v>6000000</v>
      </c>
      <c r="N84" s="4">
        <f t="shared" si="25"/>
        <v>220000</v>
      </c>
      <c r="O84" s="4">
        <f>+E84*5%</f>
        <v>275000</v>
      </c>
      <c r="P84" s="4"/>
      <c r="Q84" s="4"/>
      <c r="R84" s="7">
        <v>69147</v>
      </c>
      <c r="S84" s="4"/>
      <c r="T84" s="4"/>
      <c r="U84" s="4">
        <v>480989</v>
      </c>
      <c r="V84" s="4">
        <f t="shared" si="16"/>
        <v>1045136</v>
      </c>
      <c r="W84" s="5">
        <f t="shared" si="26"/>
        <v>4954864</v>
      </c>
      <c r="X84" s="5"/>
      <c r="Y84" s="64"/>
      <c r="Z84" s="5">
        <f t="shared" ref="Z84:Z110" si="27">W84+X84-Y84</f>
        <v>4954864</v>
      </c>
    </row>
    <row r="85" spans="1:28" ht="24.95" customHeight="1" x14ac:dyDescent="0.25">
      <c r="A85" s="65"/>
      <c r="B85" s="2">
        <f t="shared" si="17"/>
        <v>29</v>
      </c>
      <c r="C85" s="1" t="s">
        <v>115</v>
      </c>
      <c r="D85" s="2"/>
      <c r="E85" s="4">
        <v>2000000</v>
      </c>
      <c r="F85" s="3">
        <v>30</v>
      </c>
      <c r="G85" s="3">
        <f t="shared" si="23"/>
        <v>2000000.0000000002</v>
      </c>
      <c r="H85" s="4"/>
      <c r="I85" s="4"/>
      <c r="J85" s="4"/>
      <c r="K85" s="4"/>
      <c r="L85" s="4">
        <f>+E85-G85</f>
        <v>0</v>
      </c>
      <c r="M85" s="4">
        <f t="shared" si="24"/>
        <v>2000000.0000000002</v>
      </c>
      <c r="N85" s="4">
        <f t="shared" si="25"/>
        <v>80000</v>
      </c>
      <c r="O85" s="4">
        <f>+E85*4%</f>
        <v>80000</v>
      </c>
      <c r="P85" s="4"/>
      <c r="Q85" s="4"/>
      <c r="R85" s="7"/>
      <c r="S85" s="4"/>
      <c r="T85" s="4"/>
      <c r="U85" s="4"/>
      <c r="V85" s="4">
        <f t="shared" si="16"/>
        <v>160000</v>
      </c>
      <c r="W85" s="5">
        <f t="shared" si="26"/>
        <v>1840000.0000000002</v>
      </c>
      <c r="X85" s="5"/>
      <c r="Y85" s="64"/>
      <c r="Z85" s="5">
        <f t="shared" si="27"/>
        <v>1840000.0000000002</v>
      </c>
    </row>
    <row r="86" spans="1:28" ht="24.95" customHeight="1" x14ac:dyDescent="0.25">
      <c r="A86" s="65"/>
      <c r="B86" s="2">
        <f t="shared" si="17"/>
        <v>30</v>
      </c>
      <c r="C86" s="1" t="s">
        <v>116</v>
      </c>
      <c r="D86" s="2"/>
      <c r="E86" s="4">
        <v>781242</v>
      </c>
      <c r="F86" s="3">
        <v>30</v>
      </c>
      <c r="G86" s="3">
        <f t="shared" si="23"/>
        <v>781242</v>
      </c>
      <c r="H86" s="4">
        <v>88211</v>
      </c>
      <c r="I86" s="4"/>
      <c r="J86" s="4"/>
      <c r="K86" s="4"/>
      <c r="L86" s="4"/>
      <c r="M86" s="4">
        <f t="shared" si="24"/>
        <v>869453</v>
      </c>
      <c r="N86" s="4">
        <f t="shared" si="25"/>
        <v>31249.68</v>
      </c>
      <c r="O86" s="4">
        <f>+E86*4%</f>
        <v>31249.68</v>
      </c>
      <c r="P86" s="4"/>
      <c r="Q86" s="4"/>
      <c r="R86" s="7"/>
      <c r="S86" s="4"/>
      <c r="T86" s="4"/>
      <c r="U86" s="4"/>
      <c r="V86" s="4">
        <f t="shared" si="16"/>
        <v>62499.360000000001</v>
      </c>
      <c r="W86" s="5">
        <f t="shared" si="26"/>
        <v>806953.64</v>
      </c>
      <c r="X86" s="5"/>
      <c r="Y86" s="64"/>
      <c r="Z86" s="5">
        <f t="shared" si="27"/>
        <v>806953.64</v>
      </c>
    </row>
    <row r="87" spans="1:28" ht="24.95" customHeight="1" x14ac:dyDescent="0.25">
      <c r="A87" s="65"/>
      <c r="B87" s="2">
        <f t="shared" si="17"/>
        <v>31</v>
      </c>
      <c r="C87" s="1" t="s">
        <v>117</v>
      </c>
      <c r="D87" s="2"/>
      <c r="E87" s="4">
        <v>2500000</v>
      </c>
      <c r="F87" s="3">
        <v>30</v>
      </c>
      <c r="G87" s="3">
        <f>+E87-L87-J87</f>
        <v>2083334</v>
      </c>
      <c r="H87" s="4"/>
      <c r="I87" s="4"/>
      <c r="J87" s="4">
        <v>333333</v>
      </c>
      <c r="K87" s="4">
        <v>350000</v>
      </c>
      <c r="L87" s="4">
        <v>83333</v>
      </c>
      <c r="M87" s="4">
        <f>+G87+H87+J87+K87+L87+I87</f>
        <v>2850000</v>
      </c>
      <c r="N87" s="4">
        <f t="shared" si="25"/>
        <v>100000</v>
      </c>
      <c r="O87" s="4">
        <f>+E87*4%</f>
        <v>100000</v>
      </c>
      <c r="P87" s="4"/>
      <c r="Q87" s="4"/>
      <c r="R87" s="7"/>
      <c r="S87" s="4"/>
      <c r="T87" s="4"/>
      <c r="U87" s="4"/>
      <c r="V87" s="4">
        <f t="shared" si="16"/>
        <v>200000</v>
      </c>
      <c r="W87" s="5">
        <f t="shared" si="26"/>
        <v>2650000</v>
      </c>
      <c r="X87" s="5"/>
      <c r="Y87" s="64"/>
      <c r="Z87" s="5">
        <f t="shared" si="27"/>
        <v>2650000</v>
      </c>
    </row>
    <row r="88" spans="1:28" ht="24.95" customHeight="1" x14ac:dyDescent="0.25">
      <c r="A88" s="65"/>
      <c r="B88" s="2">
        <f t="shared" si="17"/>
        <v>32</v>
      </c>
      <c r="C88" s="1" t="s">
        <v>118</v>
      </c>
      <c r="D88" s="2" t="s">
        <v>31</v>
      </c>
      <c r="E88" s="4">
        <v>2200000</v>
      </c>
      <c r="F88" s="3">
        <v>30</v>
      </c>
      <c r="G88" s="3">
        <f t="shared" si="23"/>
        <v>2200000</v>
      </c>
      <c r="H88" s="4"/>
      <c r="I88" s="4"/>
      <c r="J88" s="4"/>
      <c r="K88" s="4"/>
      <c r="L88" s="4"/>
      <c r="M88" s="4">
        <f t="shared" si="24"/>
        <v>2200000</v>
      </c>
      <c r="N88" s="4">
        <f t="shared" si="25"/>
        <v>88000</v>
      </c>
      <c r="O88" s="4">
        <f>+E88*4%</f>
        <v>88000</v>
      </c>
      <c r="P88" s="4"/>
      <c r="Q88" s="4"/>
      <c r="R88" s="7">
        <v>0</v>
      </c>
      <c r="S88" s="4"/>
      <c r="T88" s="4"/>
      <c r="U88" s="4"/>
      <c r="V88" s="4">
        <f t="shared" si="16"/>
        <v>176000</v>
      </c>
      <c r="W88" s="5">
        <f t="shared" si="26"/>
        <v>2024000</v>
      </c>
      <c r="X88" s="5"/>
      <c r="Y88" s="64"/>
      <c r="Z88" s="5">
        <f t="shared" si="27"/>
        <v>2024000</v>
      </c>
    </row>
    <row r="89" spans="1:28" ht="24.95" customHeight="1" x14ac:dyDescent="0.25">
      <c r="A89" s="65"/>
      <c r="B89" s="2">
        <f t="shared" si="17"/>
        <v>33</v>
      </c>
      <c r="C89" s="1" t="s">
        <v>122</v>
      </c>
      <c r="D89" s="2" t="s">
        <v>31</v>
      </c>
      <c r="E89" s="4">
        <v>3500000</v>
      </c>
      <c r="F89" s="3">
        <v>30</v>
      </c>
      <c r="G89" s="3">
        <f t="shared" si="23"/>
        <v>3500000</v>
      </c>
      <c r="H89" s="4"/>
      <c r="I89" s="4"/>
      <c r="J89" s="4"/>
      <c r="K89" s="4"/>
      <c r="L89" s="4"/>
      <c r="M89" s="4">
        <f t="shared" si="24"/>
        <v>3500000</v>
      </c>
      <c r="N89" s="4">
        <f t="shared" si="25"/>
        <v>140000</v>
      </c>
      <c r="O89" s="4">
        <f>+E89*5%</f>
        <v>175000</v>
      </c>
      <c r="P89" s="4">
        <v>0</v>
      </c>
      <c r="Q89" s="4"/>
      <c r="R89" s="4">
        <v>0</v>
      </c>
      <c r="S89" s="4"/>
      <c r="T89" s="4"/>
      <c r="U89" s="4"/>
      <c r="V89" s="4">
        <f t="shared" si="16"/>
        <v>315000</v>
      </c>
      <c r="W89" s="5">
        <f t="shared" ref="W89:W95" si="28">M89-V89</f>
        <v>3185000</v>
      </c>
      <c r="X89" s="5"/>
      <c r="Y89" s="64"/>
      <c r="Z89" s="5">
        <f t="shared" si="27"/>
        <v>3185000</v>
      </c>
    </row>
    <row r="90" spans="1:28" ht="24.95" customHeight="1" x14ac:dyDescent="0.25">
      <c r="A90" s="65"/>
      <c r="B90" s="2">
        <f t="shared" si="17"/>
        <v>34</v>
      </c>
      <c r="C90" s="1" t="s">
        <v>123</v>
      </c>
      <c r="D90" s="2" t="s">
        <v>31</v>
      </c>
      <c r="E90" s="4">
        <v>2200000</v>
      </c>
      <c r="F90" s="3">
        <v>30</v>
      </c>
      <c r="G90" s="3">
        <f>+E90-L90</f>
        <v>1833333</v>
      </c>
      <c r="H90" s="4"/>
      <c r="I90" s="4"/>
      <c r="J90" s="4"/>
      <c r="K90" s="4"/>
      <c r="L90" s="4">
        <v>366667</v>
      </c>
      <c r="M90" s="4">
        <f t="shared" si="24"/>
        <v>2200000</v>
      </c>
      <c r="N90" s="4">
        <f t="shared" si="25"/>
        <v>88000</v>
      </c>
      <c r="O90" s="4">
        <f>+E90*4%</f>
        <v>88000</v>
      </c>
      <c r="P90" s="4"/>
      <c r="Q90" s="4"/>
      <c r="R90" s="4"/>
      <c r="S90" s="4"/>
      <c r="T90" s="4"/>
      <c r="U90" s="4"/>
      <c r="V90" s="4">
        <f t="shared" si="16"/>
        <v>176000</v>
      </c>
      <c r="W90" s="5">
        <f t="shared" si="28"/>
        <v>2024000</v>
      </c>
      <c r="X90" s="5"/>
      <c r="Y90" s="64"/>
      <c r="Z90" s="5">
        <f t="shared" si="27"/>
        <v>2024000</v>
      </c>
    </row>
    <row r="91" spans="1:28" ht="24.95" customHeight="1" x14ac:dyDescent="0.25">
      <c r="A91" s="65"/>
      <c r="B91" s="2">
        <f t="shared" si="17"/>
        <v>35</v>
      </c>
      <c r="C91" s="9" t="s">
        <v>124</v>
      </c>
      <c r="D91" s="8" t="s">
        <v>31</v>
      </c>
      <c r="E91" s="4">
        <v>781242</v>
      </c>
      <c r="F91" s="3">
        <v>30</v>
      </c>
      <c r="G91" s="3">
        <f>572902</f>
        <v>572902</v>
      </c>
      <c r="H91" s="4">
        <v>88211</v>
      </c>
      <c r="I91" s="4">
        <v>0</v>
      </c>
      <c r="J91" s="4">
        <f>52082+104172</f>
        <v>156254</v>
      </c>
      <c r="K91" s="4"/>
      <c r="L91" s="4"/>
      <c r="M91" s="4">
        <f t="shared" si="24"/>
        <v>817367</v>
      </c>
      <c r="N91" s="4">
        <f>+E91*0.04</f>
        <v>31249.68</v>
      </c>
      <c r="O91" s="4">
        <f>+E91*0.04</f>
        <v>31249.68</v>
      </c>
      <c r="P91" s="4"/>
      <c r="Q91" s="4"/>
      <c r="R91" s="4">
        <v>0</v>
      </c>
      <c r="S91" s="4"/>
      <c r="T91" s="4"/>
      <c r="U91" s="4"/>
      <c r="V91" s="4">
        <f t="shared" si="16"/>
        <v>62499.360000000001</v>
      </c>
      <c r="W91" s="5">
        <f t="shared" si="28"/>
        <v>754867.64</v>
      </c>
      <c r="X91" s="5"/>
      <c r="Y91" s="64"/>
      <c r="Z91" s="5">
        <f t="shared" si="27"/>
        <v>754867.64</v>
      </c>
    </row>
    <row r="92" spans="1:28" ht="24.95" customHeight="1" x14ac:dyDescent="0.25">
      <c r="A92" s="65"/>
      <c r="B92" s="2">
        <f t="shared" si="17"/>
        <v>36</v>
      </c>
      <c r="C92" s="1" t="s">
        <v>157</v>
      </c>
      <c r="D92" s="2"/>
      <c r="E92" s="4">
        <v>781242</v>
      </c>
      <c r="F92" s="3">
        <v>30</v>
      </c>
      <c r="G92" s="3">
        <f t="shared" ref="G92" si="29">+E92/30*F92</f>
        <v>781242</v>
      </c>
      <c r="H92" s="4"/>
      <c r="I92" s="4"/>
      <c r="J92" s="4"/>
      <c r="K92" s="4"/>
      <c r="L92" s="4"/>
      <c r="M92" s="4">
        <f t="shared" si="24"/>
        <v>781242</v>
      </c>
      <c r="N92" s="4">
        <v>0</v>
      </c>
      <c r="O92" s="4">
        <v>0</v>
      </c>
      <c r="P92" s="4">
        <v>0</v>
      </c>
      <c r="Q92" s="4"/>
      <c r="R92" s="4">
        <v>0</v>
      </c>
      <c r="S92" s="4"/>
      <c r="T92" s="4"/>
      <c r="U92" s="4"/>
      <c r="V92" s="4">
        <f t="shared" ref="V92" si="30">SUM(N92:U92)</f>
        <v>0</v>
      </c>
      <c r="W92" s="5">
        <f t="shared" si="28"/>
        <v>781242</v>
      </c>
      <c r="X92" s="5"/>
      <c r="Y92" s="64"/>
      <c r="Z92" s="5">
        <f t="shared" si="27"/>
        <v>781242</v>
      </c>
    </row>
    <row r="93" spans="1:28" ht="24.95" customHeight="1" x14ac:dyDescent="0.25">
      <c r="A93" s="65"/>
      <c r="B93" s="2">
        <f t="shared" si="17"/>
        <v>37</v>
      </c>
      <c r="C93" s="9" t="s">
        <v>125</v>
      </c>
      <c r="D93" s="8"/>
      <c r="E93" s="4">
        <v>2100000</v>
      </c>
      <c r="F93" s="3">
        <v>30</v>
      </c>
      <c r="G93" s="3">
        <f>+E93-L93</f>
        <v>1610000</v>
      </c>
      <c r="H93" s="4"/>
      <c r="I93" s="4"/>
      <c r="J93" s="4"/>
      <c r="K93" s="4"/>
      <c r="L93" s="4">
        <v>490000</v>
      </c>
      <c r="M93" s="4">
        <f t="shared" si="24"/>
        <v>2100000</v>
      </c>
      <c r="N93" s="4">
        <f>+E93*0.04</f>
        <v>84000</v>
      </c>
      <c r="O93" s="4">
        <f>+E93*0.04</f>
        <v>84000</v>
      </c>
      <c r="P93" s="4"/>
      <c r="Q93" s="4"/>
      <c r="R93" s="4">
        <v>0</v>
      </c>
      <c r="S93" s="4"/>
      <c r="T93" s="4"/>
      <c r="U93" s="4"/>
      <c r="V93" s="4">
        <f t="shared" si="16"/>
        <v>168000</v>
      </c>
      <c r="W93" s="5">
        <f t="shared" si="28"/>
        <v>1932000</v>
      </c>
      <c r="X93" s="5"/>
      <c r="Y93" s="64"/>
      <c r="Z93" s="5">
        <f t="shared" si="27"/>
        <v>1932000</v>
      </c>
    </row>
    <row r="94" spans="1:28" ht="24.95" customHeight="1" x14ac:dyDescent="0.25">
      <c r="A94" s="65"/>
      <c r="B94" s="2">
        <f t="shared" si="17"/>
        <v>38</v>
      </c>
      <c r="C94" s="9" t="s">
        <v>126</v>
      </c>
      <c r="D94" s="8"/>
      <c r="E94" s="4">
        <v>781242</v>
      </c>
      <c r="F94" s="3">
        <v>30</v>
      </c>
      <c r="G94" s="3">
        <f t="shared" si="23"/>
        <v>781242</v>
      </c>
      <c r="H94" s="4">
        <v>88211</v>
      </c>
      <c r="I94" s="4">
        <v>92975</v>
      </c>
      <c r="J94" s="4"/>
      <c r="K94" s="4">
        <v>0</v>
      </c>
      <c r="L94" s="4">
        <f>+E94-G94</f>
        <v>0</v>
      </c>
      <c r="M94" s="4">
        <f t="shared" si="24"/>
        <v>962428</v>
      </c>
      <c r="N94" s="4">
        <f>+E94*0.04</f>
        <v>31249.68</v>
      </c>
      <c r="O94" s="4">
        <f>+E94*4%</f>
        <v>31249.68</v>
      </c>
      <c r="P94" s="4"/>
      <c r="Q94" s="4"/>
      <c r="R94" s="4"/>
      <c r="S94" s="4"/>
      <c r="T94" s="4"/>
      <c r="U94" s="4"/>
      <c r="V94" s="4">
        <f t="shared" si="16"/>
        <v>62499.360000000001</v>
      </c>
      <c r="W94" s="5">
        <f t="shared" si="28"/>
        <v>899928.64</v>
      </c>
      <c r="X94" s="5"/>
      <c r="Y94" s="64"/>
      <c r="Z94" s="5">
        <f t="shared" si="27"/>
        <v>899928.64</v>
      </c>
    </row>
    <row r="95" spans="1:28" ht="24.95" customHeight="1" x14ac:dyDescent="0.25">
      <c r="A95" s="65"/>
      <c r="B95" s="2">
        <f t="shared" si="17"/>
        <v>39</v>
      </c>
      <c r="C95" s="9" t="s">
        <v>127</v>
      </c>
      <c r="D95" s="8"/>
      <c r="E95" s="4">
        <v>781242</v>
      </c>
      <c r="F95" s="3">
        <v>30</v>
      </c>
      <c r="G95" s="3">
        <f t="shared" si="23"/>
        <v>781242</v>
      </c>
      <c r="H95" s="4">
        <f>+H94</f>
        <v>88211</v>
      </c>
      <c r="I95" s="4"/>
      <c r="J95" s="4"/>
      <c r="K95" s="4"/>
      <c r="L95" s="4"/>
      <c r="M95" s="4">
        <f t="shared" si="24"/>
        <v>869453</v>
      </c>
      <c r="N95" s="4">
        <f>+E95*4%</f>
        <v>31249.68</v>
      </c>
      <c r="O95" s="4">
        <f>+E95*4%</f>
        <v>31249.68</v>
      </c>
      <c r="P95" s="4"/>
      <c r="Q95" s="4"/>
      <c r="R95" s="4"/>
      <c r="S95" s="4"/>
      <c r="T95" s="4"/>
      <c r="U95" s="4"/>
      <c r="V95" s="4">
        <f t="shared" si="16"/>
        <v>62499.360000000001</v>
      </c>
      <c r="W95" s="5">
        <f t="shared" si="28"/>
        <v>806953.64</v>
      </c>
      <c r="X95" s="5"/>
      <c r="Y95" s="64"/>
      <c r="Z95" s="5">
        <f t="shared" si="27"/>
        <v>806953.64</v>
      </c>
    </row>
    <row r="96" spans="1:28" ht="24.95" customHeight="1" x14ac:dyDescent="0.25">
      <c r="A96" s="65"/>
      <c r="B96" s="2">
        <f t="shared" si="17"/>
        <v>40</v>
      </c>
      <c r="C96" s="1" t="s">
        <v>128</v>
      </c>
      <c r="D96" s="2" t="s">
        <v>31</v>
      </c>
      <c r="E96" s="4">
        <v>15400000</v>
      </c>
      <c r="F96" s="3">
        <v>30</v>
      </c>
      <c r="G96" s="3">
        <f t="shared" si="23"/>
        <v>15400000</v>
      </c>
      <c r="H96" s="4"/>
      <c r="I96" s="4"/>
      <c r="J96" s="4"/>
      <c r="K96" s="4">
        <v>600000</v>
      </c>
      <c r="L96" s="4">
        <f>+E96-G96</f>
        <v>0</v>
      </c>
      <c r="M96" s="4">
        <f t="shared" si="24"/>
        <v>16000000</v>
      </c>
      <c r="N96" s="4">
        <v>616000</v>
      </c>
      <c r="O96" s="4">
        <f>616000+308000</f>
        <v>924000</v>
      </c>
      <c r="P96" s="4">
        <v>112700</v>
      </c>
      <c r="Q96" s="4"/>
      <c r="R96" s="4">
        <v>916000</v>
      </c>
      <c r="S96" s="4">
        <v>5000000</v>
      </c>
      <c r="T96" s="4"/>
      <c r="U96" s="4">
        <v>2314715</v>
      </c>
      <c r="V96" s="4">
        <f t="shared" si="16"/>
        <v>9883415</v>
      </c>
      <c r="W96" s="5">
        <f>+M96-V96</f>
        <v>6116585</v>
      </c>
      <c r="X96" s="5"/>
      <c r="Y96" s="64"/>
      <c r="Z96" s="5">
        <f t="shared" si="27"/>
        <v>6116585</v>
      </c>
    </row>
    <row r="97" spans="1:27" ht="24.95" customHeight="1" x14ac:dyDescent="0.25">
      <c r="A97" s="65"/>
      <c r="B97" s="2">
        <f t="shared" si="17"/>
        <v>41</v>
      </c>
      <c r="C97" s="1" t="s">
        <v>129</v>
      </c>
      <c r="D97" s="2" t="s">
        <v>31</v>
      </c>
      <c r="E97" s="4">
        <v>5500000</v>
      </c>
      <c r="F97" s="3">
        <v>30</v>
      </c>
      <c r="G97" s="3">
        <f t="shared" si="23"/>
        <v>5500000</v>
      </c>
      <c r="H97" s="4"/>
      <c r="I97" s="4"/>
      <c r="J97" s="4"/>
      <c r="K97" s="4">
        <v>500000</v>
      </c>
      <c r="L97" s="4">
        <f>+E97-G97</f>
        <v>0</v>
      </c>
      <c r="M97" s="4">
        <f t="shared" si="24"/>
        <v>6000000</v>
      </c>
      <c r="N97" s="4">
        <f>+E97*0.04</f>
        <v>220000</v>
      </c>
      <c r="O97" s="4">
        <f>+E97*0.05</f>
        <v>275000</v>
      </c>
      <c r="P97" s="4"/>
      <c r="Q97" s="4"/>
      <c r="R97" s="4">
        <v>120000</v>
      </c>
      <c r="S97" s="4"/>
      <c r="T97" s="4"/>
      <c r="U97" s="4">
        <v>1138458</v>
      </c>
      <c r="V97" s="4">
        <f t="shared" si="16"/>
        <v>1753458</v>
      </c>
      <c r="W97" s="5">
        <f>+M97-V97</f>
        <v>4246542</v>
      </c>
      <c r="X97" s="5"/>
      <c r="Y97" s="64"/>
      <c r="Z97" s="5">
        <f t="shared" si="27"/>
        <v>4246542</v>
      </c>
      <c r="AA97" s="8"/>
    </row>
    <row r="98" spans="1:27" ht="24.95" customHeight="1" x14ac:dyDescent="0.25">
      <c r="A98" s="65"/>
      <c r="B98" s="2">
        <f t="shared" si="17"/>
        <v>42</v>
      </c>
      <c r="C98" s="1" t="s">
        <v>130</v>
      </c>
      <c r="D98" s="2"/>
      <c r="E98" s="4">
        <v>1600000</v>
      </c>
      <c r="F98" s="3">
        <v>30</v>
      </c>
      <c r="G98" s="3">
        <f t="shared" si="23"/>
        <v>1600000</v>
      </c>
      <c r="H98" s="4"/>
      <c r="I98" s="4"/>
      <c r="J98" s="4"/>
      <c r="K98" s="4">
        <v>270000</v>
      </c>
      <c r="L98" s="4">
        <f>+E98-G98</f>
        <v>0</v>
      </c>
      <c r="M98" s="4">
        <f t="shared" si="24"/>
        <v>1870000</v>
      </c>
      <c r="N98" s="4">
        <f>+E98*4%</f>
        <v>64000</v>
      </c>
      <c r="O98" s="4">
        <f>+E98*4%</f>
        <v>64000</v>
      </c>
      <c r="P98" s="4"/>
      <c r="Q98" s="4"/>
      <c r="R98" s="4"/>
      <c r="S98" s="4"/>
      <c r="T98" s="4"/>
      <c r="U98" s="4"/>
      <c r="V98" s="4">
        <f t="shared" si="16"/>
        <v>128000</v>
      </c>
      <c r="W98" s="5">
        <f>+M98-V98</f>
        <v>1742000</v>
      </c>
      <c r="X98" s="5"/>
      <c r="Y98" s="64"/>
      <c r="Z98" s="5">
        <f t="shared" si="27"/>
        <v>1742000</v>
      </c>
    </row>
    <row r="99" spans="1:27" ht="24.95" customHeight="1" x14ac:dyDescent="0.25">
      <c r="A99" s="65"/>
      <c r="B99" s="2">
        <f t="shared" si="17"/>
        <v>43</v>
      </c>
      <c r="C99" s="1" t="s">
        <v>131</v>
      </c>
      <c r="D99" s="2" t="s">
        <v>31</v>
      </c>
      <c r="E99" s="4">
        <v>2500000</v>
      </c>
      <c r="F99" s="3">
        <v>30</v>
      </c>
      <c r="G99" s="3">
        <f t="shared" si="23"/>
        <v>2500000</v>
      </c>
      <c r="H99" s="4"/>
      <c r="I99" s="4"/>
      <c r="J99" s="4"/>
      <c r="K99" s="4"/>
      <c r="L99" s="4"/>
      <c r="M99" s="4">
        <f t="shared" si="24"/>
        <v>2500000</v>
      </c>
      <c r="N99" s="4">
        <f>+E99*0.04</f>
        <v>100000</v>
      </c>
      <c r="O99" s="4">
        <f>+E99*0.04</f>
        <v>100000</v>
      </c>
      <c r="P99" s="4"/>
      <c r="Q99" s="4"/>
      <c r="R99" s="4">
        <v>0</v>
      </c>
      <c r="S99" s="4"/>
      <c r="T99" s="4"/>
      <c r="U99" s="4"/>
      <c r="V99" s="4">
        <f t="shared" si="16"/>
        <v>200000</v>
      </c>
      <c r="W99" s="5">
        <f>+M99-V99</f>
        <v>2300000</v>
      </c>
      <c r="X99" s="5"/>
      <c r="Y99" s="64"/>
      <c r="Z99" s="5">
        <f t="shared" si="27"/>
        <v>2300000</v>
      </c>
    </row>
    <row r="100" spans="1:27" ht="24.95" customHeight="1" x14ac:dyDescent="0.25">
      <c r="A100" s="65"/>
      <c r="B100" s="2">
        <f t="shared" si="17"/>
        <v>44</v>
      </c>
      <c r="C100" s="9" t="s">
        <v>132</v>
      </c>
      <c r="D100" s="8" t="s">
        <v>31</v>
      </c>
      <c r="E100" s="4">
        <v>3000000</v>
      </c>
      <c r="F100" s="3">
        <v>30</v>
      </c>
      <c r="G100" s="3">
        <f t="shared" si="23"/>
        <v>3000000</v>
      </c>
      <c r="H100" s="4"/>
      <c r="I100" s="4"/>
      <c r="J100" s="4"/>
      <c r="K100" s="4">
        <v>270000</v>
      </c>
      <c r="L100" s="4"/>
      <c r="M100" s="4">
        <f t="shared" si="24"/>
        <v>3270000</v>
      </c>
      <c r="N100" s="4">
        <f>+E100*0.04</f>
        <v>120000</v>
      </c>
      <c r="O100" s="4">
        <f>+E100*0.04</f>
        <v>120000</v>
      </c>
      <c r="P100" s="4"/>
      <c r="Q100" s="4"/>
      <c r="R100" s="4">
        <v>0</v>
      </c>
      <c r="S100" s="4"/>
      <c r="T100" s="4"/>
      <c r="U100" s="4">
        <v>514771</v>
      </c>
      <c r="V100" s="4">
        <f t="shared" si="16"/>
        <v>754771</v>
      </c>
      <c r="W100" s="5">
        <f>M100-V100</f>
        <v>2515229</v>
      </c>
      <c r="X100" s="5"/>
      <c r="Y100" s="64"/>
      <c r="Z100" s="5">
        <f t="shared" si="27"/>
        <v>2515229</v>
      </c>
    </row>
    <row r="101" spans="1:27" ht="24.95" customHeight="1" x14ac:dyDescent="0.25">
      <c r="A101" s="65"/>
      <c r="B101" s="2">
        <f t="shared" si="17"/>
        <v>45</v>
      </c>
      <c r="C101" s="1" t="s">
        <v>135</v>
      </c>
      <c r="D101" s="2" t="s">
        <v>31</v>
      </c>
      <c r="E101" s="4">
        <v>3850220</v>
      </c>
      <c r="F101" s="3">
        <v>30</v>
      </c>
      <c r="G101" s="3">
        <f t="shared" si="23"/>
        <v>3850220</v>
      </c>
      <c r="H101" s="4"/>
      <c r="I101" s="4"/>
      <c r="J101" s="4"/>
      <c r="K101" s="4">
        <v>676390</v>
      </c>
      <c r="L101" s="4">
        <f>+E101-G101</f>
        <v>0</v>
      </c>
      <c r="M101" s="4">
        <f t="shared" si="24"/>
        <v>4526610</v>
      </c>
      <c r="N101" s="4">
        <f t="shared" ref="N101:N106" si="31">+E101*4%</f>
        <v>154008.80000000002</v>
      </c>
      <c r="O101" s="4">
        <f>+E101*5%</f>
        <v>192511</v>
      </c>
      <c r="P101" s="4"/>
      <c r="Q101" s="4"/>
      <c r="R101" s="4"/>
      <c r="S101" s="4"/>
      <c r="T101" s="4"/>
      <c r="U101" s="4"/>
      <c r="V101" s="4">
        <f t="shared" si="16"/>
        <v>346519.80000000005</v>
      </c>
      <c r="W101" s="5">
        <f>+M101-V101</f>
        <v>4180090.2</v>
      </c>
      <c r="X101" s="5"/>
      <c r="Y101" s="64"/>
      <c r="Z101" s="5">
        <f t="shared" si="27"/>
        <v>4180090.2</v>
      </c>
    </row>
    <row r="102" spans="1:27" ht="24.95" customHeight="1" x14ac:dyDescent="0.25">
      <c r="A102" s="65"/>
      <c r="B102" s="2">
        <f t="shared" si="17"/>
        <v>46</v>
      </c>
      <c r="C102" s="1" t="s">
        <v>136</v>
      </c>
      <c r="D102" s="2" t="s">
        <v>31</v>
      </c>
      <c r="E102" s="4">
        <v>4500000</v>
      </c>
      <c r="F102" s="3">
        <v>30</v>
      </c>
      <c r="G102" s="3">
        <f t="shared" si="23"/>
        <v>4500000</v>
      </c>
      <c r="H102" s="4"/>
      <c r="I102" s="4"/>
      <c r="J102" s="4"/>
      <c r="K102" s="4" t="s">
        <v>1</v>
      </c>
      <c r="L102" s="4"/>
      <c r="M102" s="4">
        <v>4500000</v>
      </c>
      <c r="N102" s="4">
        <f t="shared" si="31"/>
        <v>180000</v>
      </c>
      <c r="O102" s="4">
        <f>+E102*5%</f>
        <v>225000</v>
      </c>
      <c r="P102" s="4"/>
      <c r="Q102" s="4"/>
      <c r="R102" s="4"/>
      <c r="S102" s="4"/>
      <c r="T102" s="4"/>
      <c r="U102" s="4"/>
      <c r="V102" s="4">
        <f>SUM(N102:U102)</f>
        <v>405000</v>
      </c>
      <c r="W102" s="5">
        <f>+M102-V102</f>
        <v>4095000</v>
      </c>
      <c r="X102" s="5"/>
      <c r="Y102" s="64"/>
      <c r="Z102" s="5">
        <f>W102+X102-Y102</f>
        <v>4095000</v>
      </c>
    </row>
    <row r="103" spans="1:27" ht="24.95" customHeight="1" x14ac:dyDescent="0.25">
      <c r="A103" s="65"/>
      <c r="B103" s="2">
        <f t="shared" si="17"/>
        <v>47</v>
      </c>
      <c r="C103" s="1" t="s">
        <v>137</v>
      </c>
      <c r="D103" s="2" t="s">
        <v>45</v>
      </c>
      <c r="E103" s="4">
        <v>2000000</v>
      </c>
      <c r="F103" s="3">
        <v>30</v>
      </c>
      <c r="G103" s="3">
        <f t="shared" si="23"/>
        <v>2000000.0000000002</v>
      </c>
      <c r="H103" s="4"/>
      <c r="I103" s="4"/>
      <c r="J103" s="4"/>
      <c r="K103" s="4"/>
      <c r="L103" s="4"/>
      <c r="M103" s="4">
        <f>+G103+H103+J103+K103+L103+I103</f>
        <v>2000000.0000000002</v>
      </c>
      <c r="N103" s="4">
        <f t="shared" si="31"/>
        <v>80000</v>
      </c>
      <c r="O103" s="4">
        <f>+E103*4%</f>
        <v>80000</v>
      </c>
      <c r="P103" s="4"/>
      <c r="Q103" s="4"/>
      <c r="R103" s="7"/>
      <c r="S103" s="4"/>
      <c r="T103" s="4"/>
      <c r="U103" s="4"/>
      <c r="V103" s="4">
        <f t="shared" si="16"/>
        <v>160000</v>
      </c>
      <c r="W103" s="5">
        <f>+M103-V103</f>
        <v>1840000.0000000002</v>
      </c>
      <c r="X103" s="5"/>
      <c r="Y103" s="64"/>
      <c r="Z103" s="5">
        <f t="shared" si="27"/>
        <v>1840000.0000000002</v>
      </c>
    </row>
    <row r="104" spans="1:27" ht="24.95" customHeight="1" x14ac:dyDescent="0.25">
      <c r="A104" s="65"/>
      <c r="B104" s="2">
        <f t="shared" si="17"/>
        <v>48</v>
      </c>
      <c r="C104" s="9" t="s">
        <v>138</v>
      </c>
      <c r="D104" s="8" t="s">
        <v>31</v>
      </c>
      <c r="E104" s="4">
        <v>1600000</v>
      </c>
      <c r="F104" s="3">
        <v>30</v>
      </c>
      <c r="G104" s="3">
        <f t="shared" si="23"/>
        <v>1600000</v>
      </c>
      <c r="H104" s="4"/>
      <c r="I104" s="4"/>
      <c r="J104" s="4">
        <v>0</v>
      </c>
      <c r="K104" s="4"/>
      <c r="L104" s="4"/>
      <c r="M104" s="4">
        <f t="shared" si="24"/>
        <v>1600000</v>
      </c>
      <c r="N104" s="4">
        <f t="shared" si="31"/>
        <v>64000</v>
      </c>
      <c r="O104" s="4">
        <f>+E104*0.04</f>
        <v>64000</v>
      </c>
      <c r="P104" s="4"/>
      <c r="Q104" s="4"/>
      <c r="R104" s="4">
        <v>0</v>
      </c>
      <c r="S104" s="4"/>
      <c r="T104" s="4">
        <v>175000</v>
      </c>
      <c r="U104" s="4"/>
      <c r="V104" s="4">
        <f t="shared" si="16"/>
        <v>303000</v>
      </c>
      <c r="W104" s="5">
        <f>M104-V104</f>
        <v>1297000</v>
      </c>
      <c r="X104" s="5"/>
      <c r="Y104" s="64"/>
      <c r="Z104" s="5">
        <f t="shared" si="27"/>
        <v>1297000</v>
      </c>
    </row>
    <row r="105" spans="1:27" ht="24.95" customHeight="1" x14ac:dyDescent="0.25">
      <c r="A105" s="65"/>
      <c r="B105" s="2">
        <f t="shared" si="17"/>
        <v>49</v>
      </c>
      <c r="C105" s="9" t="s">
        <v>148</v>
      </c>
      <c r="D105" s="8"/>
      <c r="E105" s="4">
        <v>1500000</v>
      </c>
      <c r="F105" s="3">
        <v>30</v>
      </c>
      <c r="G105" s="3">
        <f t="shared" si="23"/>
        <v>1500000</v>
      </c>
      <c r="H105" s="4">
        <f>88211+44106</f>
        <v>132317</v>
      </c>
      <c r="I105" s="4"/>
      <c r="J105" s="4"/>
      <c r="K105" s="4"/>
      <c r="L105" s="4"/>
      <c r="M105" s="4">
        <f t="shared" si="24"/>
        <v>1632317</v>
      </c>
      <c r="N105" s="4">
        <f>+E105*4%</f>
        <v>60000</v>
      </c>
      <c r="O105" s="4">
        <f>+E105*0.04</f>
        <v>60000</v>
      </c>
      <c r="P105" s="4"/>
      <c r="Q105" s="4"/>
      <c r="R105" s="4">
        <v>0</v>
      </c>
      <c r="S105" s="4"/>
      <c r="T105" s="4">
        <v>0</v>
      </c>
      <c r="U105" s="4"/>
      <c r="V105" s="4">
        <f t="shared" si="16"/>
        <v>120000</v>
      </c>
      <c r="W105" s="5">
        <f>M105-V105</f>
        <v>1512317</v>
      </c>
      <c r="X105" s="5"/>
      <c r="Y105" s="64"/>
      <c r="Z105" s="5">
        <f t="shared" si="27"/>
        <v>1512317</v>
      </c>
    </row>
    <row r="106" spans="1:27" ht="24.95" customHeight="1" x14ac:dyDescent="0.25">
      <c r="A106" s="65"/>
      <c r="B106" s="2">
        <f t="shared" si="17"/>
        <v>50</v>
      </c>
      <c r="C106" s="1" t="s">
        <v>139</v>
      </c>
      <c r="D106" s="2" t="s">
        <v>31</v>
      </c>
      <c r="E106" s="4">
        <v>2300000</v>
      </c>
      <c r="F106" s="3">
        <v>30</v>
      </c>
      <c r="G106" s="3">
        <f t="shared" si="23"/>
        <v>2300000</v>
      </c>
      <c r="H106" s="4"/>
      <c r="I106" s="4"/>
      <c r="J106" s="4"/>
      <c r="K106" s="4"/>
      <c r="L106" s="4"/>
      <c r="M106" s="4">
        <f t="shared" si="24"/>
        <v>2300000</v>
      </c>
      <c r="N106" s="4">
        <f t="shared" si="31"/>
        <v>92000</v>
      </c>
      <c r="O106" s="4">
        <f>+E106*4%</f>
        <v>92000</v>
      </c>
      <c r="P106" s="4"/>
      <c r="Q106" s="4"/>
      <c r="R106" s="4">
        <v>0</v>
      </c>
      <c r="S106" s="4"/>
      <c r="T106" s="4"/>
      <c r="U106" s="4"/>
      <c r="V106" s="4">
        <f t="shared" si="16"/>
        <v>184000</v>
      </c>
      <c r="W106" s="5">
        <f t="shared" ref="W106:W110" si="32">+M106-V106</f>
        <v>2116000</v>
      </c>
      <c r="X106" s="5"/>
      <c r="Y106" s="64"/>
      <c r="Z106" s="5">
        <f t="shared" si="27"/>
        <v>2116000</v>
      </c>
    </row>
    <row r="107" spans="1:27" ht="24.95" customHeight="1" x14ac:dyDescent="0.25">
      <c r="A107" s="65"/>
      <c r="B107" s="2">
        <f t="shared" si="17"/>
        <v>51</v>
      </c>
      <c r="C107" s="1" t="s">
        <v>140</v>
      </c>
      <c r="D107" s="2"/>
      <c r="E107" s="4">
        <v>912000</v>
      </c>
      <c r="F107" s="3">
        <v>30</v>
      </c>
      <c r="G107" s="3">
        <f t="shared" si="23"/>
        <v>912000</v>
      </c>
      <c r="H107" s="4">
        <v>88211</v>
      </c>
      <c r="I107" s="4"/>
      <c r="J107" s="4">
        <v>0</v>
      </c>
      <c r="K107" s="4"/>
      <c r="L107" s="4"/>
      <c r="M107" s="4">
        <f t="shared" si="24"/>
        <v>1000211</v>
      </c>
      <c r="N107" s="4">
        <f>+E107*0.04</f>
        <v>36480</v>
      </c>
      <c r="O107" s="4">
        <f>+E107*0.04</f>
        <v>36480</v>
      </c>
      <c r="P107" s="4"/>
      <c r="Q107" s="4"/>
      <c r="R107" s="4"/>
      <c r="S107" s="4"/>
      <c r="T107" s="4"/>
      <c r="U107" s="4"/>
      <c r="V107" s="4">
        <f>SUM(N107:U107)</f>
        <v>72960</v>
      </c>
      <c r="W107" s="5">
        <f>+M107-V107</f>
        <v>927251</v>
      </c>
      <c r="X107" s="5"/>
      <c r="Y107" s="64"/>
      <c r="Z107" s="5">
        <f>W107+X107-Y107</f>
        <v>927251</v>
      </c>
    </row>
    <row r="108" spans="1:27" ht="24.95" customHeight="1" x14ac:dyDescent="0.25">
      <c r="A108" s="65"/>
      <c r="B108" s="2">
        <f t="shared" si="17"/>
        <v>52</v>
      </c>
      <c r="C108" s="1" t="s">
        <v>141</v>
      </c>
      <c r="D108" s="2" t="s">
        <v>31</v>
      </c>
      <c r="E108" s="4">
        <v>2700000</v>
      </c>
      <c r="F108" s="3">
        <v>30</v>
      </c>
      <c r="G108" s="3">
        <f t="shared" si="23"/>
        <v>2700000</v>
      </c>
      <c r="H108" s="4"/>
      <c r="I108" s="4"/>
      <c r="J108" s="4"/>
      <c r="K108" s="4"/>
      <c r="L108" s="4"/>
      <c r="M108" s="4">
        <f t="shared" si="24"/>
        <v>2700000</v>
      </c>
      <c r="N108" s="4">
        <f>+E108*0.04</f>
        <v>108000</v>
      </c>
      <c r="O108" s="4">
        <f>+E108*0.04</f>
        <v>108000</v>
      </c>
      <c r="P108" s="4"/>
      <c r="Q108" s="4"/>
      <c r="R108" s="4"/>
      <c r="S108" s="4"/>
      <c r="T108" s="4"/>
      <c r="U108" s="4"/>
      <c r="V108" s="4">
        <f t="shared" si="16"/>
        <v>216000</v>
      </c>
      <c r="W108" s="5">
        <f t="shared" si="32"/>
        <v>2484000</v>
      </c>
      <c r="X108" s="5"/>
      <c r="Y108" s="64"/>
      <c r="Z108" s="5">
        <f t="shared" si="27"/>
        <v>2484000</v>
      </c>
    </row>
    <row r="109" spans="1:27" ht="24.95" customHeight="1" x14ac:dyDescent="0.25">
      <c r="A109" s="65"/>
      <c r="B109" s="2">
        <f t="shared" si="17"/>
        <v>53</v>
      </c>
      <c r="C109" s="1" t="s">
        <v>142</v>
      </c>
      <c r="D109" s="2"/>
      <c r="E109" s="4">
        <v>2000000</v>
      </c>
      <c r="F109" s="3">
        <v>30</v>
      </c>
      <c r="G109" s="3">
        <f t="shared" si="23"/>
        <v>2000000.0000000002</v>
      </c>
      <c r="H109" s="4"/>
      <c r="I109" s="4"/>
      <c r="J109" s="4"/>
      <c r="K109" s="4"/>
      <c r="L109" s="4"/>
      <c r="M109" s="4">
        <f t="shared" si="24"/>
        <v>2000000.0000000002</v>
      </c>
      <c r="N109" s="4">
        <f>+E109*4%</f>
        <v>80000</v>
      </c>
      <c r="O109" s="4">
        <f>+E109*4%</f>
        <v>80000</v>
      </c>
      <c r="P109" s="4"/>
      <c r="Q109" s="4"/>
      <c r="R109" s="4">
        <v>0</v>
      </c>
      <c r="S109" s="4"/>
      <c r="T109" s="4"/>
      <c r="U109" s="4"/>
      <c r="V109" s="4">
        <f t="shared" si="16"/>
        <v>160000</v>
      </c>
      <c r="W109" s="5">
        <f t="shared" si="32"/>
        <v>1840000.0000000002</v>
      </c>
      <c r="X109" s="5"/>
      <c r="Y109" s="64"/>
      <c r="Z109" s="5">
        <f t="shared" si="27"/>
        <v>1840000.0000000002</v>
      </c>
    </row>
    <row r="110" spans="1:27" ht="17.25" customHeight="1" x14ac:dyDescent="0.25">
      <c r="A110" s="65"/>
      <c r="B110" s="2">
        <f t="shared" si="17"/>
        <v>54</v>
      </c>
      <c r="C110" s="1" t="s">
        <v>144</v>
      </c>
      <c r="D110" s="2"/>
      <c r="E110" s="4">
        <v>1200000</v>
      </c>
      <c r="F110" s="3">
        <v>30</v>
      </c>
      <c r="G110" s="3">
        <f>+E110-J110</f>
        <v>1120000</v>
      </c>
      <c r="H110" s="4">
        <v>88211</v>
      </c>
      <c r="I110" s="4"/>
      <c r="J110" s="4">
        <v>80000</v>
      </c>
      <c r="K110" s="4"/>
      <c r="L110" s="4"/>
      <c r="M110" s="4">
        <f t="shared" si="24"/>
        <v>1288211</v>
      </c>
      <c r="N110" s="4">
        <f>+E110*4%</f>
        <v>48000</v>
      </c>
      <c r="O110" s="4">
        <f>+E110*4%</f>
        <v>48000</v>
      </c>
      <c r="P110" s="4"/>
      <c r="Q110" s="4"/>
      <c r="R110" s="4">
        <v>0</v>
      </c>
      <c r="S110" s="4"/>
      <c r="T110" s="4"/>
      <c r="U110" s="4"/>
      <c r="V110" s="4">
        <f t="shared" si="16"/>
        <v>96000</v>
      </c>
      <c r="W110" s="5">
        <f t="shared" si="32"/>
        <v>1192211</v>
      </c>
      <c r="X110" s="5"/>
      <c r="Y110" s="64"/>
      <c r="Z110" s="5">
        <f t="shared" si="27"/>
        <v>1192211</v>
      </c>
    </row>
    <row r="111" spans="1:27" x14ac:dyDescent="0.25">
      <c r="E111" s="12">
        <f>SUM(E4:E110)</f>
        <v>410875096</v>
      </c>
      <c r="F111" s="12"/>
      <c r="G111" s="12">
        <f t="shared" ref="G111:Z111" si="33">SUM(G4:G110)</f>
        <v>381000535.66666663</v>
      </c>
      <c r="H111" s="12">
        <f t="shared" si="33"/>
        <v>1367271</v>
      </c>
      <c r="I111" s="12">
        <f t="shared" si="33"/>
        <v>92975</v>
      </c>
      <c r="J111" s="12">
        <f t="shared" si="33"/>
        <v>2095640.6666666667</v>
      </c>
      <c r="K111" s="12">
        <f t="shared" si="33"/>
        <v>15563302</v>
      </c>
      <c r="L111" s="12">
        <f t="shared" si="33"/>
        <v>14143963</v>
      </c>
      <c r="M111" s="12">
        <f t="shared" si="33"/>
        <v>414263687.33333331</v>
      </c>
      <c r="N111" s="12">
        <f t="shared" si="33"/>
        <v>15788213.293333331</v>
      </c>
      <c r="O111" s="12">
        <f t="shared" si="33"/>
        <v>19054985.349999998</v>
      </c>
      <c r="P111" s="12">
        <f t="shared" si="33"/>
        <v>112700</v>
      </c>
      <c r="Q111" s="12">
        <f t="shared" si="33"/>
        <v>2938762</v>
      </c>
      <c r="R111" s="12">
        <f t="shared" si="33"/>
        <v>4222727</v>
      </c>
      <c r="S111" s="12">
        <f t="shared" si="33"/>
        <v>10015000</v>
      </c>
      <c r="T111" s="12">
        <f t="shared" si="33"/>
        <v>519614</v>
      </c>
      <c r="U111" s="12">
        <f t="shared" si="33"/>
        <v>14328165</v>
      </c>
      <c r="V111" s="12">
        <f t="shared" si="33"/>
        <v>66980166.643333331</v>
      </c>
      <c r="W111" s="12">
        <f t="shared" si="33"/>
        <v>347283520.68999994</v>
      </c>
      <c r="X111" s="12">
        <f t="shared" si="33"/>
        <v>0</v>
      </c>
      <c r="Y111" s="12">
        <f t="shared" si="33"/>
        <v>0</v>
      </c>
      <c r="Z111" s="90">
        <f t="shared" si="33"/>
        <v>342782820.68999994</v>
      </c>
    </row>
    <row r="112" spans="1:27" x14ac:dyDescent="0.25">
      <c r="D112" s="68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66"/>
      <c r="X112" s="68"/>
      <c r="Y112" s="70"/>
      <c r="Z112" s="66"/>
    </row>
    <row r="113" spans="2:30" x14ac:dyDescent="0.25">
      <c r="D113" s="68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T113" s="12"/>
      <c r="U113" s="12"/>
      <c r="V113" s="12"/>
      <c r="W113" s="66"/>
      <c r="X113" s="68"/>
      <c r="Y113" s="70"/>
      <c r="Z113" s="66"/>
    </row>
    <row r="114" spans="2:30" x14ac:dyDescent="0.25">
      <c r="C114" s="72"/>
      <c r="D114" s="68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T114" s="12"/>
      <c r="U114" s="12"/>
      <c r="V114" s="12"/>
      <c r="W114" s="68"/>
      <c r="X114" s="68"/>
      <c r="Y114" s="70"/>
      <c r="Z114" s="66"/>
    </row>
    <row r="115" spans="2:30" x14ac:dyDescent="0.25">
      <c r="C115" s="72"/>
      <c r="D115" s="68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68"/>
      <c r="X115" s="68"/>
      <c r="Y115" s="70"/>
      <c r="Z115" s="68"/>
      <c r="AA115" s="68"/>
      <c r="AB115" s="68"/>
      <c r="AC115" s="68"/>
      <c r="AD115" s="68"/>
    </row>
    <row r="116" spans="2:30" x14ac:dyDescent="0.25">
      <c r="B116" s="68"/>
      <c r="C116" s="72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12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68"/>
      <c r="AB116" s="68"/>
      <c r="AC116" s="68"/>
      <c r="AD116" s="68"/>
    </row>
    <row r="117" spans="2:30" x14ac:dyDescent="0.25">
      <c r="B117" s="68"/>
      <c r="C117" s="72"/>
      <c r="D117" s="68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68"/>
      <c r="X117" s="68"/>
      <c r="Y117" s="70"/>
      <c r="Z117" s="68"/>
      <c r="AA117" s="68"/>
      <c r="AB117" s="68"/>
      <c r="AC117" s="68"/>
      <c r="AD117" s="68"/>
    </row>
    <row r="118" spans="2:30" x14ac:dyDescent="0.25">
      <c r="B118" s="68"/>
      <c r="C118" s="72"/>
      <c r="D118" s="68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68"/>
      <c r="X118" s="68"/>
      <c r="Y118" s="70"/>
      <c r="Z118" s="68"/>
      <c r="AA118" s="68"/>
      <c r="AB118" s="68"/>
      <c r="AC118" s="68"/>
      <c r="AD118" s="68"/>
    </row>
    <row r="119" spans="2:30" x14ac:dyDescent="0.25">
      <c r="B119" s="68"/>
      <c r="C119" s="72"/>
      <c r="D119" s="68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68"/>
      <c r="X119" s="68"/>
      <c r="Y119" s="70"/>
      <c r="Z119" s="68"/>
      <c r="AA119" s="68"/>
      <c r="AB119" s="68"/>
      <c r="AC119" s="68"/>
      <c r="AD119" s="68"/>
    </row>
    <row r="120" spans="2:30" x14ac:dyDescent="0.25">
      <c r="B120" s="68"/>
      <c r="C120" s="75"/>
      <c r="D120" s="75"/>
      <c r="E120" s="75"/>
      <c r="F120" s="75"/>
      <c r="G120" s="91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6"/>
      <c r="Y120" s="77"/>
      <c r="Z120" s="76"/>
      <c r="AA120" s="68"/>
      <c r="AB120" s="68"/>
      <c r="AC120" s="68"/>
      <c r="AD120" s="68"/>
    </row>
    <row r="121" spans="2:30" x14ac:dyDescent="0.25">
      <c r="B121" s="78"/>
      <c r="C121" s="92"/>
      <c r="D121" s="76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6"/>
      <c r="X121" s="76"/>
      <c r="Y121" s="77"/>
      <c r="Z121" s="76"/>
      <c r="AA121" s="68"/>
      <c r="AB121" s="68"/>
      <c r="AC121" s="68"/>
      <c r="AD121" s="68"/>
    </row>
    <row r="122" spans="2:30" x14ac:dyDescent="0.25">
      <c r="B122" s="68"/>
      <c r="C122" s="93"/>
      <c r="D122" s="68"/>
      <c r="E122" s="12"/>
      <c r="F122" s="12"/>
      <c r="G122" s="80"/>
      <c r="H122" s="12"/>
      <c r="I122" s="12"/>
      <c r="J122" s="12"/>
      <c r="K122" s="12"/>
      <c r="L122" s="12"/>
      <c r="M122" s="12"/>
      <c r="N122" s="12"/>
      <c r="O122" s="12"/>
      <c r="P122" s="81"/>
      <c r="Q122" s="81"/>
      <c r="R122" s="81"/>
      <c r="S122" s="81"/>
      <c r="T122" s="81"/>
      <c r="U122" s="12"/>
      <c r="V122" s="12"/>
      <c r="W122" s="68"/>
      <c r="X122" s="68"/>
      <c r="Y122" s="70"/>
      <c r="Z122" s="68"/>
      <c r="AA122" s="68"/>
      <c r="AB122" s="68"/>
      <c r="AC122" s="68"/>
      <c r="AD122" s="68"/>
    </row>
    <row r="123" spans="2:30" x14ac:dyDescent="0.25">
      <c r="B123" s="68"/>
      <c r="C123" s="82"/>
      <c r="D123" s="76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6"/>
      <c r="X123" s="76"/>
      <c r="Y123" s="77"/>
      <c r="Z123" s="76"/>
      <c r="AA123" s="68"/>
      <c r="AB123" s="68"/>
      <c r="AC123" s="68"/>
      <c r="AD123" s="68"/>
    </row>
    <row r="124" spans="2:30" x14ac:dyDescent="0.25">
      <c r="B124" s="76"/>
      <c r="C124" s="82"/>
      <c r="D124" s="76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6"/>
      <c r="X124" s="76"/>
      <c r="Y124" s="77"/>
      <c r="Z124" s="76"/>
      <c r="AA124" s="68"/>
      <c r="AB124" s="68"/>
      <c r="AC124" s="68"/>
      <c r="AD124" s="68"/>
    </row>
    <row r="125" spans="2:30" x14ac:dyDescent="0.25">
      <c r="B125" s="68"/>
      <c r="C125" s="82"/>
      <c r="D125" s="76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66"/>
      <c r="X125" s="66"/>
      <c r="Y125" s="70"/>
      <c r="Z125" s="66"/>
      <c r="AA125" s="68"/>
      <c r="AB125" s="68"/>
      <c r="AC125" s="68"/>
      <c r="AD125" s="68"/>
    </row>
    <row r="126" spans="2:30" x14ac:dyDescent="0.25">
      <c r="C126" s="82"/>
      <c r="D126" s="76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66"/>
      <c r="X126" s="66"/>
      <c r="Y126" s="70"/>
      <c r="Z126" s="66"/>
      <c r="AA126" s="68"/>
      <c r="AB126" s="68"/>
      <c r="AC126" s="68"/>
      <c r="AD126" s="68"/>
    </row>
    <row r="127" spans="2:30" x14ac:dyDescent="0.25">
      <c r="C127" s="82"/>
      <c r="D127" s="76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66"/>
      <c r="X127" s="66"/>
      <c r="Y127" s="70"/>
      <c r="Z127" s="66"/>
      <c r="AA127" s="68"/>
      <c r="AB127" s="68"/>
      <c r="AC127" s="68"/>
      <c r="AD127" s="68"/>
    </row>
    <row r="128" spans="2:30" x14ac:dyDescent="0.25">
      <c r="C128" s="82"/>
      <c r="D128" s="76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66"/>
      <c r="X128" s="66"/>
      <c r="Y128" s="70"/>
      <c r="Z128" s="66"/>
      <c r="AA128" s="68"/>
      <c r="AB128" s="68"/>
      <c r="AC128" s="68"/>
      <c r="AD128" s="68"/>
    </row>
    <row r="129" spans="3:30" x14ac:dyDescent="0.25">
      <c r="C129" s="82"/>
      <c r="D129" s="76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66"/>
      <c r="X129" s="66"/>
      <c r="Y129" s="70"/>
      <c r="Z129" s="66"/>
      <c r="AA129" s="68"/>
      <c r="AB129" s="68"/>
      <c r="AC129" s="68"/>
      <c r="AD129" s="68"/>
    </row>
    <row r="130" spans="3:30" x14ac:dyDescent="0.25">
      <c r="C130" s="82"/>
      <c r="D130" s="76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66"/>
      <c r="X130" s="66"/>
      <c r="Y130" s="70"/>
      <c r="Z130" s="66"/>
      <c r="AA130" s="68"/>
      <c r="AB130" s="68"/>
      <c r="AC130" s="68"/>
      <c r="AD130" s="68"/>
    </row>
    <row r="131" spans="3:30" x14ac:dyDescent="0.25">
      <c r="C131" s="72"/>
      <c r="D131" s="68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66"/>
      <c r="X131" s="66"/>
      <c r="Y131" s="70"/>
      <c r="Z131" s="66"/>
      <c r="AA131" s="68"/>
      <c r="AB131" s="68"/>
      <c r="AC131" s="68"/>
      <c r="AD131" s="68"/>
    </row>
    <row r="132" spans="3:30" x14ac:dyDescent="0.25">
      <c r="C132" s="82"/>
      <c r="D132" s="68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66"/>
      <c r="X132" s="66"/>
      <c r="Y132" s="70"/>
      <c r="Z132" s="66"/>
      <c r="AA132" s="68"/>
      <c r="AB132" s="68"/>
      <c r="AC132" s="68"/>
      <c r="AD132" s="68"/>
    </row>
    <row r="133" spans="3:30" x14ac:dyDescent="0.25">
      <c r="C133" s="82"/>
      <c r="D133" s="68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66"/>
      <c r="X133" s="66"/>
      <c r="Y133" s="70"/>
      <c r="Z133" s="66"/>
      <c r="AA133" s="68"/>
      <c r="AB133" s="68"/>
      <c r="AC133" s="68"/>
      <c r="AD133" s="68"/>
    </row>
    <row r="134" spans="3:30" x14ac:dyDescent="0.25">
      <c r="C134" s="82"/>
      <c r="D134" s="68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66"/>
      <c r="X134" s="66"/>
      <c r="Y134" s="70"/>
      <c r="Z134" s="66"/>
      <c r="AA134" s="68"/>
      <c r="AB134" s="68"/>
      <c r="AC134" s="68"/>
      <c r="AD134" s="68"/>
    </row>
    <row r="135" spans="3:30" x14ac:dyDescent="0.25">
      <c r="C135" s="82"/>
      <c r="D135" s="68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66"/>
      <c r="X135" s="66"/>
      <c r="Y135" s="70"/>
      <c r="Z135" s="66"/>
      <c r="AA135" s="68"/>
      <c r="AB135" s="68"/>
      <c r="AC135" s="68"/>
      <c r="AD135" s="68"/>
    </row>
    <row r="136" spans="3:30" x14ac:dyDescent="0.25">
      <c r="C136" s="82"/>
      <c r="D136" s="68"/>
      <c r="E136" s="12"/>
      <c r="F136" s="12"/>
      <c r="G136" s="12"/>
      <c r="H136" s="12"/>
      <c r="I136" s="12"/>
      <c r="J136" s="12"/>
      <c r="K136" s="12"/>
      <c r="L136" s="12"/>
      <c r="M136" s="12">
        <f>737717*4</f>
        <v>2950868</v>
      </c>
      <c r="N136" s="12">
        <f>737717*2</f>
        <v>1475434</v>
      </c>
      <c r="O136" s="12"/>
      <c r="P136" s="12"/>
      <c r="Q136" s="12"/>
      <c r="R136" s="12"/>
      <c r="S136" s="12"/>
      <c r="T136" s="12"/>
      <c r="U136" s="12"/>
      <c r="V136" s="12"/>
      <c r="W136" s="66"/>
      <c r="X136" s="66"/>
      <c r="Y136" s="70"/>
      <c r="Z136" s="66"/>
      <c r="AA136" s="68"/>
      <c r="AB136" s="68"/>
      <c r="AC136" s="68"/>
      <c r="AD136" s="68"/>
    </row>
    <row r="137" spans="3:30" x14ac:dyDescent="0.25">
      <c r="C137" s="82"/>
      <c r="D137" s="68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66"/>
      <c r="X137" s="66"/>
      <c r="Y137" s="70"/>
      <c r="Z137" s="66"/>
      <c r="AA137" s="68"/>
      <c r="AB137" s="68"/>
      <c r="AC137" s="68"/>
      <c r="AD137" s="68"/>
    </row>
    <row r="138" spans="3:30" x14ac:dyDescent="0.25">
      <c r="C138" s="82"/>
      <c r="D138" s="68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66"/>
      <c r="X138" s="66"/>
      <c r="Y138" s="70"/>
      <c r="Z138" s="66"/>
      <c r="AA138" s="68"/>
      <c r="AB138" s="68"/>
      <c r="AC138" s="68"/>
      <c r="AD138" s="68"/>
    </row>
    <row r="139" spans="3:30" x14ac:dyDescent="0.25">
      <c r="C139" s="82"/>
      <c r="D139" s="68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66"/>
      <c r="X139" s="66"/>
      <c r="Y139" s="70"/>
      <c r="Z139" s="66"/>
      <c r="AA139" s="68"/>
      <c r="AB139" s="68"/>
      <c r="AC139" s="68"/>
      <c r="AD139" s="68"/>
    </row>
    <row r="140" spans="3:30" x14ac:dyDescent="0.25">
      <c r="C140" s="82"/>
      <c r="D140" s="68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66"/>
      <c r="X140" s="66"/>
      <c r="Y140" s="70"/>
      <c r="Z140" s="66"/>
      <c r="AA140" s="68"/>
      <c r="AB140" s="68"/>
      <c r="AC140" s="68"/>
      <c r="AD140" s="68"/>
    </row>
    <row r="141" spans="3:30" x14ac:dyDescent="0.25">
      <c r="C141" s="82"/>
      <c r="D141" s="68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66"/>
      <c r="X141" s="66"/>
      <c r="Y141" s="70"/>
      <c r="Z141" s="66"/>
      <c r="AA141" s="68"/>
      <c r="AB141" s="68"/>
      <c r="AC141" s="68"/>
      <c r="AD141" s="68"/>
    </row>
    <row r="142" spans="3:30" x14ac:dyDescent="0.25">
      <c r="C142" s="82"/>
      <c r="D142" s="68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66"/>
      <c r="X142" s="66"/>
      <c r="Y142" s="70"/>
      <c r="Z142" s="66"/>
      <c r="AA142" s="68"/>
      <c r="AB142" s="68"/>
      <c r="AC142" s="68"/>
      <c r="AD142" s="68"/>
    </row>
    <row r="143" spans="3:30" x14ac:dyDescent="0.25">
      <c r="C143" s="72"/>
      <c r="D143" s="68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68"/>
      <c r="X143" s="68"/>
      <c r="Y143" s="70"/>
      <c r="Z143" s="68"/>
      <c r="AA143" s="68"/>
      <c r="AB143" s="68"/>
      <c r="AC143" s="68"/>
      <c r="AD143" s="68"/>
    </row>
    <row r="144" spans="3:30" x14ac:dyDescent="0.25">
      <c r="C144" s="72"/>
      <c r="D144" s="68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68"/>
      <c r="U144" s="12"/>
      <c r="V144" s="12"/>
      <c r="W144" s="68"/>
      <c r="X144" s="68"/>
      <c r="Y144" s="70"/>
      <c r="Z144" s="68"/>
      <c r="AA144" s="68"/>
      <c r="AB144" s="68"/>
      <c r="AC144" s="68"/>
      <c r="AD144" s="68"/>
    </row>
    <row r="145" spans="2:30" x14ac:dyDescent="0.25">
      <c r="B145" s="68"/>
      <c r="C145" s="72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68"/>
      <c r="AB145" s="68"/>
      <c r="AC145" s="68"/>
      <c r="AD145" s="68"/>
    </row>
    <row r="146" spans="2:30" x14ac:dyDescent="0.25">
      <c r="B146" s="68"/>
      <c r="C146" s="72"/>
      <c r="D146" s="68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6"/>
      <c r="X146" s="76"/>
      <c r="Y146" s="77"/>
      <c r="Z146" s="76"/>
      <c r="AA146" s="68"/>
      <c r="AB146" s="68"/>
      <c r="AC146" s="68"/>
      <c r="AD146" s="68"/>
    </row>
    <row r="147" spans="2:30" x14ac:dyDescent="0.25">
      <c r="B147" s="68"/>
      <c r="C147" s="82"/>
      <c r="D147" s="76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6"/>
      <c r="X147" s="76"/>
      <c r="Y147" s="77"/>
      <c r="Z147" s="76"/>
    </row>
    <row r="148" spans="2:30" x14ac:dyDescent="0.25">
      <c r="B148" s="85"/>
      <c r="C148" s="82"/>
      <c r="D148" s="76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6"/>
      <c r="X148" s="76"/>
      <c r="Y148" s="77"/>
      <c r="Z148" s="76"/>
    </row>
    <row r="149" spans="2:30" x14ac:dyDescent="0.25">
      <c r="C149" s="82"/>
      <c r="D149" s="76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66"/>
      <c r="X149" s="66"/>
      <c r="Y149" s="70"/>
      <c r="Z149" s="66"/>
    </row>
    <row r="150" spans="2:30" x14ac:dyDescent="0.25">
      <c r="C150" s="82"/>
      <c r="D150" s="76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66"/>
      <c r="X150" s="66"/>
      <c r="Y150" s="70"/>
      <c r="Z150" s="66"/>
    </row>
    <row r="151" spans="2:30" x14ac:dyDescent="0.25">
      <c r="C151" s="82"/>
      <c r="D151" s="76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66"/>
      <c r="X151" s="66"/>
      <c r="Y151" s="70"/>
      <c r="Z151" s="66"/>
    </row>
    <row r="152" spans="2:30" x14ac:dyDescent="0.25">
      <c r="C152" s="72"/>
      <c r="D152" s="68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66"/>
      <c r="X152" s="66"/>
      <c r="Y152" s="70"/>
      <c r="Z152" s="66"/>
    </row>
    <row r="153" spans="2:30" x14ac:dyDescent="0.25">
      <c r="C153" s="82"/>
      <c r="D153" s="68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66"/>
      <c r="X153" s="66"/>
      <c r="Y153" s="70"/>
      <c r="Z153" s="66"/>
    </row>
    <row r="154" spans="2:30" x14ac:dyDescent="0.25">
      <c r="C154" s="72"/>
      <c r="D154" s="68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68"/>
      <c r="X154" s="68"/>
      <c r="Y154" s="70"/>
      <c r="Z154" s="68"/>
    </row>
    <row r="155" spans="2:30" x14ac:dyDescent="0.25">
      <c r="C155" s="72"/>
      <c r="D155" s="68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66"/>
      <c r="X155" s="66"/>
      <c r="Y155" s="70"/>
      <c r="Z155" s="66"/>
    </row>
    <row r="156" spans="2:30" x14ac:dyDescent="0.25">
      <c r="B156" s="68"/>
      <c r="C156" s="72"/>
      <c r="D156" s="68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68"/>
      <c r="X156" s="68"/>
      <c r="Y156" s="70"/>
      <c r="Z156" s="68"/>
    </row>
    <row r="157" spans="2:30" x14ac:dyDescent="0.25">
      <c r="B157" s="68"/>
      <c r="C157" s="72"/>
      <c r="D157" s="68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68"/>
      <c r="X157" s="68"/>
      <c r="Y157" s="70"/>
      <c r="Z157" s="68"/>
    </row>
    <row r="158" spans="2:30" x14ac:dyDescent="0.25">
      <c r="B158" s="68"/>
      <c r="C158" s="72"/>
      <c r="D158" s="68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86"/>
      <c r="X158" s="86"/>
      <c r="Y158" s="70"/>
      <c r="Z158" s="86"/>
    </row>
    <row r="159" spans="2:30" x14ac:dyDescent="0.25">
      <c r="B159" s="68"/>
      <c r="C159" s="72"/>
      <c r="D159" s="68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87"/>
      <c r="X159" s="87"/>
      <c r="Y159" s="70"/>
      <c r="Z159" s="87"/>
    </row>
    <row r="160" spans="2:30" x14ac:dyDescent="0.25">
      <c r="C160" s="72"/>
      <c r="D160" s="68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68"/>
      <c r="X160" s="68"/>
      <c r="Y160" s="70"/>
      <c r="Z160" s="68"/>
    </row>
    <row r="161" spans="3:26" x14ac:dyDescent="0.25">
      <c r="C161" s="72"/>
      <c r="D161" s="68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68"/>
      <c r="X161" s="68"/>
      <c r="Y161" s="70"/>
      <c r="Z161" s="68"/>
    </row>
    <row r="162" spans="3:26" x14ac:dyDescent="0.25">
      <c r="C162" s="72"/>
      <c r="D162" s="68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68"/>
      <c r="X162" s="68"/>
      <c r="Y162" s="70"/>
      <c r="Z162" s="68"/>
    </row>
    <row r="163" spans="3:26" x14ac:dyDescent="0.25">
      <c r="C163" s="72"/>
      <c r="D163" s="68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68"/>
      <c r="X163" s="68"/>
      <c r="Y163" s="70"/>
      <c r="Z163" s="68"/>
    </row>
    <row r="164" spans="3:26" x14ac:dyDescent="0.25">
      <c r="C164" s="72"/>
      <c r="D164" s="68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68"/>
      <c r="X164" s="68"/>
      <c r="Y164" s="70"/>
      <c r="Z164" s="68"/>
    </row>
    <row r="165" spans="3:26" x14ac:dyDescent="0.25">
      <c r="C165" s="72"/>
      <c r="D165" s="68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68"/>
      <c r="X165" s="68"/>
      <c r="Y165" s="70"/>
      <c r="Z165" s="68"/>
    </row>
    <row r="166" spans="3:26" x14ac:dyDescent="0.25">
      <c r="C166" s="72"/>
      <c r="D166" s="68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68"/>
      <c r="X166" s="68"/>
      <c r="Y166" s="70"/>
      <c r="Z166" s="68"/>
    </row>
    <row r="167" spans="3:26" x14ac:dyDescent="0.25">
      <c r="C167" s="72"/>
      <c r="D167" s="68"/>
      <c r="E167" s="12"/>
      <c r="F167" s="12"/>
      <c r="G167" s="12"/>
      <c r="H167" s="12"/>
      <c r="I167" s="12"/>
      <c r="J167" s="12"/>
      <c r="K167" s="12"/>
      <c r="L167" s="12"/>
      <c r="M167" s="12"/>
      <c r="N167" s="12">
        <v>3003000</v>
      </c>
      <c r="O167" s="12"/>
      <c r="P167" s="12"/>
      <c r="Q167" s="12"/>
      <c r="R167" s="12"/>
      <c r="S167" s="12"/>
      <c r="T167" s="12"/>
      <c r="U167" s="12"/>
      <c r="V167" s="12"/>
      <c r="W167" s="68"/>
      <c r="X167" s="68"/>
      <c r="Y167" s="70"/>
      <c r="Z167" s="68"/>
    </row>
    <row r="168" spans="3:26" x14ac:dyDescent="0.25">
      <c r="C168" s="82"/>
      <c r="D168" s="68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68"/>
      <c r="X168" s="68"/>
      <c r="Y168" s="70"/>
      <c r="Z168" s="68"/>
    </row>
    <row r="169" spans="3:26" x14ac:dyDescent="0.25">
      <c r="C169" s="82"/>
      <c r="D169" s="68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68"/>
      <c r="X169" s="68"/>
      <c r="Y169" s="70"/>
      <c r="Z169" s="68"/>
    </row>
    <row r="170" spans="3:26" x14ac:dyDescent="0.25">
      <c r="C170" s="82"/>
      <c r="D170" s="68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68"/>
      <c r="X170" s="68"/>
      <c r="Y170" s="70"/>
      <c r="Z170" s="68"/>
    </row>
    <row r="171" spans="3:26" x14ac:dyDescent="0.25">
      <c r="C171" s="82"/>
      <c r="D171" s="68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68"/>
      <c r="X171" s="68"/>
      <c r="Y171" s="70"/>
      <c r="Z171" s="68"/>
    </row>
    <row r="172" spans="3:26" x14ac:dyDescent="0.25">
      <c r="C172" s="72">
        <v>42614840</v>
      </c>
      <c r="D172" s="68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>
        <v>412608</v>
      </c>
      <c r="W172" s="68"/>
      <c r="X172" s="68"/>
      <c r="Y172" s="70"/>
      <c r="Z172" s="68"/>
    </row>
    <row r="173" spans="3:26" x14ac:dyDescent="0.25">
      <c r="C173" s="72">
        <v>9675182</v>
      </c>
      <c r="D173" s="68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>
        <v>1880000</v>
      </c>
      <c r="W173" s="68"/>
      <c r="X173" s="68"/>
      <c r="Y173" s="70"/>
      <c r="Z173" s="68"/>
    </row>
    <row r="174" spans="3:26" x14ac:dyDescent="0.25">
      <c r="C174" s="72">
        <v>17903600</v>
      </c>
      <c r="D174" s="68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68"/>
      <c r="X174" s="68"/>
      <c r="Y174" s="70"/>
      <c r="Z174" s="68"/>
    </row>
    <row r="175" spans="3:26" x14ac:dyDescent="0.25">
      <c r="C175" s="72">
        <f>SUM(C172:C174)</f>
        <v>70193622</v>
      </c>
      <c r="D175" s="68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68"/>
      <c r="X175" s="68"/>
      <c r="Y175" s="70"/>
      <c r="Z175" s="68"/>
    </row>
    <row r="176" spans="3:26" x14ac:dyDescent="0.25">
      <c r="C176" s="72">
        <v>400000</v>
      </c>
      <c r="D176" s="68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68"/>
      <c r="X176" s="68"/>
      <c r="Y176" s="70"/>
      <c r="Z176" s="68"/>
    </row>
    <row r="177" spans="3:26" x14ac:dyDescent="0.25">
      <c r="C177" s="72">
        <f>+C175+C176</f>
        <v>70593622</v>
      </c>
      <c r="D177" s="68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68"/>
      <c r="X177" s="68"/>
      <c r="Y177" s="70"/>
      <c r="Z177" s="68"/>
    </row>
    <row r="181" spans="3:26" x14ac:dyDescent="0.25">
      <c r="C181" s="13">
        <v>11000000</v>
      </c>
    </row>
    <row r="182" spans="3:26" x14ac:dyDescent="0.25">
      <c r="C182" s="13">
        <f>+C180+C181</f>
        <v>11000000</v>
      </c>
    </row>
    <row r="187" spans="3:26" x14ac:dyDescent="0.25">
      <c r="C187" s="13">
        <v>3185000</v>
      </c>
    </row>
    <row r="188" spans="3:26" x14ac:dyDescent="0.25">
      <c r="C188" s="13">
        <v>1080000</v>
      </c>
    </row>
    <row r="189" spans="3:26" x14ac:dyDescent="0.25">
      <c r="C189" s="13">
        <v>4850100</v>
      </c>
    </row>
    <row r="190" spans="3:26" x14ac:dyDescent="0.25">
      <c r="C190" s="13">
        <v>5027500</v>
      </c>
    </row>
    <row r="191" spans="3:26" x14ac:dyDescent="0.25">
      <c r="C191" s="13">
        <v>4566000</v>
      </c>
    </row>
    <row r="192" spans="3:26" x14ac:dyDescent="0.25">
      <c r="C192" s="13">
        <v>1050000</v>
      </c>
    </row>
    <row r="193" spans="3:3" x14ac:dyDescent="0.25">
      <c r="C193" s="13">
        <v>3877333</v>
      </c>
    </row>
    <row r="194" spans="3:3" x14ac:dyDescent="0.25">
      <c r="C194" s="13">
        <v>6732440</v>
      </c>
    </row>
    <row r="195" spans="3:3" x14ac:dyDescent="0.25">
      <c r="C195" s="13">
        <v>3460000</v>
      </c>
    </row>
    <row r="196" spans="3:3" x14ac:dyDescent="0.25">
      <c r="C196" s="13">
        <v>588800</v>
      </c>
    </row>
    <row r="197" spans="3:3" x14ac:dyDescent="0.25">
      <c r="C197" s="13">
        <v>1868000</v>
      </c>
    </row>
    <row r="198" spans="3:3" x14ac:dyDescent="0.25">
      <c r="C198" s="13">
        <v>10313000</v>
      </c>
    </row>
    <row r="199" spans="3:3" x14ac:dyDescent="0.25">
      <c r="C199" s="13">
        <v>3443800</v>
      </c>
    </row>
    <row r="200" spans="3:3" x14ac:dyDescent="0.25">
      <c r="C200" s="13">
        <v>8136400</v>
      </c>
    </row>
    <row r="201" spans="3:3" x14ac:dyDescent="0.25">
      <c r="C201" s="13">
        <v>9675183</v>
      </c>
    </row>
    <row r="202" spans="3:3" x14ac:dyDescent="0.25">
      <c r="C202" s="13">
        <f>SUM(C186:C201)</f>
        <v>67853556</v>
      </c>
    </row>
  </sheetData>
  <mergeCells count="7">
    <mergeCell ref="D145:Z145"/>
    <mergeCell ref="C1:W1"/>
    <mergeCell ref="E2:M2"/>
    <mergeCell ref="N2:V2"/>
    <mergeCell ref="A4:A56"/>
    <mergeCell ref="A57:A110"/>
    <mergeCell ref="E144:S14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2F656-F20D-4EC4-B7FE-1CC6D84AD79C}">
  <dimension ref="A1:Y204"/>
  <sheetViews>
    <sheetView workbookViewId="0">
      <selection activeCell="F6" sqref="F6"/>
    </sheetView>
  </sheetViews>
  <sheetFormatPr baseColWidth="10" defaultRowHeight="12" x14ac:dyDescent="0.25"/>
  <cols>
    <col min="1" max="1" width="6.7109375" style="22" customWidth="1"/>
    <col min="2" max="2" width="4.85546875" style="22" customWidth="1"/>
    <col min="3" max="3" width="32.28515625" style="44" customWidth="1"/>
    <col min="4" max="4" width="8.5703125" style="22" customWidth="1"/>
    <col min="5" max="5" width="11" style="22" customWidth="1"/>
    <col min="6" max="6" width="11.7109375" style="45" customWidth="1"/>
    <col min="7" max="7" width="4.42578125" style="45" customWidth="1"/>
    <col min="8" max="8" width="12.28515625" style="45" customWidth="1"/>
    <col min="9" max="10" width="11.28515625" style="45" customWidth="1"/>
    <col min="11" max="11" width="9.5703125" style="45" customWidth="1"/>
    <col min="12" max="12" width="12.28515625" style="45" customWidth="1"/>
    <col min="13" max="13" width="12.5703125" style="45" customWidth="1"/>
    <col min="14" max="14" width="13.28515625" style="45" customWidth="1"/>
    <col min="15" max="16" width="12.28515625" style="45" customWidth="1"/>
    <col min="17" max="19" width="11.28515625" style="45" customWidth="1"/>
    <col min="20" max="20" width="12.28515625" style="45" customWidth="1"/>
    <col min="21" max="21" width="11.28515625" style="45" customWidth="1"/>
    <col min="22" max="22" width="15.7109375" style="45" customWidth="1"/>
    <col min="23" max="23" width="12.42578125" style="45" customWidth="1"/>
    <col min="24" max="24" width="18" style="22" bestFit="1" customWidth="1"/>
    <col min="25" max="25" width="11.85546875" style="22" bestFit="1" customWidth="1"/>
    <col min="26" max="244" width="11.42578125" style="22"/>
    <col min="245" max="245" width="10.5703125" style="22" customWidth="1"/>
    <col min="246" max="246" width="4.85546875" style="22" customWidth="1"/>
    <col min="247" max="247" width="32.42578125" style="22" customWidth="1"/>
    <col min="248" max="248" width="9.85546875" style="22" customWidth="1"/>
    <col min="249" max="249" width="10.140625" style="22" customWidth="1"/>
    <col min="250" max="250" width="12.28515625" style="22" customWidth="1"/>
    <col min="251" max="251" width="15.42578125" style="22" customWidth="1"/>
    <col min="252" max="252" width="11.85546875" style="22" customWidth="1"/>
    <col min="253" max="253" width="13.28515625" style="22" customWidth="1"/>
    <col min="254" max="254" width="15.28515625" style="22" customWidth="1"/>
    <col min="255" max="255" width="11.85546875" style="22" customWidth="1"/>
    <col min="256" max="256" width="6.140625" style="22" customWidth="1"/>
    <col min="257" max="257" width="11.85546875" style="22" customWidth="1"/>
    <col min="258" max="258" width="9.42578125" style="22" customWidth="1"/>
    <col min="259" max="259" width="14.7109375" style="22" customWidth="1"/>
    <col min="260" max="260" width="11.5703125" style="22" customWidth="1"/>
    <col min="261" max="261" width="0.42578125" style="22" customWidth="1"/>
    <col min="262" max="262" width="10.5703125" style="22" bestFit="1" customWidth="1"/>
    <col min="263" max="263" width="12.28515625" style="22" customWidth="1"/>
    <col min="264" max="264" width="12.5703125" style="22" customWidth="1"/>
    <col min="265" max="265" width="10.5703125" style="22" customWidth="1"/>
    <col min="266" max="266" width="10.140625" style="22" customWidth="1"/>
    <col min="267" max="267" width="8.42578125" style="22" customWidth="1"/>
    <col min="268" max="268" width="18.85546875" style="22" customWidth="1"/>
    <col min="269" max="269" width="10.28515625" style="22" customWidth="1"/>
    <col min="270" max="270" width="11.42578125" style="22"/>
    <col min="271" max="271" width="12.140625" style="22" customWidth="1"/>
    <col min="272" max="272" width="10.5703125" style="22" customWidth="1"/>
    <col min="273" max="273" width="12.42578125" style="22" customWidth="1"/>
    <col min="274" max="274" width="15.140625" style="22" customWidth="1"/>
    <col min="275" max="275" width="13.5703125" style="22" customWidth="1"/>
    <col min="276" max="276" width="13.140625" style="22" customWidth="1"/>
    <col min="277" max="277" width="15.7109375" style="22" customWidth="1"/>
    <col min="278" max="278" width="37.5703125" style="22" customWidth="1"/>
    <col min="279" max="500" width="11.42578125" style="22"/>
    <col min="501" max="501" width="10.5703125" style="22" customWidth="1"/>
    <col min="502" max="502" width="4.85546875" style="22" customWidth="1"/>
    <col min="503" max="503" width="32.42578125" style="22" customWidth="1"/>
    <col min="504" max="504" width="9.85546875" style="22" customWidth="1"/>
    <col min="505" max="505" width="10.140625" style="22" customWidth="1"/>
    <col min="506" max="506" width="12.28515625" style="22" customWidth="1"/>
    <col min="507" max="507" width="15.42578125" style="22" customWidth="1"/>
    <col min="508" max="508" width="11.85546875" style="22" customWidth="1"/>
    <col min="509" max="509" width="13.28515625" style="22" customWidth="1"/>
    <col min="510" max="510" width="15.28515625" style="22" customWidth="1"/>
    <col min="511" max="511" width="11.85546875" style="22" customWidth="1"/>
    <col min="512" max="512" width="6.140625" style="22" customWidth="1"/>
    <col min="513" max="513" width="11.85546875" style="22" customWidth="1"/>
    <col min="514" max="514" width="9.42578125" style="22" customWidth="1"/>
    <col min="515" max="515" width="14.7109375" style="22" customWidth="1"/>
    <col min="516" max="516" width="11.5703125" style="22" customWidth="1"/>
    <col min="517" max="517" width="0.42578125" style="22" customWidth="1"/>
    <col min="518" max="518" width="10.5703125" style="22" bestFit="1" customWidth="1"/>
    <col min="519" max="519" width="12.28515625" style="22" customWidth="1"/>
    <col min="520" max="520" width="12.5703125" style="22" customWidth="1"/>
    <col min="521" max="521" width="10.5703125" style="22" customWidth="1"/>
    <col min="522" max="522" width="10.140625" style="22" customWidth="1"/>
    <col min="523" max="523" width="8.42578125" style="22" customWidth="1"/>
    <col min="524" max="524" width="18.85546875" style="22" customWidth="1"/>
    <col min="525" max="525" width="10.28515625" style="22" customWidth="1"/>
    <col min="526" max="526" width="11.42578125" style="22"/>
    <col min="527" max="527" width="12.140625" style="22" customWidth="1"/>
    <col min="528" max="528" width="10.5703125" style="22" customWidth="1"/>
    <col min="529" max="529" width="12.42578125" style="22" customWidth="1"/>
    <col min="530" max="530" width="15.140625" style="22" customWidth="1"/>
    <col min="531" max="531" width="13.5703125" style="22" customWidth="1"/>
    <col min="532" max="532" width="13.140625" style="22" customWidth="1"/>
    <col min="533" max="533" width="15.7109375" style="22" customWidth="1"/>
    <col min="534" max="534" width="37.5703125" style="22" customWidth="1"/>
    <col min="535" max="756" width="11.42578125" style="22"/>
    <col min="757" max="757" width="10.5703125" style="22" customWidth="1"/>
    <col min="758" max="758" width="4.85546875" style="22" customWidth="1"/>
    <col min="759" max="759" width="32.42578125" style="22" customWidth="1"/>
    <col min="760" max="760" width="9.85546875" style="22" customWidth="1"/>
    <col min="761" max="761" width="10.140625" style="22" customWidth="1"/>
    <col min="762" max="762" width="12.28515625" style="22" customWidth="1"/>
    <col min="763" max="763" width="15.42578125" style="22" customWidth="1"/>
    <col min="764" max="764" width="11.85546875" style="22" customWidth="1"/>
    <col min="765" max="765" width="13.28515625" style="22" customWidth="1"/>
    <col min="766" max="766" width="15.28515625" style="22" customWidth="1"/>
    <col min="767" max="767" width="11.85546875" style="22" customWidth="1"/>
    <col min="768" max="768" width="6.140625" style="22" customWidth="1"/>
    <col min="769" max="769" width="11.85546875" style="22" customWidth="1"/>
    <col min="770" max="770" width="9.42578125" style="22" customWidth="1"/>
    <col min="771" max="771" width="14.7109375" style="22" customWidth="1"/>
    <col min="772" max="772" width="11.5703125" style="22" customWidth="1"/>
    <col min="773" max="773" width="0.42578125" style="22" customWidth="1"/>
    <col min="774" max="774" width="10.5703125" style="22" bestFit="1" customWidth="1"/>
    <col min="775" max="775" width="12.28515625" style="22" customWidth="1"/>
    <col min="776" max="776" width="12.5703125" style="22" customWidth="1"/>
    <col min="777" max="777" width="10.5703125" style="22" customWidth="1"/>
    <col min="778" max="778" width="10.140625" style="22" customWidth="1"/>
    <col min="779" max="779" width="8.42578125" style="22" customWidth="1"/>
    <col min="780" max="780" width="18.85546875" style="22" customWidth="1"/>
    <col min="781" max="781" width="10.28515625" style="22" customWidth="1"/>
    <col min="782" max="782" width="11.42578125" style="22"/>
    <col min="783" max="783" width="12.140625" style="22" customWidth="1"/>
    <col min="784" max="784" width="10.5703125" style="22" customWidth="1"/>
    <col min="785" max="785" width="12.42578125" style="22" customWidth="1"/>
    <col min="786" max="786" width="15.140625" style="22" customWidth="1"/>
    <col min="787" max="787" width="13.5703125" style="22" customWidth="1"/>
    <col min="788" max="788" width="13.140625" style="22" customWidth="1"/>
    <col min="789" max="789" width="15.7109375" style="22" customWidth="1"/>
    <col min="790" max="790" width="37.5703125" style="22" customWidth="1"/>
    <col min="791" max="1012" width="11.42578125" style="22"/>
    <col min="1013" max="1013" width="10.5703125" style="22" customWidth="1"/>
    <col min="1014" max="1014" width="4.85546875" style="22" customWidth="1"/>
    <col min="1015" max="1015" width="32.42578125" style="22" customWidth="1"/>
    <col min="1016" max="1016" width="9.85546875" style="22" customWidth="1"/>
    <col min="1017" max="1017" width="10.140625" style="22" customWidth="1"/>
    <col min="1018" max="1018" width="12.28515625" style="22" customWidth="1"/>
    <col min="1019" max="1019" width="15.42578125" style="22" customWidth="1"/>
    <col min="1020" max="1020" width="11.85546875" style="22" customWidth="1"/>
    <col min="1021" max="1021" width="13.28515625" style="22" customWidth="1"/>
    <col min="1022" max="1022" width="15.28515625" style="22" customWidth="1"/>
    <col min="1023" max="1023" width="11.85546875" style="22" customWidth="1"/>
    <col min="1024" max="1024" width="6.140625" style="22" customWidth="1"/>
    <col min="1025" max="1025" width="11.85546875" style="22" customWidth="1"/>
    <col min="1026" max="1026" width="9.42578125" style="22" customWidth="1"/>
    <col min="1027" max="1027" width="14.7109375" style="22" customWidth="1"/>
    <col min="1028" max="1028" width="11.5703125" style="22" customWidth="1"/>
    <col min="1029" max="1029" width="0.42578125" style="22" customWidth="1"/>
    <col min="1030" max="1030" width="10.5703125" style="22" bestFit="1" customWidth="1"/>
    <col min="1031" max="1031" width="12.28515625" style="22" customWidth="1"/>
    <col min="1032" max="1032" width="12.5703125" style="22" customWidth="1"/>
    <col min="1033" max="1033" width="10.5703125" style="22" customWidth="1"/>
    <col min="1034" max="1034" width="10.140625" style="22" customWidth="1"/>
    <col min="1035" max="1035" width="8.42578125" style="22" customWidth="1"/>
    <col min="1036" max="1036" width="18.85546875" style="22" customWidth="1"/>
    <col min="1037" max="1037" width="10.28515625" style="22" customWidth="1"/>
    <col min="1038" max="1038" width="11.42578125" style="22"/>
    <col min="1039" max="1039" width="12.140625" style="22" customWidth="1"/>
    <col min="1040" max="1040" width="10.5703125" style="22" customWidth="1"/>
    <col min="1041" max="1041" width="12.42578125" style="22" customWidth="1"/>
    <col min="1042" max="1042" width="15.140625" style="22" customWidth="1"/>
    <col min="1043" max="1043" width="13.5703125" style="22" customWidth="1"/>
    <col min="1044" max="1044" width="13.140625" style="22" customWidth="1"/>
    <col min="1045" max="1045" width="15.7109375" style="22" customWidth="1"/>
    <col min="1046" max="1046" width="37.5703125" style="22" customWidth="1"/>
    <col min="1047" max="1268" width="11.42578125" style="22"/>
    <col min="1269" max="1269" width="10.5703125" style="22" customWidth="1"/>
    <col min="1270" max="1270" width="4.85546875" style="22" customWidth="1"/>
    <col min="1271" max="1271" width="32.42578125" style="22" customWidth="1"/>
    <col min="1272" max="1272" width="9.85546875" style="22" customWidth="1"/>
    <col min="1273" max="1273" width="10.140625" style="22" customWidth="1"/>
    <col min="1274" max="1274" width="12.28515625" style="22" customWidth="1"/>
    <col min="1275" max="1275" width="15.42578125" style="22" customWidth="1"/>
    <col min="1276" max="1276" width="11.85546875" style="22" customWidth="1"/>
    <col min="1277" max="1277" width="13.28515625" style="22" customWidth="1"/>
    <col min="1278" max="1278" width="15.28515625" style="22" customWidth="1"/>
    <col min="1279" max="1279" width="11.85546875" style="22" customWidth="1"/>
    <col min="1280" max="1280" width="6.140625" style="22" customWidth="1"/>
    <col min="1281" max="1281" width="11.85546875" style="22" customWidth="1"/>
    <col min="1282" max="1282" width="9.42578125" style="22" customWidth="1"/>
    <col min="1283" max="1283" width="14.7109375" style="22" customWidth="1"/>
    <col min="1284" max="1284" width="11.5703125" style="22" customWidth="1"/>
    <col min="1285" max="1285" width="0.42578125" style="22" customWidth="1"/>
    <col min="1286" max="1286" width="10.5703125" style="22" bestFit="1" customWidth="1"/>
    <col min="1287" max="1287" width="12.28515625" style="22" customWidth="1"/>
    <col min="1288" max="1288" width="12.5703125" style="22" customWidth="1"/>
    <col min="1289" max="1289" width="10.5703125" style="22" customWidth="1"/>
    <col min="1290" max="1290" width="10.140625" style="22" customWidth="1"/>
    <col min="1291" max="1291" width="8.42578125" style="22" customWidth="1"/>
    <col min="1292" max="1292" width="18.85546875" style="22" customWidth="1"/>
    <col min="1293" max="1293" width="10.28515625" style="22" customWidth="1"/>
    <col min="1294" max="1294" width="11.42578125" style="22"/>
    <col min="1295" max="1295" width="12.140625" style="22" customWidth="1"/>
    <col min="1296" max="1296" width="10.5703125" style="22" customWidth="1"/>
    <col min="1297" max="1297" width="12.42578125" style="22" customWidth="1"/>
    <col min="1298" max="1298" width="15.140625" style="22" customWidth="1"/>
    <col min="1299" max="1299" width="13.5703125" style="22" customWidth="1"/>
    <col min="1300" max="1300" width="13.140625" style="22" customWidth="1"/>
    <col min="1301" max="1301" width="15.7109375" style="22" customWidth="1"/>
    <col min="1302" max="1302" width="37.5703125" style="22" customWidth="1"/>
    <col min="1303" max="1524" width="11.42578125" style="22"/>
    <col min="1525" max="1525" width="10.5703125" style="22" customWidth="1"/>
    <col min="1526" max="1526" width="4.85546875" style="22" customWidth="1"/>
    <col min="1527" max="1527" width="32.42578125" style="22" customWidth="1"/>
    <col min="1528" max="1528" width="9.85546875" style="22" customWidth="1"/>
    <col min="1529" max="1529" width="10.140625" style="22" customWidth="1"/>
    <col min="1530" max="1530" width="12.28515625" style="22" customWidth="1"/>
    <col min="1531" max="1531" width="15.42578125" style="22" customWidth="1"/>
    <col min="1532" max="1532" width="11.85546875" style="22" customWidth="1"/>
    <col min="1533" max="1533" width="13.28515625" style="22" customWidth="1"/>
    <col min="1534" max="1534" width="15.28515625" style="22" customWidth="1"/>
    <col min="1535" max="1535" width="11.85546875" style="22" customWidth="1"/>
    <col min="1536" max="1536" width="6.140625" style="22" customWidth="1"/>
    <col min="1537" max="1537" width="11.85546875" style="22" customWidth="1"/>
    <col min="1538" max="1538" width="9.42578125" style="22" customWidth="1"/>
    <col min="1539" max="1539" width="14.7109375" style="22" customWidth="1"/>
    <col min="1540" max="1540" width="11.5703125" style="22" customWidth="1"/>
    <col min="1541" max="1541" width="0.42578125" style="22" customWidth="1"/>
    <col min="1542" max="1542" width="10.5703125" style="22" bestFit="1" customWidth="1"/>
    <col min="1543" max="1543" width="12.28515625" style="22" customWidth="1"/>
    <col min="1544" max="1544" width="12.5703125" style="22" customWidth="1"/>
    <col min="1545" max="1545" width="10.5703125" style="22" customWidth="1"/>
    <col min="1546" max="1546" width="10.140625" style="22" customWidth="1"/>
    <col min="1547" max="1547" width="8.42578125" style="22" customWidth="1"/>
    <col min="1548" max="1548" width="18.85546875" style="22" customWidth="1"/>
    <col min="1549" max="1549" width="10.28515625" style="22" customWidth="1"/>
    <col min="1550" max="1550" width="11.42578125" style="22"/>
    <col min="1551" max="1551" width="12.140625" style="22" customWidth="1"/>
    <col min="1552" max="1552" width="10.5703125" style="22" customWidth="1"/>
    <col min="1553" max="1553" width="12.42578125" style="22" customWidth="1"/>
    <col min="1554" max="1554" width="15.140625" style="22" customWidth="1"/>
    <col min="1555" max="1555" width="13.5703125" style="22" customWidth="1"/>
    <col min="1556" max="1556" width="13.140625" style="22" customWidth="1"/>
    <col min="1557" max="1557" width="15.7109375" style="22" customWidth="1"/>
    <col min="1558" max="1558" width="37.5703125" style="22" customWidth="1"/>
    <col min="1559" max="1780" width="11.42578125" style="22"/>
    <col min="1781" max="1781" width="10.5703125" style="22" customWidth="1"/>
    <col min="1782" max="1782" width="4.85546875" style="22" customWidth="1"/>
    <col min="1783" max="1783" width="32.42578125" style="22" customWidth="1"/>
    <col min="1784" max="1784" width="9.85546875" style="22" customWidth="1"/>
    <col min="1785" max="1785" width="10.140625" style="22" customWidth="1"/>
    <col min="1786" max="1786" width="12.28515625" style="22" customWidth="1"/>
    <col min="1787" max="1787" width="15.42578125" style="22" customWidth="1"/>
    <col min="1788" max="1788" width="11.85546875" style="22" customWidth="1"/>
    <col min="1789" max="1789" width="13.28515625" style="22" customWidth="1"/>
    <col min="1790" max="1790" width="15.28515625" style="22" customWidth="1"/>
    <col min="1791" max="1791" width="11.85546875" style="22" customWidth="1"/>
    <col min="1792" max="1792" width="6.140625" style="22" customWidth="1"/>
    <col min="1793" max="1793" width="11.85546875" style="22" customWidth="1"/>
    <col min="1794" max="1794" width="9.42578125" style="22" customWidth="1"/>
    <col min="1795" max="1795" width="14.7109375" style="22" customWidth="1"/>
    <col min="1796" max="1796" width="11.5703125" style="22" customWidth="1"/>
    <col min="1797" max="1797" width="0.42578125" style="22" customWidth="1"/>
    <col min="1798" max="1798" width="10.5703125" style="22" bestFit="1" customWidth="1"/>
    <col min="1799" max="1799" width="12.28515625" style="22" customWidth="1"/>
    <col min="1800" max="1800" width="12.5703125" style="22" customWidth="1"/>
    <col min="1801" max="1801" width="10.5703125" style="22" customWidth="1"/>
    <col min="1802" max="1802" width="10.140625" style="22" customWidth="1"/>
    <col min="1803" max="1803" width="8.42578125" style="22" customWidth="1"/>
    <col min="1804" max="1804" width="18.85546875" style="22" customWidth="1"/>
    <col min="1805" max="1805" width="10.28515625" style="22" customWidth="1"/>
    <col min="1806" max="1806" width="11.42578125" style="22"/>
    <col min="1807" max="1807" width="12.140625" style="22" customWidth="1"/>
    <col min="1808" max="1808" width="10.5703125" style="22" customWidth="1"/>
    <col min="1809" max="1809" width="12.42578125" style="22" customWidth="1"/>
    <col min="1810" max="1810" width="15.140625" style="22" customWidth="1"/>
    <col min="1811" max="1811" width="13.5703125" style="22" customWidth="1"/>
    <col min="1812" max="1812" width="13.140625" style="22" customWidth="1"/>
    <col min="1813" max="1813" width="15.7109375" style="22" customWidth="1"/>
    <col min="1814" max="1814" width="37.5703125" style="22" customWidth="1"/>
    <col min="1815" max="2036" width="11.42578125" style="22"/>
    <col min="2037" max="2037" width="10.5703125" style="22" customWidth="1"/>
    <col min="2038" max="2038" width="4.85546875" style="22" customWidth="1"/>
    <col min="2039" max="2039" width="32.42578125" style="22" customWidth="1"/>
    <col min="2040" max="2040" width="9.85546875" style="22" customWidth="1"/>
    <col min="2041" max="2041" width="10.140625" style="22" customWidth="1"/>
    <col min="2042" max="2042" width="12.28515625" style="22" customWidth="1"/>
    <col min="2043" max="2043" width="15.42578125" style="22" customWidth="1"/>
    <col min="2044" max="2044" width="11.85546875" style="22" customWidth="1"/>
    <col min="2045" max="2045" width="13.28515625" style="22" customWidth="1"/>
    <col min="2046" max="2046" width="15.28515625" style="22" customWidth="1"/>
    <col min="2047" max="2047" width="11.85546875" style="22" customWidth="1"/>
    <col min="2048" max="2048" width="6.140625" style="22" customWidth="1"/>
    <col min="2049" max="2049" width="11.85546875" style="22" customWidth="1"/>
    <col min="2050" max="2050" width="9.42578125" style="22" customWidth="1"/>
    <col min="2051" max="2051" width="14.7109375" style="22" customWidth="1"/>
    <col min="2052" max="2052" width="11.5703125" style="22" customWidth="1"/>
    <col min="2053" max="2053" width="0.42578125" style="22" customWidth="1"/>
    <col min="2054" max="2054" width="10.5703125" style="22" bestFit="1" customWidth="1"/>
    <col min="2055" max="2055" width="12.28515625" style="22" customWidth="1"/>
    <col min="2056" max="2056" width="12.5703125" style="22" customWidth="1"/>
    <col min="2057" max="2057" width="10.5703125" style="22" customWidth="1"/>
    <col min="2058" max="2058" width="10.140625" style="22" customWidth="1"/>
    <col min="2059" max="2059" width="8.42578125" style="22" customWidth="1"/>
    <col min="2060" max="2060" width="18.85546875" style="22" customWidth="1"/>
    <col min="2061" max="2061" width="10.28515625" style="22" customWidth="1"/>
    <col min="2062" max="2062" width="11.42578125" style="22"/>
    <col min="2063" max="2063" width="12.140625" style="22" customWidth="1"/>
    <col min="2064" max="2064" width="10.5703125" style="22" customWidth="1"/>
    <col min="2065" max="2065" width="12.42578125" style="22" customWidth="1"/>
    <col min="2066" max="2066" width="15.140625" style="22" customWidth="1"/>
    <col min="2067" max="2067" width="13.5703125" style="22" customWidth="1"/>
    <col min="2068" max="2068" width="13.140625" style="22" customWidth="1"/>
    <col min="2069" max="2069" width="15.7109375" style="22" customWidth="1"/>
    <col min="2070" max="2070" width="37.5703125" style="22" customWidth="1"/>
    <col min="2071" max="2292" width="11.42578125" style="22"/>
    <col min="2293" max="2293" width="10.5703125" style="22" customWidth="1"/>
    <col min="2294" max="2294" width="4.85546875" style="22" customWidth="1"/>
    <col min="2295" max="2295" width="32.42578125" style="22" customWidth="1"/>
    <col min="2296" max="2296" width="9.85546875" style="22" customWidth="1"/>
    <col min="2297" max="2297" width="10.140625" style="22" customWidth="1"/>
    <col min="2298" max="2298" width="12.28515625" style="22" customWidth="1"/>
    <col min="2299" max="2299" width="15.42578125" style="22" customWidth="1"/>
    <col min="2300" max="2300" width="11.85546875" style="22" customWidth="1"/>
    <col min="2301" max="2301" width="13.28515625" style="22" customWidth="1"/>
    <col min="2302" max="2302" width="15.28515625" style="22" customWidth="1"/>
    <col min="2303" max="2303" width="11.85546875" style="22" customWidth="1"/>
    <col min="2304" max="2304" width="6.140625" style="22" customWidth="1"/>
    <col min="2305" max="2305" width="11.85546875" style="22" customWidth="1"/>
    <col min="2306" max="2306" width="9.42578125" style="22" customWidth="1"/>
    <col min="2307" max="2307" width="14.7109375" style="22" customWidth="1"/>
    <col min="2308" max="2308" width="11.5703125" style="22" customWidth="1"/>
    <col min="2309" max="2309" width="0.42578125" style="22" customWidth="1"/>
    <col min="2310" max="2310" width="10.5703125" style="22" bestFit="1" customWidth="1"/>
    <col min="2311" max="2311" width="12.28515625" style="22" customWidth="1"/>
    <col min="2312" max="2312" width="12.5703125" style="22" customWidth="1"/>
    <col min="2313" max="2313" width="10.5703125" style="22" customWidth="1"/>
    <col min="2314" max="2314" width="10.140625" style="22" customWidth="1"/>
    <col min="2315" max="2315" width="8.42578125" style="22" customWidth="1"/>
    <col min="2316" max="2316" width="18.85546875" style="22" customWidth="1"/>
    <col min="2317" max="2317" width="10.28515625" style="22" customWidth="1"/>
    <col min="2318" max="2318" width="11.42578125" style="22"/>
    <col min="2319" max="2319" width="12.140625" style="22" customWidth="1"/>
    <col min="2320" max="2320" width="10.5703125" style="22" customWidth="1"/>
    <col min="2321" max="2321" width="12.42578125" style="22" customWidth="1"/>
    <col min="2322" max="2322" width="15.140625" style="22" customWidth="1"/>
    <col min="2323" max="2323" width="13.5703125" style="22" customWidth="1"/>
    <col min="2324" max="2324" width="13.140625" style="22" customWidth="1"/>
    <col min="2325" max="2325" width="15.7109375" style="22" customWidth="1"/>
    <col min="2326" max="2326" width="37.5703125" style="22" customWidth="1"/>
    <col min="2327" max="2548" width="11.42578125" style="22"/>
    <col min="2549" max="2549" width="10.5703125" style="22" customWidth="1"/>
    <col min="2550" max="2550" width="4.85546875" style="22" customWidth="1"/>
    <col min="2551" max="2551" width="32.42578125" style="22" customWidth="1"/>
    <col min="2552" max="2552" width="9.85546875" style="22" customWidth="1"/>
    <col min="2553" max="2553" width="10.140625" style="22" customWidth="1"/>
    <col min="2554" max="2554" width="12.28515625" style="22" customWidth="1"/>
    <col min="2555" max="2555" width="15.42578125" style="22" customWidth="1"/>
    <col min="2556" max="2556" width="11.85546875" style="22" customWidth="1"/>
    <col min="2557" max="2557" width="13.28515625" style="22" customWidth="1"/>
    <col min="2558" max="2558" width="15.28515625" style="22" customWidth="1"/>
    <col min="2559" max="2559" width="11.85546875" style="22" customWidth="1"/>
    <col min="2560" max="2560" width="6.140625" style="22" customWidth="1"/>
    <col min="2561" max="2561" width="11.85546875" style="22" customWidth="1"/>
    <col min="2562" max="2562" width="9.42578125" style="22" customWidth="1"/>
    <col min="2563" max="2563" width="14.7109375" style="22" customWidth="1"/>
    <col min="2564" max="2564" width="11.5703125" style="22" customWidth="1"/>
    <col min="2565" max="2565" width="0.42578125" style="22" customWidth="1"/>
    <col min="2566" max="2566" width="10.5703125" style="22" bestFit="1" customWidth="1"/>
    <col min="2567" max="2567" width="12.28515625" style="22" customWidth="1"/>
    <col min="2568" max="2568" width="12.5703125" style="22" customWidth="1"/>
    <col min="2569" max="2569" width="10.5703125" style="22" customWidth="1"/>
    <col min="2570" max="2570" width="10.140625" style="22" customWidth="1"/>
    <col min="2571" max="2571" width="8.42578125" style="22" customWidth="1"/>
    <col min="2572" max="2572" width="18.85546875" style="22" customWidth="1"/>
    <col min="2573" max="2573" width="10.28515625" style="22" customWidth="1"/>
    <col min="2574" max="2574" width="11.42578125" style="22"/>
    <col min="2575" max="2575" width="12.140625" style="22" customWidth="1"/>
    <col min="2576" max="2576" width="10.5703125" style="22" customWidth="1"/>
    <col min="2577" max="2577" width="12.42578125" style="22" customWidth="1"/>
    <col min="2578" max="2578" width="15.140625" style="22" customWidth="1"/>
    <col min="2579" max="2579" width="13.5703125" style="22" customWidth="1"/>
    <col min="2580" max="2580" width="13.140625" style="22" customWidth="1"/>
    <col min="2581" max="2581" width="15.7109375" style="22" customWidth="1"/>
    <col min="2582" max="2582" width="37.5703125" style="22" customWidth="1"/>
    <col min="2583" max="2804" width="11.42578125" style="22"/>
    <col min="2805" max="2805" width="10.5703125" style="22" customWidth="1"/>
    <col min="2806" max="2806" width="4.85546875" style="22" customWidth="1"/>
    <col min="2807" max="2807" width="32.42578125" style="22" customWidth="1"/>
    <col min="2808" max="2808" width="9.85546875" style="22" customWidth="1"/>
    <col min="2809" max="2809" width="10.140625" style="22" customWidth="1"/>
    <col min="2810" max="2810" width="12.28515625" style="22" customWidth="1"/>
    <col min="2811" max="2811" width="15.42578125" style="22" customWidth="1"/>
    <col min="2812" max="2812" width="11.85546875" style="22" customWidth="1"/>
    <col min="2813" max="2813" width="13.28515625" style="22" customWidth="1"/>
    <col min="2814" max="2814" width="15.28515625" style="22" customWidth="1"/>
    <col min="2815" max="2815" width="11.85546875" style="22" customWidth="1"/>
    <col min="2816" max="2816" width="6.140625" style="22" customWidth="1"/>
    <col min="2817" max="2817" width="11.85546875" style="22" customWidth="1"/>
    <col min="2818" max="2818" width="9.42578125" style="22" customWidth="1"/>
    <col min="2819" max="2819" width="14.7109375" style="22" customWidth="1"/>
    <col min="2820" max="2820" width="11.5703125" style="22" customWidth="1"/>
    <col min="2821" max="2821" width="0.42578125" style="22" customWidth="1"/>
    <col min="2822" max="2822" width="10.5703125" style="22" bestFit="1" customWidth="1"/>
    <col min="2823" max="2823" width="12.28515625" style="22" customWidth="1"/>
    <col min="2824" max="2824" width="12.5703125" style="22" customWidth="1"/>
    <col min="2825" max="2825" width="10.5703125" style="22" customWidth="1"/>
    <col min="2826" max="2826" width="10.140625" style="22" customWidth="1"/>
    <col min="2827" max="2827" width="8.42578125" style="22" customWidth="1"/>
    <col min="2828" max="2828" width="18.85546875" style="22" customWidth="1"/>
    <col min="2829" max="2829" width="10.28515625" style="22" customWidth="1"/>
    <col min="2830" max="2830" width="11.42578125" style="22"/>
    <col min="2831" max="2831" width="12.140625" style="22" customWidth="1"/>
    <col min="2832" max="2832" width="10.5703125" style="22" customWidth="1"/>
    <col min="2833" max="2833" width="12.42578125" style="22" customWidth="1"/>
    <col min="2834" max="2834" width="15.140625" style="22" customWidth="1"/>
    <col min="2835" max="2835" width="13.5703125" style="22" customWidth="1"/>
    <col min="2836" max="2836" width="13.140625" style="22" customWidth="1"/>
    <col min="2837" max="2837" width="15.7109375" style="22" customWidth="1"/>
    <col min="2838" max="2838" width="37.5703125" style="22" customWidth="1"/>
    <col min="2839" max="3060" width="11.42578125" style="22"/>
    <col min="3061" max="3061" width="10.5703125" style="22" customWidth="1"/>
    <col min="3062" max="3062" width="4.85546875" style="22" customWidth="1"/>
    <col min="3063" max="3063" width="32.42578125" style="22" customWidth="1"/>
    <col min="3064" max="3064" width="9.85546875" style="22" customWidth="1"/>
    <col min="3065" max="3065" width="10.140625" style="22" customWidth="1"/>
    <col min="3066" max="3066" width="12.28515625" style="22" customWidth="1"/>
    <col min="3067" max="3067" width="15.42578125" style="22" customWidth="1"/>
    <col min="3068" max="3068" width="11.85546875" style="22" customWidth="1"/>
    <col min="3069" max="3069" width="13.28515625" style="22" customWidth="1"/>
    <col min="3070" max="3070" width="15.28515625" style="22" customWidth="1"/>
    <col min="3071" max="3071" width="11.85546875" style="22" customWidth="1"/>
    <col min="3072" max="3072" width="6.140625" style="22" customWidth="1"/>
    <col min="3073" max="3073" width="11.85546875" style="22" customWidth="1"/>
    <col min="3074" max="3074" width="9.42578125" style="22" customWidth="1"/>
    <col min="3075" max="3075" width="14.7109375" style="22" customWidth="1"/>
    <col min="3076" max="3076" width="11.5703125" style="22" customWidth="1"/>
    <col min="3077" max="3077" width="0.42578125" style="22" customWidth="1"/>
    <col min="3078" max="3078" width="10.5703125" style="22" bestFit="1" customWidth="1"/>
    <col min="3079" max="3079" width="12.28515625" style="22" customWidth="1"/>
    <col min="3080" max="3080" width="12.5703125" style="22" customWidth="1"/>
    <col min="3081" max="3081" width="10.5703125" style="22" customWidth="1"/>
    <col min="3082" max="3082" width="10.140625" style="22" customWidth="1"/>
    <col min="3083" max="3083" width="8.42578125" style="22" customWidth="1"/>
    <col min="3084" max="3084" width="18.85546875" style="22" customWidth="1"/>
    <col min="3085" max="3085" width="10.28515625" style="22" customWidth="1"/>
    <col min="3086" max="3086" width="11.42578125" style="22"/>
    <col min="3087" max="3087" width="12.140625" style="22" customWidth="1"/>
    <col min="3088" max="3088" width="10.5703125" style="22" customWidth="1"/>
    <col min="3089" max="3089" width="12.42578125" style="22" customWidth="1"/>
    <col min="3090" max="3090" width="15.140625" style="22" customWidth="1"/>
    <col min="3091" max="3091" width="13.5703125" style="22" customWidth="1"/>
    <col min="3092" max="3092" width="13.140625" style="22" customWidth="1"/>
    <col min="3093" max="3093" width="15.7109375" style="22" customWidth="1"/>
    <col min="3094" max="3094" width="37.5703125" style="22" customWidth="1"/>
    <col min="3095" max="3316" width="11.42578125" style="22"/>
    <col min="3317" max="3317" width="10.5703125" style="22" customWidth="1"/>
    <col min="3318" max="3318" width="4.85546875" style="22" customWidth="1"/>
    <col min="3319" max="3319" width="32.42578125" style="22" customWidth="1"/>
    <col min="3320" max="3320" width="9.85546875" style="22" customWidth="1"/>
    <col min="3321" max="3321" width="10.140625" style="22" customWidth="1"/>
    <col min="3322" max="3322" width="12.28515625" style="22" customWidth="1"/>
    <col min="3323" max="3323" width="15.42578125" style="22" customWidth="1"/>
    <col min="3324" max="3324" width="11.85546875" style="22" customWidth="1"/>
    <col min="3325" max="3325" width="13.28515625" style="22" customWidth="1"/>
    <col min="3326" max="3326" width="15.28515625" style="22" customWidth="1"/>
    <col min="3327" max="3327" width="11.85546875" style="22" customWidth="1"/>
    <col min="3328" max="3328" width="6.140625" style="22" customWidth="1"/>
    <col min="3329" max="3329" width="11.85546875" style="22" customWidth="1"/>
    <col min="3330" max="3330" width="9.42578125" style="22" customWidth="1"/>
    <col min="3331" max="3331" width="14.7109375" style="22" customWidth="1"/>
    <col min="3332" max="3332" width="11.5703125" style="22" customWidth="1"/>
    <col min="3333" max="3333" width="0.42578125" style="22" customWidth="1"/>
    <col min="3334" max="3334" width="10.5703125" style="22" bestFit="1" customWidth="1"/>
    <col min="3335" max="3335" width="12.28515625" style="22" customWidth="1"/>
    <col min="3336" max="3336" width="12.5703125" style="22" customWidth="1"/>
    <col min="3337" max="3337" width="10.5703125" style="22" customWidth="1"/>
    <col min="3338" max="3338" width="10.140625" style="22" customWidth="1"/>
    <col min="3339" max="3339" width="8.42578125" style="22" customWidth="1"/>
    <col min="3340" max="3340" width="18.85546875" style="22" customWidth="1"/>
    <col min="3341" max="3341" width="10.28515625" style="22" customWidth="1"/>
    <col min="3342" max="3342" width="11.42578125" style="22"/>
    <col min="3343" max="3343" width="12.140625" style="22" customWidth="1"/>
    <col min="3344" max="3344" width="10.5703125" style="22" customWidth="1"/>
    <col min="3345" max="3345" width="12.42578125" style="22" customWidth="1"/>
    <col min="3346" max="3346" width="15.140625" style="22" customWidth="1"/>
    <col min="3347" max="3347" width="13.5703125" style="22" customWidth="1"/>
    <col min="3348" max="3348" width="13.140625" style="22" customWidth="1"/>
    <col min="3349" max="3349" width="15.7109375" style="22" customWidth="1"/>
    <col min="3350" max="3350" width="37.5703125" style="22" customWidth="1"/>
    <col min="3351" max="3572" width="11.42578125" style="22"/>
    <col min="3573" max="3573" width="10.5703125" style="22" customWidth="1"/>
    <col min="3574" max="3574" width="4.85546875" style="22" customWidth="1"/>
    <col min="3575" max="3575" width="32.42578125" style="22" customWidth="1"/>
    <col min="3576" max="3576" width="9.85546875" style="22" customWidth="1"/>
    <col min="3577" max="3577" width="10.140625" style="22" customWidth="1"/>
    <col min="3578" max="3578" width="12.28515625" style="22" customWidth="1"/>
    <col min="3579" max="3579" width="15.42578125" style="22" customWidth="1"/>
    <col min="3580" max="3580" width="11.85546875" style="22" customWidth="1"/>
    <col min="3581" max="3581" width="13.28515625" style="22" customWidth="1"/>
    <col min="3582" max="3582" width="15.28515625" style="22" customWidth="1"/>
    <col min="3583" max="3583" width="11.85546875" style="22" customWidth="1"/>
    <col min="3584" max="3584" width="6.140625" style="22" customWidth="1"/>
    <col min="3585" max="3585" width="11.85546875" style="22" customWidth="1"/>
    <col min="3586" max="3586" width="9.42578125" style="22" customWidth="1"/>
    <col min="3587" max="3587" width="14.7109375" style="22" customWidth="1"/>
    <col min="3588" max="3588" width="11.5703125" style="22" customWidth="1"/>
    <col min="3589" max="3589" width="0.42578125" style="22" customWidth="1"/>
    <col min="3590" max="3590" width="10.5703125" style="22" bestFit="1" customWidth="1"/>
    <col min="3591" max="3591" width="12.28515625" style="22" customWidth="1"/>
    <col min="3592" max="3592" width="12.5703125" style="22" customWidth="1"/>
    <col min="3593" max="3593" width="10.5703125" style="22" customWidth="1"/>
    <col min="3594" max="3594" width="10.140625" style="22" customWidth="1"/>
    <col min="3595" max="3595" width="8.42578125" style="22" customWidth="1"/>
    <col min="3596" max="3596" width="18.85546875" style="22" customWidth="1"/>
    <col min="3597" max="3597" width="10.28515625" style="22" customWidth="1"/>
    <col min="3598" max="3598" width="11.42578125" style="22"/>
    <col min="3599" max="3599" width="12.140625" style="22" customWidth="1"/>
    <col min="3600" max="3600" width="10.5703125" style="22" customWidth="1"/>
    <col min="3601" max="3601" width="12.42578125" style="22" customWidth="1"/>
    <col min="3602" max="3602" width="15.140625" style="22" customWidth="1"/>
    <col min="3603" max="3603" width="13.5703125" style="22" customWidth="1"/>
    <col min="3604" max="3604" width="13.140625" style="22" customWidth="1"/>
    <col min="3605" max="3605" width="15.7109375" style="22" customWidth="1"/>
    <col min="3606" max="3606" width="37.5703125" style="22" customWidth="1"/>
    <col min="3607" max="3828" width="11.42578125" style="22"/>
    <col min="3829" max="3829" width="10.5703125" style="22" customWidth="1"/>
    <col min="3830" max="3830" width="4.85546875" style="22" customWidth="1"/>
    <col min="3831" max="3831" width="32.42578125" style="22" customWidth="1"/>
    <col min="3832" max="3832" width="9.85546875" style="22" customWidth="1"/>
    <col min="3833" max="3833" width="10.140625" style="22" customWidth="1"/>
    <col min="3834" max="3834" width="12.28515625" style="22" customWidth="1"/>
    <col min="3835" max="3835" width="15.42578125" style="22" customWidth="1"/>
    <col min="3836" max="3836" width="11.85546875" style="22" customWidth="1"/>
    <col min="3837" max="3837" width="13.28515625" style="22" customWidth="1"/>
    <col min="3838" max="3838" width="15.28515625" style="22" customWidth="1"/>
    <col min="3839" max="3839" width="11.85546875" style="22" customWidth="1"/>
    <col min="3840" max="3840" width="6.140625" style="22" customWidth="1"/>
    <col min="3841" max="3841" width="11.85546875" style="22" customWidth="1"/>
    <col min="3842" max="3842" width="9.42578125" style="22" customWidth="1"/>
    <col min="3843" max="3843" width="14.7109375" style="22" customWidth="1"/>
    <col min="3844" max="3844" width="11.5703125" style="22" customWidth="1"/>
    <col min="3845" max="3845" width="0.42578125" style="22" customWidth="1"/>
    <col min="3846" max="3846" width="10.5703125" style="22" bestFit="1" customWidth="1"/>
    <col min="3847" max="3847" width="12.28515625" style="22" customWidth="1"/>
    <col min="3848" max="3848" width="12.5703125" style="22" customWidth="1"/>
    <col min="3849" max="3849" width="10.5703125" style="22" customWidth="1"/>
    <col min="3850" max="3850" width="10.140625" style="22" customWidth="1"/>
    <col min="3851" max="3851" width="8.42578125" style="22" customWidth="1"/>
    <col min="3852" max="3852" width="18.85546875" style="22" customWidth="1"/>
    <col min="3853" max="3853" width="10.28515625" style="22" customWidth="1"/>
    <col min="3854" max="3854" width="11.42578125" style="22"/>
    <col min="3855" max="3855" width="12.140625" style="22" customWidth="1"/>
    <col min="3856" max="3856" width="10.5703125" style="22" customWidth="1"/>
    <col min="3857" max="3857" width="12.42578125" style="22" customWidth="1"/>
    <col min="3858" max="3858" width="15.140625" style="22" customWidth="1"/>
    <col min="3859" max="3859" width="13.5703125" style="22" customWidth="1"/>
    <col min="3860" max="3860" width="13.140625" style="22" customWidth="1"/>
    <col min="3861" max="3861" width="15.7109375" style="22" customWidth="1"/>
    <col min="3862" max="3862" width="37.5703125" style="22" customWidth="1"/>
    <col min="3863" max="4084" width="11.42578125" style="22"/>
    <col min="4085" max="4085" width="10.5703125" style="22" customWidth="1"/>
    <col min="4086" max="4086" width="4.85546875" style="22" customWidth="1"/>
    <col min="4087" max="4087" width="32.42578125" style="22" customWidth="1"/>
    <col min="4088" max="4088" width="9.85546875" style="22" customWidth="1"/>
    <col min="4089" max="4089" width="10.140625" style="22" customWidth="1"/>
    <col min="4090" max="4090" width="12.28515625" style="22" customWidth="1"/>
    <col min="4091" max="4091" width="15.42578125" style="22" customWidth="1"/>
    <col min="4092" max="4092" width="11.85546875" style="22" customWidth="1"/>
    <col min="4093" max="4093" width="13.28515625" style="22" customWidth="1"/>
    <col min="4094" max="4094" width="15.28515625" style="22" customWidth="1"/>
    <col min="4095" max="4095" width="11.85546875" style="22" customWidth="1"/>
    <col min="4096" max="4096" width="6.140625" style="22" customWidth="1"/>
    <col min="4097" max="4097" width="11.85546875" style="22" customWidth="1"/>
    <col min="4098" max="4098" width="9.42578125" style="22" customWidth="1"/>
    <col min="4099" max="4099" width="14.7109375" style="22" customWidth="1"/>
    <col min="4100" max="4100" width="11.5703125" style="22" customWidth="1"/>
    <col min="4101" max="4101" width="0.42578125" style="22" customWidth="1"/>
    <col min="4102" max="4102" width="10.5703125" style="22" bestFit="1" customWidth="1"/>
    <col min="4103" max="4103" width="12.28515625" style="22" customWidth="1"/>
    <col min="4104" max="4104" width="12.5703125" style="22" customWidth="1"/>
    <col min="4105" max="4105" width="10.5703125" style="22" customWidth="1"/>
    <col min="4106" max="4106" width="10.140625" style="22" customWidth="1"/>
    <col min="4107" max="4107" width="8.42578125" style="22" customWidth="1"/>
    <col min="4108" max="4108" width="18.85546875" style="22" customWidth="1"/>
    <col min="4109" max="4109" width="10.28515625" style="22" customWidth="1"/>
    <col min="4110" max="4110" width="11.42578125" style="22"/>
    <col min="4111" max="4111" width="12.140625" style="22" customWidth="1"/>
    <col min="4112" max="4112" width="10.5703125" style="22" customWidth="1"/>
    <col min="4113" max="4113" width="12.42578125" style="22" customWidth="1"/>
    <col min="4114" max="4114" width="15.140625" style="22" customWidth="1"/>
    <col min="4115" max="4115" width="13.5703125" style="22" customWidth="1"/>
    <col min="4116" max="4116" width="13.140625" style="22" customWidth="1"/>
    <col min="4117" max="4117" width="15.7109375" style="22" customWidth="1"/>
    <col min="4118" max="4118" width="37.5703125" style="22" customWidth="1"/>
    <col min="4119" max="4340" width="11.42578125" style="22"/>
    <col min="4341" max="4341" width="10.5703125" style="22" customWidth="1"/>
    <col min="4342" max="4342" width="4.85546875" style="22" customWidth="1"/>
    <col min="4343" max="4343" width="32.42578125" style="22" customWidth="1"/>
    <col min="4344" max="4344" width="9.85546875" style="22" customWidth="1"/>
    <col min="4345" max="4345" width="10.140625" style="22" customWidth="1"/>
    <col min="4346" max="4346" width="12.28515625" style="22" customWidth="1"/>
    <col min="4347" max="4347" width="15.42578125" style="22" customWidth="1"/>
    <col min="4348" max="4348" width="11.85546875" style="22" customWidth="1"/>
    <col min="4349" max="4349" width="13.28515625" style="22" customWidth="1"/>
    <col min="4350" max="4350" width="15.28515625" style="22" customWidth="1"/>
    <col min="4351" max="4351" width="11.85546875" style="22" customWidth="1"/>
    <col min="4352" max="4352" width="6.140625" style="22" customWidth="1"/>
    <col min="4353" max="4353" width="11.85546875" style="22" customWidth="1"/>
    <col min="4354" max="4354" width="9.42578125" style="22" customWidth="1"/>
    <col min="4355" max="4355" width="14.7109375" style="22" customWidth="1"/>
    <col min="4356" max="4356" width="11.5703125" style="22" customWidth="1"/>
    <col min="4357" max="4357" width="0.42578125" style="22" customWidth="1"/>
    <col min="4358" max="4358" width="10.5703125" style="22" bestFit="1" customWidth="1"/>
    <col min="4359" max="4359" width="12.28515625" style="22" customWidth="1"/>
    <col min="4360" max="4360" width="12.5703125" style="22" customWidth="1"/>
    <col min="4361" max="4361" width="10.5703125" style="22" customWidth="1"/>
    <col min="4362" max="4362" width="10.140625" style="22" customWidth="1"/>
    <col min="4363" max="4363" width="8.42578125" style="22" customWidth="1"/>
    <col min="4364" max="4364" width="18.85546875" style="22" customWidth="1"/>
    <col min="4365" max="4365" width="10.28515625" style="22" customWidth="1"/>
    <col min="4366" max="4366" width="11.42578125" style="22"/>
    <col min="4367" max="4367" width="12.140625" style="22" customWidth="1"/>
    <col min="4368" max="4368" width="10.5703125" style="22" customWidth="1"/>
    <col min="4369" max="4369" width="12.42578125" style="22" customWidth="1"/>
    <col min="4370" max="4370" width="15.140625" style="22" customWidth="1"/>
    <col min="4371" max="4371" width="13.5703125" style="22" customWidth="1"/>
    <col min="4372" max="4372" width="13.140625" style="22" customWidth="1"/>
    <col min="4373" max="4373" width="15.7109375" style="22" customWidth="1"/>
    <col min="4374" max="4374" width="37.5703125" style="22" customWidth="1"/>
    <col min="4375" max="4596" width="11.42578125" style="22"/>
    <col min="4597" max="4597" width="10.5703125" style="22" customWidth="1"/>
    <col min="4598" max="4598" width="4.85546875" style="22" customWidth="1"/>
    <col min="4599" max="4599" width="32.42578125" style="22" customWidth="1"/>
    <col min="4600" max="4600" width="9.85546875" style="22" customWidth="1"/>
    <col min="4601" max="4601" width="10.140625" style="22" customWidth="1"/>
    <col min="4602" max="4602" width="12.28515625" style="22" customWidth="1"/>
    <col min="4603" max="4603" width="15.42578125" style="22" customWidth="1"/>
    <col min="4604" max="4604" width="11.85546875" style="22" customWidth="1"/>
    <col min="4605" max="4605" width="13.28515625" style="22" customWidth="1"/>
    <col min="4606" max="4606" width="15.28515625" style="22" customWidth="1"/>
    <col min="4607" max="4607" width="11.85546875" style="22" customWidth="1"/>
    <col min="4608" max="4608" width="6.140625" style="22" customWidth="1"/>
    <col min="4609" max="4609" width="11.85546875" style="22" customWidth="1"/>
    <col min="4610" max="4610" width="9.42578125" style="22" customWidth="1"/>
    <col min="4611" max="4611" width="14.7109375" style="22" customWidth="1"/>
    <col min="4612" max="4612" width="11.5703125" style="22" customWidth="1"/>
    <col min="4613" max="4613" width="0.42578125" style="22" customWidth="1"/>
    <col min="4614" max="4614" width="10.5703125" style="22" bestFit="1" customWidth="1"/>
    <col min="4615" max="4615" width="12.28515625" style="22" customWidth="1"/>
    <col min="4616" max="4616" width="12.5703125" style="22" customWidth="1"/>
    <col min="4617" max="4617" width="10.5703125" style="22" customWidth="1"/>
    <col min="4618" max="4618" width="10.140625" style="22" customWidth="1"/>
    <col min="4619" max="4619" width="8.42578125" style="22" customWidth="1"/>
    <col min="4620" max="4620" width="18.85546875" style="22" customWidth="1"/>
    <col min="4621" max="4621" width="10.28515625" style="22" customWidth="1"/>
    <col min="4622" max="4622" width="11.42578125" style="22"/>
    <col min="4623" max="4623" width="12.140625" style="22" customWidth="1"/>
    <col min="4624" max="4624" width="10.5703125" style="22" customWidth="1"/>
    <col min="4625" max="4625" width="12.42578125" style="22" customWidth="1"/>
    <col min="4626" max="4626" width="15.140625" style="22" customWidth="1"/>
    <col min="4627" max="4627" width="13.5703125" style="22" customWidth="1"/>
    <col min="4628" max="4628" width="13.140625" style="22" customWidth="1"/>
    <col min="4629" max="4629" width="15.7109375" style="22" customWidth="1"/>
    <col min="4630" max="4630" width="37.5703125" style="22" customWidth="1"/>
    <col min="4631" max="4852" width="11.42578125" style="22"/>
    <col min="4853" max="4853" width="10.5703125" style="22" customWidth="1"/>
    <col min="4854" max="4854" width="4.85546875" style="22" customWidth="1"/>
    <col min="4855" max="4855" width="32.42578125" style="22" customWidth="1"/>
    <col min="4856" max="4856" width="9.85546875" style="22" customWidth="1"/>
    <col min="4857" max="4857" width="10.140625" style="22" customWidth="1"/>
    <col min="4858" max="4858" width="12.28515625" style="22" customWidth="1"/>
    <col min="4859" max="4859" width="15.42578125" style="22" customWidth="1"/>
    <col min="4860" max="4860" width="11.85546875" style="22" customWidth="1"/>
    <col min="4861" max="4861" width="13.28515625" style="22" customWidth="1"/>
    <col min="4862" max="4862" width="15.28515625" style="22" customWidth="1"/>
    <col min="4863" max="4863" width="11.85546875" style="22" customWidth="1"/>
    <col min="4864" max="4864" width="6.140625" style="22" customWidth="1"/>
    <col min="4865" max="4865" width="11.85546875" style="22" customWidth="1"/>
    <col min="4866" max="4866" width="9.42578125" style="22" customWidth="1"/>
    <col min="4867" max="4867" width="14.7109375" style="22" customWidth="1"/>
    <col min="4868" max="4868" width="11.5703125" style="22" customWidth="1"/>
    <col min="4869" max="4869" width="0.42578125" style="22" customWidth="1"/>
    <col min="4870" max="4870" width="10.5703125" style="22" bestFit="1" customWidth="1"/>
    <col min="4871" max="4871" width="12.28515625" style="22" customWidth="1"/>
    <col min="4872" max="4872" width="12.5703125" style="22" customWidth="1"/>
    <col min="4873" max="4873" width="10.5703125" style="22" customWidth="1"/>
    <col min="4874" max="4874" width="10.140625" style="22" customWidth="1"/>
    <col min="4875" max="4875" width="8.42578125" style="22" customWidth="1"/>
    <col min="4876" max="4876" width="18.85546875" style="22" customWidth="1"/>
    <col min="4877" max="4877" width="10.28515625" style="22" customWidth="1"/>
    <col min="4878" max="4878" width="11.42578125" style="22"/>
    <col min="4879" max="4879" width="12.140625" style="22" customWidth="1"/>
    <col min="4880" max="4880" width="10.5703125" style="22" customWidth="1"/>
    <col min="4881" max="4881" width="12.42578125" style="22" customWidth="1"/>
    <col min="4882" max="4882" width="15.140625" style="22" customWidth="1"/>
    <col min="4883" max="4883" width="13.5703125" style="22" customWidth="1"/>
    <col min="4884" max="4884" width="13.140625" style="22" customWidth="1"/>
    <col min="4885" max="4885" width="15.7109375" style="22" customWidth="1"/>
    <col min="4886" max="4886" width="37.5703125" style="22" customWidth="1"/>
    <col min="4887" max="5108" width="11.42578125" style="22"/>
    <col min="5109" max="5109" width="10.5703125" style="22" customWidth="1"/>
    <col min="5110" max="5110" width="4.85546875" style="22" customWidth="1"/>
    <col min="5111" max="5111" width="32.42578125" style="22" customWidth="1"/>
    <col min="5112" max="5112" width="9.85546875" style="22" customWidth="1"/>
    <col min="5113" max="5113" width="10.140625" style="22" customWidth="1"/>
    <col min="5114" max="5114" width="12.28515625" style="22" customWidth="1"/>
    <col min="5115" max="5115" width="15.42578125" style="22" customWidth="1"/>
    <col min="5116" max="5116" width="11.85546875" style="22" customWidth="1"/>
    <col min="5117" max="5117" width="13.28515625" style="22" customWidth="1"/>
    <col min="5118" max="5118" width="15.28515625" style="22" customWidth="1"/>
    <col min="5119" max="5119" width="11.85546875" style="22" customWidth="1"/>
    <col min="5120" max="5120" width="6.140625" style="22" customWidth="1"/>
    <col min="5121" max="5121" width="11.85546875" style="22" customWidth="1"/>
    <col min="5122" max="5122" width="9.42578125" style="22" customWidth="1"/>
    <col min="5123" max="5123" width="14.7109375" style="22" customWidth="1"/>
    <col min="5124" max="5124" width="11.5703125" style="22" customWidth="1"/>
    <col min="5125" max="5125" width="0.42578125" style="22" customWidth="1"/>
    <col min="5126" max="5126" width="10.5703125" style="22" bestFit="1" customWidth="1"/>
    <col min="5127" max="5127" width="12.28515625" style="22" customWidth="1"/>
    <col min="5128" max="5128" width="12.5703125" style="22" customWidth="1"/>
    <col min="5129" max="5129" width="10.5703125" style="22" customWidth="1"/>
    <col min="5130" max="5130" width="10.140625" style="22" customWidth="1"/>
    <col min="5131" max="5131" width="8.42578125" style="22" customWidth="1"/>
    <col min="5132" max="5132" width="18.85546875" style="22" customWidth="1"/>
    <col min="5133" max="5133" width="10.28515625" style="22" customWidth="1"/>
    <col min="5134" max="5134" width="11.42578125" style="22"/>
    <col min="5135" max="5135" width="12.140625" style="22" customWidth="1"/>
    <col min="5136" max="5136" width="10.5703125" style="22" customWidth="1"/>
    <col min="5137" max="5137" width="12.42578125" style="22" customWidth="1"/>
    <col min="5138" max="5138" width="15.140625" style="22" customWidth="1"/>
    <col min="5139" max="5139" width="13.5703125" style="22" customWidth="1"/>
    <col min="5140" max="5140" width="13.140625" style="22" customWidth="1"/>
    <col min="5141" max="5141" width="15.7109375" style="22" customWidth="1"/>
    <col min="5142" max="5142" width="37.5703125" style="22" customWidth="1"/>
    <col min="5143" max="5364" width="11.42578125" style="22"/>
    <col min="5365" max="5365" width="10.5703125" style="22" customWidth="1"/>
    <col min="5366" max="5366" width="4.85546875" style="22" customWidth="1"/>
    <col min="5367" max="5367" width="32.42578125" style="22" customWidth="1"/>
    <col min="5368" max="5368" width="9.85546875" style="22" customWidth="1"/>
    <col min="5369" max="5369" width="10.140625" style="22" customWidth="1"/>
    <col min="5370" max="5370" width="12.28515625" style="22" customWidth="1"/>
    <col min="5371" max="5371" width="15.42578125" style="22" customWidth="1"/>
    <col min="5372" max="5372" width="11.85546875" style="22" customWidth="1"/>
    <col min="5373" max="5373" width="13.28515625" style="22" customWidth="1"/>
    <col min="5374" max="5374" width="15.28515625" style="22" customWidth="1"/>
    <col min="5375" max="5375" width="11.85546875" style="22" customWidth="1"/>
    <col min="5376" max="5376" width="6.140625" style="22" customWidth="1"/>
    <col min="5377" max="5377" width="11.85546875" style="22" customWidth="1"/>
    <col min="5378" max="5378" width="9.42578125" style="22" customWidth="1"/>
    <col min="5379" max="5379" width="14.7109375" style="22" customWidth="1"/>
    <col min="5380" max="5380" width="11.5703125" style="22" customWidth="1"/>
    <col min="5381" max="5381" width="0.42578125" style="22" customWidth="1"/>
    <col min="5382" max="5382" width="10.5703125" style="22" bestFit="1" customWidth="1"/>
    <col min="5383" max="5383" width="12.28515625" style="22" customWidth="1"/>
    <col min="5384" max="5384" width="12.5703125" style="22" customWidth="1"/>
    <col min="5385" max="5385" width="10.5703125" style="22" customWidth="1"/>
    <col min="5386" max="5386" width="10.140625" style="22" customWidth="1"/>
    <col min="5387" max="5387" width="8.42578125" style="22" customWidth="1"/>
    <col min="5388" max="5388" width="18.85546875" style="22" customWidth="1"/>
    <col min="5389" max="5389" width="10.28515625" style="22" customWidth="1"/>
    <col min="5390" max="5390" width="11.42578125" style="22"/>
    <col min="5391" max="5391" width="12.140625" style="22" customWidth="1"/>
    <col min="5392" max="5392" width="10.5703125" style="22" customWidth="1"/>
    <col min="5393" max="5393" width="12.42578125" style="22" customWidth="1"/>
    <col min="5394" max="5394" width="15.140625" style="22" customWidth="1"/>
    <col min="5395" max="5395" width="13.5703125" style="22" customWidth="1"/>
    <col min="5396" max="5396" width="13.140625" style="22" customWidth="1"/>
    <col min="5397" max="5397" width="15.7109375" style="22" customWidth="1"/>
    <col min="5398" max="5398" width="37.5703125" style="22" customWidth="1"/>
    <col min="5399" max="5620" width="11.42578125" style="22"/>
    <col min="5621" max="5621" width="10.5703125" style="22" customWidth="1"/>
    <col min="5622" max="5622" width="4.85546875" style="22" customWidth="1"/>
    <col min="5623" max="5623" width="32.42578125" style="22" customWidth="1"/>
    <col min="5624" max="5624" width="9.85546875" style="22" customWidth="1"/>
    <col min="5625" max="5625" width="10.140625" style="22" customWidth="1"/>
    <col min="5626" max="5626" width="12.28515625" style="22" customWidth="1"/>
    <col min="5627" max="5627" width="15.42578125" style="22" customWidth="1"/>
    <col min="5628" max="5628" width="11.85546875" style="22" customWidth="1"/>
    <col min="5629" max="5629" width="13.28515625" style="22" customWidth="1"/>
    <col min="5630" max="5630" width="15.28515625" style="22" customWidth="1"/>
    <col min="5631" max="5631" width="11.85546875" style="22" customWidth="1"/>
    <col min="5632" max="5632" width="6.140625" style="22" customWidth="1"/>
    <col min="5633" max="5633" width="11.85546875" style="22" customWidth="1"/>
    <col min="5634" max="5634" width="9.42578125" style="22" customWidth="1"/>
    <col min="5635" max="5635" width="14.7109375" style="22" customWidth="1"/>
    <col min="5636" max="5636" width="11.5703125" style="22" customWidth="1"/>
    <col min="5637" max="5637" width="0.42578125" style="22" customWidth="1"/>
    <col min="5638" max="5638" width="10.5703125" style="22" bestFit="1" customWidth="1"/>
    <col min="5639" max="5639" width="12.28515625" style="22" customWidth="1"/>
    <col min="5640" max="5640" width="12.5703125" style="22" customWidth="1"/>
    <col min="5641" max="5641" width="10.5703125" style="22" customWidth="1"/>
    <col min="5642" max="5642" width="10.140625" style="22" customWidth="1"/>
    <col min="5643" max="5643" width="8.42578125" style="22" customWidth="1"/>
    <col min="5644" max="5644" width="18.85546875" style="22" customWidth="1"/>
    <col min="5645" max="5645" width="10.28515625" style="22" customWidth="1"/>
    <col min="5646" max="5646" width="11.42578125" style="22"/>
    <col min="5647" max="5647" width="12.140625" style="22" customWidth="1"/>
    <col min="5648" max="5648" width="10.5703125" style="22" customWidth="1"/>
    <col min="5649" max="5649" width="12.42578125" style="22" customWidth="1"/>
    <col min="5650" max="5650" width="15.140625" style="22" customWidth="1"/>
    <col min="5651" max="5651" width="13.5703125" style="22" customWidth="1"/>
    <col min="5652" max="5652" width="13.140625" style="22" customWidth="1"/>
    <col min="5653" max="5653" width="15.7109375" style="22" customWidth="1"/>
    <col min="5654" max="5654" width="37.5703125" style="22" customWidth="1"/>
    <col min="5655" max="5876" width="11.42578125" style="22"/>
    <col min="5877" max="5877" width="10.5703125" style="22" customWidth="1"/>
    <col min="5878" max="5878" width="4.85546875" style="22" customWidth="1"/>
    <col min="5879" max="5879" width="32.42578125" style="22" customWidth="1"/>
    <col min="5880" max="5880" width="9.85546875" style="22" customWidth="1"/>
    <col min="5881" max="5881" width="10.140625" style="22" customWidth="1"/>
    <col min="5882" max="5882" width="12.28515625" style="22" customWidth="1"/>
    <col min="5883" max="5883" width="15.42578125" style="22" customWidth="1"/>
    <col min="5884" max="5884" width="11.85546875" style="22" customWidth="1"/>
    <col min="5885" max="5885" width="13.28515625" style="22" customWidth="1"/>
    <col min="5886" max="5886" width="15.28515625" style="22" customWidth="1"/>
    <col min="5887" max="5887" width="11.85546875" style="22" customWidth="1"/>
    <col min="5888" max="5888" width="6.140625" style="22" customWidth="1"/>
    <col min="5889" max="5889" width="11.85546875" style="22" customWidth="1"/>
    <col min="5890" max="5890" width="9.42578125" style="22" customWidth="1"/>
    <col min="5891" max="5891" width="14.7109375" style="22" customWidth="1"/>
    <col min="5892" max="5892" width="11.5703125" style="22" customWidth="1"/>
    <col min="5893" max="5893" width="0.42578125" style="22" customWidth="1"/>
    <col min="5894" max="5894" width="10.5703125" style="22" bestFit="1" customWidth="1"/>
    <col min="5895" max="5895" width="12.28515625" style="22" customWidth="1"/>
    <col min="5896" max="5896" width="12.5703125" style="22" customWidth="1"/>
    <col min="5897" max="5897" width="10.5703125" style="22" customWidth="1"/>
    <col min="5898" max="5898" width="10.140625" style="22" customWidth="1"/>
    <col min="5899" max="5899" width="8.42578125" style="22" customWidth="1"/>
    <col min="5900" max="5900" width="18.85546875" style="22" customWidth="1"/>
    <col min="5901" max="5901" width="10.28515625" style="22" customWidth="1"/>
    <col min="5902" max="5902" width="11.42578125" style="22"/>
    <col min="5903" max="5903" width="12.140625" style="22" customWidth="1"/>
    <col min="5904" max="5904" width="10.5703125" style="22" customWidth="1"/>
    <col min="5905" max="5905" width="12.42578125" style="22" customWidth="1"/>
    <col min="5906" max="5906" width="15.140625" style="22" customWidth="1"/>
    <col min="5907" max="5907" width="13.5703125" style="22" customWidth="1"/>
    <col min="5908" max="5908" width="13.140625" style="22" customWidth="1"/>
    <col min="5909" max="5909" width="15.7109375" style="22" customWidth="1"/>
    <col min="5910" max="5910" width="37.5703125" style="22" customWidth="1"/>
    <col min="5911" max="6132" width="11.42578125" style="22"/>
    <col min="6133" max="6133" width="10.5703125" style="22" customWidth="1"/>
    <col min="6134" max="6134" width="4.85546875" style="22" customWidth="1"/>
    <col min="6135" max="6135" width="32.42578125" style="22" customWidth="1"/>
    <col min="6136" max="6136" width="9.85546875" style="22" customWidth="1"/>
    <col min="6137" max="6137" width="10.140625" style="22" customWidth="1"/>
    <col min="6138" max="6138" width="12.28515625" style="22" customWidth="1"/>
    <col min="6139" max="6139" width="15.42578125" style="22" customWidth="1"/>
    <col min="6140" max="6140" width="11.85546875" style="22" customWidth="1"/>
    <col min="6141" max="6141" width="13.28515625" style="22" customWidth="1"/>
    <col min="6142" max="6142" width="15.28515625" style="22" customWidth="1"/>
    <col min="6143" max="6143" width="11.85546875" style="22" customWidth="1"/>
    <col min="6144" max="6144" width="6.140625" style="22" customWidth="1"/>
    <col min="6145" max="6145" width="11.85546875" style="22" customWidth="1"/>
    <col min="6146" max="6146" width="9.42578125" style="22" customWidth="1"/>
    <col min="6147" max="6147" width="14.7109375" style="22" customWidth="1"/>
    <col min="6148" max="6148" width="11.5703125" style="22" customWidth="1"/>
    <col min="6149" max="6149" width="0.42578125" style="22" customWidth="1"/>
    <col min="6150" max="6150" width="10.5703125" style="22" bestFit="1" customWidth="1"/>
    <col min="6151" max="6151" width="12.28515625" style="22" customWidth="1"/>
    <col min="6152" max="6152" width="12.5703125" style="22" customWidth="1"/>
    <col min="6153" max="6153" width="10.5703125" style="22" customWidth="1"/>
    <col min="6154" max="6154" width="10.140625" style="22" customWidth="1"/>
    <col min="6155" max="6155" width="8.42578125" style="22" customWidth="1"/>
    <col min="6156" max="6156" width="18.85546875" style="22" customWidth="1"/>
    <col min="6157" max="6157" width="10.28515625" style="22" customWidth="1"/>
    <col min="6158" max="6158" width="11.42578125" style="22"/>
    <col min="6159" max="6159" width="12.140625" style="22" customWidth="1"/>
    <col min="6160" max="6160" width="10.5703125" style="22" customWidth="1"/>
    <col min="6161" max="6161" width="12.42578125" style="22" customWidth="1"/>
    <col min="6162" max="6162" width="15.140625" style="22" customWidth="1"/>
    <col min="6163" max="6163" width="13.5703125" style="22" customWidth="1"/>
    <col min="6164" max="6164" width="13.140625" style="22" customWidth="1"/>
    <col min="6165" max="6165" width="15.7109375" style="22" customWidth="1"/>
    <col min="6166" max="6166" width="37.5703125" style="22" customWidth="1"/>
    <col min="6167" max="6388" width="11.42578125" style="22"/>
    <col min="6389" max="6389" width="10.5703125" style="22" customWidth="1"/>
    <col min="6390" max="6390" width="4.85546875" style="22" customWidth="1"/>
    <col min="6391" max="6391" width="32.42578125" style="22" customWidth="1"/>
    <col min="6392" max="6392" width="9.85546875" style="22" customWidth="1"/>
    <col min="6393" max="6393" width="10.140625" style="22" customWidth="1"/>
    <col min="6394" max="6394" width="12.28515625" style="22" customWidth="1"/>
    <col min="6395" max="6395" width="15.42578125" style="22" customWidth="1"/>
    <col min="6396" max="6396" width="11.85546875" style="22" customWidth="1"/>
    <col min="6397" max="6397" width="13.28515625" style="22" customWidth="1"/>
    <col min="6398" max="6398" width="15.28515625" style="22" customWidth="1"/>
    <col min="6399" max="6399" width="11.85546875" style="22" customWidth="1"/>
    <col min="6400" max="6400" width="6.140625" style="22" customWidth="1"/>
    <col min="6401" max="6401" width="11.85546875" style="22" customWidth="1"/>
    <col min="6402" max="6402" width="9.42578125" style="22" customWidth="1"/>
    <col min="6403" max="6403" width="14.7109375" style="22" customWidth="1"/>
    <col min="6404" max="6404" width="11.5703125" style="22" customWidth="1"/>
    <col min="6405" max="6405" width="0.42578125" style="22" customWidth="1"/>
    <col min="6406" max="6406" width="10.5703125" style="22" bestFit="1" customWidth="1"/>
    <col min="6407" max="6407" width="12.28515625" style="22" customWidth="1"/>
    <col min="6408" max="6408" width="12.5703125" style="22" customWidth="1"/>
    <col min="6409" max="6409" width="10.5703125" style="22" customWidth="1"/>
    <col min="6410" max="6410" width="10.140625" style="22" customWidth="1"/>
    <col min="6411" max="6411" width="8.42578125" style="22" customWidth="1"/>
    <col min="6412" max="6412" width="18.85546875" style="22" customWidth="1"/>
    <col min="6413" max="6413" width="10.28515625" style="22" customWidth="1"/>
    <col min="6414" max="6414" width="11.42578125" style="22"/>
    <col min="6415" max="6415" width="12.140625" style="22" customWidth="1"/>
    <col min="6416" max="6416" width="10.5703125" style="22" customWidth="1"/>
    <col min="6417" max="6417" width="12.42578125" style="22" customWidth="1"/>
    <col min="6418" max="6418" width="15.140625" style="22" customWidth="1"/>
    <col min="6419" max="6419" width="13.5703125" style="22" customWidth="1"/>
    <col min="6420" max="6420" width="13.140625" style="22" customWidth="1"/>
    <col min="6421" max="6421" width="15.7109375" style="22" customWidth="1"/>
    <col min="6422" max="6422" width="37.5703125" style="22" customWidth="1"/>
    <col min="6423" max="6644" width="11.42578125" style="22"/>
    <col min="6645" max="6645" width="10.5703125" style="22" customWidth="1"/>
    <col min="6646" max="6646" width="4.85546875" style="22" customWidth="1"/>
    <col min="6647" max="6647" width="32.42578125" style="22" customWidth="1"/>
    <col min="6648" max="6648" width="9.85546875" style="22" customWidth="1"/>
    <col min="6649" max="6649" width="10.140625" style="22" customWidth="1"/>
    <col min="6650" max="6650" width="12.28515625" style="22" customWidth="1"/>
    <col min="6651" max="6651" width="15.42578125" style="22" customWidth="1"/>
    <col min="6652" max="6652" width="11.85546875" style="22" customWidth="1"/>
    <col min="6653" max="6653" width="13.28515625" style="22" customWidth="1"/>
    <col min="6654" max="6654" width="15.28515625" style="22" customWidth="1"/>
    <col min="6655" max="6655" width="11.85546875" style="22" customWidth="1"/>
    <col min="6656" max="6656" width="6.140625" style="22" customWidth="1"/>
    <col min="6657" max="6657" width="11.85546875" style="22" customWidth="1"/>
    <col min="6658" max="6658" width="9.42578125" style="22" customWidth="1"/>
    <col min="6659" max="6659" width="14.7109375" style="22" customWidth="1"/>
    <col min="6660" max="6660" width="11.5703125" style="22" customWidth="1"/>
    <col min="6661" max="6661" width="0.42578125" style="22" customWidth="1"/>
    <col min="6662" max="6662" width="10.5703125" style="22" bestFit="1" customWidth="1"/>
    <col min="6663" max="6663" width="12.28515625" style="22" customWidth="1"/>
    <col min="6664" max="6664" width="12.5703125" style="22" customWidth="1"/>
    <col min="6665" max="6665" width="10.5703125" style="22" customWidth="1"/>
    <col min="6666" max="6666" width="10.140625" style="22" customWidth="1"/>
    <col min="6667" max="6667" width="8.42578125" style="22" customWidth="1"/>
    <col min="6668" max="6668" width="18.85546875" style="22" customWidth="1"/>
    <col min="6669" max="6669" width="10.28515625" style="22" customWidth="1"/>
    <col min="6670" max="6670" width="11.42578125" style="22"/>
    <col min="6671" max="6671" width="12.140625" style="22" customWidth="1"/>
    <col min="6672" max="6672" width="10.5703125" style="22" customWidth="1"/>
    <col min="6673" max="6673" width="12.42578125" style="22" customWidth="1"/>
    <col min="6674" max="6674" width="15.140625" style="22" customWidth="1"/>
    <col min="6675" max="6675" width="13.5703125" style="22" customWidth="1"/>
    <col min="6676" max="6676" width="13.140625" style="22" customWidth="1"/>
    <col min="6677" max="6677" width="15.7109375" style="22" customWidth="1"/>
    <col min="6678" max="6678" width="37.5703125" style="22" customWidth="1"/>
    <col min="6679" max="6900" width="11.42578125" style="22"/>
    <col min="6901" max="6901" width="10.5703125" style="22" customWidth="1"/>
    <col min="6902" max="6902" width="4.85546875" style="22" customWidth="1"/>
    <col min="6903" max="6903" width="32.42578125" style="22" customWidth="1"/>
    <col min="6904" max="6904" width="9.85546875" style="22" customWidth="1"/>
    <col min="6905" max="6905" width="10.140625" style="22" customWidth="1"/>
    <col min="6906" max="6906" width="12.28515625" style="22" customWidth="1"/>
    <col min="6907" max="6907" width="15.42578125" style="22" customWidth="1"/>
    <col min="6908" max="6908" width="11.85546875" style="22" customWidth="1"/>
    <col min="6909" max="6909" width="13.28515625" style="22" customWidth="1"/>
    <col min="6910" max="6910" width="15.28515625" style="22" customWidth="1"/>
    <col min="6911" max="6911" width="11.85546875" style="22" customWidth="1"/>
    <col min="6912" max="6912" width="6.140625" style="22" customWidth="1"/>
    <col min="6913" max="6913" width="11.85546875" style="22" customWidth="1"/>
    <col min="6914" max="6914" width="9.42578125" style="22" customWidth="1"/>
    <col min="6915" max="6915" width="14.7109375" style="22" customWidth="1"/>
    <col min="6916" max="6916" width="11.5703125" style="22" customWidth="1"/>
    <col min="6917" max="6917" width="0.42578125" style="22" customWidth="1"/>
    <col min="6918" max="6918" width="10.5703125" style="22" bestFit="1" customWidth="1"/>
    <col min="6919" max="6919" width="12.28515625" style="22" customWidth="1"/>
    <col min="6920" max="6920" width="12.5703125" style="22" customWidth="1"/>
    <col min="6921" max="6921" width="10.5703125" style="22" customWidth="1"/>
    <col min="6922" max="6922" width="10.140625" style="22" customWidth="1"/>
    <col min="6923" max="6923" width="8.42578125" style="22" customWidth="1"/>
    <col min="6924" max="6924" width="18.85546875" style="22" customWidth="1"/>
    <col min="6925" max="6925" width="10.28515625" style="22" customWidth="1"/>
    <col min="6926" max="6926" width="11.42578125" style="22"/>
    <col min="6927" max="6927" width="12.140625" style="22" customWidth="1"/>
    <col min="6928" max="6928" width="10.5703125" style="22" customWidth="1"/>
    <col min="6929" max="6929" width="12.42578125" style="22" customWidth="1"/>
    <col min="6930" max="6930" width="15.140625" style="22" customWidth="1"/>
    <col min="6931" max="6931" width="13.5703125" style="22" customWidth="1"/>
    <col min="6932" max="6932" width="13.140625" style="22" customWidth="1"/>
    <col min="6933" max="6933" width="15.7109375" style="22" customWidth="1"/>
    <col min="6934" max="6934" width="37.5703125" style="22" customWidth="1"/>
    <col min="6935" max="7156" width="11.42578125" style="22"/>
    <col min="7157" max="7157" width="10.5703125" style="22" customWidth="1"/>
    <col min="7158" max="7158" width="4.85546875" style="22" customWidth="1"/>
    <col min="7159" max="7159" width="32.42578125" style="22" customWidth="1"/>
    <col min="7160" max="7160" width="9.85546875" style="22" customWidth="1"/>
    <col min="7161" max="7161" width="10.140625" style="22" customWidth="1"/>
    <col min="7162" max="7162" width="12.28515625" style="22" customWidth="1"/>
    <col min="7163" max="7163" width="15.42578125" style="22" customWidth="1"/>
    <col min="7164" max="7164" width="11.85546875" style="22" customWidth="1"/>
    <col min="7165" max="7165" width="13.28515625" style="22" customWidth="1"/>
    <col min="7166" max="7166" width="15.28515625" style="22" customWidth="1"/>
    <col min="7167" max="7167" width="11.85546875" style="22" customWidth="1"/>
    <col min="7168" max="7168" width="6.140625" style="22" customWidth="1"/>
    <col min="7169" max="7169" width="11.85546875" style="22" customWidth="1"/>
    <col min="7170" max="7170" width="9.42578125" style="22" customWidth="1"/>
    <col min="7171" max="7171" width="14.7109375" style="22" customWidth="1"/>
    <col min="7172" max="7172" width="11.5703125" style="22" customWidth="1"/>
    <col min="7173" max="7173" width="0.42578125" style="22" customWidth="1"/>
    <col min="7174" max="7174" width="10.5703125" style="22" bestFit="1" customWidth="1"/>
    <col min="7175" max="7175" width="12.28515625" style="22" customWidth="1"/>
    <col min="7176" max="7176" width="12.5703125" style="22" customWidth="1"/>
    <col min="7177" max="7177" width="10.5703125" style="22" customWidth="1"/>
    <col min="7178" max="7178" width="10.140625" style="22" customWidth="1"/>
    <col min="7179" max="7179" width="8.42578125" style="22" customWidth="1"/>
    <col min="7180" max="7180" width="18.85546875" style="22" customWidth="1"/>
    <col min="7181" max="7181" width="10.28515625" style="22" customWidth="1"/>
    <col min="7182" max="7182" width="11.42578125" style="22"/>
    <col min="7183" max="7183" width="12.140625" style="22" customWidth="1"/>
    <col min="7184" max="7184" width="10.5703125" style="22" customWidth="1"/>
    <col min="7185" max="7185" width="12.42578125" style="22" customWidth="1"/>
    <col min="7186" max="7186" width="15.140625" style="22" customWidth="1"/>
    <col min="7187" max="7187" width="13.5703125" style="22" customWidth="1"/>
    <col min="7188" max="7188" width="13.140625" style="22" customWidth="1"/>
    <col min="7189" max="7189" width="15.7109375" style="22" customWidth="1"/>
    <col min="7190" max="7190" width="37.5703125" style="22" customWidth="1"/>
    <col min="7191" max="7412" width="11.42578125" style="22"/>
    <col min="7413" max="7413" width="10.5703125" style="22" customWidth="1"/>
    <col min="7414" max="7414" width="4.85546875" style="22" customWidth="1"/>
    <col min="7415" max="7415" width="32.42578125" style="22" customWidth="1"/>
    <col min="7416" max="7416" width="9.85546875" style="22" customWidth="1"/>
    <col min="7417" max="7417" width="10.140625" style="22" customWidth="1"/>
    <col min="7418" max="7418" width="12.28515625" style="22" customWidth="1"/>
    <col min="7419" max="7419" width="15.42578125" style="22" customWidth="1"/>
    <col min="7420" max="7420" width="11.85546875" style="22" customWidth="1"/>
    <col min="7421" max="7421" width="13.28515625" style="22" customWidth="1"/>
    <col min="7422" max="7422" width="15.28515625" style="22" customWidth="1"/>
    <col min="7423" max="7423" width="11.85546875" style="22" customWidth="1"/>
    <col min="7424" max="7424" width="6.140625" style="22" customWidth="1"/>
    <col min="7425" max="7425" width="11.85546875" style="22" customWidth="1"/>
    <col min="7426" max="7426" width="9.42578125" style="22" customWidth="1"/>
    <col min="7427" max="7427" width="14.7109375" style="22" customWidth="1"/>
    <col min="7428" max="7428" width="11.5703125" style="22" customWidth="1"/>
    <col min="7429" max="7429" width="0.42578125" style="22" customWidth="1"/>
    <col min="7430" max="7430" width="10.5703125" style="22" bestFit="1" customWidth="1"/>
    <col min="7431" max="7431" width="12.28515625" style="22" customWidth="1"/>
    <col min="7432" max="7432" width="12.5703125" style="22" customWidth="1"/>
    <col min="7433" max="7433" width="10.5703125" style="22" customWidth="1"/>
    <col min="7434" max="7434" width="10.140625" style="22" customWidth="1"/>
    <col min="7435" max="7435" width="8.42578125" style="22" customWidth="1"/>
    <col min="7436" max="7436" width="18.85546875" style="22" customWidth="1"/>
    <col min="7437" max="7437" width="10.28515625" style="22" customWidth="1"/>
    <col min="7438" max="7438" width="11.42578125" style="22"/>
    <col min="7439" max="7439" width="12.140625" style="22" customWidth="1"/>
    <col min="7440" max="7440" width="10.5703125" style="22" customWidth="1"/>
    <col min="7441" max="7441" width="12.42578125" style="22" customWidth="1"/>
    <col min="7442" max="7442" width="15.140625" style="22" customWidth="1"/>
    <col min="7443" max="7443" width="13.5703125" style="22" customWidth="1"/>
    <col min="7444" max="7444" width="13.140625" style="22" customWidth="1"/>
    <col min="7445" max="7445" width="15.7109375" style="22" customWidth="1"/>
    <col min="7446" max="7446" width="37.5703125" style="22" customWidth="1"/>
    <col min="7447" max="7668" width="11.42578125" style="22"/>
    <col min="7669" max="7669" width="10.5703125" style="22" customWidth="1"/>
    <col min="7670" max="7670" width="4.85546875" style="22" customWidth="1"/>
    <col min="7671" max="7671" width="32.42578125" style="22" customWidth="1"/>
    <col min="7672" max="7672" width="9.85546875" style="22" customWidth="1"/>
    <col min="7673" max="7673" width="10.140625" style="22" customWidth="1"/>
    <col min="7674" max="7674" width="12.28515625" style="22" customWidth="1"/>
    <col min="7675" max="7675" width="15.42578125" style="22" customWidth="1"/>
    <col min="7676" max="7676" width="11.85546875" style="22" customWidth="1"/>
    <col min="7677" max="7677" width="13.28515625" style="22" customWidth="1"/>
    <col min="7678" max="7678" width="15.28515625" style="22" customWidth="1"/>
    <col min="7679" max="7679" width="11.85546875" style="22" customWidth="1"/>
    <col min="7680" max="7680" width="6.140625" style="22" customWidth="1"/>
    <col min="7681" max="7681" width="11.85546875" style="22" customWidth="1"/>
    <col min="7682" max="7682" width="9.42578125" style="22" customWidth="1"/>
    <col min="7683" max="7683" width="14.7109375" style="22" customWidth="1"/>
    <col min="7684" max="7684" width="11.5703125" style="22" customWidth="1"/>
    <col min="7685" max="7685" width="0.42578125" style="22" customWidth="1"/>
    <col min="7686" max="7686" width="10.5703125" style="22" bestFit="1" customWidth="1"/>
    <col min="7687" max="7687" width="12.28515625" style="22" customWidth="1"/>
    <col min="7688" max="7688" width="12.5703125" style="22" customWidth="1"/>
    <col min="7689" max="7689" width="10.5703125" style="22" customWidth="1"/>
    <col min="7690" max="7690" width="10.140625" style="22" customWidth="1"/>
    <col min="7691" max="7691" width="8.42578125" style="22" customWidth="1"/>
    <col min="7692" max="7692" width="18.85546875" style="22" customWidth="1"/>
    <col min="7693" max="7693" width="10.28515625" style="22" customWidth="1"/>
    <col min="7694" max="7694" width="11.42578125" style="22"/>
    <col min="7695" max="7695" width="12.140625" style="22" customWidth="1"/>
    <col min="7696" max="7696" width="10.5703125" style="22" customWidth="1"/>
    <col min="7697" max="7697" width="12.42578125" style="22" customWidth="1"/>
    <col min="7698" max="7698" width="15.140625" style="22" customWidth="1"/>
    <col min="7699" max="7699" width="13.5703125" style="22" customWidth="1"/>
    <col min="7700" max="7700" width="13.140625" style="22" customWidth="1"/>
    <col min="7701" max="7701" width="15.7109375" style="22" customWidth="1"/>
    <col min="7702" max="7702" width="37.5703125" style="22" customWidth="1"/>
    <col min="7703" max="7924" width="11.42578125" style="22"/>
    <col min="7925" max="7925" width="10.5703125" style="22" customWidth="1"/>
    <col min="7926" max="7926" width="4.85546875" style="22" customWidth="1"/>
    <col min="7927" max="7927" width="32.42578125" style="22" customWidth="1"/>
    <col min="7928" max="7928" width="9.85546875" style="22" customWidth="1"/>
    <col min="7929" max="7929" width="10.140625" style="22" customWidth="1"/>
    <col min="7930" max="7930" width="12.28515625" style="22" customWidth="1"/>
    <col min="7931" max="7931" width="15.42578125" style="22" customWidth="1"/>
    <col min="7932" max="7932" width="11.85546875" style="22" customWidth="1"/>
    <col min="7933" max="7933" width="13.28515625" style="22" customWidth="1"/>
    <col min="7934" max="7934" width="15.28515625" style="22" customWidth="1"/>
    <col min="7935" max="7935" width="11.85546875" style="22" customWidth="1"/>
    <col min="7936" max="7936" width="6.140625" style="22" customWidth="1"/>
    <col min="7937" max="7937" width="11.85546875" style="22" customWidth="1"/>
    <col min="7938" max="7938" width="9.42578125" style="22" customWidth="1"/>
    <col min="7939" max="7939" width="14.7109375" style="22" customWidth="1"/>
    <col min="7940" max="7940" width="11.5703125" style="22" customWidth="1"/>
    <col min="7941" max="7941" width="0.42578125" style="22" customWidth="1"/>
    <col min="7942" max="7942" width="10.5703125" style="22" bestFit="1" customWidth="1"/>
    <col min="7943" max="7943" width="12.28515625" style="22" customWidth="1"/>
    <col min="7944" max="7944" width="12.5703125" style="22" customWidth="1"/>
    <col min="7945" max="7945" width="10.5703125" style="22" customWidth="1"/>
    <col min="7946" max="7946" width="10.140625" style="22" customWidth="1"/>
    <col min="7947" max="7947" width="8.42578125" style="22" customWidth="1"/>
    <col min="7948" max="7948" width="18.85546875" style="22" customWidth="1"/>
    <col min="7949" max="7949" width="10.28515625" style="22" customWidth="1"/>
    <col min="7950" max="7950" width="11.42578125" style="22"/>
    <col min="7951" max="7951" width="12.140625" style="22" customWidth="1"/>
    <col min="7952" max="7952" width="10.5703125" style="22" customWidth="1"/>
    <col min="7953" max="7953" width="12.42578125" style="22" customWidth="1"/>
    <col min="7954" max="7954" width="15.140625" style="22" customWidth="1"/>
    <col min="7955" max="7955" width="13.5703125" style="22" customWidth="1"/>
    <col min="7956" max="7956" width="13.140625" style="22" customWidth="1"/>
    <col min="7957" max="7957" width="15.7109375" style="22" customWidth="1"/>
    <col min="7958" max="7958" width="37.5703125" style="22" customWidth="1"/>
    <col min="7959" max="8180" width="11.42578125" style="22"/>
    <col min="8181" max="8181" width="10.5703125" style="22" customWidth="1"/>
    <col min="8182" max="8182" width="4.85546875" style="22" customWidth="1"/>
    <col min="8183" max="8183" width="32.42578125" style="22" customWidth="1"/>
    <col min="8184" max="8184" width="9.85546875" style="22" customWidth="1"/>
    <col min="8185" max="8185" width="10.140625" style="22" customWidth="1"/>
    <col min="8186" max="8186" width="12.28515625" style="22" customWidth="1"/>
    <col min="8187" max="8187" width="15.42578125" style="22" customWidth="1"/>
    <col min="8188" max="8188" width="11.85546875" style="22" customWidth="1"/>
    <col min="8189" max="8189" width="13.28515625" style="22" customWidth="1"/>
    <col min="8190" max="8190" width="15.28515625" style="22" customWidth="1"/>
    <col min="8191" max="8191" width="11.85546875" style="22" customWidth="1"/>
    <col min="8192" max="8192" width="6.140625" style="22" customWidth="1"/>
    <col min="8193" max="8193" width="11.85546875" style="22" customWidth="1"/>
    <col min="8194" max="8194" width="9.42578125" style="22" customWidth="1"/>
    <col min="8195" max="8195" width="14.7109375" style="22" customWidth="1"/>
    <col min="8196" max="8196" width="11.5703125" style="22" customWidth="1"/>
    <col min="8197" max="8197" width="0.42578125" style="22" customWidth="1"/>
    <col min="8198" max="8198" width="10.5703125" style="22" bestFit="1" customWidth="1"/>
    <col min="8199" max="8199" width="12.28515625" style="22" customWidth="1"/>
    <col min="8200" max="8200" width="12.5703125" style="22" customWidth="1"/>
    <col min="8201" max="8201" width="10.5703125" style="22" customWidth="1"/>
    <col min="8202" max="8202" width="10.140625" style="22" customWidth="1"/>
    <col min="8203" max="8203" width="8.42578125" style="22" customWidth="1"/>
    <col min="8204" max="8204" width="18.85546875" style="22" customWidth="1"/>
    <col min="8205" max="8205" width="10.28515625" style="22" customWidth="1"/>
    <col min="8206" max="8206" width="11.42578125" style="22"/>
    <col min="8207" max="8207" width="12.140625" style="22" customWidth="1"/>
    <col min="8208" max="8208" width="10.5703125" style="22" customWidth="1"/>
    <col min="8209" max="8209" width="12.42578125" style="22" customWidth="1"/>
    <col min="8210" max="8210" width="15.140625" style="22" customWidth="1"/>
    <col min="8211" max="8211" width="13.5703125" style="22" customWidth="1"/>
    <col min="8212" max="8212" width="13.140625" style="22" customWidth="1"/>
    <col min="8213" max="8213" width="15.7109375" style="22" customWidth="1"/>
    <col min="8214" max="8214" width="37.5703125" style="22" customWidth="1"/>
    <col min="8215" max="8436" width="11.42578125" style="22"/>
    <col min="8437" max="8437" width="10.5703125" style="22" customWidth="1"/>
    <col min="8438" max="8438" width="4.85546875" style="22" customWidth="1"/>
    <col min="8439" max="8439" width="32.42578125" style="22" customWidth="1"/>
    <col min="8440" max="8440" width="9.85546875" style="22" customWidth="1"/>
    <col min="8441" max="8441" width="10.140625" style="22" customWidth="1"/>
    <col min="8442" max="8442" width="12.28515625" style="22" customWidth="1"/>
    <col min="8443" max="8443" width="15.42578125" style="22" customWidth="1"/>
    <col min="8444" max="8444" width="11.85546875" style="22" customWidth="1"/>
    <col min="8445" max="8445" width="13.28515625" style="22" customWidth="1"/>
    <col min="8446" max="8446" width="15.28515625" style="22" customWidth="1"/>
    <col min="8447" max="8447" width="11.85546875" style="22" customWidth="1"/>
    <col min="8448" max="8448" width="6.140625" style="22" customWidth="1"/>
    <col min="8449" max="8449" width="11.85546875" style="22" customWidth="1"/>
    <col min="8450" max="8450" width="9.42578125" style="22" customWidth="1"/>
    <col min="8451" max="8451" width="14.7109375" style="22" customWidth="1"/>
    <col min="8452" max="8452" width="11.5703125" style="22" customWidth="1"/>
    <col min="8453" max="8453" width="0.42578125" style="22" customWidth="1"/>
    <col min="8454" max="8454" width="10.5703125" style="22" bestFit="1" customWidth="1"/>
    <col min="8455" max="8455" width="12.28515625" style="22" customWidth="1"/>
    <col min="8456" max="8456" width="12.5703125" style="22" customWidth="1"/>
    <col min="8457" max="8457" width="10.5703125" style="22" customWidth="1"/>
    <col min="8458" max="8458" width="10.140625" style="22" customWidth="1"/>
    <col min="8459" max="8459" width="8.42578125" style="22" customWidth="1"/>
    <col min="8460" max="8460" width="18.85546875" style="22" customWidth="1"/>
    <col min="8461" max="8461" width="10.28515625" style="22" customWidth="1"/>
    <col min="8462" max="8462" width="11.42578125" style="22"/>
    <col min="8463" max="8463" width="12.140625" style="22" customWidth="1"/>
    <col min="8464" max="8464" width="10.5703125" style="22" customWidth="1"/>
    <col min="8465" max="8465" width="12.42578125" style="22" customWidth="1"/>
    <col min="8466" max="8466" width="15.140625" style="22" customWidth="1"/>
    <col min="8467" max="8467" width="13.5703125" style="22" customWidth="1"/>
    <col min="8468" max="8468" width="13.140625" style="22" customWidth="1"/>
    <col min="8469" max="8469" width="15.7109375" style="22" customWidth="1"/>
    <col min="8470" max="8470" width="37.5703125" style="22" customWidth="1"/>
    <col min="8471" max="8692" width="11.42578125" style="22"/>
    <col min="8693" max="8693" width="10.5703125" style="22" customWidth="1"/>
    <col min="8694" max="8694" width="4.85546875" style="22" customWidth="1"/>
    <col min="8695" max="8695" width="32.42578125" style="22" customWidth="1"/>
    <col min="8696" max="8696" width="9.85546875" style="22" customWidth="1"/>
    <col min="8697" max="8697" width="10.140625" style="22" customWidth="1"/>
    <col min="8698" max="8698" width="12.28515625" style="22" customWidth="1"/>
    <col min="8699" max="8699" width="15.42578125" style="22" customWidth="1"/>
    <col min="8700" max="8700" width="11.85546875" style="22" customWidth="1"/>
    <col min="8701" max="8701" width="13.28515625" style="22" customWidth="1"/>
    <col min="8702" max="8702" width="15.28515625" style="22" customWidth="1"/>
    <col min="8703" max="8703" width="11.85546875" style="22" customWidth="1"/>
    <col min="8704" max="8704" width="6.140625" style="22" customWidth="1"/>
    <col min="8705" max="8705" width="11.85546875" style="22" customWidth="1"/>
    <col min="8706" max="8706" width="9.42578125" style="22" customWidth="1"/>
    <col min="8707" max="8707" width="14.7109375" style="22" customWidth="1"/>
    <col min="8708" max="8708" width="11.5703125" style="22" customWidth="1"/>
    <col min="8709" max="8709" width="0.42578125" style="22" customWidth="1"/>
    <col min="8710" max="8710" width="10.5703125" style="22" bestFit="1" customWidth="1"/>
    <col min="8711" max="8711" width="12.28515625" style="22" customWidth="1"/>
    <col min="8712" max="8712" width="12.5703125" style="22" customWidth="1"/>
    <col min="8713" max="8713" width="10.5703125" style="22" customWidth="1"/>
    <col min="8714" max="8714" width="10.140625" style="22" customWidth="1"/>
    <col min="8715" max="8715" width="8.42578125" style="22" customWidth="1"/>
    <col min="8716" max="8716" width="18.85546875" style="22" customWidth="1"/>
    <col min="8717" max="8717" width="10.28515625" style="22" customWidth="1"/>
    <col min="8718" max="8718" width="11.42578125" style="22"/>
    <col min="8719" max="8719" width="12.140625" style="22" customWidth="1"/>
    <col min="8720" max="8720" width="10.5703125" style="22" customWidth="1"/>
    <col min="8721" max="8721" width="12.42578125" style="22" customWidth="1"/>
    <col min="8722" max="8722" width="15.140625" style="22" customWidth="1"/>
    <col min="8723" max="8723" width="13.5703125" style="22" customWidth="1"/>
    <col min="8724" max="8724" width="13.140625" style="22" customWidth="1"/>
    <col min="8725" max="8725" width="15.7109375" style="22" customWidth="1"/>
    <col min="8726" max="8726" width="37.5703125" style="22" customWidth="1"/>
    <col min="8727" max="8948" width="11.42578125" style="22"/>
    <col min="8949" max="8949" width="10.5703125" style="22" customWidth="1"/>
    <col min="8950" max="8950" width="4.85546875" style="22" customWidth="1"/>
    <col min="8951" max="8951" width="32.42578125" style="22" customWidth="1"/>
    <col min="8952" max="8952" width="9.85546875" style="22" customWidth="1"/>
    <col min="8953" max="8953" width="10.140625" style="22" customWidth="1"/>
    <col min="8954" max="8954" width="12.28515625" style="22" customWidth="1"/>
    <col min="8955" max="8955" width="15.42578125" style="22" customWidth="1"/>
    <col min="8956" max="8956" width="11.85546875" style="22" customWidth="1"/>
    <col min="8957" max="8957" width="13.28515625" style="22" customWidth="1"/>
    <col min="8958" max="8958" width="15.28515625" style="22" customWidth="1"/>
    <col min="8959" max="8959" width="11.85546875" style="22" customWidth="1"/>
    <col min="8960" max="8960" width="6.140625" style="22" customWidth="1"/>
    <col min="8961" max="8961" width="11.85546875" style="22" customWidth="1"/>
    <col min="8962" max="8962" width="9.42578125" style="22" customWidth="1"/>
    <col min="8963" max="8963" width="14.7109375" style="22" customWidth="1"/>
    <col min="8964" max="8964" width="11.5703125" style="22" customWidth="1"/>
    <col min="8965" max="8965" width="0.42578125" style="22" customWidth="1"/>
    <col min="8966" max="8966" width="10.5703125" style="22" bestFit="1" customWidth="1"/>
    <col min="8967" max="8967" width="12.28515625" style="22" customWidth="1"/>
    <col min="8968" max="8968" width="12.5703125" style="22" customWidth="1"/>
    <col min="8969" max="8969" width="10.5703125" style="22" customWidth="1"/>
    <col min="8970" max="8970" width="10.140625" style="22" customWidth="1"/>
    <col min="8971" max="8971" width="8.42578125" style="22" customWidth="1"/>
    <col min="8972" max="8972" width="18.85546875" style="22" customWidth="1"/>
    <col min="8973" max="8973" width="10.28515625" style="22" customWidth="1"/>
    <col min="8974" max="8974" width="11.42578125" style="22"/>
    <col min="8975" max="8975" width="12.140625" style="22" customWidth="1"/>
    <col min="8976" max="8976" width="10.5703125" style="22" customWidth="1"/>
    <col min="8977" max="8977" width="12.42578125" style="22" customWidth="1"/>
    <col min="8978" max="8978" width="15.140625" style="22" customWidth="1"/>
    <col min="8979" max="8979" width="13.5703125" style="22" customWidth="1"/>
    <col min="8980" max="8980" width="13.140625" style="22" customWidth="1"/>
    <col min="8981" max="8981" width="15.7109375" style="22" customWidth="1"/>
    <col min="8982" max="8982" width="37.5703125" style="22" customWidth="1"/>
    <col min="8983" max="9204" width="11.42578125" style="22"/>
    <col min="9205" max="9205" width="10.5703125" style="22" customWidth="1"/>
    <col min="9206" max="9206" width="4.85546875" style="22" customWidth="1"/>
    <col min="9207" max="9207" width="32.42578125" style="22" customWidth="1"/>
    <col min="9208" max="9208" width="9.85546875" style="22" customWidth="1"/>
    <col min="9209" max="9209" width="10.140625" style="22" customWidth="1"/>
    <col min="9210" max="9210" width="12.28515625" style="22" customWidth="1"/>
    <col min="9211" max="9211" width="15.42578125" style="22" customWidth="1"/>
    <col min="9212" max="9212" width="11.85546875" style="22" customWidth="1"/>
    <col min="9213" max="9213" width="13.28515625" style="22" customWidth="1"/>
    <col min="9214" max="9214" width="15.28515625" style="22" customWidth="1"/>
    <col min="9215" max="9215" width="11.85546875" style="22" customWidth="1"/>
    <col min="9216" max="9216" width="6.140625" style="22" customWidth="1"/>
    <col min="9217" max="9217" width="11.85546875" style="22" customWidth="1"/>
    <col min="9218" max="9218" width="9.42578125" style="22" customWidth="1"/>
    <col min="9219" max="9219" width="14.7109375" style="22" customWidth="1"/>
    <col min="9220" max="9220" width="11.5703125" style="22" customWidth="1"/>
    <col min="9221" max="9221" width="0.42578125" style="22" customWidth="1"/>
    <col min="9222" max="9222" width="10.5703125" style="22" bestFit="1" customWidth="1"/>
    <col min="9223" max="9223" width="12.28515625" style="22" customWidth="1"/>
    <col min="9224" max="9224" width="12.5703125" style="22" customWidth="1"/>
    <col min="9225" max="9225" width="10.5703125" style="22" customWidth="1"/>
    <col min="9226" max="9226" width="10.140625" style="22" customWidth="1"/>
    <col min="9227" max="9227" width="8.42578125" style="22" customWidth="1"/>
    <col min="9228" max="9228" width="18.85546875" style="22" customWidth="1"/>
    <col min="9229" max="9229" width="10.28515625" style="22" customWidth="1"/>
    <col min="9230" max="9230" width="11.42578125" style="22"/>
    <col min="9231" max="9231" width="12.140625" style="22" customWidth="1"/>
    <col min="9232" max="9232" width="10.5703125" style="22" customWidth="1"/>
    <col min="9233" max="9233" width="12.42578125" style="22" customWidth="1"/>
    <col min="9234" max="9234" width="15.140625" style="22" customWidth="1"/>
    <col min="9235" max="9235" width="13.5703125" style="22" customWidth="1"/>
    <col min="9236" max="9236" width="13.140625" style="22" customWidth="1"/>
    <col min="9237" max="9237" width="15.7109375" style="22" customWidth="1"/>
    <col min="9238" max="9238" width="37.5703125" style="22" customWidth="1"/>
    <col min="9239" max="9460" width="11.42578125" style="22"/>
    <col min="9461" max="9461" width="10.5703125" style="22" customWidth="1"/>
    <col min="9462" max="9462" width="4.85546875" style="22" customWidth="1"/>
    <col min="9463" max="9463" width="32.42578125" style="22" customWidth="1"/>
    <col min="9464" max="9464" width="9.85546875" style="22" customWidth="1"/>
    <col min="9465" max="9465" width="10.140625" style="22" customWidth="1"/>
    <col min="9466" max="9466" width="12.28515625" style="22" customWidth="1"/>
    <col min="9467" max="9467" width="15.42578125" style="22" customWidth="1"/>
    <col min="9468" max="9468" width="11.85546875" style="22" customWidth="1"/>
    <col min="9469" max="9469" width="13.28515625" style="22" customWidth="1"/>
    <col min="9470" max="9470" width="15.28515625" style="22" customWidth="1"/>
    <col min="9471" max="9471" width="11.85546875" style="22" customWidth="1"/>
    <col min="9472" max="9472" width="6.140625" style="22" customWidth="1"/>
    <col min="9473" max="9473" width="11.85546875" style="22" customWidth="1"/>
    <col min="9474" max="9474" width="9.42578125" style="22" customWidth="1"/>
    <col min="9475" max="9475" width="14.7109375" style="22" customWidth="1"/>
    <col min="9476" max="9476" width="11.5703125" style="22" customWidth="1"/>
    <col min="9477" max="9477" width="0.42578125" style="22" customWidth="1"/>
    <col min="9478" max="9478" width="10.5703125" style="22" bestFit="1" customWidth="1"/>
    <col min="9479" max="9479" width="12.28515625" style="22" customWidth="1"/>
    <col min="9480" max="9480" width="12.5703125" style="22" customWidth="1"/>
    <col min="9481" max="9481" width="10.5703125" style="22" customWidth="1"/>
    <col min="9482" max="9482" width="10.140625" style="22" customWidth="1"/>
    <col min="9483" max="9483" width="8.42578125" style="22" customWidth="1"/>
    <col min="9484" max="9484" width="18.85546875" style="22" customWidth="1"/>
    <col min="9485" max="9485" width="10.28515625" style="22" customWidth="1"/>
    <col min="9486" max="9486" width="11.42578125" style="22"/>
    <col min="9487" max="9487" width="12.140625" style="22" customWidth="1"/>
    <col min="9488" max="9488" width="10.5703125" style="22" customWidth="1"/>
    <col min="9489" max="9489" width="12.42578125" style="22" customWidth="1"/>
    <col min="9490" max="9490" width="15.140625" style="22" customWidth="1"/>
    <col min="9491" max="9491" width="13.5703125" style="22" customWidth="1"/>
    <col min="9492" max="9492" width="13.140625" style="22" customWidth="1"/>
    <col min="9493" max="9493" width="15.7109375" style="22" customWidth="1"/>
    <col min="9494" max="9494" width="37.5703125" style="22" customWidth="1"/>
    <col min="9495" max="9716" width="11.42578125" style="22"/>
    <col min="9717" max="9717" width="10.5703125" style="22" customWidth="1"/>
    <col min="9718" max="9718" width="4.85546875" style="22" customWidth="1"/>
    <col min="9719" max="9719" width="32.42578125" style="22" customWidth="1"/>
    <col min="9720" max="9720" width="9.85546875" style="22" customWidth="1"/>
    <col min="9721" max="9721" width="10.140625" style="22" customWidth="1"/>
    <col min="9722" max="9722" width="12.28515625" style="22" customWidth="1"/>
    <col min="9723" max="9723" width="15.42578125" style="22" customWidth="1"/>
    <col min="9724" max="9724" width="11.85546875" style="22" customWidth="1"/>
    <col min="9725" max="9725" width="13.28515625" style="22" customWidth="1"/>
    <col min="9726" max="9726" width="15.28515625" style="22" customWidth="1"/>
    <col min="9727" max="9727" width="11.85546875" style="22" customWidth="1"/>
    <col min="9728" max="9728" width="6.140625" style="22" customWidth="1"/>
    <col min="9729" max="9729" width="11.85546875" style="22" customWidth="1"/>
    <col min="9730" max="9730" width="9.42578125" style="22" customWidth="1"/>
    <col min="9731" max="9731" width="14.7109375" style="22" customWidth="1"/>
    <col min="9732" max="9732" width="11.5703125" style="22" customWidth="1"/>
    <col min="9733" max="9733" width="0.42578125" style="22" customWidth="1"/>
    <col min="9734" max="9734" width="10.5703125" style="22" bestFit="1" customWidth="1"/>
    <col min="9735" max="9735" width="12.28515625" style="22" customWidth="1"/>
    <col min="9736" max="9736" width="12.5703125" style="22" customWidth="1"/>
    <col min="9737" max="9737" width="10.5703125" style="22" customWidth="1"/>
    <col min="9738" max="9738" width="10.140625" style="22" customWidth="1"/>
    <col min="9739" max="9739" width="8.42578125" style="22" customWidth="1"/>
    <col min="9740" max="9740" width="18.85546875" style="22" customWidth="1"/>
    <col min="9741" max="9741" width="10.28515625" style="22" customWidth="1"/>
    <col min="9742" max="9742" width="11.42578125" style="22"/>
    <col min="9743" max="9743" width="12.140625" style="22" customWidth="1"/>
    <col min="9744" max="9744" width="10.5703125" style="22" customWidth="1"/>
    <col min="9745" max="9745" width="12.42578125" style="22" customWidth="1"/>
    <col min="9746" max="9746" width="15.140625" style="22" customWidth="1"/>
    <col min="9747" max="9747" width="13.5703125" style="22" customWidth="1"/>
    <col min="9748" max="9748" width="13.140625" style="22" customWidth="1"/>
    <col min="9749" max="9749" width="15.7109375" style="22" customWidth="1"/>
    <col min="9750" max="9750" width="37.5703125" style="22" customWidth="1"/>
    <col min="9751" max="9972" width="11.42578125" style="22"/>
    <col min="9973" max="9973" width="10.5703125" style="22" customWidth="1"/>
    <col min="9974" max="9974" width="4.85546875" style="22" customWidth="1"/>
    <col min="9975" max="9975" width="32.42578125" style="22" customWidth="1"/>
    <col min="9976" max="9976" width="9.85546875" style="22" customWidth="1"/>
    <col min="9977" max="9977" width="10.140625" style="22" customWidth="1"/>
    <col min="9978" max="9978" width="12.28515625" style="22" customWidth="1"/>
    <col min="9979" max="9979" width="15.42578125" style="22" customWidth="1"/>
    <col min="9980" max="9980" width="11.85546875" style="22" customWidth="1"/>
    <col min="9981" max="9981" width="13.28515625" style="22" customWidth="1"/>
    <col min="9982" max="9982" width="15.28515625" style="22" customWidth="1"/>
    <col min="9983" max="9983" width="11.85546875" style="22" customWidth="1"/>
    <col min="9984" max="9984" width="6.140625" style="22" customWidth="1"/>
    <col min="9985" max="9985" width="11.85546875" style="22" customWidth="1"/>
    <col min="9986" max="9986" width="9.42578125" style="22" customWidth="1"/>
    <col min="9987" max="9987" width="14.7109375" style="22" customWidth="1"/>
    <col min="9988" max="9988" width="11.5703125" style="22" customWidth="1"/>
    <col min="9989" max="9989" width="0.42578125" style="22" customWidth="1"/>
    <col min="9990" max="9990" width="10.5703125" style="22" bestFit="1" customWidth="1"/>
    <col min="9991" max="9991" width="12.28515625" style="22" customWidth="1"/>
    <col min="9992" max="9992" width="12.5703125" style="22" customWidth="1"/>
    <col min="9993" max="9993" width="10.5703125" style="22" customWidth="1"/>
    <col min="9994" max="9994" width="10.140625" style="22" customWidth="1"/>
    <col min="9995" max="9995" width="8.42578125" style="22" customWidth="1"/>
    <col min="9996" max="9996" width="18.85546875" style="22" customWidth="1"/>
    <col min="9997" max="9997" width="10.28515625" style="22" customWidth="1"/>
    <col min="9998" max="9998" width="11.42578125" style="22"/>
    <col min="9999" max="9999" width="12.140625" style="22" customWidth="1"/>
    <col min="10000" max="10000" width="10.5703125" style="22" customWidth="1"/>
    <col min="10001" max="10001" width="12.42578125" style="22" customWidth="1"/>
    <col min="10002" max="10002" width="15.140625" style="22" customWidth="1"/>
    <col min="10003" max="10003" width="13.5703125" style="22" customWidth="1"/>
    <col min="10004" max="10004" width="13.140625" style="22" customWidth="1"/>
    <col min="10005" max="10005" width="15.7109375" style="22" customWidth="1"/>
    <col min="10006" max="10006" width="37.5703125" style="22" customWidth="1"/>
    <col min="10007" max="10228" width="11.42578125" style="22"/>
    <col min="10229" max="10229" width="10.5703125" style="22" customWidth="1"/>
    <col min="10230" max="10230" width="4.85546875" style="22" customWidth="1"/>
    <col min="10231" max="10231" width="32.42578125" style="22" customWidth="1"/>
    <col min="10232" max="10232" width="9.85546875" style="22" customWidth="1"/>
    <col min="10233" max="10233" width="10.140625" style="22" customWidth="1"/>
    <col min="10234" max="10234" width="12.28515625" style="22" customWidth="1"/>
    <col min="10235" max="10235" width="15.42578125" style="22" customWidth="1"/>
    <col min="10236" max="10236" width="11.85546875" style="22" customWidth="1"/>
    <col min="10237" max="10237" width="13.28515625" style="22" customWidth="1"/>
    <col min="10238" max="10238" width="15.28515625" style="22" customWidth="1"/>
    <col min="10239" max="10239" width="11.85546875" style="22" customWidth="1"/>
    <col min="10240" max="10240" width="6.140625" style="22" customWidth="1"/>
    <col min="10241" max="10241" width="11.85546875" style="22" customWidth="1"/>
    <col min="10242" max="10242" width="9.42578125" style="22" customWidth="1"/>
    <col min="10243" max="10243" width="14.7109375" style="22" customWidth="1"/>
    <col min="10244" max="10244" width="11.5703125" style="22" customWidth="1"/>
    <col min="10245" max="10245" width="0.42578125" style="22" customWidth="1"/>
    <col min="10246" max="10246" width="10.5703125" style="22" bestFit="1" customWidth="1"/>
    <col min="10247" max="10247" width="12.28515625" style="22" customWidth="1"/>
    <col min="10248" max="10248" width="12.5703125" style="22" customWidth="1"/>
    <col min="10249" max="10249" width="10.5703125" style="22" customWidth="1"/>
    <col min="10250" max="10250" width="10.140625" style="22" customWidth="1"/>
    <col min="10251" max="10251" width="8.42578125" style="22" customWidth="1"/>
    <col min="10252" max="10252" width="18.85546875" style="22" customWidth="1"/>
    <col min="10253" max="10253" width="10.28515625" style="22" customWidth="1"/>
    <col min="10254" max="10254" width="11.42578125" style="22"/>
    <col min="10255" max="10255" width="12.140625" style="22" customWidth="1"/>
    <col min="10256" max="10256" width="10.5703125" style="22" customWidth="1"/>
    <col min="10257" max="10257" width="12.42578125" style="22" customWidth="1"/>
    <col min="10258" max="10258" width="15.140625" style="22" customWidth="1"/>
    <col min="10259" max="10259" width="13.5703125" style="22" customWidth="1"/>
    <col min="10260" max="10260" width="13.140625" style="22" customWidth="1"/>
    <col min="10261" max="10261" width="15.7109375" style="22" customWidth="1"/>
    <col min="10262" max="10262" width="37.5703125" style="22" customWidth="1"/>
    <col min="10263" max="10484" width="11.42578125" style="22"/>
    <col min="10485" max="10485" width="10.5703125" style="22" customWidth="1"/>
    <col min="10486" max="10486" width="4.85546875" style="22" customWidth="1"/>
    <col min="10487" max="10487" width="32.42578125" style="22" customWidth="1"/>
    <col min="10488" max="10488" width="9.85546875" style="22" customWidth="1"/>
    <col min="10489" max="10489" width="10.140625" style="22" customWidth="1"/>
    <col min="10490" max="10490" width="12.28515625" style="22" customWidth="1"/>
    <col min="10491" max="10491" width="15.42578125" style="22" customWidth="1"/>
    <col min="10492" max="10492" width="11.85546875" style="22" customWidth="1"/>
    <col min="10493" max="10493" width="13.28515625" style="22" customWidth="1"/>
    <col min="10494" max="10494" width="15.28515625" style="22" customWidth="1"/>
    <col min="10495" max="10495" width="11.85546875" style="22" customWidth="1"/>
    <col min="10496" max="10496" width="6.140625" style="22" customWidth="1"/>
    <col min="10497" max="10497" width="11.85546875" style="22" customWidth="1"/>
    <col min="10498" max="10498" width="9.42578125" style="22" customWidth="1"/>
    <col min="10499" max="10499" width="14.7109375" style="22" customWidth="1"/>
    <col min="10500" max="10500" width="11.5703125" style="22" customWidth="1"/>
    <col min="10501" max="10501" width="0.42578125" style="22" customWidth="1"/>
    <col min="10502" max="10502" width="10.5703125" style="22" bestFit="1" customWidth="1"/>
    <col min="10503" max="10503" width="12.28515625" style="22" customWidth="1"/>
    <col min="10504" max="10504" width="12.5703125" style="22" customWidth="1"/>
    <col min="10505" max="10505" width="10.5703125" style="22" customWidth="1"/>
    <col min="10506" max="10506" width="10.140625" style="22" customWidth="1"/>
    <col min="10507" max="10507" width="8.42578125" style="22" customWidth="1"/>
    <col min="10508" max="10508" width="18.85546875" style="22" customWidth="1"/>
    <col min="10509" max="10509" width="10.28515625" style="22" customWidth="1"/>
    <col min="10510" max="10510" width="11.42578125" style="22"/>
    <col min="10511" max="10511" width="12.140625" style="22" customWidth="1"/>
    <col min="10512" max="10512" width="10.5703125" style="22" customWidth="1"/>
    <col min="10513" max="10513" width="12.42578125" style="22" customWidth="1"/>
    <col min="10514" max="10514" width="15.140625" style="22" customWidth="1"/>
    <col min="10515" max="10515" width="13.5703125" style="22" customWidth="1"/>
    <col min="10516" max="10516" width="13.140625" style="22" customWidth="1"/>
    <col min="10517" max="10517" width="15.7109375" style="22" customWidth="1"/>
    <col min="10518" max="10518" width="37.5703125" style="22" customWidth="1"/>
    <col min="10519" max="10740" width="11.42578125" style="22"/>
    <col min="10741" max="10741" width="10.5703125" style="22" customWidth="1"/>
    <col min="10742" max="10742" width="4.85546875" style="22" customWidth="1"/>
    <col min="10743" max="10743" width="32.42578125" style="22" customWidth="1"/>
    <col min="10744" max="10744" width="9.85546875" style="22" customWidth="1"/>
    <col min="10745" max="10745" width="10.140625" style="22" customWidth="1"/>
    <col min="10746" max="10746" width="12.28515625" style="22" customWidth="1"/>
    <col min="10747" max="10747" width="15.42578125" style="22" customWidth="1"/>
    <col min="10748" max="10748" width="11.85546875" style="22" customWidth="1"/>
    <col min="10749" max="10749" width="13.28515625" style="22" customWidth="1"/>
    <col min="10750" max="10750" width="15.28515625" style="22" customWidth="1"/>
    <col min="10751" max="10751" width="11.85546875" style="22" customWidth="1"/>
    <col min="10752" max="10752" width="6.140625" style="22" customWidth="1"/>
    <col min="10753" max="10753" width="11.85546875" style="22" customWidth="1"/>
    <col min="10754" max="10754" width="9.42578125" style="22" customWidth="1"/>
    <col min="10755" max="10755" width="14.7109375" style="22" customWidth="1"/>
    <col min="10756" max="10756" width="11.5703125" style="22" customWidth="1"/>
    <col min="10757" max="10757" width="0.42578125" style="22" customWidth="1"/>
    <col min="10758" max="10758" width="10.5703125" style="22" bestFit="1" customWidth="1"/>
    <col min="10759" max="10759" width="12.28515625" style="22" customWidth="1"/>
    <col min="10760" max="10760" width="12.5703125" style="22" customWidth="1"/>
    <col min="10761" max="10761" width="10.5703125" style="22" customWidth="1"/>
    <col min="10762" max="10762" width="10.140625" style="22" customWidth="1"/>
    <col min="10763" max="10763" width="8.42578125" style="22" customWidth="1"/>
    <col min="10764" max="10764" width="18.85546875" style="22" customWidth="1"/>
    <col min="10765" max="10765" width="10.28515625" style="22" customWidth="1"/>
    <col min="10766" max="10766" width="11.42578125" style="22"/>
    <col min="10767" max="10767" width="12.140625" style="22" customWidth="1"/>
    <col min="10768" max="10768" width="10.5703125" style="22" customWidth="1"/>
    <col min="10769" max="10769" width="12.42578125" style="22" customWidth="1"/>
    <col min="10770" max="10770" width="15.140625" style="22" customWidth="1"/>
    <col min="10771" max="10771" width="13.5703125" style="22" customWidth="1"/>
    <col min="10772" max="10772" width="13.140625" style="22" customWidth="1"/>
    <col min="10773" max="10773" width="15.7109375" style="22" customWidth="1"/>
    <col min="10774" max="10774" width="37.5703125" style="22" customWidth="1"/>
    <col min="10775" max="10996" width="11.42578125" style="22"/>
    <col min="10997" max="10997" width="10.5703125" style="22" customWidth="1"/>
    <col min="10998" max="10998" width="4.85546875" style="22" customWidth="1"/>
    <col min="10999" max="10999" width="32.42578125" style="22" customWidth="1"/>
    <col min="11000" max="11000" width="9.85546875" style="22" customWidth="1"/>
    <col min="11001" max="11001" width="10.140625" style="22" customWidth="1"/>
    <col min="11002" max="11002" width="12.28515625" style="22" customWidth="1"/>
    <col min="11003" max="11003" width="15.42578125" style="22" customWidth="1"/>
    <col min="11004" max="11004" width="11.85546875" style="22" customWidth="1"/>
    <col min="11005" max="11005" width="13.28515625" style="22" customWidth="1"/>
    <col min="11006" max="11006" width="15.28515625" style="22" customWidth="1"/>
    <col min="11007" max="11007" width="11.85546875" style="22" customWidth="1"/>
    <col min="11008" max="11008" width="6.140625" style="22" customWidth="1"/>
    <col min="11009" max="11009" width="11.85546875" style="22" customWidth="1"/>
    <col min="11010" max="11010" width="9.42578125" style="22" customWidth="1"/>
    <col min="11011" max="11011" width="14.7109375" style="22" customWidth="1"/>
    <col min="11012" max="11012" width="11.5703125" style="22" customWidth="1"/>
    <col min="11013" max="11013" width="0.42578125" style="22" customWidth="1"/>
    <col min="11014" max="11014" width="10.5703125" style="22" bestFit="1" customWidth="1"/>
    <col min="11015" max="11015" width="12.28515625" style="22" customWidth="1"/>
    <col min="11016" max="11016" width="12.5703125" style="22" customWidth="1"/>
    <col min="11017" max="11017" width="10.5703125" style="22" customWidth="1"/>
    <col min="11018" max="11018" width="10.140625" style="22" customWidth="1"/>
    <col min="11019" max="11019" width="8.42578125" style="22" customWidth="1"/>
    <col min="11020" max="11020" width="18.85546875" style="22" customWidth="1"/>
    <col min="11021" max="11021" width="10.28515625" style="22" customWidth="1"/>
    <col min="11022" max="11022" width="11.42578125" style="22"/>
    <col min="11023" max="11023" width="12.140625" style="22" customWidth="1"/>
    <col min="11024" max="11024" width="10.5703125" style="22" customWidth="1"/>
    <col min="11025" max="11025" width="12.42578125" style="22" customWidth="1"/>
    <col min="11026" max="11026" width="15.140625" style="22" customWidth="1"/>
    <col min="11027" max="11027" width="13.5703125" style="22" customWidth="1"/>
    <col min="11028" max="11028" width="13.140625" style="22" customWidth="1"/>
    <col min="11029" max="11029" width="15.7109375" style="22" customWidth="1"/>
    <col min="11030" max="11030" width="37.5703125" style="22" customWidth="1"/>
    <col min="11031" max="11252" width="11.42578125" style="22"/>
    <col min="11253" max="11253" width="10.5703125" style="22" customWidth="1"/>
    <col min="11254" max="11254" width="4.85546875" style="22" customWidth="1"/>
    <col min="11255" max="11255" width="32.42578125" style="22" customWidth="1"/>
    <col min="11256" max="11256" width="9.85546875" style="22" customWidth="1"/>
    <col min="11257" max="11257" width="10.140625" style="22" customWidth="1"/>
    <col min="11258" max="11258" width="12.28515625" style="22" customWidth="1"/>
    <col min="11259" max="11259" width="15.42578125" style="22" customWidth="1"/>
    <col min="11260" max="11260" width="11.85546875" style="22" customWidth="1"/>
    <col min="11261" max="11261" width="13.28515625" style="22" customWidth="1"/>
    <col min="11262" max="11262" width="15.28515625" style="22" customWidth="1"/>
    <col min="11263" max="11263" width="11.85546875" style="22" customWidth="1"/>
    <col min="11264" max="11264" width="6.140625" style="22" customWidth="1"/>
    <col min="11265" max="11265" width="11.85546875" style="22" customWidth="1"/>
    <col min="11266" max="11266" width="9.42578125" style="22" customWidth="1"/>
    <col min="11267" max="11267" width="14.7109375" style="22" customWidth="1"/>
    <col min="11268" max="11268" width="11.5703125" style="22" customWidth="1"/>
    <col min="11269" max="11269" width="0.42578125" style="22" customWidth="1"/>
    <col min="11270" max="11270" width="10.5703125" style="22" bestFit="1" customWidth="1"/>
    <col min="11271" max="11271" width="12.28515625" style="22" customWidth="1"/>
    <col min="11272" max="11272" width="12.5703125" style="22" customWidth="1"/>
    <col min="11273" max="11273" width="10.5703125" style="22" customWidth="1"/>
    <col min="11274" max="11274" width="10.140625" style="22" customWidth="1"/>
    <col min="11275" max="11275" width="8.42578125" style="22" customWidth="1"/>
    <col min="11276" max="11276" width="18.85546875" style="22" customWidth="1"/>
    <col min="11277" max="11277" width="10.28515625" style="22" customWidth="1"/>
    <col min="11278" max="11278" width="11.42578125" style="22"/>
    <col min="11279" max="11279" width="12.140625" style="22" customWidth="1"/>
    <col min="11280" max="11280" width="10.5703125" style="22" customWidth="1"/>
    <col min="11281" max="11281" width="12.42578125" style="22" customWidth="1"/>
    <col min="11282" max="11282" width="15.140625" style="22" customWidth="1"/>
    <col min="11283" max="11283" width="13.5703125" style="22" customWidth="1"/>
    <col min="11284" max="11284" width="13.140625" style="22" customWidth="1"/>
    <col min="11285" max="11285" width="15.7109375" style="22" customWidth="1"/>
    <col min="11286" max="11286" width="37.5703125" style="22" customWidth="1"/>
    <col min="11287" max="11508" width="11.42578125" style="22"/>
    <col min="11509" max="11509" width="10.5703125" style="22" customWidth="1"/>
    <col min="11510" max="11510" width="4.85546875" style="22" customWidth="1"/>
    <col min="11511" max="11511" width="32.42578125" style="22" customWidth="1"/>
    <col min="11512" max="11512" width="9.85546875" style="22" customWidth="1"/>
    <col min="11513" max="11513" width="10.140625" style="22" customWidth="1"/>
    <col min="11514" max="11514" width="12.28515625" style="22" customWidth="1"/>
    <col min="11515" max="11515" width="15.42578125" style="22" customWidth="1"/>
    <col min="11516" max="11516" width="11.85546875" style="22" customWidth="1"/>
    <col min="11517" max="11517" width="13.28515625" style="22" customWidth="1"/>
    <col min="11518" max="11518" width="15.28515625" style="22" customWidth="1"/>
    <col min="11519" max="11519" width="11.85546875" style="22" customWidth="1"/>
    <col min="11520" max="11520" width="6.140625" style="22" customWidth="1"/>
    <col min="11521" max="11521" width="11.85546875" style="22" customWidth="1"/>
    <col min="11522" max="11522" width="9.42578125" style="22" customWidth="1"/>
    <col min="11523" max="11523" width="14.7109375" style="22" customWidth="1"/>
    <col min="11524" max="11524" width="11.5703125" style="22" customWidth="1"/>
    <col min="11525" max="11525" width="0.42578125" style="22" customWidth="1"/>
    <col min="11526" max="11526" width="10.5703125" style="22" bestFit="1" customWidth="1"/>
    <col min="11527" max="11527" width="12.28515625" style="22" customWidth="1"/>
    <col min="11528" max="11528" width="12.5703125" style="22" customWidth="1"/>
    <col min="11529" max="11529" width="10.5703125" style="22" customWidth="1"/>
    <col min="11530" max="11530" width="10.140625" style="22" customWidth="1"/>
    <col min="11531" max="11531" width="8.42578125" style="22" customWidth="1"/>
    <col min="11532" max="11532" width="18.85546875" style="22" customWidth="1"/>
    <col min="11533" max="11533" width="10.28515625" style="22" customWidth="1"/>
    <col min="11534" max="11534" width="11.42578125" style="22"/>
    <col min="11535" max="11535" width="12.140625" style="22" customWidth="1"/>
    <col min="11536" max="11536" width="10.5703125" style="22" customWidth="1"/>
    <col min="11537" max="11537" width="12.42578125" style="22" customWidth="1"/>
    <col min="11538" max="11538" width="15.140625" style="22" customWidth="1"/>
    <col min="11539" max="11539" width="13.5703125" style="22" customWidth="1"/>
    <col min="11540" max="11540" width="13.140625" style="22" customWidth="1"/>
    <col min="11541" max="11541" width="15.7109375" style="22" customWidth="1"/>
    <col min="11542" max="11542" width="37.5703125" style="22" customWidth="1"/>
    <col min="11543" max="11764" width="11.42578125" style="22"/>
    <col min="11765" max="11765" width="10.5703125" style="22" customWidth="1"/>
    <col min="11766" max="11766" width="4.85546875" style="22" customWidth="1"/>
    <col min="11767" max="11767" width="32.42578125" style="22" customWidth="1"/>
    <col min="11768" max="11768" width="9.85546875" style="22" customWidth="1"/>
    <col min="11769" max="11769" width="10.140625" style="22" customWidth="1"/>
    <col min="11770" max="11770" width="12.28515625" style="22" customWidth="1"/>
    <col min="11771" max="11771" width="15.42578125" style="22" customWidth="1"/>
    <col min="11772" max="11772" width="11.85546875" style="22" customWidth="1"/>
    <col min="11773" max="11773" width="13.28515625" style="22" customWidth="1"/>
    <col min="11774" max="11774" width="15.28515625" style="22" customWidth="1"/>
    <col min="11775" max="11775" width="11.85546875" style="22" customWidth="1"/>
    <col min="11776" max="11776" width="6.140625" style="22" customWidth="1"/>
    <col min="11777" max="11777" width="11.85546875" style="22" customWidth="1"/>
    <col min="11778" max="11778" width="9.42578125" style="22" customWidth="1"/>
    <col min="11779" max="11779" width="14.7109375" style="22" customWidth="1"/>
    <col min="11780" max="11780" width="11.5703125" style="22" customWidth="1"/>
    <col min="11781" max="11781" width="0.42578125" style="22" customWidth="1"/>
    <col min="11782" max="11782" width="10.5703125" style="22" bestFit="1" customWidth="1"/>
    <col min="11783" max="11783" width="12.28515625" style="22" customWidth="1"/>
    <col min="11784" max="11784" width="12.5703125" style="22" customWidth="1"/>
    <col min="11785" max="11785" width="10.5703125" style="22" customWidth="1"/>
    <col min="11786" max="11786" width="10.140625" style="22" customWidth="1"/>
    <col min="11787" max="11787" width="8.42578125" style="22" customWidth="1"/>
    <col min="11788" max="11788" width="18.85546875" style="22" customWidth="1"/>
    <col min="11789" max="11789" width="10.28515625" style="22" customWidth="1"/>
    <col min="11790" max="11790" width="11.42578125" style="22"/>
    <col min="11791" max="11791" width="12.140625" style="22" customWidth="1"/>
    <col min="11792" max="11792" width="10.5703125" style="22" customWidth="1"/>
    <col min="11793" max="11793" width="12.42578125" style="22" customWidth="1"/>
    <col min="11794" max="11794" width="15.140625" style="22" customWidth="1"/>
    <col min="11795" max="11795" width="13.5703125" style="22" customWidth="1"/>
    <col min="11796" max="11796" width="13.140625" style="22" customWidth="1"/>
    <col min="11797" max="11797" width="15.7109375" style="22" customWidth="1"/>
    <col min="11798" max="11798" width="37.5703125" style="22" customWidth="1"/>
    <col min="11799" max="12020" width="11.42578125" style="22"/>
    <col min="12021" max="12021" width="10.5703125" style="22" customWidth="1"/>
    <col min="12022" max="12022" width="4.85546875" style="22" customWidth="1"/>
    <col min="12023" max="12023" width="32.42578125" style="22" customWidth="1"/>
    <col min="12024" max="12024" width="9.85546875" style="22" customWidth="1"/>
    <col min="12025" max="12025" width="10.140625" style="22" customWidth="1"/>
    <col min="12026" max="12026" width="12.28515625" style="22" customWidth="1"/>
    <col min="12027" max="12027" width="15.42578125" style="22" customWidth="1"/>
    <col min="12028" max="12028" width="11.85546875" style="22" customWidth="1"/>
    <col min="12029" max="12029" width="13.28515625" style="22" customWidth="1"/>
    <col min="12030" max="12030" width="15.28515625" style="22" customWidth="1"/>
    <col min="12031" max="12031" width="11.85546875" style="22" customWidth="1"/>
    <col min="12032" max="12032" width="6.140625" style="22" customWidth="1"/>
    <col min="12033" max="12033" width="11.85546875" style="22" customWidth="1"/>
    <col min="12034" max="12034" width="9.42578125" style="22" customWidth="1"/>
    <col min="12035" max="12035" width="14.7109375" style="22" customWidth="1"/>
    <col min="12036" max="12036" width="11.5703125" style="22" customWidth="1"/>
    <col min="12037" max="12037" width="0.42578125" style="22" customWidth="1"/>
    <col min="12038" max="12038" width="10.5703125" style="22" bestFit="1" customWidth="1"/>
    <col min="12039" max="12039" width="12.28515625" style="22" customWidth="1"/>
    <col min="12040" max="12040" width="12.5703125" style="22" customWidth="1"/>
    <col min="12041" max="12041" width="10.5703125" style="22" customWidth="1"/>
    <col min="12042" max="12042" width="10.140625" style="22" customWidth="1"/>
    <col min="12043" max="12043" width="8.42578125" style="22" customWidth="1"/>
    <col min="12044" max="12044" width="18.85546875" style="22" customWidth="1"/>
    <col min="12045" max="12045" width="10.28515625" style="22" customWidth="1"/>
    <col min="12046" max="12046" width="11.42578125" style="22"/>
    <col min="12047" max="12047" width="12.140625" style="22" customWidth="1"/>
    <col min="12048" max="12048" width="10.5703125" style="22" customWidth="1"/>
    <col min="12049" max="12049" width="12.42578125" style="22" customWidth="1"/>
    <col min="12050" max="12050" width="15.140625" style="22" customWidth="1"/>
    <col min="12051" max="12051" width="13.5703125" style="22" customWidth="1"/>
    <col min="12052" max="12052" width="13.140625" style="22" customWidth="1"/>
    <col min="12053" max="12053" width="15.7109375" style="22" customWidth="1"/>
    <col min="12054" max="12054" width="37.5703125" style="22" customWidth="1"/>
    <col min="12055" max="12276" width="11.42578125" style="22"/>
    <col min="12277" max="12277" width="10.5703125" style="22" customWidth="1"/>
    <col min="12278" max="12278" width="4.85546875" style="22" customWidth="1"/>
    <col min="12279" max="12279" width="32.42578125" style="22" customWidth="1"/>
    <col min="12280" max="12280" width="9.85546875" style="22" customWidth="1"/>
    <col min="12281" max="12281" width="10.140625" style="22" customWidth="1"/>
    <col min="12282" max="12282" width="12.28515625" style="22" customWidth="1"/>
    <col min="12283" max="12283" width="15.42578125" style="22" customWidth="1"/>
    <col min="12284" max="12284" width="11.85546875" style="22" customWidth="1"/>
    <col min="12285" max="12285" width="13.28515625" style="22" customWidth="1"/>
    <col min="12286" max="12286" width="15.28515625" style="22" customWidth="1"/>
    <col min="12287" max="12287" width="11.85546875" style="22" customWidth="1"/>
    <col min="12288" max="12288" width="6.140625" style="22" customWidth="1"/>
    <col min="12289" max="12289" width="11.85546875" style="22" customWidth="1"/>
    <col min="12290" max="12290" width="9.42578125" style="22" customWidth="1"/>
    <col min="12291" max="12291" width="14.7109375" style="22" customWidth="1"/>
    <col min="12292" max="12292" width="11.5703125" style="22" customWidth="1"/>
    <col min="12293" max="12293" width="0.42578125" style="22" customWidth="1"/>
    <col min="12294" max="12294" width="10.5703125" style="22" bestFit="1" customWidth="1"/>
    <col min="12295" max="12295" width="12.28515625" style="22" customWidth="1"/>
    <col min="12296" max="12296" width="12.5703125" style="22" customWidth="1"/>
    <col min="12297" max="12297" width="10.5703125" style="22" customWidth="1"/>
    <col min="12298" max="12298" width="10.140625" style="22" customWidth="1"/>
    <col min="12299" max="12299" width="8.42578125" style="22" customWidth="1"/>
    <col min="12300" max="12300" width="18.85546875" style="22" customWidth="1"/>
    <col min="12301" max="12301" width="10.28515625" style="22" customWidth="1"/>
    <col min="12302" max="12302" width="11.42578125" style="22"/>
    <col min="12303" max="12303" width="12.140625" style="22" customWidth="1"/>
    <col min="12304" max="12304" width="10.5703125" style="22" customWidth="1"/>
    <col min="12305" max="12305" width="12.42578125" style="22" customWidth="1"/>
    <col min="12306" max="12306" width="15.140625" style="22" customWidth="1"/>
    <col min="12307" max="12307" width="13.5703125" style="22" customWidth="1"/>
    <col min="12308" max="12308" width="13.140625" style="22" customWidth="1"/>
    <col min="12309" max="12309" width="15.7109375" style="22" customWidth="1"/>
    <col min="12310" max="12310" width="37.5703125" style="22" customWidth="1"/>
    <col min="12311" max="12532" width="11.42578125" style="22"/>
    <col min="12533" max="12533" width="10.5703125" style="22" customWidth="1"/>
    <col min="12534" max="12534" width="4.85546875" style="22" customWidth="1"/>
    <col min="12535" max="12535" width="32.42578125" style="22" customWidth="1"/>
    <col min="12536" max="12536" width="9.85546875" style="22" customWidth="1"/>
    <col min="12537" max="12537" width="10.140625" style="22" customWidth="1"/>
    <col min="12538" max="12538" width="12.28515625" style="22" customWidth="1"/>
    <col min="12539" max="12539" width="15.42578125" style="22" customWidth="1"/>
    <col min="12540" max="12540" width="11.85546875" style="22" customWidth="1"/>
    <col min="12541" max="12541" width="13.28515625" style="22" customWidth="1"/>
    <col min="12542" max="12542" width="15.28515625" style="22" customWidth="1"/>
    <col min="12543" max="12543" width="11.85546875" style="22" customWidth="1"/>
    <col min="12544" max="12544" width="6.140625" style="22" customWidth="1"/>
    <col min="12545" max="12545" width="11.85546875" style="22" customWidth="1"/>
    <col min="12546" max="12546" width="9.42578125" style="22" customWidth="1"/>
    <col min="12547" max="12547" width="14.7109375" style="22" customWidth="1"/>
    <col min="12548" max="12548" width="11.5703125" style="22" customWidth="1"/>
    <col min="12549" max="12549" width="0.42578125" style="22" customWidth="1"/>
    <col min="12550" max="12550" width="10.5703125" style="22" bestFit="1" customWidth="1"/>
    <col min="12551" max="12551" width="12.28515625" style="22" customWidth="1"/>
    <col min="12552" max="12552" width="12.5703125" style="22" customWidth="1"/>
    <col min="12553" max="12553" width="10.5703125" style="22" customWidth="1"/>
    <col min="12554" max="12554" width="10.140625" style="22" customWidth="1"/>
    <col min="12555" max="12555" width="8.42578125" style="22" customWidth="1"/>
    <col min="12556" max="12556" width="18.85546875" style="22" customWidth="1"/>
    <col min="12557" max="12557" width="10.28515625" style="22" customWidth="1"/>
    <col min="12558" max="12558" width="11.42578125" style="22"/>
    <col min="12559" max="12559" width="12.140625" style="22" customWidth="1"/>
    <col min="12560" max="12560" width="10.5703125" style="22" customWidth="1"/>
    <col min="12561" max="12561" width="12.42578125" style="22" customWidth="1"/>
    <col min="12562" max="12562" width="15.140625" style="22" customWidth="1"/>
    <col min="12563" max="12563" width="13.5703125" style="22" customWidth="1"/>
    <col min="12564" max="12564" width="13.140625" style="22" customWidth="1"/>
    <col min="12565" max="12565" width="15.7109375" style="22" customWidth="1"/>
    <col min="12566" max="12566" width="37.5703125" style="22" customWidth="1"/>
    <col min="12567" max="12788" width="11.42578125" style="22"/>
    <col min="12789" max="12789" width="10.5703125" style="22" customWidth="1"/>
    <col min="12790" max="12790" width="4.85546875" style="22" customWidth="1"/>
    <col min="12791" max="12791" width="32.42578125" style="22" customWidth="1"/>
    <col min="12792" max="12792" width="9.85546875" style="22" customWidth="1"/>
    <col min="12793" max="12793" width="10.140625" style="22" customWidth="1"/>
    <col min="12794" max="12794" width="12.28515625" style="22" customWidth="1"/>
    <col min="12795" max="12795" width="15.42578125" style="22" customWidth="1"/>
    <col min="12796" max="12796" width="11.85546875" style="22" customWidth="1"/>
    <col min="12797" max="12797" width="13.28515625" style="22" customWidth="1"/>
    <col min="12798" max="12798" width="15.28515625" style="22" customWidth="1"/>
    <col min="12799" max="12799" width="11.85546875" style="22" customWidth="1"/>
    <col min="12800" max="12800" width="6.140625" style="22" customWidth="1"/>
    <col min="12801" max="12801" width="11.85546875" style="22" customWidth="1"/>
    <col min="12802" max="12802" width="9.42578125" style="22" customWidth="1"/>
    <col min="12803" max="12803" width="14.7109375" style="22" customWidth="1"/>
    <col min="12804" max="12804" width="11.5703125" style="22" customWidth="1"/>
    <col min="12805" max="12805" width="0.42578125" style="22" customWidth="1"/>
    <col min="12806" max="12806" width="10.5703125" style="22" bestFit="1" customWidth="1"/>
    <col min="12807" max="12807" width="12.28515625" style="22" customWidth="1"/>
    <col min="12808" max="12808" width="12.5703125" style="22" customWidth="1"/>
    <col min="12809" max="12809" width="10.5703125" style="22" customWidth="1"/>
    <col min="12810" max="12810" width="10.140625" style="22" customWidth="1"/>
    <col min="12811" max="12811" width="8.42578125" style="22" customWidth="1"/>
    <col min="12812" max="12812" width="18.85546875" style="22" customWidth="1"/>
    <col min="12813" max="12813" width="10.28515625" style="22" customWidth="1"/>
    <col min="12814" max="12814" width="11.42578125" style="22"/>
    <col min="12815" max="12815" width="12.140625" style="22" customWidth="1"/>
    <col min="12816" max="12816" width="10.5703125" style="22" customWidth="1"/>
    <col min="12817" max="12817" width="12.42578125" style="22" customWidth="1"/>
    <col min="12818" max="12818" width="15.140625" style="22" customWidth="1"/>
    <col min="12819" max="12819" width="13.5703125" style="22" customWidth="1"/>
    <col min="12820" max="12820" width="13.140625" style="22" customWidth="1"/>
    <col min="12821" max="12821" width="15.7109375" style="22" customWidth="1"/>
    <col min="12822" max="12822" width="37.5703125" style="22" customWidth="1"/>
    <col min="12823" max="13044" width="11.42578125" style="22"/>
    <col min="13045" max="13045" width="10.5703125" style="22" customWidth="1"/>
    <col min="13046" max="13046" width="4.85546875" style="22" customWidth="1"/>
    <col min="13047" max="13047" width="32.42578125" style="22" customWidth="1"/>
    <col min="13048" max="13048" width="9.85546875" style="22" customWidth="1"/>
    <col min="13049" max="13049" width="10.140625" style="22" customWidth="1"/>
    <col min="13050" max="13050" width="12.28515625" style="22" customWidth="1"/>
    <col min="13051" max="13051" width="15.42578125" style="22" customWidth="1"/>
    <col min="13052" max="13052" width="11.85546875" style="22" customWidth="1"/>
    <col min="13053" max="13053" width="13.28515625" style="22" customWidth="1"/>
    <col min="13054" max="13054" width="15.28515625" style="22" customWidth="1"/>
    <col min="13055" max="13055" width="11.85546875" style="22" customWidth="1"/>
    <col min="13056" max="13056" width="6.140625" style="22" customWidth="1"/>
    <col min="13057" max="13057" width="11.85546875" style="22" customWidth="1"/>
    <col min="13058" max="13058" width="9.42578125" style="22" customWidth="1"/>
    <col min="13059" max="13059" width="14.7109375" style="22" customWidth="1"/>
    <col min="13060" max="13060" width="11.5703125" style="22" customWidth="1"/>
    <col min="13061" max="13061" width="0.42578125" style="22" customWidth="1"/>
    <col min="13062" max="13062" width="10.5703125" style="22" bestFit="1" customWidth="1"/>
    <col min="13063" max="13063" width="12.28515625" style="22" customWidth="1"/>
    <col min="13064" max="13064" width="12.5703125" style="22" customWidth="1"/>
    <col min="13065" max="13065" width="10.5703125" style="22" customWidth="1"/>
    <col min="13066" max="13066" width="10.140625" style="22" customWidth="1"/>
    <col min="13067" max="13067" width="8.42578125" style="22" customWidth="1"/>
    <col min="13068" max="13068" width="18.85546875" style="22" customWidth="1"/>
    <col min="13069" max="13069" width="10.28515625" style="22" customWidth="1"/>
    <col min="13070" max="13070" width="11.42578125" style="22"/>
    <col min="13071" max="13071" width="12.140625" style="22" customWidth="1"/>
    <col min="13072" max="13072" width="10.5703125" style="22" customWidth="1"/>
    <col min="13073" max="13073" width="12.42578125" style="22" customWidth="1"/>
    <col min="13074" max="13074" width="15.140625" style="22" customWidth="1"/>
    <col min="13075" max="13075" width="13.5703125" style="22" customWidth="1"/>
    <col min="13076" max="13076" width="13.140625" style="22" customWidth="1"/>
    <col min="13077" max="13077" width="15.7109375" style="22" customWidth="1"/>
    <col min="13078" max="13078" width="37.5703125" style="22" customWidth="1"/>
    <col min="13079" max="13300" width="11.42578125" style="22"/>
    <col min="13301" max="13301" width="10.5703125" style="22" customWidth="1"/>
    <col min="13302" max="13302" width="4.85546875" style="22" customWidth="1"/>
    <col min="13303" max="13303" width="32.42578125" style="22" customWidth="1"/>
    <col min="13304" max="13304" width="9.85546875" style="22" customWidth="1"/>
    <col min="13305" max="13305" width="10.140625" style="22" customWidth="1"/>
    <col min="13306" max="13306" width="12.28515625" style="22" customWidth="1"/>
    <col min="13307" max="13307" width="15.42578125" style="22" customWidth="1"/>
    <col min="13308" max="13308" width="11.85546875" style="22" customWidth="1"/>
    <col min="13309" max="13309" width="13.28515625" style="22" customWidth="1"/>
    <col min="13310" max="13310" width="15.28515625" style="22" customWidth="1"/>
    <col min="13311" max="13311" width="11.85546875" style="22" customWidth="1"/>
    <col min="13312" max="13312" width="6.140625" style="22" customWidth="1"/>
    <col min="13313" max="13313" width="11.85546875" style="22" customWidth="1"/>
    <col min="13314" max="13314" width="9.42578125" style="22" customWidth="1"/>
    <col min="13315" max="13315" width="14.7109375" style="22" customWidth="1"/>
    <col min="13316" max="13316" width="11.5703125" style="22" customWidth="1"/>
    <col min="13317" max="13317" width="0.42578125" style="22" customWidth="1"/>
    <col min="13318" max="13318" width="10.5703125" style="22" bestFit="1" customWidth="1"/>
    <col min="13319" max="13319" width="12.28515625" style="22" customWidth="1"/>
    <col min="13320" max="13320" width="12.5703125" style="22" customWidth="1"/>
    <col min="13321" max="13321" width="10.5703125" style="22" customWidth="1"/>
    <col min="13322" max="13322" width="10.140625" style="22" customWidth="1"/>
    <col min="13323" max="13323" width="8.42578125" style="22" customWidth="1"/>
    <col min="13324" max="13324" width="18.85546875" style="22" customWidth="1"/>
    <col min="13325" max="13325" width="10.28515625" style="22" customWidth="1"/>
    <col min="13326" max="13326" width="11.42578125" style="22"/>
    <col min="13327" max="13327" width="12.140625" style="22" customWidth="1"/>
    <col min="13328" max="13328" width="10.5703125" style="22" customWidth="1"/>
    <col min="13329" max="13329" width="12.42578125" style="22" customWidth="1"/>
    <col min="13330" max="13330" width="15.140625" style="22" customWidth="1"/>
    <col min="13331" max="13331" width="13.5703125" style="22" customWidth="1"/>
    <col min="13332" max="13332" width="13.140625" style="22" customWidth="1"/>
    <col min="13333" max="13333" width="15.7109375" style="22" customWidth="1"/>
    <col min="13334" max="13334" width="37.5703125" style="22" customWidth="1"/>
    <col min="13335" max="13556" width="11.42578125" style="22"/>
    <col min="13557" max="13557" width="10.5703125" style="22" customWidth="1"/>
    <col min="13558" max="13558" width="4.85546875" style="22" customWidth="1"/>
    <col min="13559" max="13559" width="32.42578125" style="22" customWidth="1"/>
    <col min="13560" max="13560" width="9.85546875" style="22" customWidth="1"/>
    <col min="13561" max="13561" width="10.140625" style="22" customWidth="1"/>
    <col min="13562" max="13562" width="12.28515625" style="22" customWidth="1"/>
    <col min="13563" max="13563" width="15.42578125" style="22" customWidth="1"/>
    <col min="13564" max="13564" width="11.85546875" style="22" customWidth="1"/>
    <col min="13565" max="13565" width="13.28515625" style="22" customWidth="1"/>
    <col min="13566" max="13566" width="15.28515625" style="22" customWidth="1"/>
    <col min="13567" max="13567" width="11.85546875" style="22" customWidth="1"/>
    <col min="13568" max="13568" width="6.140625" style="22" customWidth="1"/>
    <col min="13569" max="13569" width="11.85546875" style="22" customWidth="1"/>
    <col min="13570" max="13570" width="9.42578125" style="22" customWidth="1"/>
    <col min="13571" max="13571" width="14.7109375" style="22" customWidth="1"/>
    <col min="13572" max="13572" width="11.5703125" style="22" customWidth="1"/>
    <col min="13573" max="13573" width="0.42578125" style="22" customWidth="1"/>
    <col min="13574" max="13574" width="10.5703125" style="22" bestFit="1" customWidth="1"/>
    <col min="13575" max="13575" width="12.28515625" style="22" customWidth="1"/>
    <col min="13576" max="13576" width="12.5703125" style="22" customWidth="1"/>
    <col min="13577" max="13577" width="10.5703125" style="22" customWidth="1"/>
    <col min="13578" max="13578" width="10.140625" style="22" customWidth="1"/>
    <col min="13579" max="13579" width="8.42578125" style="22" customWidth="1"/>
    <col min="13580" max="13580" width="18.85546875" style="22" customWidth="1"/>
    <col min="13581" max="13581" width="10.28515625" style="22" customWidth="1"/>
    <col min="13582" max="13582" width="11.42578125" style="22"/>
    <col min="13583" max="13583" width="12.140625" style="22" customWidth="1"/>
    <col min="13584" max="13584" width="10.5703125" style="22" customWidth="1"/>
    <col min="13585" max="13585" width="12.42578125" style="22" customWidth="1"/>
    <col min="13586" max="13586" width="15.140625" style="22" customWidth="1"/>
    <col min="13587" max="13587" width="13.5703125" style="22" customWidth="1"/>
    <col min="13588" max="13588" width="13.140625" style="22" customWidth="1"/>
    <col min="13589" max="13589" width="15.7109375" style="22" customWidth="1"/>
    <col min="13590" max="13590" width="37.5703125" style="22" customWidth="1"/>
    <col min="13591" max="13812" width="11.42578125" style="22"/>
    <col min="13813" max="13813" width="10.5703125" style="22" customWidth="1"/>
    <col min="13814" max="13814" width="4.85546875" style="22" customWidth="1"/>
    <col min="13815" max="13815" width="32.42578125" style="22" customWidth="1"/>
    <col min="13816" max="13816" width="9.85546875" style="22" customWidth="1"/>
    <col min="13817" max="13817" width="10.140625" style="22" customWidth="1"/>
    <col min="13818" max="13818" width="12.28515625" style="22" customWidth="1"/>
    <col min="13819" max="13819" width="15.42578125" style="22" customWidth="1"/>
    <col min="13820" max="13820" width="11.85546875" style="22" customWidth="1"/>
    <col min="13821" max="13821" width="13.28515625" style="22" customWidth="1"/>
    <col min="13822" max="13822" width="15.28515625" style="22" customWidth="1"/>
    <col min="13823" max="13823" width="11.85546875" style="22" customWidth="1"/>
    <col min="13824" max="13824" width="6.140625" style="22" customWidth="1"/>
    <col min="13825" max="13825" width="11.85546875" style="22" customWidth="1"/>
    <col min="13826" max="13826" width="9.42578125" style="22" customWidth="1"/>
    <col min="13827" max="13827" width="14.7109375" style="22" customWidth="1"/>
    <col min="13828" max="13828" width="11.5703125" style="22" customWidth="1"/>
    <col min="13829" max="13829" width="0.42578125" style="22" customWidth="1"/>
    <col min="13830" max="13830" width="10.5703125" style="22" bestFit="1" customWidth="1"/>
    <col min="13831" max="13831" width="12.28515625" style="22" customWidth="1"/>
    <col min="13832" max="13832" width="12.5703125" style="22" customWidth="1"/>
    <col min="13833" max="13833" width="10.5703125" style="22" customWidth="1"/>
    <col min="13834" max="13834" width="10.140625" style="22" customWidth="1"/>
    <col min="13835" max="13835" width="8.42578125" style="22" customWidth="1"/>
    <col min="13836" max="13836" width="18.85546875" style="22" customWidth="1"/>
    <col min="13837" max="13837" width="10.28515625" style="22" customWidth="1"/>
    <col min="13838" max="13838" width="11.42578125" style="22"/>
    <col min="13839" max="13839" width="12.140625" style="22" customWidth="1"/>
    <col min="13840" max="13840" width="10.5703125" style="22" customWidth="1"/>
    <col min="13841" max="13841" width="12.42578125" style="22" customWidth="1"/>
    <col min="13842" max="13842" width="15.140625" style="22" customWidth="1"/>
    <col min="13843" max="13843" width="13.5703125" style="22" customWidth="1"/>
    <col min="13844" max="13844" width="13.140625" style="22" customWidth="1"/>
    <col min="13845" max="13845" width="15.7109375" style="22" customWidth="1"/>
    <col min="13846" max="13846" width="37.5703125" style="22" customWidth="1"/>
    <col min="13847" max="14068" width="11.42578125" style="22"/>
    <col min="14069" max="14069" width="10.5703125" style="22" customWidth="1"/>
    <col min="14070" max="14070" width="4.85546875" style="22" customWidth="1"/>
    <col min="14071" max="14071" width="32.42578125" style="22" customWidth="1"/>
    <col min="14072" max="14072" width="9.85546875" style="22" customWidth="1"/>
    <col min="14073" max="14073" width="10.140625" style="22" customWidth="1"/>
    <col min="14074" max="14074" width="12.28515625" style="22" customWidth="1"/>
    <col min="14075" max="14075" width="15.42578125" style="22" customWidth="1"/>
    <col min="14076" max="14076" width="11.85546875" style="22" customWidth="1"/>
    <col min="14077" max="14077" width="13.28515625" style="22" customWidth="1"/>
    <col min="14078" max="14078" width="15.28515625" style="22" customWidth="1"/>
    <col min="14079" max="14079" width="11.85546875" style="22" customWidth="1"/>
    <col min="14080" max="14080" width="6.140625" style="22" customWidth="1"/>
    <col min="14081" max="14081" width="11.85546875" style="22" customWidth="1"/>
    <col min="14082" max="14082" width="9.42578125" style="22" customWidth="1"/>
    <col min="14083" max="14083" width="14.7109375" style="22" customWidth="1"/>
    <col min="14084" max="14084" width="11.5703125" style="22" customWidth="1"/>
    <col min="14085" max="14085" width="0.42578125" style="22" customWidth="1"/>
    <col min="14086" max="14086" width="10.5703125" style="22" bestFit="1" customWidth="1"/>
    <col min="14087" max="14087" width="12.28515625" style="22" customWidth="1"/>
    <col min="14088" max="14088" width="12.5703125" style="22" customWidth="1"/>
    <col min="14089" max="14089" width="10.5703125" style="22" customWidth="1"/>
    <col min="14090" max="14090" width="10.140625" style="22" customWidth="1"/>
    <col min="14091" max="14091" width="8.42578125" style="22" customWidth="1"/>
    <col min="14092" max="14092" width="18.85546875" style="22" customWidth="1"/>
    <col min="14093" max="14093" width="10.28515625" style="22" customWidth="1"/>
    <col min="14094" max="14094" width="11.42578125" style="22"/>
    <col min="14095" max="14095" width="12.140625" style="22" customWidth="1"/>
    <col min="14096" max="14096" width="10.5703125" style="22" customWidth="1"/>
    <col min="14097" max="14097" width="12.42578125" style="22" customWidth="1"/>
    <col min="14098" max="14098" width="15.140625" style="22" customWidth="1"/>
    <col min="14099" max="14099" width="13.5703125" style="22" customWidth="1"/>
    <col min="14100" max="14100" width="13.140625" style="22" customWidth="1"/>
    <col min="14101" max="14101" width="15.7109375" style="22" customWidth="1"/>
    <col min="14102" max="14102" width="37.5703125" style="22" customWidth="1"/>
    <col min="14103" max="14324" width="11.42578125" style="22"/>
    <col min="14325" max="14325" width="10.5703125" style="22" customWidth="1"/>
    <col min="14326" max="14326" width="4.85546875" style="22" customWidth="1"/>
    <col min="14327" max="14327" width="32.42578125" style="22" customWidth="1"/>
    <col min="14328" max="14328" width="9.85546875" style="22" customWidth="1"/>
    <col min="14329" max="14329" width="10.140625" style="22" customWidth="1"/>
    <col min="14330" max="14330" width="12.28515625" style="22" customWidth="1"/>
    <col min="14331" max="14331" width="15.42578125" style="22" customWidth="1"/>
    <col min="14332" max="14332" width="11.85546875" style="22" customWidth="1"/>
    <col min="14333" max="14333" width="13.28515625" style="22" customWidth="1"/>
    <col min="14334" max="14334" width="15.28515625" style="22" customWidth="1"/>
    <col min="14335" max="14335" width="11.85546875" style="22" customWidth="1"/>
    <col min="14336" max="14336" width="6.140625" style="22" customWidth="1"/>
    <col min="14337" max="14337" width="11.85546875" style="22" customWidth="1"/>
    <col min="14338" max="14338" width="9.42578125" style="22" customWidth="1"/>
    <col min="14339" max="14339" width="14.7109375" style="22" customWidth="1"/>
    <col min="14340" max="14340" width="11.5703125" style="22" customWidth="1"/>
    <col min="14341" max="14341" width="0.42578125" style="22" customWidth="1"/>
    <col min="14342" max="14342" width="10.5703125" style="22" bestFit="1" customWidth="1"/>
    <col min="14343" max="14343" width="12.28515625" style="22" customWidth="1"/>
    <col min="14344" max="14344" width="12.5703125" style="22" customWidth="1"/>
    <col min="14345" max="14345" width="10.5703125" style="22" customWidth="1"/>
    <col min="14346" max="14346" width="10.140625" style="22" customWidth="1"/>
    <col min="14347" max="14347" width="8.42578125" style="22" customWidth="1"/>
    <col min="14348" max="14348" width="18.85546875" style="22" customWidth="1"/>
    <col min="14349" max="14349" width="10.28515625" style="22" customWidth="1"/>
    <col min="14350" max="14350" width="11.42578125" style="22"/>
    <col min="14351" max="14351" width="12.140625" style="22" customWidth="1"/>
    <col min="14352" max="14352" width="10.5703125" style="22" customWidth="1"/>
    <col min="14353" max="14353" width="12.42578125" style="22" customWidth="1"/>
    <col min="14354" max="14354" width="15.140625" style="22" customWidth="1"/>
    <col min="14355" max="14355" width="13.5703125" style="22" customWidth="1"/>
    <col min="14356" max="14356" width="13.140625" style="22" customWidth="1"/>
    <col min="14357" max="14357" width="15.7109375" style="22" customWidth="1"/>
    <col min="14358" max="14358" width="37.5703125" style="22" customWidth="1"/>
    <col min="14359" max="14580" width="11.42578125" style="22"/>
    <col min="14581" max="14581" width="10.5703125" style="22" customWidth="1"/>
    <col min="14582" max="14582" width="4.85546875" style="22" customWidth="1"/>
    <col min="14583" max="14583" width="32.42578125" style="22" customWidth="1"/>
    <col min="14584" max="14584" width="9.85546875" style="22" customWidth="1"/>
    <col min="14585" max="14585" width="10.140625" style="22" customWidth="1"/>
    <col min="14586" max="14586" width="12.28515625" style="22" customWidth="1"/>
    <col min="14587" max="14587" width="15.42578125" style="22" customWidth="1"/>
    <col min="14588" max="14588" width="11.85546875" style="22" customWidth="1"/>
    <col min="14589" max="14589" width="13.28515625" style="22" customWidth="1"/>
    <col min="14590" max="14590" width="15.28515625" style="22" customWidth="1"/>
    <col min="14591" max="14591" width="11.85546875" style="22" customWidth="1"/>
    <col min="14592" max="14592" width="6.140625" style="22" customWidth="1"/>
    <col min="14593" max="14593" width="11.85546875" style="22" customWidth="1"/>
    <col min="14594" max="14594" width="9.42578125" style="22" customWidth="1"/>
    <col min="14595" max="14595" width="14.7109375" style="22" customWidth="1"/>
    <col min="14596" max="14596" width="11.5703125" style="22" customWidth="1"/>
    <col min="14597" max="14597" width="0.42578125" style="22" customWidth="1"/>
    <col min="14598" max="14598" width="10.5703125" style="22" bestFit="1" customWidth="1"/>
    <col min="14599" max="14599" width="12.28515625" style="22" customWidth="1"/>
    <col min="14600" max="14600" width="12.5703125" style="22" customWidth="1"/>
    <col min="14601" max="14601" width="10.5703125" style="22" customWidth="1"/>
    <col min="14602" max="14602" width="10.140625" style="22" customWidth="1"/>
    <col min="14603" max="14603" width="8.42578125" style="22" customWidth="1"/>
    <col min="14604" max="14604" width="18.85546875" style="22" customWidth="1"/>
    <col min="14605" max="14605" width="10.28515625" style="22" customWidth="1"/>
    <col min="14606" max="14606" width="11.42578125" style="22"/>
    <col min="14607" max="14607" width="12.140625" style="22" customWidth="1"/>
    <col min="14608" max="14608" width="10.5703125" style="22" customWidth="1"/>
    <col min="14609" max="14609" width="12.42578125" style="22" customWidth="1"/>
    <col min="14610" max="14610" width="15.140625" style="22" customWidth="1"/>
    <col min="14611" max="14611" width="13.5703125" style="22" customWidth="1"/>
    <col min="14612" max="14612" width="13.140625" style="22" customWidth="1"/>
    <col min="14613" max="14613" width="15.7109375" style="22" customWidth="1"/>
    <col min="14614" max="14614" width="37.5703125" style="22" customWidth="1"/>
    <col min="14615" max="14836" width="11.42578125" style="22"/>
    <col min="14837" max="14837" width="10.5703125" style="22" customWidth="1"/>
    <col min="14838" max="14838" width="4.85546875" style="22" customWidth="1"/>
    <col min="14839" max="14839" width="32.42578125" style="22" customWidth="1"/>
    <col min="14840" max="14840" width="9.85546875" style="22" customWidth="1"/>
    <col min="14841" max="14841" width="10.140625" style="22" customWidth="1"/>
    <col min="14842" max="14842" width="12.28515625" style="22" customWidth="1"/>
    <col min="14843" max="14843" width="15.42578125" style="22" customWidth="1"/>
    <col min="14844" max="14844" width="11.85546875" style="22" customWidth="1"/>
    <col min="14845" max="14845" width="13.28515625" style="22" customWidth="1"/>
    <col min="14846" max="14846" width="15.28515625" style="22" customWidth="1"/>
    <col min="14847" max="14847" width="11.85546875" style="22" customWidth="1"/>
    <col min="14848" max="14848" width="6.140625" style="22" customWidth="1"/>
    <col min="14849" max="14849" width="11.85546875" style="22" customWidth="1"/>
    <col min="14850" max="14850" width="9.42578125" style="22" customWidth="1"/>
    <col min="14851" max="14851" width="14.7109375" style="22" customWidth="1"/>
    <col min="14852" max="14852" width="11.5703125" style="22" customWidth="1"/>
    <col min="14853" max="14853" width="0.42578125" style="22" customWidth="1"/>
    <col min="14854" max="14854" width="10.5703125" style="22" bestFit="1" customWidth="1"/>
    <col min="14855" max="14855" width="12.28515625" style="22" customWidth="1"/>
    <col min="14856" max="14856" width="12.5703125" style="22" customWidth="1"/>
    <col min="14857" max="14857" width="10.5703125" style="22" customWidth="1"/>
    <col min="14858" max="14858" width="10.140625" style="22" customWidth="1"/>
    <col min="14859" max="14859" width="8.42578125" style="22" customWidth="1"/>
    <col min="14860" max="14860" width="18.85546875" style="22" customWidth="1"/>
    <col min="14861" max="14861" width="10.28515625" style="22" customWidth="1"/>
    <col min="14862" max="14862" width="11.42578125" style="22"/>
    <col min="14863" max="14863" width="12.140625" style="22" customWidth="1"/>
    <col min="14864" max="14864" width="10.5703125" style="22" customWidth="1"/>
    <col min="14865" max="14865" width="12.42578125" style="22" customWidth="1"/>
    <col min="14866" max="14866" width="15.140625" style="22" customWidth="1"/>
    <col min="14867" max="14867" width="13.5703125" style="22" customWidth="1"/>
    <col min="14868" max="14868" width="13.140625" style="22" customWidth="1"/>
    <col min="14869" max="14869" width="15.7109375" style="22" customWidth="1"/>
    <col min="14870" max="14870" width="37.5703125" style="22" customWidth="1"/>
    <col min="14871" max="15092" width="11.42578125" style="22"/>
    <col min="15093" max="15093" width="10.5703125" style="22" customWidth="1"/>
    <col min="15094" max="15094" width="4.85546875" style="22" customWidth="1"/>
    <col min="15095" max="15095" width="32.42578125" style="22" customWidth="1"/>
    <col min="15096" max="15096" width="9.85546875" style="22" customWidth="1"/>
    <col min="15097" max="15097" width="10.140625" style="22" customWidth="1"/>
    <col min="15098" max="15098" width="12.28515625" style="22" customWidth="1"/>
    <col min="15099" max="15099" width="15.42578125" style="22" customWidth="1"/>
    <col min="15100" max="15100" width="11.85546875" style="22" customWidth="1"/>
    <col min="15101" max="15101" width="13.28515625" style="22" customWidth="1"/>
    <col min="15102" max="15102" width="15.28515625" style="22" customWidth="1"/>
    <col min="15103" max="15103" width="11.85546875" style="22" customWidth="1"/>
    <col min="15104" max="15104" width="6.140625" style="22" customWidth="1"/>
    <col min="15105" max="15105" width="11.85546875" style="22" customWidth="1"/>
    <col min="15106" max="15106" width="9.42578125" style="22" customWidth="1"/>
    <col min="15107" max="15107" width="14.7109375" style="22" customWidth="1"/>
    <col min="15108" max="15108" width="11.5703125" style="22" customWidth="1"/>
    <col min="15109" max="15109" width="0.42578125" style="22" customWidth="1"/>
    <col min="15110" max="15110" width="10.5703125" style="22" bestFit="1" customWidth="1"/>
    <col min="15111" max="15111" width="12.28515625" style="22" customWidth="1"/>
    <col min="15112" max="15112" width="12.5703125" style="22" customWidth="1"/>
    <col min="15113" max="15113" width="10.5703125" style="22" customWidth="1"/>
    <col min="15114" max="15114" width="10.140625" style="22" customWidth="1"/>
    <col min="15115" max="15115" width="8.42578125" style="22" customWidth="1"/>
    <col min="15116" max="15116" width="18.85546875" style="22" customWidth="1"/>
    <col min="15117" max="15117" width="10.28515625" style="22" customWidth="1"/>
    <col min="15118" max="15118" width="11.42578125" style="22"/>
    <col min="15119" max="15119" width="12.140625" style="22" customWidth="1"/>
    <col min="15120" max="15120" width="10.5703125" style="22" customWidth="1"/>
    <col min="15121" max="15121" width="12.42578125" style="22" customWidth="1"/>
    <col min="15122" max="15122" width="15.140625" style="22" customWidth="1"/>
    <col min="15123" max="15123" width="13.5703125" style="22" customWidth="1"/>
    <col min="15124" max="15124" width="13.140625" style="22" customWidth="1"/>
    <col min="15125" max="15125" width="15.7109375" style="22" customWidth="1"/>
    <col min="15126" max="15126" width="37.5703125" style="22" customWidth="1"/>
    <col min="15127" max="15348" width="11.42578125" style="22"/>
    <col min="15349" max="15349" width="10.5703125" style="22" customWidth="1"/>
    <col min="15350" max="15350" width="4.85546875" style="22" customWidth="1"/>
    <col min="15351" max="15351" width="32.42578125" style="22" customWidth="1"/>
    <col min="15352" max="15352" width="9.85546875" style="22" customWidth="1"/>
    <col min="15353" max="15353" width="10.140625" style="22" customWidth="1"/>
    <col min="15354" max="15354" width="12.28515625" style="22" customWidth="1"/>
    <col min="15355" max="15355" width="15.42578125" style="22" customWidth="1"/>
    <col min="15356" max="15356" width="11.85546875" style="22" customWidth="1"/>
    <col min="15357" max="15357" width="13.28515625" style="22" customWidth="1"/>
    <col min="15358" max="15358" width="15.28515625" style="22" customWidth="1"/>
    <col min="15359" max="15359" width="11.85546875" style="22" customWidth="1"/>
    <col min="15360" max="15360" width="6.140625" style="22" customWidth="1"/>
    <col min="15361" max="15361" width="11.85546875" style="22" customWidth="1"/>
    <col min="15362" max="15362" width="9.42578125" style="22" customWidth="1"/>
    <col min="15363" max="15363" width="14.7109375" style="22" customWidth="1"/>
    <col min="15364" max="15364" width="11.5703125" style="22" customWidth="1"/>
    <col min="15365" max="15365" width="0.42578125" style="22" customWidth="1"/>
    <col min="15366" max="15366" width="10.5703125" style="22" bestFit="1" customWidth="1"/>
    <col min="15367" max="15367" width="12.28515625" style="22" customWidth="1"/>
    <col min="15368" max="15368" width="12.5703125" style="22" customWidth="1"/>
    <col min="15369" max="15369" width="10.5703125" style="22" customWidth="1"/>
    <col min="15370" max="15370" width="10.140625" style="22" customWidth="1"/>
    <col min="15371" max="15371" width="8.42578125" style="22" customWidth="1"/>
    <col min="15372" max="15372" width="18.85546875" style="22" customWidth="1"/>
    <col min="15373" max="15373" width="10.28515625" style="22" customWidth="1"/>
    <col min="15374" max="15374" width="11.42578125" style="22"/>
    <col min="15375" max="15375" width="12.140625" style="22" customWidth="1"/>
    <col min="15376" max="15376" width="10.5703125" style="22" customWidth="1"/>
    <col min="15377" max="15377" width="12.42578125" style="22" customWidth="1"/>
    <col min="15378" max="15378" width="15.140625" style="22" customWidth="1"/>
    <col min="15379" max="15379" width="13.5703125" style="22" customWidth="1"/>
    <col min="15380" max="15380" width="13.140625" style="22" customWidth="1"/>
    <col min="15381" max="15381" width="15.7109375" style="22" customWidth="1"/>
    <col min="15382" max="15382" width="37.5703125" style="22" customWidth="1"/>
    <col min="15383" max="15604" width="11.42578125" style="22"/>
    <col min="15605" max="15605" width="10.5703125" style="22" customWidth="1"/>
    <col min="15606" max="15606" width="4.85546875" style="22" customWidth="1"/>
    <col min="15607" max="15607" width="32.42578125" style="22" customWidth="1"/>
    <col min="15608" max="15608" width="9.85546875" style="22" customWidth="1"/>
    <col min="15609" max="15609" width="10.140625" style="22" customWidth="1"/>
    <col min="15610" max="15610" width="12.28515625" style="22" customWidth="1"/>
    <col min="15611" max="15611" width="15.42578125" style="22" customWidth="1"/>
    <col min="15612" max="15612" width="11.85546875" style="22" customWidth="1"/>
    <col min="15613" max="15613" width="13.28515625" style="22" customWidth="1"/>
    <col min="15614" max="15614" width="15.28515625" style="22" customWidth="1"/>
    <col min="15615" max="15615" width="11.85546875" style="22" customWidth="1"/>
    <col min="15616" max="15616" width="6.140625" style="22" customWidth="1"/>
    <col min="15617" max="15617" width="11.85546875" style="22" customWidth="1"/>
    <col min="15618" max="15618" width="9.42578125" style="22" customWidth="1"/>
    <col min="15619" max="15619" width="14.7109375" style="22" customWidth="1"/>
    <col min="15620" max="15620" width="11.5703125" style="22" customWidth="1"/>
    <col min="15621" max="15621" width="0.42578125" style="22" customWidth="1"/>
    <col min="15622" max="15622" width="10.5703125" style="22" bestFit="1" customWidth="1"/>
    <col min="15623" max="15623" width="12.28515625" style="22" customWidth="1"/>
    <col min="15624" max="15624" width="12.5703125" style="22" customWidth="1"/>
    <col min="15625" max="15625" width="10.5703125" style="22" customWidth="1"/>
    <col min="15626" max="15626" width="10.140625" style="22" customWidth="1"/>
    <col min="15627" max="15627" width="8.42578125" style="22" customWidth="1"/>
    <col min="15628" max="15628" width="18.85546875" style="22" customWidth="1"/>
    <col min="15629" max="15629" width="10.28515625" style="22" customWidth="1"/>
    <col min="15630" max="15630" width="11.42578125" style="22"/>
    <col min="15631" max="15631" width="12.140625" style="22" customWidth="1"/>
    <col min="15632" max="15632" width="10.5703125" style="22" customWidth="1"/>
    <col min="15633" max="15633" width="12.42578125" style="22" customWidth="1"/>
    <col min="15634" max="15634" width="15.140625" style="22" customWidth="1"/>
    <col min="15635" max="15635" width="13.5703125" style="22" customWidth="1"/>
    <col min="15636" max="15636" width="13.140625" style="22" customWidth="1"/>
    <col min="15637" max="15637" width="15.7109375" style="22" customWidth="1"/>
    <col min="15638" max="15638" width="37.5703125" style="22" customWidth="1"/>
    <col min="15639" max="15860" width="11.42578125" style="22"/>
    <col min="15861" max="15861" width="10.5703125" style="22" customWidth="1"/>
    <col min="15862" max="15862" width="4.85546875" style="22" customWidth="1"/>
    <col min="15863" max="15863" width="32.42578125" style="22" customWidth="1"/>
    <col min="15864" max="15864" width="9.85546875" style="22" customWidth="1"/>
    <col min="15865" max="15865" width="10.140625" style="22" customWidth="1"/>
    <col min="15866" max="15866" width="12.28515625" style="22" customWidth="1"/>
    <col min="15867" max="15867" width="15.42578125" style="22" customWidth="1"/>
    <col min="15868" max="15868" width="11.85546875" style="22" customWidth="1"/>
    <col min="15869" max="15869" width="13.28515625" style="22" customWidth="1"/>
    <col min="15870" max="15870" width="15.28515625" style="22" customWidth="1"/>
    <col min="15871" max="15871" width="11.85546875" style="22" customWidth="1"/>
    <col min="15872" max="15872" width="6.140625" style="22" customWidth="1"/>
    <col min="15873" max="15873" width="11.85546875" style="22" customWidth="1"/>
    <col min="15874" max="15874" width="9.42578125" style="22" customWidth="1"/>
    <col min="15875" max="15875" width="14.7109375" style="22" customWidth="1"/>
    <col min="15876" max="15876" width="11.5703125" style="22" customWidth="1"/>
    <col min="15877" max="15877" width="0.42578125" style="22" customWidth="1"/>
    <col min="15878" max="15878" width="10.5703125" style="22" bestFit="1" customWidth="1"/>
    <col min="15879" max="15879" width="12.28515625" style="22" customWidth="1"/>
    <col min="15880" max="15880" width="12.5703125" style="22" customWidth="1"/>
    <col min="15881" max="15881" width="10.5703125" style="22" customWidth="1"/>
    <col min="15882" max="15882" width="10.140625" style="22" customWidth="1"/>
    <col min="15883" max="15883" width="8.42578125" style="22" customWidth="1"/>
    <col min="15884" max="15884" width="18.85546875" style="22" customWidth="1"/>
    <col min="15885" max="15885" width="10.28515625" style="22" customWidth="1"/>
    <col min="15886" max="15886" width="11.42578125" style="22"/>
    <col min="15887" max="15887" width="12.140625" style="22" customWidth="1"/>
    <col min="15888" max="15888" width="10.5703125" style="22" customWidth="1"/>
    <col min="15889" max="15889" width="12.42578125" style="22" customWidth="1"/>
    <col min="15890" max="15890" width="15.140625" style="22" customWidth="1"/>
    <col min="15891" max="15891" width="13.5703125" style="22" customWidth="1"/>
    <col min="15892" max="15892" width="13.140625" style="22" customWidth="1"/>
    <col min="15893" max="15893" width="15.7109375" style="22" customWidth="1"/>
    <col min="15894" max="15894" width="37.5703125" style="22" customWidth="1"/>
    <col min="15895" max="16116" width="11.42578125" style="22"/>
    <col min="16117" max="16117" width="10.5703125" style="22" customWidth="1"/>
    <col min="16118" max="16118" width="4.85546875" style="22" customWidth="1"/>
    <col min="16119" max="16119" width="32.42578125" style="22" customWidth="1"/>
    <col min="16120" max="16120" width="9.85546875" style="22" customWidth="1"/>
    <col min="16121" max="16121" width="10.140625" style="22" customWidth="1"/>
    <col min="16122" max="16122" width="12.28515625" style="22" customWidth="1"/>
    <col min="16123" max="16123" width="15.42578125" style="22" customWidth="1"/>
    <col min="16124" max="16124" width="11.85546875" style="22" customWidth="1"/>
    <col min="16125" max="16125" width="13.28515625" style="22" customWidth="1"/>
    <col min="16126" max="16126" width="15.28515625" style="22" customWidth="1"/>
    <col min="16127" max="16127" width="11.85546875" style="22" customWidth="1"/>
    <col min="16128" max="16128" width="6.140625" style="22" customWidth="1"/>
    <col min="16129" max="16129" width="11.85546875" style="22" customWidth="1"/>
    <col min="16130" max="16130" width="9.42578125" style="22" customWidth="1"/>
    <col min="16131" max="16131" width="14.7109375" style="22" customWidth="1"/>
    <col min="16132" max="16132" width="11.5703125" style="22" customWidth="1"/>
    <col min="16133" max="16133" width="0.42578125" style="22" customWidth="1"/>
    <col min="16134" max="16134" width="10.5703125" style="22" bestFit="1" customWidth="1"/>
    <col min="16135" max="16135" width="12.28515625" style="22" customWidth="1"/>
    <col min="16136" max="16136" width="12.5703125" style="22" customWidth="1"/>
    <col min="16137" max="16137" width="10.5703125" style="22" customWidth="1"/>
    <col min="16138" max="16138" width="10.140625" style="22" customWidth="1"/>
    <col min="16139" max="16139" width="8.42578125" style="22" customWidth="1"/>
    <col min="16140" max="16140" width="18.85546875" style="22" customWidth="1"/>
    <col min="16141" max="16141" width="10.28515625" style="22" customWidth="1"/>
    <col min="16142" max="16142" width="11.42578125" style="22"/>
    <col min="16143" max="16143" width="12.140625" style="22" customWidth="1"/>
    <col min="16144" max="16144" width="10.5703125" style="22" customWidth="1"/>
    <col min="16145" max="16145" width="12.42578125" style="22" customWidth="1"/>
    <col min="16146" max="16146" width="15.140625" style="22" customWidth="1"/>
    <col min="16147" max="16147" width="13.5703125" style="22" customWidth="1"/>
    <col min="16148" max="16148" width="13.140625" style="22" customWidth="1"/>
    <col min="16149" max="16149" width="15.7109375" style="22" customWidth="1"/>
    <col min="16150" max="16150" width="37.5703125" style="22" customWidth="1"/>
    <col min="16151" max="16384" width="11.42578125" style="22"/>
  </cols>
  <sheetData>
    <row r="1" spans="1:24" x14ac:dyDescent="0.25">
      <c r="C1" s="23" t="s">
        <v>158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x14ac:dyDescent="0.25">
      <c r="C2" s="24" t="s">
        <v>1</v>
      </c>
      <c r="D2" s="25"/>
      <c r="E2" s="25"/>
      <c r="F2" s="26" t="s">
        <v>2</v>
      </c>
      <c r="G2" s="26"/>
      <c r="H2" s="26"/>
      <c r="I2" s="26"/>
      <c r="J2" s="26"/>
      <c r="K2" s="26"/>
      <c r="L2" s="26"/>
      <c r="M2" s="26"/>
      <c r="N2" s="26"/>
      <c r="O2" s="26" t="s">
        <v>3</v>
      </c>
      <c r="P2" s="26"/>
      <c r="Q2" s="26"/>
      <c r="R2" s="26"/>
      <c r="S2" s="26"/>
      <c r="T2" s="26"/>
      <c r="U2" s="26"/>
      <c r="V2" s="26"/>
      <c r="W2" s="26"/>
      <c r="X2" s="25"/>
    </row>
    <row r="3" spans="1:24" ht="24.95" customHeight="1" x14ac:dyDescent="0.25">
      <c r="B3" s="27" t="s">
        <v>4</v>
      </c>
      <c r="C3" s="27" t="s">
        <v>5</v>
      </c>
      <c r="D3" s="27" t="s">
        <v>6</v>
      </c>
      <c r="E3" s="27" t="s">
        <v>7</v>
      </c>
      <c r="F3" s="28" t="s">
        <v>9</v>
      </c>
      <c r="G3" s="28" t="s">
        <v>10</v>
      </c>
      <c r="H3" s="28" t="s">
        <v>11</v>
      </c>
      <c r="I3" s="28" t="s">
        <v>12</v>
      </c>
      <c r="J3" s="28" t="s">
        <v>146</v>
      </c>
      <c r="K3" s="28" t="s">
        <v>13</v>
      </c>
      <c r="L3" s="28" t="s">
        <v>14</v>
      </c>
      <c r="M3" s="28" t="s">
        <v>16</v>
      </c>
      <c r="N3" s="28" t="s">
        <v>17</v>
      </c>
      <c r="O3" s="28" t="s">
        <v>18</v>
      </c>
      <c r="P3" s="28" t="s">
        <v>19</v>
      </c>
      <c r="Q3" s="28" t="s">
        <v>20</v>
      </c>
      <c r="R3" s="28" t="s">
        <v>159</v>
      </c>
      <c r="S3" s="28" t="s">
        <v>22</v>
      </c>
      <c r="T3" s="28" t="s">
        <v>23</v>
      </c>
      <c r="U3" s="28" t="s">
        <v>24</v>
      </c>
      <c r="V3" s="28" t="s">
        <v>25</v>
      </c>
      <c r="W3" s="28" t="s">
        <v>26</v>
      </c>
      <c r="X3" s="27" t="s">
        <v>27</v>
      </c>
    </row>
    <row r="4" spans="1:24" s="35" customFormat="1" ht="24.95" customHeight="1" x14ac:dyDescent="0.25">
      <c r="A4" s="29" t="s">
        <v>29</v>
      </c>
      <c r="B4" s="27">
        <v>1</v>
      </c>
      <c r="C4" s="30" t="s">
        <v>147</v>
      </c>
      <c r="D4" s="30" t="s">
        <v>31</v>
      </c>
      <c r="E4" s="31" t="s">
        <v>32</v>
      </c>
      <c r="F4" s="32">
        <v>4500000</v>
      </c>
      <c r="G4" s="32">
        <v>30</v>
      </c>
      <c r="H4" s="32">
        <f>+F4/30*G4</f>
        <v>4500000</v>
      </c>
      <c r="I4" s="32"/>
      <c r="J4" s="32"/>
      <c r="K4" s="32"/>
      <c r="L4" s="32"/>
      <c r="M4" s="32"/>
      <c r="N4" s="32">
        <f>+H4+M4+L4+K4+J4+I4</f>
        <v>4500000</v>
      </c>
      <c r="O4" s="32">
        <f>+F4*0.04</f>
        <v>180000</v>
      </c>
      <c r="P4" s="32">
        <f>+F4*0.05</f>
        <v>225000</v>
      </c>
      <c r="Q4" s="32"/>
      <c r="R4" s="32"/>
      <c r="S4" s="32"/>
      <c r="T4" s="32"/>
      <c r="U4" s="32"/>
      <c r="V4" s="32"/>
      <c r="W4" s="33">
        <f>SUM(O4:V4)</f>
        <v>405000</v>
      </c>
      <c r="X4" s="34">
        <f>+N4-W4</f>
        <v>4095000</v>
      </c>
    </row>
    <row r="5" spans="1:24" ht="24.95" customHeight="1" x14ac:dyDescent="0.25">
      <c r="A5" s="29"/>
      <c r="B5" s="27">
        <v>2</v>
      </c>
      <c r="C5" s="30" t="s">
        <v>30</v>
      </c>
      <c r="D5" s="30" t="s">
        <v>31</v>
      </c>
      <c r="E5" s="31" t="s">
        <v>32</v>
      </c>
      <c r="F5" s="33">
        <v>4500000</v>
      </c>
      <c r="G5" s="32">
        <v>30</v>
      </c>
      <c r="H5" s="32">
        <f>+F5/30*G5</f>
        <v>4500000</v>
      </c>
      <c r="I5" s="33"/>
      <c r="J5" s="33"/>
      <c r="K5" s="33"/>
      <c r="L5" s="33">
        <v>500000</v>
      </c>
      <c r="M5" s="33">
        <f>25125*60</f>
        <v>1507500</v>
      </c>
      <c r="N5" s="33">
        <f>+H5+I5+K5+L5+M5+J5</f>
        <v>6507500</v>
      </c>
      <c r="O5" s="33">
        <f>+F5*4%+60280</f>
        <v>240280</v>
      </c>
      <c r="P5" s="33">
        <f>+F5*5%+60280</f>
        <v>285280</v>
      </c>
      <c r="Q5" s="33"/>
      <c r="R5" s="33"/>
      <c r="S5" s="33">
        <v>30672</v>
      </c>
      <c r="T5" s="33"/>
      <c r="U5" s="33"/>
      <c r="V5" s="33"/>
      <c r="W5" s="33">
        <f t="shared" ref="W5:W10" si="0">SUM(O5:V5)</f>
        <v>556232</v>
      </c>
      <c r="X5" s="34">
        <f>+N5-W5</f>
        <v>5951268</v>
      </c>
    </row>
    <row r="6" spans="1:24" ht="24.95" customHeight="1" x14ac:dyDescent="0.25">
      <c r="A6" s="29"/>
      <c r="B6" s="27">
        <v>3</v>
      </c>
      <c r="C6" s="30" t="s">
        <v>33</v>
      </c>
      <c r="D6" s="30" t="s">
        <v>31</v>
      </c>
      <c r="E6" s="31" t="s">
        <v>32</v>
      </c>
      <c r="F6" s="33">
        <v>6000000</v>
      </c>
      <c r="G6" s="32">
        <v>30</v>
      </c>
      <c r="H6" s="32">
        <f t="shared" ref="H6:H78" si="1">+F6/30*G6</f>
        <v>6000000</v>
      </c>
      <c r="I6" s="33"/>
      <c r="J6" s="33"/>
      <c r="K6" s="33"/>
      <c r="L6" s="33">
        <v>600000</v>
      </c>
      <c r="M6" s="33"/>
      <c r="N6" s="33">
        <f t="shared" ref="N6:N78" si="2">+H6+I6+K6+L6+M6+J6</f>
        <v>6600000</v>
      </c>
      <c r="O6" s="33">
        <f>F6*4%</f>
        <v>240000</v>
      </c>
      <c r="P6" s="33">
        <f>F6*5%</f>
        <v>300000</v>
      </c>
      <c r="Q6" s="33"/>
      <c r="R6" s="33"/>
      <c r="S6" s="33">
        <v>102000</v>
      </c>
      <c r="T6" s="33"/>
      <c r="U6" s="33"/>
      <c r="V6" s="33">
        <v>1212777</v>
      </c>
      <c r="W6" s="33">
        <f t="shared" si="0"/>
        <v>1854777</v>
      </c>
      <c r="X6" s="34">
        <f t="shared" ref="X6:X7" si="3">+N6-W6</f>
        <v>4745223</v>
      </c>
    </row>
    <row r="7" spans="1:24" ht="24.95" customHeight="1" x14ac:dyDescent="0.25">
      <c r="A7" s="29"/>
      <c r="B7" s="27">
        <v>4</v>
      </c>
      <c r="C7" s="30" t="s">
        <v>34</v>
      </c>
      <c r="D7" s="30" t="s">
        <v>31</v>
      </c>
      <c r="E7" s="31" t="s">
        <v>32</v>
      </c>
      <c r="F7" s="33">
        <v>6000000</v>
      </c>
      <c r="G7" s="32">
        <v>30</v>
      </c>
      <c r="H7" s="32">
        <f t="shared" si="1"/>
        <v>6000000</v>
      </c>
      <c r="I7" s="33"/>
      <c r="J7" s="33"/>
      <c r="K7" s="33"/>
      <c r="L7" s="33"/>
      <c r="M7" s="33"/>
      <c r="N7" s="33">
        <f t="shared" si="2"/>
        <v>6000000</v>
      </c>
      <c r="O7" s="33">
        <f t="shared" ref="O7:O16" si="4">+F7*4%</f>
        <v>240000</v>
      </c>
      <c r="P7" s="33">
        <f t="shared" ref="P7:P13" si="5">+F7*5%</f>
        <v>300000</v>
      </c>
      <c r="Q7" s="33"/>
      <c r="R7" s="33">
        <v>63687</v>
      </c>
      <c r="S7" s="36">
        <v>98000</v>
      </c>
      <c r="T7" s="33"/>
      <c r="U7" s="33"/>
      <c r="V7" s="33">
        <v>726520</v>
      </c>
      <c r="W7" s="33">
        <f t="shared" si="0"/>
        <v>1428207</v>
      </c>
      <c r="X7" s="34">
        <f t="shared" si="3"/>
        <v>4571793</v>
      </c>
    </row>
    <row r="8" spans="1:24" ht="24.95" customHeight="1" x14ac:dyDescent="0.25">
      <c r="A8" s="29"/>
      <c r="B8" s="27">
        <v>5</v>
      </c>
      <c r="C8" s="30" t="s">
        <v>35</v>
      </c>
      <c r="D8" s="30" t="s">
        <v>31</v>
      </c>
      <c r="E8" s="31" t="s">
        <v>32</v>
      </c>
      <c r="F8" s="33">
        <v>5000000</v>
      </c>
      <c r="G8" s="32">
        <v>30</v>
      </c>
      <c r="H8" s="32">
        <f>+F8-M8</f>
        <v>4833333</v>
      </c>
      <c r="I8" s="33"/>
      <c r="J8" s="33">
        <v>787800</v>
      </c>
      <c r="K8" s="33"/>
      <c r="L8" s="33"/>
      <c r="M8" s="33">
        <v>166667</v>
      </c>
      <c r="N8" s="33">
        <f t="shared" si="2"/>
        <v>5787800</v>
      </c>
      <c r="O8" s="33">
        <f t="shared" si="4"/>
        <v>200000</v>
      </c>
      <c r="P8" s="33">
        <f t="shared" si="5"/>
        <v>250000</v>
      </c>
      <c r="Q8" s="33"/>
      <c r="R8" s="33"/>
      <c r="S8" s="36">
        <v>21409</v>
      </c>
      <c r="T8" s="33">
        <v>500000</v>
      </c>
      <c r="U8" s="33">
        <v>111000</v>
      </c>
      <c r="V8" s="33"/>
      <c r="W8" s="33">
        <f t="shared" si="0"/>
        <v>1082409</v>
      </c>
      <c r="X8" s="34">
        <f>+N8-W8</f>
        <v>4705391</v>
      </c>
    </row>
    <row r="9" spans="1:24" ht="24.95" customHeight="1" x14ac:dyDescent="0.25">
      <c r="A9" s="29"/>
      <c r="B9" s="27">
        <v>6</v>
      </c>
      <c r="C9" s="30" t="s">
        <v>36</v>
      </c>
      <c r="D9" s="30" t="s">
        <v>31</v>
      </c>
      <c r="E9" s="31" t="s">
        <v>32</v>
      </c>
      <c r="F9" s="33">
        <v>5300000</v>
      </c>
      <c r="G9" s="32">
        <v>30</v>
      </c>
      <c r="H9" s="32">
        <f t="shared" si="1"/>
        <v>5300000</v>
      </c>
      <c r="I9" s="33"/>
      <c r="J9" s="33"/>
      <c r="K9" s="33"/>
      <c r="L9" s="33">
        <v>2012670</v>
      </c>
      <c r="M9" s="33"/>
      <c r="N9" s="33">
        <f t="shared" si="2"/>
        <v>7312670</v>
      </c>
      <c r="O9" s="33">
        <f t="shared" si="4"/>
        <v>212000</v>
      </c>
      <c r="P9" s="33">
        <f t="shared" si="5"/>
        <v>265000</v>
      </c>
      <c r="Q9" s="33"/>
      <c r="R9" s="33"/>
      <c r="S9" s="33">
        <v>50000</v>
      </c>
      <c r="T9" s="33">
        <v>700000</v>
      </c>
      <c r="U9" s="33"/>
      <c r="V9" s="33"/>
      <c r="W9" s="33">
        <f t="shared" si="0"/>
        <v>1227000</v>
      </c>
      <c r="X9" s="34">
        <f>+N9-W9</f>
        <v>6085670</v>
      </c>
    </row>
    <row r="10" spans="1:24" ht="24.95" customHeight="1" x14ac:dyDescent="0.25">
      <c r="A10" s="29"/>
      <c r="B10" s="27">
        <v>7</v>
      </c>
      <c r="C10" s="30" t="s">
        <v>37</v>
      </c>
      <c r="D10" s="30" t="s">
        <v>31</v>
      </c>
      <c r="E10" s="31" t="s">
        <v>32</v>
      </c>
      <c r="F10" s="33">
        <v>5200000</v>
      </c>
      <c r="G10" s="32">
        <v>30</v>
      </c>
      <c r="H10" s="32">
        <f>+F10-M10</f>
        <v>5200000</v>
      </c>
      <c r="I10" s="33"/>
      <c r="J10" s="33">
        <v>0</v>
      </c>
      <c r="K10" s="33"/>
      <c r="L10" s="33"/>
      <c r="M10" s="33"/>
      <c r="N10" s="33">
        <f t="shared" si="2"/>
        <v>5200000</v>
      </c>
      <c r="O10" s="33">
        <f>+F10*4%</f>
        <v>208000</v>
      </c>
      <c r="P10" s="33">
        <f>+F10*5%</f>
        <v>260000</v>
      </c>
      <c r="Q10" s="33"/>
      <c r="R10" s="33"/>
      <c r="S10" s="33">
        <v>0</v>
      </c>
      <c r="T10" s="33"/>
      <c r="U10" s="33"/>
      <c r="V10" s="33">
        <f>945750+420786</f>
        <v>1366536</v>
      </c>
      <c r="W10" s="33">
        <f t="shared" si="0"/>
        <v>1834536</v>
      </c>
      <c r="X10" s="34">
        <f>N10-W10</f>
        <v>3365464</v>
      </c>
    </row>
    <row r="11" spans="1:24" ht="24.95" customHeight="1" x14ac:dyDescent="0.25">
      <c r="A11" s="29"/>
      <c r="B11" s="27">
        <v>8</v>
      </c>
      <c r="C11" s="30" t="s">
        <v>39</v>
      </c>
      <c r="D11" s="30" t="s">
        <v>31</v>
      </c>
      <c r="E11" s="31" t="s">
        <v>32</v>
      </c>
      <c r="F11" s="33">
        <v>4800000</v>
      </c>
      <c r="G11" s="32">
        <v>30</v>
      </c>
      <c r="H11" s="32">
        <f t="shared" si="1"/>
        <v>4800000</v>
      </c>
      <c r="I11" s="33"/>
      <c r="J11" s="33"/>
      <c r="K11" s="33"/>
      <c r="L11" s="33"/>
      <c r="M11" s="33"/>
      <c r="N11" s="33">
        <f t="shared" si="2"/>
        <v>4800000</v>
      </c>
      <c r="O11" s="33">
        <f t="shared" si="4"/>
        <v>192000</v>
      </c>
      <c r="P11" s="33">
        <f t="shared" si="5"/>
        <v>240000</v>
      </c>
      <c r="Q11" s="33"/>
      <c r="R11" s="33"/>
      <c r="S11" s="33">
        <v>0</v>
      </c>
      <c r="T11" s="33"/>
      <c r="U11" s="33"/>
      <c r="V11" s="33"/>
      <c r="W11" s="33">
        <f t="shared" ref="W11:W62" si="6">SUM(O11:V11)</f>
        <v>432000</v>
      </c>
      <c r="X11" s="34">
        <f>N11-W11</f>
        <v>4368000</v>
      </c>
    </row>
    <row r="12" spans="1:24" ht="24.95" customHeight="1" x14ac:dyDescent="0.25">
      <c r="A12" s="29"/>
      <c r="B12" s="27">
        <v>9</v>
      </c>
      <c r="C12" s="30" t="s">
        <v>160</v>
      </c>
      <c r="D12" s="30" t="s">
        <v>45</v>
      </c>
      <c r="E12" s="31" t="s">
        <v>32</v>
      </c>
      <c r="F12" s="33">
        <v>3700000</v>
      </c>
      <c r="G12" s="32">
        <v>34</v>
      </c>
      <c r="H12" s="32">
        <f t="shared" si="1"/>
        <v>4193333.333333333</v>
      </c>
      <c r="I12" s="33"/>
      <c r="J12" s="33"/>
      <c r="K12" s="33"/>
      <c r="L12" s="33"/>
      <c r="M12" s="33"/>
      <c r="N12" s="33">
        <f t="shared" si="2"/>
        <v>4193333.333333333</v>
      </c>
      <c r="O12" s="33">
        <f>+H12*4%</f>
        <v>167733.33333333331</v>
      </c>
      <c r="P12" s="33">
        <f>+H12*5%</f>
        <v>209666.66666666666</v>
      </c>
      <c r="Q12" s="33"/>
      <c r="R12" s="33"/>
      <c r="S12" s="33"/>
      <c r="T12" s="33"/>
      <c r="U12" s="33"/>
      <c r="V12" s="33"/>
      <c r="W12" s="33">
        <f t="shared" ref="W12" si="7">SUM(O12:V12)</f>
        <v>377400</v>
      </c>
      <c r="X12" s="34">
        <f>N12-W12</f>
        <v>3815933.333333333</v>
      </c>
    </row>
    <row r="13" spans="1:24" ht="24.95" customHeight="1" x14ac:dyDescent="0.25">
      <c r="A13" s="29"/>
      <c r="B13" s="27">
        <v>10</v>
      </c>
      <c r="C13" s="30" t="s">
        <v>40</v>
      </c>
      <c r="D13" s="30" t="s">
        <v>31</v>
      </c>
      <c r="E13" s="31" t="s">
        <v>32</v>
      </c>
      <c r="F13" s="33">
        <v>5725000</v>
      </c>
      <c r="G13" s="32">
        <v>30</v>
      </c>
      <c r="H13" s="32">
        <f>+F13-M13</f>
        <v>5725000</v>
      </c>
      <c r="I13" s="33"/>
      <c r="J13" s="33"/>
      <c r="K13" s="33"/>
      <c r="L13" s="33"/>
      <c r="M13" s="33"/>
      <c r="N13" s="33">
        <f t="shared" si="2"/>
        <v>5725000</v>
      </c>
      <c r="O13" s="33">
        <f t="shared" si="4"/>
        <v>229000</v>
      </c>
      <c r="P13" s="33">
        <f t="shared" si="5"/>
        <v>286250</v>
      </c>
      <c r="Q13" s="33"/>
      <c r="R13" s="33">
        <v>2781617</v>
      </c>
      <c r="S13" s="33">
        <v>0</v>
      </c>
      <c r="T13" s="33"/>
      <c r="U13" s="33"/>
      <c r="V13" s="33"/>
      <c r="W13" s="33">
        <f t="shared" si="6"/>
        <v>3296867</v>
      </c>
      <c r="X13" s="34">
        <f t="shared" ref="X13:X24" si="8">+N13-W13</f>
        <v>2428133</v>
      </c>
    </row>
    <row r="14" spans="1:24" ht="24.95" customHeight="1" x14ac:dyDescent="0.25">
      <c r="A14" s="29"/>
      <c r="B14" s="27">
        <v>11</v>
      </c>
      <c r="C14" s="30" t="s">
        <v>41</v>
      </c>
      <c r="D14" s="30" t="s">
        <v>31</v>
      </c>
      <c r="E14" s="31" t="s">
        <v>32</v>
      </c>
      <c r="F14" s="33">
        <v>4500000</v>
      </c>
      <c r="G14" s="32">
        <v>30</v>
      </c>
      <c r="H14" s="32">
        <f>+F14-K14</f>
        <v>4500000</v>
      </c>
      <c r="I14" s="33"/>
      <c r="J14" s="33"/>
      <c r="K14" s="33"/>
      <c r="L14" s="33"/>
      <c r="M14" s="33"/>
      <c r="N14" s="33">
        <f t="shared" si="2"/>
        <v>4500000</v>
      </c>
      <c r="O14" s="33">
        <f t="shared" si="4"/>
        <v>180000</v>
      </c>
      <c r="P14" s="33">
        <f>+H14*5%</f>
        <v>225000</v>
      </c>
      <c r="Q14" s="33"/>
      <c r="R14" s="33">
        <v>232251</v>
      </c>
      <c r="S14" s="36">
        <v>0</v>
      </c>
      <c r="T14" s="33"/>
      <c r="U14" s="33"/>
      <c r="V14" s="33"/>
      <c r="W14" s="33">
        <f t="shared" si="6"/>
        <v>637251</v>
      </c>
      <c r="X14" s="34">
        <f t="shared" si="8"/>
        <v>3862749</v>
      </c>
    </row>
    <row r="15" spans="1:24" ht="24.95" customHeight="1" x14ac:dyDescent="0.25">
      <c r="A15" s="29"/>
      <c r="B15" s="27">
        <v>12</v>
      </c>
      <c r="C15" s="30" t="s">
        <v>93</v>
      </c>
      <c r="D15" s="30" t="s">
        <v>31</v>
      </c>
      <c r="E15" s="31" t="s">
        <v>32</v>
      </c>
      <c r="F15" s="33">
        <v>3500000</v>
      </c>
      <c r="G15" s="32">
        <v>30</v>
      </c>
      <c r="H15" s="32">
        <f t="shared" ref="H15" si="9">+F15/30*G15</f>
        <v>3500000</v>
      </c>
      <c r="I15" s="33"/>
      <c r="J15" s="33"/>
      <c r="K15" s="33"/>
      <c r="L15" s="33"/>
      <c r="M15" s="33"/>
      <c r="N15" s="33">
        <f t="shared" si="2"/>
        <v>3500000</v>
      </c>
      <c r="O15" s="33">
        <f t="shared" si="4"/>
        <v>140000</v>
      </c>
      <c r="P15" s="33">
        <f>+F15*5%</f>
        <v>175000</v>
      </c>
      <c r="Q15" s="33"/>
      <c r="R15" s="33"/>
      <c r="S15" s="33">
        <v>0</v>
      </c>
      <c r="T15" s="33"/>
      <c r="U15" s="33"/>
      <c r="V15" s="33">
        <v>774624</v>
      </c>
      <c r="W15" s="33">
        <f t="shared" ref="W15" si="10">SUM(O15:V15)</f>
        <v>1089624</v>
      </c>
      <c r="X15" s="37">
        <f t="shared" si="8"/>
        <v>2410376</v>
      </c>
    </row>
    <row r="16" spans="1:24" ht="24.95" customHeight="1" x14ac:dyDescent="0.25">
      <c r="A16" s="29"/>
      <c r="B16" s="27">
        <v>13</v>
      </c>
      <c r="C16" s="38" t="s">
        <v>42</v>
      </c>
      <c r="D16" s="30" t="s">
        <v>31</v>
      </c>
      <c r="E16" s="31" t="s">
        <v>32</v>
      </c>
      <c r="F16" s="33">
        <v>4800000</v>
      </c>
      <c r="G16" s="32">
        <v>30</v>
      </c>
      <c r="H16" s="32">
        <f t="shared" si="1"/>
        <v>4800000</v>
      </c>
      <c r="I16" s="33"/>
      <c r="J16" s="33"/>
      <c r="K16" s="33"/>
      <c r="L16" s="33"/>
      <c r="M16" s="33"/>
      <c r="N16" s="33">
        <f t="shared" si="2"/>
        <v>4800000</v>
      </c>
      <c r="O16" s="33">
        <f t="shared" si="4"/>
        <v>192000</v>
      </c>
      <c r="P16" s="33">
        <f>+F16*0.05</f>
        <v>240000</v>
      </c>
      <c r="Q16" s="33"/>
      <c r="R16" s="33"/>
      <c r="S16" s="33">
        <v>0</v>
      </c>
      <c r="T16" s="33"/>
      <c r="U16" s="33"/>
      <c r="V16" s="33"/>
      <c r="W16" s="33">
        <f t="shared" si="6"/>
        <v>432000</v>
      </c>
      <c r="X16" s="34">
        <f t="shared" si="8"/>
        <v>4368000</v>
      </c>
    </row>
    <row r="17" spans="1:24" ht="24.95" customHeight="1" x14ac:dyDescent="0.25">
      <c r="A17" s="29"/>
      <c r="B17" s="27">
        <v>14</v>
      </c>
      <c r="C17" s="38" t="s">
        <v>161</v>
      </c>
      <c r="D17" s="30" t="s">
        <v>31</v>
      </c>
      <c r="E17" s="31" t="s">
        <v>32</v>
      </c>
      <c r="F17" s="33">
        <v>4600000</v>
      </c>
      <c r="G17" s="32">
        <v>8</v>
      </c>
      <c r="H17" s="32">
        <f t="shared" si="1"/>
        <v>1226666.6666666667</v>
      </c>
      <c r="I17" s="33"/>
      <c r="J17" s="33"/>
      <c r="K17" s="33"/>
      <c r="L17" s="33"/>
      <c r="M17" s="33"/>
      <c r="N17" s="33">
        <f t="shared" si="2"/>
        <v>1226666.6666666667</v>
      </c>
      <c r="O17" s="33">
        <f>+H17*4%</f>
        <v>49066.666666666672</v>
      </c>
      <c r="P17" s="33">
        <f>+H17*0.04</f>
        <v>49066.666666666672</v>
      </c>
      <c r="Q17" s="33"/>
      <c r="R17" s="33"/>
      <c r="S17" s="33"/>
      <c r="T17" s="33"/>
      <c r="U17" s="33"/>
      <c r="V17" s="33"/>
      <c r="W17" s="33">
        <f t="shared" ref="W17" si="11">SUM(O17:V17)</f>
        <v>98133.333333333343</v>
      </c>
      <c r="X17" s="34">
        <f t="shared" si="8"/>
        <v>1128533.3333333335</v>
      </c>
    </row>
    <row r="18" spans="1:24" ht="24.95" customHeight="1" x14ac:dyDescent="0.25">
      <c r="A18" s="29"/>
      <c r="B18" s="27">
        <v>15</v>
      </c>
      <c r="C18" s="38" t="s">
        <v>43</v>
      </c>
      <c r="D18" s="30" t="s">
        <v>31</v>
      </c>
      <c r="E18" s="31" t="s">
        <v>32</v>
      </c>
      <c r="F18" s="33">
        <v>5200000</v>
      </c>
      <c r="G18" s="32">
        <v>30</v>
      </c>
      <c r="H18" s="32">
        <f t="shared" si="1"/>
        <v>5200000</v>
      </c>
      <c r="I18" s="33"/>
      <c r="J18" s="33"/>
      <c r="K18" s="33"/>
      <c r="L18" s="33">
        <v>0</v>
      </c>
      <c r="M18" s="33"/>
      <c r="N18" s="33">
        <f>+H18+I18+K18+L18+M18+J18</f>
        <v>5200000</v>
      </c>
      <c r="O18" s="33">
        <f>+F18*4%</f>
        <v>208000</v>
      </c>
      <c r="P18" s="33">
        <f>+F18*5%</f>
        <v>260000</v>
      </c>
      <c r="Q18" s="33"/>
      <c r="R18" s="33"/>
      <c r="S18" s="33">
        <v>81000</v>
      </c>
      <c r="T18" s="33"/>
      <c r="U18" s="33"/>
      <c r="V18" s="33">
        <v>0</v>
      </c>
      <c r="W18" s="33">
        <f t="shared" si="6"/>
        <v>549000</v>
      </c>
      <c r="X18" s="34">
        <f t="shared" si="8"/>
        <v>4651000</v>
      </c>
    </row>
    <row r="19" spans="1:24" ht="24.95" customHeight="1" x14ac:dyDescent="0.25">
      <c r="A19" s="29"/>
      <c r="B19" s="27">
        <v>16</v>
      </c>
      <c r="C19" s="38" t="s">
        <v>44</v>
      </c>
      <c r="D19" s="30" t="s">
        <v>31</v>
      </c>
      <c r="E19" s="31" t="s">
        <v>32</v>
      </c>
      <c r="F19" s="33">
        <v>4400000</v>
      </c>
      <c r="G19" s="32">
        <v>30</v>
      </c>
      <c r="H19" s="32">
        <f t="shared" si="1"/>
        <v>4400000</v>
      </c>
      <c r="I19" s="33"/>
      <c r="J19" s="33"/>
      <c r="K19" s="33"/>
      <c r="L19" s="33"/>
      <c r="M19" s="33">
        <f>+F19-H19</f>
        <v>0</v>
      </c>
      <c r="N19" s="33">
        <f t="shared" si="2"/>
        <v>4400000</v>
      </c>
      <c r="O19" s="33">
        <f>+F19*0.04</f>
        <v>176000</v>
      </c>
      <c r="P19" s="33">
        <f>+F19*0.05</f>
        <v>220000</v>
      </c>
      <c r="Q19" s="33"/>
      <c r="R19" s="33"/>
      <c r="S19" s="33"/>
      <c r="T19" s="33"/>
      <c r="U19" s="33"/>
      <c r="V19" s="33"/>
      <c r="W19" s="33">
        <f t="shared" si="6"/>
        <v>396000</v>
      </c>
      <c r="X19" s="34">
        <f t="shared" si="8"/>
        <v>4004000</v>
      </c>
    </row>
    <row r="20" spans="1:24" ht="24.95" customHeight="1" x14ac:dyDescent="0.25">
      <c r="A20" s="29"/>
      <c r="B20" s="27">
        <v>17</v>
      </c>
      <c r="C20" s="38" t="s">
        <v>46</v>
      </c>
      <c r="D20" s="30" t="s">
        <v>31</v>
      </c>
      <c r="E20" s="31" t="s">
        <v>32</v>
      </c>
      <c r="F20" s="33">
        <v>5500000</v>
      </c>
      <c r="G20" s="32">
        <v>30</v>
      </c>
      <c r="H20" s="32">
        <f>+F20-K20</f>
        <v>5500000</v>
      </c>
      <c r="I20" s="33"/>
      <c r="J20" s="33"/>
      <c r="K20" s="33"/>
      <c r="L20" s="33"/>
      <c r="M20" s="33"/>
      <c r="N20" s="33">
        <f t="shared" si="2"/>
        <v>5500000</v>
      </c>
      <c r="O20" s="33">
        <f>+F20*0.04</f>
        <v>220000</v>
      </c>
      <c r="P20" s="33">
        <f>+F20*0.05</f>
        <v>275000</v>
      </c>
      <c r="Q20" s="33"/>
      <c r="R20" s="33"/>
      <c r="S20" s="33">
        <v>83397</v>
      </c>
      <c r="T20" s="33"/>
      <c r="U20" s="33"/>
      <c r="V20" s="33"/>
      <c r="W20" s="33">
        <f t="shared" si="6"/>
        <v>578397</v>
      </c>
      <c r="X20" s="34">
        <f t="shared" si="8"/>
        <v>4921603</v>
      </c>
    </row>
    <row r="21" spans="1:24" ht="24.95" customHeight="1" x14ac:dyDescent="0.25">
      <c r="A21" s="29"/>
      <c r="B21" s="27">
        <v>18</v>
      </c>
      <c r="C21" s="38" t="s">
        <v>162</v>
      </c>
      <c r="D21" s="30" t="s">
        <v>31</v>
      </c>
      <c r="E21" s="31" t="s">
        <v>32</v>
      </c>
      <c r="F21" s="33">
        <v>5000000</v>
      </c>
      <c r="G21" s="32">
        <v>8</v>
      </c>
      <c r="H21" s="32">
        <f t="shared" si="1"/>
        <v>1333333.3333333333</v>
      </c>
      <c r="I21" s="33"/>
      <c r="J21" s="33"/>
      <c r="K21" s="33"/>
      <c r="L21" s="33"/>
      <c r="M21" s="33"/>
      <c r="N21" s="33">
        <f t="shared" si="2"/>
        <v>1333333.3333333333</v>
      </c>
      <c r="O21" s="33">
        <f>+H21*4%</f>
        <v>53333.333333333328</v>
      </c>
      <c r="P21" s="33">
        <f>+H21*0.04</f>
        <v>53333.333333333328</v>
      </c>
      <c r="Q21" s="33"/>
      <c r="R21" s="33"/>
      <c r="S21" s="33"/>
      <c r="T21" s="33"/>
      <c r="U21" s="33"/>
      <c r="V21" s="33"/>
      <c r="W21" s="33">
        <f t="shared" si="6"/>
        <v>106666.66666666666</v>
      </c>
      <c r="X21" s="34">
        <f t="shared" si="8"/>
        <v>1226666.6666666665</v>
      </c>
    </row>
    <row r="22" spans="1:24" ht="24.95" customHeight="1" x14ac:dyDescent="0.25">
      <c r="A22" s="29"/>
      <c r="B22" s="27">
        <v>19</v>
      </c>
      <c r="C22" s="30" t="s">
        <v>150</v>
      </c>
      <c r="D22" s="30" t="s">
        <v>31</v>
      </c>
      <c r="E22" s="31" t="s">
        <v>32</v>
      </c>
      <c r="F22" s="33">
        <v>7000000</v>
      </c>
      <c r="G22" s="32">
        <v>30</v>
      </c>
      <c r="H22" s="32">
        <f>+F22/30*G22</f>
        <v>7000000</v>
      </c>
      <c r="I22" s="33"/>
      <c r="J22" s="33"/>
      <c r="K22" s="33"/>
      <c r="L22" s="33"/>
      <c r="M22" s="33"/>
      <c r="N22" s="33">
        <f>+H22+I22+K22+L22+M22+J22</f>
        <v>7000000</v>
      </c>
      <c r="O22" s="33">
        <f>H22*4%</f>
        <v>280000</v>
      </c>
      <c r="P22" s="33">
        <f>+H22*5%</f>
        <v>350000</v>
      </c>
      <c r="Q22" s="33">
        <v>114000</v>
      </c>
      <c r="R22" s="33">
        <v>1762690</v>
      </c>
      <c r="S22" s="33">
        <v>209509</v>
      </c>
      <c r="T22" s="33"/>
      <c r="U22" s="33"/>
      <c r="V22" s="33"/>
      <c r="W22" s="33">
        <f>SUM(O22:V22)</f>
        <v>2716199</v>
      </c>
      <c r="X22" s="37">
        <f>N22-W22</f>
        <v>4283801</v>
      </c>
    </row>
    <row r="23" spans="1:24" ht="24.95" customHeight="1" x14ac:dyDescent="0.25">
      <c r="A23" s="29"/>
      <c r="B23" s="27">
        <v>20</v>
      </c>
      <c r="C23" s="38" t="s">
        <v>47</v>
      </c>
      <c r="D23" s="30" t="s">
        <v>31</v>
      </c>
      <c r="E23" s="31" t="s">
        <v>32</v>
      </c>
      <c r="F23" s="33">
        <v>5200000</v>
      </c>
      <c r="G23" s="32">
        <v>30</v>
      </c>
      <c r="H23" s="32">
        <f t="shared" si="1"/>
        <v>5200000</v>
      </c>
      <c r="I23" s="33"/>
      <c r="J23" s="33"/>
      <c r="K23" s="33"/>
      <c r="L23" s="33"/>
      <c r="M23" s="33">
        <v>0</v>
      </c>
      <c r="N23" s="33">
        <f t="shared" si="2"/>
        <v>5200000</v>
      </c>
      <c r="O23" s="33">
        <f>+F23*4%</f>
        <v>208000</v>
      </c>
      <c r="P23" s="33">
        <f>+F23*5%</f>
        <v>260000</v>
      </c>
      <c r="Q23" s="33"/>
      <c r="R23" s="33"/>
      <c r="S23" s="33">
        <v>46204</v>
      </c>
      <c r="T23" s="33"/>
      <c r="U23" s="33"/>
      <c r="V23" s="33"/>
      <c r="W23" s="33">
        <f t="shared" si="6"/>
        <v>514204</v>
      </c>
      <c r="X23" s="34">
        <f t="shared" si="8"/>
        <v>4685796</v>
      </c>
    </row>
    <row r="24" spans="1:24" ht="24.95" customHeight="1" x14ac:dyDescent="0.25">
      <c r="A24" s="29"/>
      <c r="B24" s="27">
        <v>21</v>
      </c>
      <c r="C24" s="30" t="s">
        <v>48</v>
      </c>
      <c r="D24" s="30" t="s">
        <v>31</v>
      </c>
      <c r="E24" s="31" t="s">
        <v>32</v>
      </c>
      <c r="F24" s="33">
        <v>5500000</v>
      </c>
      <c r="G24" s="32">
        <v>30</v>
      </c>
      <c r="H24" s="32">
        <f t="shared" si="1"/>
        <v>5500000</v>
      </c>
      <c r="I24" s="33"/>
      <c r="J24" s="33"/>
      <c r="K24" s="33"/>
      <c r="L24" s="33">
        <v>450000</v>
      </c>
      <c r="M24" s="33"/>
      <c r="N24" s="33">
        <f t="shared" si="2"/>
        <v>5950000</v>
      </c>
      <c r="O24" s="33">
        <f>+F24*4%</f>
        <v>220000</v>
      </c>
      <c r="P24" s="33">
        <f>+F24*5%</f>
        <v>275000</v>
      </c>
      <c r="Q24" s="33"/>
      <c r="R24" s="33"/>
      <c r="S24" s="36">
        <v>150521</v>
      </c>
      <c r="T24" s="33">
        <v>1365000</v>
      </c>
      <c r="U24" s="33"/>
      <c r="V24" s="33"/>
      <c r="W24" s="33">
        <f t="shared" si="6"/>
        <v>2010521</v>
      </c>
      <c r="X24" s="34">
        <f t="shared" si="8"/>
        <v>3939479</v>
      </c>
    </row>
    <row r="25" spans="1:24" ht="24.95" customHeight="1" x14ac:dyDescent="0.25">
      <c r="A25" s="29"/>
      <c r="B25" s="27">
        <v>22</v>
      </c>
      <c r="C25" s="30" t="s">
        <v>49</v>
      </c>
      <c r="D25" s="30" t="s">
        <v>31</v>
      </c>
      <c r="E25" s="31" t="s">
        <v>32</v>
      </c>
      <c r="F25" s="33">
        <v>5350000</v>
      </c>
      <c r="G25" s="32">
        <v>30</v>
      </c>
      <c r="H25" s="32">
        <f t="shared" si="1"/>
        <v>5350000</v>
      </c>
      <c r="I25" s="33"/>
      <c r="J25" s="33"/>
      <c r="K25" s="33"/>
      <c r="L25" s="33">
        <v>1000000</v>
      </c>
      <c r="M25" s="33"/>
      <c r="N25" s="33">
        <f t="shared" si="2"/>
        <v>6350000</v>
      </c>
      <c r="O25" s="33">
        <f>+F25*4%</f>
        <v>214000</v>
      </c>
      <c r="P25" s="33">
        <f>+F25*0.05</f>
        <v>267500</v>
      </c>
      <c r="Q25" s="33"/>
      <c r="R25" s="33"/>
      <c r="S25" s="36">
        <v>96000</v>
      </c>
      <c r="T25" s="33"/>
      <c r="U25" s="33"/>
      <c r="V25" s="33">
        <v>810005</v>
      </c>
      <c r="W25" s="33">
        <f t="shared" si="6"/>
        <v>1387505</v>
      </c>
      <c r="X25" s="34">
        <f>N25-W25</f>
        <v>4962495</v>
      </c>
    </row>
    <row r="26" spans="1:24" ht="24.95" customHeight="1" x14ac:dyDescent="0.25">
      <c r="A26" s="29"/>
      <c r="B26" s="27">
        <v>23</v>
      </c>
      <c r="C26" s="30" t="s">
        <v>50</v>
      </c>
      <c r="D26" s="30" t="s">
        <v>31</v>
      </c>
      <c r="E26" s="31" t="s">
        <v>32</v>
      </c>
      <c r="F26" s="33">
        <v>7000000</v>
      </c>
      <c r="G26" s="32">
        <v>30</v>
      </c>
      <c r="H26" s="32">
        <f>+F26-M26</f>
        <v>6766667</v>
      </c>
      <c r="I26" s="33"/>
      <c r="J26" s="33"/>
      <c r="K26" s="33"/>
      <c r="L26" s="33"/>
      <c r="M26" s="33">
        <v>233333</v>
      </c>
      <c r="N26" s="33">
        <f t="shared" si="2"/>
        <v>7000000</v>
      </c>
      <c r="O26" s="33">
        <f>+F26*4%</f>
        <v>280000</v>
      </c>
      <c r="P26" s="33">
        <f>+F26*0.05</f>
        <v>350000</v>
      </c>
      <c r="Q26" s="33"/>
      <c r="R26" s="33"/>
      <c r="S26" s="36">
        <v>269359</v>
      </c>
      <c r="T26" s="33"/>
      <c r="U26" s="33"/>
      <c r="V26" s="39"/>
      <c r="W26" s="33">
        <f t="shared" si="6"/>
        <v>899359</v>
      </c>
      <c r="X26" s="34">
        <f>N26-W26</f>
        <v>6100641</v>
      </c>
    </row>
    <row r="27" spans="1:24" ht="24.95" customHeight="1" x14ac:dyDescent="0.25">
      <c r="A27" s="29"/>
      <c r="B27" s="27">
        <v>24</v>
      </c>
      <c r="C27" s="30" t="s">
        <v>51</v>
      </c>
      <c r="D27" s="30" t="s">
        <v>31</v>
      </c>
      <c r="E27" s="31" t="s">
        <v>32</v>
      </c>
      <c r="F27" s="33">
        <v>6900000</v>
      </c>
      <c r="G27" s="32">
        <v>30</v>
      </c>
      <c r="H27" s="32">
        <f t="shared" si="1"/>
        <v>6900000</v>
      </c>
      <c r="I27" s="33"/>
      <c r="J27" s="33"/>
      <c r="K27" s="33"/>
      <c r="L27" s="33">
        <v>1400000</v>
      </c>
      <c r="M27" s="40"/>
      <c r="N27" s="33">
        <f t="shared" si="2"/>
        <v>8300000</v>
      </c>
      <c r="O27" s="33">
        <f>+F27*4%</f>
        <v>276000</v>
      </c>
      <c r="P27" s="33">
        <f>+F27*5%</f>
        <v>345000</v>
      </c>
      <c r="Q27" s="33"/>
      <c r="R27" s="33"/>
      <c r="S27" s="36">
        <v>113000</v>
      </c>
      <c r="T27" s="33">
        <v>1300000</v>
      </c>
      <c r="U27" s="33"/>
      <c r="V27" s="39"/>
      <c r="W27" s="33">
        <f t="shared" si="6"/>
        <v>2034000</v>
      </c>
      <c r="X27" s="34">
        <f>N27-W27</f>
        <v>6266000</v>
      </c>
    </row>
    <row r="28" spans="1:24" ht="24.95" customHeight="1" x14ac:dyDescent="0.25">
      <c r="A28" s="29"/>
      <c r="B28" s="27">
        <v>25</v>
      </c>
      <c r="C28" s="38" t="s">
        <v>151</v>
      </c>
      <c r="D28" s="30" t="s">
        <v>31</v>
      </c>
      <c r="E28" s="31" t="s">
        <v>32</v>
      </c>
      <c r="F28" s="33">
        <v>4000000</v>
      </c>
      <c r="G28" s="32">
        <v>30</v>
      </c>
      <c r="H28" s="32">
        <f>+F28/30*G28</f>
        <v>4000000.0000000005</v>
      </c>
      <c r="I28" s="33"/>
      <c r="J28" s="33"/>
      <c r="K28" s="33"/>
      <c r="L28" s="33"/>
      <c r="M28" s="33"/>
      <c r="N28" s="33">
        <f>+H28+I28+K28+L28+M28+J28</f>
        <v>4000000.0000000005</v>
      </c>
      <c r="O28" s="33">
        <f>+H28*4%</f>
        <v>160000.00000000003</v>
      </c>
      <c r="P28" s="33">
        <f>+H28*5%</f>
        <v>200000.00000000003</v>
      </c>
      <c r="Q28" s="33"/>
      <c r="R28" s="33"/>
      <c r="S28" s="33"/>
      <c r="T28" s="33"/>
      <c r="U28" s="33"/>
      <c r="V28" s="33"/>
      <c r="W28" s="33">
        <f>SUM(O28:V28)</f>
        <v>360000.00000000006</v>
      </c>
      <c r="X28" s="37">
        <f>N28-W28</f>
        <v>3640000.0000000005</v>
      </c>
    </row>
    <row r="29" spans="1:24" ht="24.95" customHeight="1" x14ac:dyDescent="0.25">
      <c r="A29" s="29"/>
      <c r="B29" s="27">
        <v>26</v>
      </c>
      <c r="C29" s="30" t="s">
        <v>52</v>
      </c>
      <c r="D29" s="30" t="s">
        <v>31</v>
      </c>
      <c r="E29" s="31" t="s">
        <v>32</v>
      </c>
      <c r="F29" s="33">
        <v>4000000</v>
      </c>
      <c r="G29" s="32">
        <v>30</v>
      </c>
      <c r="H29" s="32">
        <f t="shared" si="1"/>
        <v>4000000.0000000005</v>
      </c>
      <c r="I29" s="33"/>
      <c r="J29" s="33"/>
      <c r="K29" s="33"/>
      <c r="L29" s="33">
        <v>360000</v>
      </c>
      <c r="M29" s="33"/>
      <c r="N29" s="33">
        <f t="shared" si="2"/>
        <v>4360000</v>
      </c>
      <c r="O29" s="33">
        <f t="shared" ref="O29:O59" si="12">F29*4/100</f>
        <v>160000</v>
      </c>
      <c r="P29" s="33">
        <f t="shared" ref="P29:P59" si="13">+F29*0.05</f>
        <v>200000</v>
      </c>
      <c r="Q29" s="33"/>
      <c r="R29" s="33"/>
      <c r="S29" s="33"/>
      <c r="T29" s="33"/>
      <c r="U29" s="33"/>
      <c r="V29" s="33"/>
      <c r="W29" s="33">
        <f t="shared" si="6"/>
        <v>360000</v>
      </c>
      <c r="X29" s="34">
        <f t="shared" ref="X29:X34" si="14">+N29-W29</f>
        <v>4000000</v>
      </c>
    </row>
    <row r="30" spans="1:24" ht="24.95" customHeight="1" x14ac:dyDescent="0.25">
      <c r="A30" s="29"/>
      <c r="B30" s="27">
        <v>27</v>
      </c>
      <c r="C30" s="30" t="s">
        <v>152</v>
      </c>
      <c r="D30" s="30" t="s">
        <v>31</v>
      </c>
      <c r="E30" s="31" t="s">
        <v>32</v>
      </c>
      <c r="F30" s="33">
        <v>4500000</v>
      </c>
      <c r="G30" s="32">
        <v>30</v>
      </c>
      <c r="H30" s="32">
        <f>+F30/30*G30</f>
        <v>4500000</v>
      </c>
      <c r="I30" s="33"/>
      <c r="J30" s="33"/>
      <c r="K30" s="33"/>
      <c r="L30" s="33"/>
      <c r="M30" s="33"/>
      <c r="N30" s="33">
        <f t="shared" si="2"/>
        <v>4500000</v>
      </c>
      <c r="O30" s="33">
        <f>H30*4/100</f>
        <v>180000</v>
      </c>
      <c r="P30" s="33">
        <f>+H30*0.05</f>
        <v>225000</v>
      </c>
      <c r="Q30" s="33"/>
      <c r="R30" s="33"/>
      <c r="S30" s="36">
        <v>11000</v>
      </c>
      <c r="T30" s="33"/>
      <c r="U30" s="33"/>
      <c r="V30" s="33"/>
      <c r="W30" s="33">
        <f>SUM(O30:V30)</f>
        <v>416000</v>
      </c>
      <c r="X30" s="34">
        <f t="shared" si="14"/>
        <v>4084000</v>
      </c>
    </row>
    <row r="31" spans="1:24" ht="24.95" customHeight="1" x14ac:dyDescent="0.25">
      <c r="A31" s="29"/>
      <c r="B31" s="27">
        <v>28</v>
      </c>
      <c r="C31" s="30" t="s">
        <v>53</v>
      </c>
      <c r="D31" s="30" t="s">
        <v>31</v>
      </c>
      <c r="E31" s="31" t="s">
        <v>32</v>
      </c>
      <c r="F31" s="33">
        <v>5300000</v>
      </c>
      <c r="G31" s="32">
        <v>30</v>
      </c>
      <c r="H31" s="32">
        <f t="shared" si="1"/>
        <v>5300000</v>
      </c>
      <c r="I31" s="33"/>
      <c r="J31" s="33"/>
      <c r="K31" s="33"/>
      <c r="L31" s="33">
        <v>1621317</v>
      </c>
      <c r="M31" s="33"/>
      <c r="N31" s="33">
        <f t="shared" si="2"/>
        <v>6921317</v>
      </c>
      <c r="O31" s="33">
        <f t="shared" si="12"/>
        <v>212000</v>
      </c>
      <c r="P31" s="33">
        <f t="shared" si="13"/>
        <v>265000</v>
      </c>
      <c r="Q31" s="33"/>
      <c r="R31" s="33"/>
      <c r="S31" s="36">
        <v>100000</v>
      </c>
      <c r="T31" s="33"/>
      <c r="U31" s="33"/>
      <c r="V31" s="33">
        <f>884747</f>
        <v>884747</v>
      </c>
      <c r="W31" s="33">
        <f t="shared" si="6"/>
        <v>1461747</v>
      </c>
      <c r="X31" s="34">
        <f t="shared" si="14"/>
        <v>5459570</v>
      </c>
    </row>
    <row r="32" spans="1:24" ht="24.95" customHeight="1" x14ac:dyDescent="0.25">
      <c r="A32" s="29"/>
      <c r="B32" s="27">
        <v>29</v>
      </c>
      <c r="C32" s="30" t="s">
        <v>54</v>
      </c>
      <c r="D32" s="30" t="s">
        <v>31</v>
      </c>
      <c r="E32" s="31" t="s">
        <v>32</v>
      </c>
      <c r="F32" s="33">
        <v>4800000</v>
      </c>
      <c r="G32" s="32">
        <v>30</v>
      </c>
      <c r="H32" s="32">
        <f t="shared" si="1"/>
        <v>4800000</v>
      </c>
      <c r="I32" s="33"/>
      <c r="J32" s="33"/>
      <c r="K32" s="33"/>
      <c r="L32" s="33">
        <v>92925</v>
      </c>
      <c r="M32" s="33"/>
      <c r="N32" s="33">
        <f t="shared" si="2"/>
        <v>4892925</v>
      </c>
      <c r="O32" s="33">
        <f t="shared" si="12"/>
        <v>192000</v>
      </c>
      <c r="P32" s="33">
        <f t="shared" si="13"/>
        <v>240000</v>
      </c>
      <c r="Q32" s="33"/>
      <c r="R32" s="33"/>
      <c r="S32" s="36">
        <v>0</v>
      </c>
      <c r="T32" s="33"/>
      <c r="U32" s="33"/>
      <c r="V32" s="33"/>
      <c r="W32" s="33">
        <f t="shared" si="6"/>
        <v>432000</v>
      </c>
      <c r="X32" s="34">
        <f t="shared" si="14"/>
        <v>4460925</v>
      </c>
    </row>
    <row r="33" spans="1:25" ht="24.95" customHeight="1" x14ac:dyDescent="0.25">
      <c r="A33" s="29"/>
      <c r="B33" s="27">
        <v>30</v>
      </c>
      <c r="C33" s="30" t="s">
        <v>55</v>
      </c>
      <c r="D33" s="30" t="s">
        <v>31</v>
      </c>
      <c r="E33" s="31" t="s">
        <v>32</v>
      </c>
      <c r="F33" s="33">
        <v>5500000</v>
      </c>
      <c r="G33" s="32">
        <v>30</v>
      </c>
      <c r="H33" s="32">
        <f t="shared" si="1"/>
        <v>5500000</v>
      </c>
      <c r="I33" s="33"/>
      <c r="J33" s="33"/>
      <c r="K33" s="33"/>
      <c r="L33" s="33"/>
      <c r="M33" s="39"/>
      <c r="N33" s="33">
        <f t="shared" si="2"/>
        <v>5500000</v>
      </c>
      <c r="O33" s="33">
        <f t="shared" si="12"/>
        <v>220000</v>
      </c>
      <c r="P33" s="33">
        <f t="shared" si="13"/>
        <v>275000</v>
      </c>
      <c r="Q33" s="33"/>
      <c r="R33" s="33"/>
      <c r="S33" s="33">
        <v>5022</v>
      </c>
      <c r="T33" s="33"/>
      <c r="U33" s="33"/>
      <c r="V33" s="33"/>
      <c r="W33" s="33">
        <f t="shared" si="6"/>
        <v>500022</v>
      </c>
      <c r="X33" s="34">
        <f t="shared" si="14"/>
        <v>4999978</v>
      </c>
    </row>
    <row r="34" spans="1:25" ht="24.95" customHeight="1" x14ac:dyDescent="0.25">
      <c r="A34" s="29"/>
      <c r="B34" s="27">
        <v>31</v>
      </c>
      <c r="C34" s="30" t="s">
        <v>56</v>
      </c>
      <c r="D34" s="30" t="s">
        <v>31</v>
      </c>
      <c r="E34" s="31" t="s">
        <v>32</v>
      </c>
      <c r="F34" s="33">
        <v>5500000</v>
      </c>
      <c r="G34" s="32">
        <v>30</v>
      </c>
      <c r="H34" s="32">
        <f t="shared" si="1"/>
        <v>5500000</v>
      </c>
      <c r="I34" s="33"/>
      <c r="J34" s="33"/>
      <c r="K34" s="33"/>
      <c r="L34" s="33"/>
      <c r="M34" s="33"/>
      <c r="N34" s="33">
        <f t="shared" si="2"/>
        <v>5500000</v>
      </c>
      <c r="O34" s="33">
        <f t="shared" si="12"/>
        <v>220000</v>
      </c>
      <c r="P34" s="33">
        <f t="shared" si="13"/>
        <v>275000</v>
      </c>
      <c r="Q34" s="33"/>
      <c r="R34" s="33"/>
      <c r="S34" s="36">
        <v>141000</v>
      </c>
      <c r="T34" s="33"/>
      <c r="U34" s="33"/>
      <c r="V34" s="33"/>
      <c r="W34" s="33">
        <f t="shared" si="6"/>
        <v>636000</v>
      </c>
      <c r="X34" s="34">
        <f t="shared" si="14"/>
        <v>4864000</v>
      </c>
    </row>
    <row r="35" spans="1:25" ht="24.95" customHeight="1" x14ac:dyDescent="0.25">
      <c r="A35" s="29"/>
      <c r="B35" s="27">
        <v>32</v>
      </c>
      <c r="C35" s="30" t="s">
        <v>112</v>
      </c>
      <c r="D35" s="30" t="s">
        <v>31</v>
      </c>
      <c r="E35" s="31" t="s">
        <v>32</v>
      </c>
      <c r="F35" s="33">
        <v>4300000</v>
      </c>
      <c r="G35" s="32">
        <v>30</v>
      </c>
      <c r="H35" s="32">
        <f t="shared" si="1"/>
        <v>4300000</v>
      </c>
      <c r="I35" s="33"/>
      <c r="J35" s="33"/>
      <c r="K35" s="33"/>
      <c r="L35" s="33"/>
      <c r="M35" s="33">
        <f>+F35-H35</f>
        <v>0</v>
      </c>
      <c r="N35" s="33">
        <f t="shared" si="2"/>
        <v>4300000</v>
      </c>
      <c r="O35" s="33">
        <f>+F35*4%</f>
        <v>172000</v>
      </c>
      <c r="P35" s="33">
        <f>+F35*5%</f>
        <v>215000</v>
      </c>
      <c r="Q35" s="33"/>
      <c r="R35" s="33"/>
      <c r="S35" s="36">
        <v>0</v>
      </c>
      <c r="T35" s="33"/>
      <c r="U35" s="33">
        <v>0</v>
      </c>
      <c r="V35" s="33"/>
      <c r="W35" s="33">
        <f t="shared" ref="W35" si="15">SUM(O35:V35)</f>
        <v>387000</v>
      </c>
      <c r="X35" s="37">
        <f>+N35-W35</f>
        <v>3913000</v>
      </c>
      <c r="Y35" s="41"/>
    </row>
    <row r="36" spans="1:25" ht="24.95" customHeight="1" x14ac:dyDescent="0.25">
      <c r="A36" s="29"/>
      <c r="B36" s="27">
        <v>33</v>
      </c>
      <c r="C36" s="30" t="s">
        <v>59</v>
      </c>
      <c r="D36" s="30" t="s">
        <v>31</v>
      </c>
      <c r="E36" s="31" t="s">
        <v>32</v>
      </c>
      <c r="F36" s="33">
        <v>6600000</v>
      </c>
      <c r="G36" s="32">
        <v>30</v>
      </c>
      <c r="H36" s="32">
        <f t="shared" si="1"/>
        <v>6600000</v>
      </c>
      <c r="I36" s="33"/>
      <c r="J36" s="33"/>
      <c r="K36" s="33"/>
      <c r="L36" s="33"/>
      <c r="M36" s="40"/>
      <c r="N36" s="33">
        <f t="shared" si="2"/>
        <v>6600000</v>
      </c>
      <c r="O36" s="33">
        <f t="shared" si="12"/>
        <v>264000</v>
      </c>
      <c r="P36" s="33">
        <f t="shared" si="13"/>
        <v>330000</v>
      </c>
      <c r="Q36" s="33"/>
      <c r="R36" s="33"/>
      <c r="S36" s="36">
        <v>86000</v>
      </c>
      <c r="T36" s="33"/>
      <c r="U36" s="33"/>
      <c r="V36" s="33"/>
      <c r="W36" s="33">
        <f t="shared" si="6"/>
        <v>680000</v>
      </c>
      <c r="X36" s="34">
        <f>N36-W36</f>
        <v>5920000</v>
      </c>
    </row>
    <row r="37" spans="1:25" ht="24.95" customHeight="1" x14ac:dyDescent="0.25">
      <c r="A37" s="29"/>
      <c r="B37" s="27">
        <v>34</v>
      </c>
      <c r="C37" s="30" t="s">
        <v>113</v>
      </c>
      <c r="D37" s="30" t="s">
        <v>31</v>
      </c>
      <c r="E37" s="31" t="s">
        <v>32</v>
      </c>
      <c r="F37" s="33">
        <v>4770000</v>
      </c>
      <c r="G37" s="32">
        <v>30</v>
      </c>
      <c r="H37" s="32">
        <f t="shared" si="1"/>
        <v>4770000</v>
      </c>
      <c r="I37" s="33"/>
      <c r="J37" s="33"/>
      <c r="K37" s="33"/>
      <c r="L37" s="33">
        <v>160000</v>
      </c>
      <c r="M37" s="33">
        <f>+F37-H37</f>
        <v>0</v>
      </c>
      <c r="N37" s="33">
        <f t="shared" si="2"/>
        <v>4930000</v>
      </c>
      <c r="O37" s="33">
        <f t="shared" ref="O37" si="16">+F37*4%</f>
        <v>190800</v>
      </c>
      <c r="P37" s="33">
        <f>+F37*5%</f>
        <v>238500</v>
      </c>
      <c r="Q37" s="33"/>
      <c r="R37" s="33"/>
      <c r="S37" s="36">
        <v>0</v>
      </c>
      <c r="T37" s="33"/>
      <c r="U37" s="33"/>
      <c r="V37" s="33"/>
      <c r="W37" s="33">
        <f t="shared" ref="W37" si="17">SUM(O37:V37)</f>
        <v>429300</v>
      </c>
      <c r="X37" s="34">
        <f t="shared" ref="X37" si="18">+N37-W37</f>
        <v>4500700</v>
      </c>
    </row>
    <row r="38" spans="1:25" ht="24.95" customHeight="1" x14ac:dyDescent="0.25">
      <c r="A38" s="29"/>
      <c r="B38" s="27">
        <v>35</v>
      </c>
      <c r="C38" s="30" t="s">
        <v>60</v>
      </c>
      <c r="D38" s="30" t="s">
        <v>31</v>
      </c>
      <c r="E38" s="31" t="s">
        <v>32</v>
      </c>
      <c r="F38" s="33">
        <v>7000000</v>
      </c>
      <c r="G38" s="32">
        <v>30</v>
      </c>
      <c r="H38" s="32">
        <f t="shared" si="1"/>
        <v>7000000</v>
      </c>
      <c r="I38" s="33"/>
      <c r="J38" s="33"/>
      <c r="K38" s="33"/>
      <c r="L38" s="33"/>
      <c r="M38" s="42"/>
      <c r="N38" s="33">
        <f t="shared" si="2"/>
        <v>7000000</v>
      </c>
      <c r="O38" s="33">
        <f t="shared" si="12"/>
        <v>280000</v>
      </c>
      <c r="P38" s="33">
        <f t="shared" si="13"/>
        <v>350000</v>
      </c>
      <c r="Q38" s="33"/>
      <c r="R38" s="33"/>
      <c r="S38" s="36">
        <v>86000</v>
      </c>
      <c r="T38" s="33"/>
      <c r="U38" s="33"/>
      <c r="V38" s="33"/>
      <c r="W38" s="33">
        <f t="shared" si="6"/>
        <v>716000</v>
      </c>
      <c r="X38" s="34">
        <f>N38-W38</f>
        <v>6284000</v>
      </c>
    </row>
    <row r="39" spans="1:25" ht="24.95" customHeight="1" x14ac:dyDescent="0.25">
      <c r="A39" s="29"/>
      <c r="B39" s="27">
        <v>36</v>
      </c>
      <c r="C39" s="30" t="s">
        <v>62</v>
      </c>
      <c r="D39" s="30" t="s">
        <v>31</v>
      </c>
      <c r="E39" s="31" t="s">
        <v>32</v>
      </c>
      <c r="F39" s="33">
        <v>5088000</v>
      </c>
      <c r="G39" s="32">
        <v>30</v>
      </c>
      <c r="H39" s="32">
        <f t="shared" si="1"/>
        <v>5088000</v>
      </c>
      <c r="I39" s="33"/>
      <c r="J39" s="33"/>
      <c r="K39" s="33"/>
      <c r="L39" s="33"/>
      <c r="M39" s="33"/>
      <c r="N39" s="33">
        <f t="shared" si="2"/>
        <v>5088000</v>
      </c>
      <c r="O39" s="33">
        <f>F39*4/100</f>
        <v>203520</v>
      </c>
      <c r="P39" s="33">
        <f>+F39*0.05</f>
        <v>254400</v>
      </c>
      <c r="Q39" s="33"/>
      <c r="R39" s="33"/>
      <c r="S39" s="33">
        <v>0</v>
      </c>
      <c r="T39" s="33">
        <f>1150000</f>
        <v>1150000</v>
      </c>
      <c r="U39" s="33"/>
      <c r="V39" s="33">
        <f>209579</f>
        <v>209579</v>
      </c>
      <c r="W39" s="33">
        <f t="shared" si="6"/>
        <v>1817499</v>
      </c>
      <c r="X39" s="34">
        <f>N39-W39</f>
        <v>3270501</v>
      </c>
    </row>
    <row r="40" spans="1:25" ht="24.95" customHeight="1" x14ac:dyDescent="0.25">
      <c r="A40" s="29"/>
      <c r="B40" s="27">
        <v>37</v>
      </c>
      <c r="C40" s="30" t="s">
        <v>63</v>
      </c>
      <c r="D40" s="30" t="s">
        <v>31</v>
      </c>
      <c r="E40" s="31" t="s">
        <v>32</v>
      </c>
      <c r="F40" s="33">
        <v>4540000</v>
      </c>
      <c r="G40" s="32">
        <v>30</v>
      </c>
      <c r="H40" s="32">
        <f t="shared" si="1"/>
        <v>4540000</v>
      </c>
      <c r="I40" s="33"/>
      <c r="J40" s="33"/>
      <c r="K40" s="33"/>
      <c r="L40" s="33"/>
      <c r="M40" s="33"/>
      <c r="N40" s="33">
        <f t="shared" si="2"/>
        <v>4540000</v>
      </c>
      <c r="O40" s="33">
        <f t="shared" si="12"/>
        <v>181600</v>
      </c>
      <c r="P40" s="33">
        <f t="shared" si="13"/>
        <v>227000</v>
      </c>
      <c r="Q40" s="33"/>
      <c r="R40" s="33"/>
      <c r="S40" s="36">
        <v>0</v>
      </c>
      <c r="T40" s="33"/>
      <c r="U40" s="33"/>
      <c r="V40" s="33" t="s">
        <v>1</v>
      </c>
      <c r="W40" s="33">
        <f t="shared" si="6"/>
        <v>408600</v>
      </c>
      <c r="X40" s="34">
        <f>N40-W40</f>
        <v>4131400</v>
      </c>
    </row>
    <row r="41" spans="1:25" ht="24.95" customHeight="1" x14ac:dyDescent="0.25">
      <c r="A41" s="29"/>
      <c r="B41" s="27">
        <v>38</v>
      </c>
      <c r="C41" s="30" t="s">
        <v>64</v>
      </c>
      <c r="D41" s="30" t="s">
        <v>31</v>
      </c>
      <c r="E41" s="31" t="s">
        <v>32</v>
      </c>
      <c r="F41" s="33">
        <v>3500000</v>
      </c>
      <c r="G41" s="32">
        <v>30</v>
      </c>
      <c r="H41" s="32">
        <f>+F41-M41</f>
        <v>3500000</v>
      </c>
      <c r="I41" s="33"/>
      <c r="J41" s="33"/>
      <c r="K41" s="33"/>
      <c r="L41" s="33"/>
      <c r="M41" s="33"/>
      <c r="N41" s="33">
        <f t="shared" si="2"/>
        <v>3500000</v>
      </c>
      <c r="O41" s="33">
        <f t="shared" si="12"/>
        <v>140000</v>
      </c>
      <c r="P41" s="33">
        <f t="shared" si="13"/>
        <v>175000</v>
      </c>
      <c r="Q41" s="33"/>
      <c r="R41" s="33"/>
      <c r="S41" s="33">
        <v>0</v>
      </c>
      <c r="T41" s="33"/>
      <c r="U41" s="33"/>
      <c r="V41" s="33">
        <v>257196</v>
      </c>
      <c r="W41" s="33">
        <f t="shared" si="6"/>
        <v>572196</v>
      </c>
      <c r="X41" s="34">
        <f>+N41-W41</f>
        <v>2927804</v>
      </c>
    </row>
    <row r="42" spans="1:25" ht="24.95" customHeight="1" x14ac:dyDescent="0.25">
      <c r="A42" s="29"/>
      <c r="B42" s="27">
        <v>39</v>
      </c>
      <c r="C42" s="30" t="s">
        <v>65</v>
      </c>
      <c r="D42" s="30" t="s">
        <v>31</v>
      </c>
      <c r="E42" s="31" t="s">
        <v>32</v>
      </c>
      <c r="F42" s="33">
        <v>4500000</v>
      </c>
      <c r="G42" s="32">
        <v>30</v>
      </c>
      <c r="H42" s="32">
        <f t="shared" si="1"/>
        <v>4500000</v>
      </c>
      <c r="I42" s="33"/>
      <c r="J42" s="33"/>
      <c r="K42" s="33"/>
      <c r="L42" s="33"/>
      <c r="M42" s="33"/>
      <c r="N42" s="33">
        <f t="shared" si="2"/>
        <v>4500000</v>
      </c>
      <c r="O42" s="33">
        <f t="shared" si="12"/>
        <v>180000</v>
      </c>
      <c r="P42" s="33">
        <f t="shared" si="13"/>
        <v>225000</v>
      </c>
      <c r="Q42" s="33"/>
      <c r="R42" s="33"/>
      <c r="S42" s="33">
        <v>0</v>
      </c>
      <c r="T42" s="33"/>
      <c r="U42" s="33"/>
      <c r="V42" s="33"/>
      <c r="W42" s="33">
        <f t="shared" si="6"/>
        <v>405000</v>
      </c>
      <c r="X42" s="34">
        <f>+N42-W42</f>
        <v>4095000</v>
      </c>
    </row>
    <row r="43" spans="1:25" ht="24.95" customHeight="1" x14ac:dyDescent="0.25">
      <c r="A43" s="29"/>
      <c r="B43" s="27">
        <v>40</v>
      </c>
      <c r="C43" s="30" t="s">
        <v>66</v>
      </c>
      <c r="D43" s="30" t="s">
        <v>31</v>
      </c>
      <c r="E43" s="31" t="s">
        <v>32</v>
      </c>
      <c r="F43" s="33">
        <v>6360000</v>
      </c>
      <c r="G43" s="32">
        <v>30</v>
      </c>
      <c r="H43" s="32">
        <f>+F43-M43</f>
        <v>6360000</v>
      </c>
      <c r="I43" s="33"/>
      <c r="J43" s="33"/>
      <c r="K43" s="33"/>
      <c r="L43" s="33"/>
      <c r="M43" s="33"/>
      <c r="N43" s="33">
        <f t="shared" si="2"/>
        <v>6360000</v>
      </c>
      <c r="O43" s="33">
        <f t="shared" si="12"/>
        <v>254400</v>
      </c>
      <c r="P43" s="33">
        <f t="shared" si="13"/>
        <v>318000</v>
      </c>
      <c r="Q43" s="33"/>
      <c r="R43" s="33"/>
      <c r="S43" s="33">
        <v>208000</v>
      </c>
      <c r="T43" s="33"/>
      <c r="U43" s="33">
        <v>122614</v>
      </c>
      <c r="V43" s="33"/>
      <c r="W43" s="33">
        <f t="shared" si="6"/>
        <v>903014</v>
      </c>
      <c r="X43" s="34">
        <f>+N43-W43</f>
        <v>5456986</v>
      </c>
    </row>
    <row r="44" spans="1:25" ht="24.95" customHeight="1" x14ac:dyDescent="0.25">
      <c r="A44" s="29"/>
      <c r="B44" s="27">
        <v>41</v>
      </c>
      <c r="C44" s="30" t="s">
        <v>153</v>
      </c>
      <c r="D44" s="30" t="s">
        <v>31</v>
      </c>
      <c r="E44" s="31" t="s">
        <v>32</v>
      </c>
      <c r="F44" s="33">
        <v>3500000</v>
      </c>
      <c r="G44" s="32">
        <v>30</v>
      </c>
      <c r="H44" s="32">
        <f>+F44/30*G44</f>
        <v>3500000</v>
      </c>
      <c r="I44" s="33"/>
      <c r="J44" s="33"/>
      <c r="K44" s="33"/>
      <c r="L44" s="33"/>
      <c r="M44" s="33"/>
      <c r="N44" s="33">
        <f>+H44+I44+K44+L44+M44+J44</f>
        <v>3500000</v>
      </c>
      <c r="O44" s="33">
        <f>H44*4/100</f>
        <v>140000</v>
      </c>
      <c r="P44" s="33">
        <f>+H44*0.05</f>
        <v>175000</v>
      </c>
      <c r="Q44" s="33"/>
      <c r="R44" s="33"/>
      <c r="S44" s="33">
        <v>0</v>
      </c>
      <c r="T44" s="33"/>
      <c r="U44" s="33">
        <v>0</v>
      </c>
      <c r="V44" s="33"/>
      <c r="W44" s="33">
        <f t="shared" ref="W44" si="19">SUM(O44:V44)</f>
        <v>315000</v>
      </c>
      <c r="X44" s="34">
        <f>+N44-W44</f>
        <v>3185000</v>
      </c>
    </row>
    <row r="45" spans="1:25" ht="24.95" customHeight="1" x14ac:dyDescent="0.25">
      <c r="A45" s="29"/>
      <c r="B45" s="27">
        <v>42</v>
      </c>
      <c r="C45" s="30" t="s">
        <v>67</v>
      </c>
      <c r="D45" s="30" t="s">
        <v>31</v>
      </c>
      <c r="E45" s="31" t="s">
        <v>32</v>
      </c>
      <c r="F45" s="33">
        <v>4770000</v>
      </c>
      <c r="G45" s="32">
        <v>30</v>
      </c>
      <c r="H45" s="32">
        <f t="shared" si="1"/>
        <v>4770000</v>
      </c>
      <c r="I45" s="33"/>
      <c r="J45" s="33"/>
      <c r="K45" s="33"/>
      <c r="L45" s="33">
        <v>500000</v>
      </c>
      <c r="M45" s="33"/>
      <c r="N45" s="33">
        <f t="shared" si="2"/>
        <v>5270000</v>
      </c>
      <c r="O45" s="33">
        <f t="shared" si="12"/>
        <v>190800</v>
      </c>
      <c r="P45" s="33">
        <f t="shared" si="13"/>
        <v>238500</v>
      </c>
      <c r="Q45" s="33"/>
      <c r="R45" s="33"/>
      <c r="S45" s="33">
        <v>0</v>
      </c>
      <c r="T45" s="33"/>
      <c r="U45" s="33"/>
      <c r="V45" s="33">
        <v>551399</v>
      </c>
      <c r="W45" s="33">
        <f t="shared" si="6"/>
        <v>980699</v>
      </c>
      <c r="X45" s="34">
        <f>+N45-W45</f>
        <v>4289301</v>
      </c>
    </row>
    <row r="46" spans="1:25" ht="24.95" customHeight="1" x14ac:dyDescent="0.25">
      <c r="A46" s="29"/>
      <c r="B46" s="27">
        <v>43</v>
      </c>
      <c r="C46" s="30" t="s">
        <v>69</v>
      </c>
      <c r="D46" s="30" t="s">
        <v>31</v>
      </c>
      <c r="E46" s="31" t="s">
        <v>32</v>
      </c>
      <c r="F46" s="33">
        <v>6000000</v>
      </c>
      <c r="G46" s="32">
        <v>30</v>
      </c>
      <c r="H46" s="32">
        <f>+F46-M46</f>
        <v>5800000</v>
      </c>
      <c r="I46" s="33"/>
      <c r="J46" s="33"/>
      <c r="K46" s="33"/>
      <c r="L46" s="33"/>
      <c r="M46" s="33">
        <v>200000</v>
      </c>
      <c r="N46" s="33">
        <f t="shared" si="2"/>
        <v>6000000</v>
      </c>
      <c r="O46" s="33">
        <f t="shared" si="12"/>
        <v>240000</v>
      </c>
      <c r="P46" s="33">
        <f t="shared" si="13"/>
        <v>300000</v>
      </c>
      <c r="Q46" s="33">
        <v>0</v>
      </c>
      <c r="R46" s="33"/>
      <c r="S46" s="33">
        <v>0</v>
      </c>
      <c r="T46" s="33"/>
      <c r="U46" s="33"/>
      <c r="V46" s="33"/>
      <c r="W46" s="33">
        <f t="shared" si="6"/>
        <v>540000</v>
      </c>
      <c r="X46" s="34">
        <f>N46-W46</f>
        <v>5460000</v>
      </c>
    </row>
    <row r="47" spans="1:25" ht="24.95" customHeight="1" x14ac:dyDescent="0.25">
      <c r="A47" s="29"/>
      <c r="B47" s="27">
        <v>44</v>
      </c>
      <c r="C47" s="30" t="s">
        <v>70</v>
      </c>
      <c r="D47" s="30" t="s">
        <v>31</v>
      </c>
      <c r="E47" s="31" t="s">
        <v>32</v>
      </c>
      <c r="F47" s="33">
        <v>6420000</v>
      </c>
      <c r="G47" s="32">
        <v>30</v>
      </c>
      <c r="H47" s="32">
        <f t="shared" si="1"/>
        <v>6420000</v>
      </c>
      <c r="I47" s="33"/>
      <c r="J47" s="33"/>
      <c r="K47" s="33"/>
      <c r="L47" s="33"/>
      <c r="M47" s="33"/>
      <c r="N47" s="33">
        <f t="shared" si="2"/>
        <v>6420000</v>
      </c>
      <c r="O47" s="33">
        <f t="shared" si="12"/>
        <v>256800</v>
      </c>
      <c r="P47" s="33">
        <f t="shared" si="13"/>
        <v>321000</v>
      </c>
      <c r="Q47" s="33"/>
      <c r="R47" s="33"/>
      <c r="S47" s="33">
        <v>231000</v>
      </c>
      <c r="T47" s="33"/>
      <c r="U47" s="33"/>
      <c r="V47" s="33"/>
      <c r="W47" s="33">
        <f t="shared" si="6"/>
        <v>808800</v>
      </c>
      <c r="X47" s="34">
        <f>+N47-W47</f>
        <v>5611200</v>
      </c>
    </row>
    <row r="48" spans="1:25" ht="24.95" customHeight="1" x14ac:dyDescent="0.25">
      <c r="A48" s="29"/>
      <c r="B48" s="27">
        <v>45</v>
      </c>
      <c r="C48" s="38" t="s">
        <v>71</v>
      </c>
      <c r="D48" s="30" t="s">
        <v>31</v>
      </c>
      <c r="E48" s="31" t="s">
        <v>32</v>
      </c>
      <c r="F48" s="33">
        <v>7590000</v>
      </c>
      <c r="G48" s="32">
        <v>29</v>
      </c>
      <c r="H48" s="32">
        <f t="shared" si="1"/>
        <v>7337000</v>
      </c>
      <c r="I48" s="33"/>
      <c r="J48" s="33">
        <v>0</v>
      </c>
      <c r="K48" s="33">
        <v>168675</v>
      </c>
      <c r="L48" s="33">
        <v>1500000</v>
      </c>
      <c r="M48" s="42"/>
      <c r="N48" s="33">
        <f>+H48+I48+K48+L48+M48+J48</f>
        <v>9005675</v>
      </c>
      <c r="O48" s="33">
        <f t="shared" si="12"/>
        <v>303600</v>
      </c>
      <c r="P48" s="33">
        <f t="shared" si="13"/>
        <v>379500</v>
      </c>
      <c r="Q48" s="33"/>
      <c r="R48" s="33"/>
      <c r="S48" s="33">
        <v>449811</v>
      </c>
      <c r="T48" s="33"/>
      <c r="U48" s="33"/>
      <c r="V48" s="33"/>
      <c r="W48" s="33">
        <f t="shared" si="6"/>
        <v>1132911</v>
      </c>
      <c r="X48" s="34">
        <f>N48-W48</f>
        <v>7872764</v>
      </c>
    </row>
    <row r="49" spans="1:24" ht="24.95" customHeight="1" x14ac:dyDescent="0.25">
      <c r="A49" s="29"/>
      <c r="B49" s="27">
        <v>46</v>
      </c>
      <c r="C49" s="38" t="s">
        <v>72</v>
      </c>
      <c r="D49" s="30" t="s">
        <v>31</v>
      </c>
      <c r="E49" s="31" t="s">
        <v>32</v>
      </c>
      <c r="F49" s="33">
        <v>6000000</v>
      </c>
      <c r="G49" s="32">
        <v>30</v>
      </c>
      <c r="H49" s="32">
        <f>+F49-M49</f>
        <v>6000000</v>
      </c>
      <c r="I49" s="33"/>
      <c r="J49" s="33"/>
      <c r="K49" s="33">
        <v>0</v>
      </c>
      <c r="L49" s="33">
        <v>500000</v>
      </c>
      <c r="M49" s="33"/>
      <c r="N49" s="33">
        <f t="shared" si="2"/>
        <v>6500000</v>
      </c>
      <c r="O49" s="33">
        <f t="shared" si="12"/>
        <v>240000</v>
      </c>
      <c r="P49" s="33">
        <f t="shared" si="13"/>
        <v>300000</v>
      </c>
      <c r="Q49" s="33"/>
      <c r="R49" s="33"/>
      <c r="S49" s="33">
        <v>144000</v>
      </c>
      <c r="T49" s="33"/>
      <c r="U49" s="33"/>
      <c r="V49" s="33"/>
      <c r="W49" s="33">
        <f t="shared" si="6"/>
        <v>684000</v>
      </c>
      <c r="X49" s="34">
        <f>N49-W49</f>
        <v>5816000</v>
      </c>
    </row>
    <row r="50" spans="1:24" ht="24.95" customHeight="1" x14ac:dyDescent="0.25">
      <c r="A50" s="29"/>
      <c r="B50" s="27">
        <v>47</v>
      </c>
      <c r="C50" s="30" t="s">
        <v>73</v>
      </c>
      <c r="D50" s="30" t="s">
        <v>31</v>
      </c>
      <c r="E50" s="31" t="s">
        <v>32</v>
      </c>
      <c r="F50" s="33">
        <v>5350000</v>
      </c>
      <c r="G50" s="32">
        <v>30</v>
      </c>
      <c r="H50" s="32">
        <f t="shared" si="1"/>
        <v>5350000</v>
      </c>
      <c r="I50" s="33"/>
      <c r="J50" s="33"/>
      <c r="K50" s="33"/>
      <c r="L50" s="33"/>
      <c r="M50" s="33"/>
      <c r="N50" s="33">
        <f t="shared" si="2"/>
        <v>5350000</v>
      </c>
      <c r="O50" s="33">
        <f t="shared" si="12"/>
        <v>214000</v>
      </c>
      <c r="P50" s="33">
        <f t="shared" si="13"/>
        <v>267500</v>
      </c>
      <c r="Q50" s="33"/>
      <c r="R50" s="33"/>
      <c r="S50" s="33">
        <v>95000</v>
      </c>
      <c r="T50" s="33"/>
      <c r="U50" s="33"/>
      <c r="V50" s="33"/>
      <c r="W50" s="33">
        <f t="shared" si="6"/>
        <v>576500</v>
      </c>
      <c r="X50" s="34">
        <f t="shared" ref="X50:X57" si="20">+N50-W50</f>
        <v>4773500</v>
      </c>
    </row>
    <row r="51" spans="1:24" ht="24.95" customHeight="1" x14ac:dyDescent="0.25">
      <c r="A51" s="29"/>
      <c r="B51" s="27">
        <v>48</v>
      </c>
      <c r="C51" s="30" t="s">
        <v>74</v>
      </c>
      <c r="D51" s="31" t="s">
        <v>31</v>
      </c>
      <c r="E51" s="31" t="s">
        <v>32</v>
      </c>
      <c r="F51" s="33">
        <v>4500000</v>
      </c>
      <c r="G51" s="32">
        <v>30</v>
      </c>
      <c r="H51" s="32">
        <f>+F51-M51</f>
        <v>4366667</v>
      </c>
      <c r="I51" s="33"/>
      <c r="J51" s="33"/>
      <c r="K51" s="33"/>
      <c r="L51" s="33"/>
      <c r="M51" s="33">
        <v>133333</v>
      </c>
      <c r="N51" s="33">
        <f t="shared" si="2"/>
        <v>4500000</v>
      </c>
      <c r="O51" s="33">
        <f t="shared" si="12"/>
        <v>180000</v>
      </c>
      <c r="P51" s="33">
        <f t="shared" si="13"/>
        <v>225000</v>
      </c>
      <c r="Q51" s="33"/>
      <c r="R51" s="33"/>
      <c r="S51" s="33">
        <v>0</v>
      </c>
      <c r="T51" s="33"/>
      <c r="U51" s="33"/>
      <c r="V51" s="33"/>
      <c r="W51" s="33">
        <f t="shared" si="6"/>
        <v>405000</v>
      </c>
      <c r="X51" s="34">
        <f t="shared" si="20"/>
        <v>4095000</v>
      </c>
    </row>
    <row r="52" spans="1:24" ht="24.95" customHeight="1" x14ac:dyDescent="0.25">
      <c r="A52" s="29"/>
      <c r="B52" s="27">
        <v>49</v>
      </c>
      <c r="C52" s="30" t="s">
        <v>75</v>
      </c>
      <c r="D52" s="30" t="s">
        <v>31</v>
      </c>
      <c r="E52" s="31" t="s">
        <v>32</v>
      </c>
      <c r="F52" s="33">
        <v>4770000</v>
      </c>
      <c r="G52" s="32">
        <v>30</v>
      </c>
      <c r="H52" s="32">
        <f t="shared" si="1"/>
        <v>4770000</v>
      </c>
      <c r="I52" s="33"/>
      <c r="J52" s="33"/>
      <c r="K52" s="33"/>
      <c r="L52" s="33"/>
      <c r="M52" s="33"/>
      <c r="N52" s="33">
        <f t="shared" si="2"/>
        <v>4770000</v>
      </c>
      <c r="O52" s="33">
        <f t="shared" si="12"/>
        <v>190800</v>
      </c>
      <c r="P52" s="33">
        <f t="shared" si="13"/>
        <v>238500</v>
      </c>
      <c r="Q52" s="33"/>
      <c r="R52" s="33">
        <v>551338</v>
      </c>
      <c r="S52" s="33">
        <v>0</v>
      </c>
      <c r="T52" s="33"/>
      <c r="U52" s="33"/>
      <c r="V52" s="33">
        <v>317224</v>
      </c>
      <c r="W52" s="33">
        <f t="shared" si="6"/>
        <v>1297862</v>
      </c>
      <c r="X52" s="34">
        <f t="shared" si="20"/>
        <v>3472138</v>
      </c>
    </row>
    <row r="53" spans="1:24" ht="24.95" customHeight="1" x14ac:dyDescent="0.25">
      <c r="A53" s="29"/>
      <c r="B53" s="27">
        <v>50</v>
      </c>
      <c r="C53" s="30" t="s">
        <v>163</v>
      </c>
      <c r="D53" s="30" t="s">
        <v>31</v>
      </c>
      <c r="E53" s="31" t="s">
        <v>32</v>
      </c>
      <c r="F53" s="33">
        <v>6800000</v>
      </c>
      <c r="G53" s="32">
        <v>8</v>
      </c>
      <c r="H53" s="32">
        <f t="shared" si="1"/>
        <v>1813333.3333333333</v>
      </c>
      <c r="I53" s="33"/>
      <c r="J53" s="33"/>
      <c r="K53" s="33"/>
      <c r="L53" s="33"/>
      <c r="M53" s="33"/>
      <c r="N53" s="33">
        <f t="shared" si="2"/>
        <v>1813333.3333333333</v>
      </c>
      <c r="O53" s="33">
        <f>+H53*4%</f>
        <v>72533.333333333328</v>
      </c>
      <c r="P53" s="33">
        <f>+H53*0.04</f>
        <v>72533.333333333328</v>
      </c>
      <c r="Q53" s="33"/>
      <c r="R53" s="33"/>
      <c r="S53" s="33"/>
      <c r="T53" s="33"/>
      <c r="U53" s="33"/>
      <c r="V53" s="33"/>
      <c r="W53" s="33">
        <f t="shared" ref="W53" si="21">SUM(O53:V53)</f>
        <v>145066.66666666666</v>
      </c>
      <c r="X53" s="34">
        <f t="shared" si="20"/>
        <v>1668266.6666666665</v>
      </c>
    </row>
    <row r="54" spans="1:24" ht="24.95" customHeight="1" x14ac:dyDescent="0.25">
      <c r="A54" s="29"/>
      <c r="B54" s="27">
        <v>51</v>
      </c>
      <c r="C54" s="30" t="s">
        <v>76</v>
      </c>
      <c r="D54" s="30" t="s">
        <v>31</v>
      </c>
      <c r="E54" s="31" t="s">
        <v>32</v>
      </c>
      <c r="F54" s="33">
        <v>4800000</v>
      </c>
      <c r="G54" s="32">
        <v>30</v>
      </c>
      <c r="H54" s="32">
        <f>+F54-M54</f>
        <v>4800000</v>
      </c>
      <c r="I54" s="33"/>
      <c r="J54" s="33"/>
      <c r="K54" s="33"/>
      <c r="L54" s="33"/>
      <c r="M54" s="33"/>
      <c r="N54" s="33">
        <f t="shared" si="2"/>
        <v>4800000</v>
      </c>
      <c r="O54" s="33">
        <f t="shared" si="12"/>
        <v>192000</v>
      </c>
      <c r="P54" s="33">
        <f t="shared" si="13"/>
        <v>240000</v>
      </c>
      <c r="Q54" s="33"/>
      <c r="R54" s="33">
        <v>700000</v>
      </c>
      <c r="S54" s="33">
        <v>0</v>
      </c>
      <c r="T54" s="33"/>
      <c r="U54" s="33"/>
      <c r="V54" s="33">
        <v>1198791</v>
      </c>
      <c r="W54" s="33">
        <f t="shared" si="6"/>
        <v>2330791</v>
      </c>
      <c r="X54" s="34">
        <f t="shared" si="20"/>
        <v>2469209</v>
      </c>
    </row>
    <row r="55" spans="1:24" ht="24.95" customHeight="1" x14ac:dyDescent="0.25">
      <c r="A55" s="29"/>
      <c r="B55" s="27">
        <v>52</v>
      </c>
      <c r="C55" s="30" t="s">
        <v>77</v>
      </c>
      <c r="D55" s="30" t="s">
        <v>31</v>
      </c>
      <c r="E55" s="31" t="s">
        <v>32</v>
      </c>
      <c r="F55" s="33">
        <v>4000000</v>
      </c>
      <c r="G55" s="32">
        <v>30</v>
      </c>
      <c r="H55" s="32">
        <f>+F55-M55</f>
        <v>4000000</v>
      </c>
      <c r="I55" s="33"/>
      <c r="J55" s="33"/>
      <c r="K55" s="33"/>
      <c r="L55" s="33"/>
      <c r="M55" s="33"/>
      <c r="N55" s="33">
        <f t="shared" si="2"/>
        <v>4000000</v>
      </c>
      <c r="O55" s="33">
        <f>F55*4/100</f>
        <v>160000</v>
      </c>
      <c r="P55" s="33">
        <f t="shared" si="13"/>
        <v>200000</v>
      </c>
      <c r="Q55" s="33"/>
      <c r="R55" s="33"/>
      <c r="S55" s="33">
        <v>0</v>
      </c>
      <c r="T55" s="33"/>
      <c r="U55" s="33"/>
      <c r="V55" s="33">
        <v>141077</v>
      </c>
      <c r="W55" s="33">
        <f t="shared" si="6"/>
        <v>501077</v>
      </c>
      <c r="X55" s="34">
        <f t="shared" si="20"/>
        <v>3498923</v>
      </c>
    </row>
    <row r="56" spans="1:24" ht="24.95" customHeight="1" x14ac:dyDescent="0.25">
      <c r="A56" s="29"/>
      <c r="B56" s="27">
        <v>53</v>
      </c>
      <c r="C56" s="30" t="s">
        <v>78</v>
      </c>
      <c r="D56" s="30" t="s">
        <v>31</v>
      </c>
      <c r="E56" s="31" t="s">
        <v>32</v>
      </c>
      <c r="F56" s="33">
        <v>6000000</v>
      </c>
      <c r="G56" s="32">
        <v>30</v>
      </c>
      <c r="H56" s="32">
        <f t="shared" si="1"/>
        <v>6000000</v>
      </c>
      <c r="I56" s="33"/>
      <c r="J56" s="33"/>
      <c r="K56" s="33"/>
      <c r="L56" s="33">
        <v>400000</v>
      </c>
      <c r="M56" s="33">
        <v>3000000</v>
      </c>
      <c r="N56" s="33">
        <f t="shared" si="2"/>
        <v>9400000</v>
      </c>
      <c r="O56" s="33">
        <f>F56*4/100+120000</f>
        <v>360000</v>
      </c>
      <c r="P56" s="33">
        <f>+F56*0.05+120000</f>
        <v>420000</v>
      </c>
      <c r="Q56" s="33"/>
      <c r="R56" s="33"/>
      <c r="S56" s="33">
        <v>97000</v>
      </c>
      <c r="T56" s="33"/>
      <c r="U56" s="33"/>
      <c r="V56" s="33"/>
      <c r="W56" s="33">
        <f t="shared" si="6"/>
        <v>877000</v>
      </c>
      <c r="X56" s="34">
        <f t="shared" si="20"/>
        <v>8523000</v>
      </c>
    </row>
    <row r="57" spans="1:24" ht="24.95" customHeight="1" x14ac:dyDescent="0.25">
      <c r="A57" s="29"/>
      <c r="B57" s="27">
        <v>54</v>
      </c>
      <c r="C57" s="30" t="s">
        <v>154</v>
      </c>
      <c r="D57" s="30" t="s">
        <v>31</v>
      </c>
      <c r="E57" s="31" t="s">
        <v>32</v>
      </c>
      <c r="F57" s="33">
        <v>4000000</v>
      </c>
      <c r="G57" s="32">
        <v>30</v>
      </c>
      <c r="H57" s="32">
        <f t="shared" si="1"/>
        <v>4000000.0000000005</v>
      </c>
      <c r="I57" s="33"/>
      <c r="J57" s="33"/>
      <c r="K57" s="33"/>
      <c r="L57" s="33"/>
      <c r="M57" s="33"/>
      <c r="N57" s="33">
        <f t="shared" si="2"/>
        <v>4000000.0000000005</v>
      </c>
      <c r="O57" s="33">
        <f>H57*4/100</f>
        <v>160000.00000000003</v>
      </c>
      <c r="P57" s="33">
        <f>+H57*0.05</f>
        <v>200000.00000000003</v>
      </c>
      <c r="Q57" s="33"/>
      <c r="R57" s="33"/>
      <c r="S57" s="33"/>
      <c r="T57" s="33"/>
      <c r="U57" s="33"/>
      <c r="V57" s="33"/>
      <c r="W57" s="33">
        <f t="shared" ref="W57" si="22">SUM(O57:V57)</f>
        <v>360000.00000000006</v>
      </c>
      <c r="X57" s="34">
        <f t="shared" si="20"/>
        <v>3640000.0000000005</v>
      </c>
    </row>
    <row r="58" spans="1:24" ht="24.95" customHeight="1" x14ac:dyDescent="0.25">
      <c r="A58" s="29"/>
      <c r="B58" s="27">
        <v>55</v>
      </c>
      <c r="C58" s="30" t="s">
        <v>79</v>
      </c>
      <c r="D58" s="30" t="s">
        <v>31</v>
      </c>
      <c r="E58" s="31" t="s">
        <v>32</v>
      </c>
      <c r="F58" s="33">
        <v>4500000</v>
      </c>
      <c r="G58" s="32">
        <v>30</v>
      </c>
      <c r="H58" s="32">
        <f t="shared" si="1"/>
        <v>4500000</v>
      </c>
      <c r="I58" s="33"/>
      <c r="J58" s="33"/>
      <c r="K58" s="33"/>
      <c r="L58" s="33"/>
      <c r="M58" s="33">
        <v>0</v>
      </c>
      <c r="N58" s="33">
        <f t="shared" si="2"/>
        <v>4500000</v>
      </c>
      <c r="O58" s="33">
        <f t="shared" si="12"/>
        <v>180000</v>
      </c>
      <c r="P58" s="33">
        <f t="shared" si="13"/>
        <v>225000</v>
      </c>
      <c r="Q58" s="33"/>
      <c r="R58" s="33"/>
      <c r="S58" s="33">
        <v>0</v>
      </c>
      <c r="T58" s="33"/>
      <c r="U58" s="33"/>
      <c r="V58" s="33"/>
      <c r="W58" s="33">
        <f t="shared" si="6"/>
        <v>405000</v>
      </c>
      <c r="X58" s="34">
        <f>N58-W58</f>
        <v>4095000</v>
      </c>
    </row>
    <row r="59" spans="1:24" ht="24.95" customHeight="1" x14ac:dyDescent="0.25">
      <c r="A59" s="29"/>
      <c r="B59" s="27">
        <v>56</v>
      </c>
      <c r="C59" s="30" t="s">
        <v>80</v>
      </c>
      <c r="D59" s="30" t="s">
        <v>31</v>
      </c>
      <c r="E59" s="31" t="s">
        <v>32</v>
      </c>
      <c r="F59" s="33">
        <v>6000000</v>
      </c>
      <c r="G59" s="32">
        <v>30</v>
      </c>
      <c r="H59" s="32">
        <f t="shared" si="1"/>
        <v>6000000</v>
      </c>
      <c r="I59" s="33"/>
      <c r="J59" s="33"/>
      <c r="K59" s="33"/>
      <c r="L59" s="33">
        <v>400000</v>
      </c>
      <c r="M59" s="33"/>
      <c r="N59" s="33">
        <f t="shared" si="2"/>
        <v>6400000</v>
      </c>
      <c r="O59" s="33">
        <f t="shared" si="12"/>
        <v>240000</v>
      </c>
      <c r="P59" s="33">
        <f t="shared" si="13"/>
        <v>300000</v>
      </c>
      <c r="Q59" s="33"/>
      <c r="R59" s="33"/>
      <c r="S59" s="33">
        <v>120000</v>
      </c>
      <c r="T59" s="33"/>
      <c r="U59" s="33"/>
      <c r="V59" s="33"/>
      <c r="W59" s="33">
        <f t="shared" si="6"/>
        <v>660000</v>
      </c>
      <c r="X59" s="34">
        <f>N59-W59</f>
        <v>5740000</v>
      </c>
    </row>
    <row r="60" spans="1:24" ht="24.95" customHeight="1" x14ac:dyDescent="0.25">
      <c r="A60" s="29"/>
      <c r="B60" s="27">
        <v>57</v>
      </c>
      <c r="C60" s="30" t="s">
        <v>81</v>
      </c>
      <c r="D60" s="30" t="s">
        <v>31</v>
      </c>
      <c r="E60" s="31" t="s">
        <v>32</v>
      </c>
      <c r="F60" s="33">
        <v>4800000</v>
      </c>
      <c r="G60" s="32">
        <v>30</v>
      </c>
      <c r="H60" s="32">
        <f>+F60-M60</f>
        <v>4800000</v>
      </c>
      <c r="I60" s="33"/>
      <c r="J60" s="33"/>
      <c r="K60" s="33"/>
      <c r="L60" s="33"/>
      <c r="M60" s="33"/>
      <c r="N60" s="33">
        <f t="shared" si="2"/>
        <v>4800000</v>
      </c>
      <c r="O60" s="33">
        <f>+F60*4%</f>
        <v>192000</v>
      </c>
      <c r="P60" s="33">
        <f>+F60*5%</f>
        <v>240000</v>
      </c>
      <c r="Q60" s="33"/>
      <c r="R60" s="33"/>
      <c r="S60" s="33">
        <v>0</v>
      </c>
      <c r="T60" s="33"/>
      <c r="U60" s="33"/>
      <c r="V60" s="33"/>
      <c r="W60" s="33">
        <f t="shared" si="6"/>
        <v>432000</v>
      </c>
      <c r="X60" s="34">
        <f>+N60-W60</f>
        <v>4368000</v>
      </c>
    </row>
    <row r="61" spans="1:24" ht="24.95" customHeight="1" x14ac:dyDescent="0.25">
      <c r="A61" s="29"/>
      <c r="B61" s="27">
        <v>58</v>
      </c>
      <c r="C61" s="30" t="s">
        <v>155</v>
      </c>
      <c r="D61" s="30" t="s">
        <v>31</v>
      </c>
      <c r="E61" s="31" t="s">
        <v>32</v>
      </c>
      <c r="F61" s="33">
        <v>4500000</v>
      </c>
      <c r="G61" s="32">
        <v>30</v>
      </c>
      <c r="H61" s="32">
        <f t="shared" si="1"/>
        <v>4500000</v>
      </c>
      <c r="I61" s="33"/>
      <c r="J61" s="33"/>
      <c r="K61" s="33"/>
      <c r="L61" s="33"/>
      <c r="M61" s="33"/>
      <c r="N61" s="33">
        <f t="shared" si="2"/>
        <v>4500000</v>
      </c>
      <c r="O61" s="33">
        <f>+H61*4%</f>
        <v>180000</v>
      </c>
      <c r="P61" s="33">
        <f>+H61*5%</f>
        <v>225000</v>
      </c>
      <c r="Q61" s="33"/>
      <c r="R61" s="33"/>
      <c r="S61" s="33"/>
      <c r="T61" s="33"/>
      <c r="U61" s="33"/>
      <c r="V61" s="33"/>
      <c r="W61" s="33">
        <f t="shared" ref="W61" si="23">SUM(O61:V61)</f>
        <v>405000</v>
      </c>
      <c r="X61" s="34">
        <f>+N61-W61</f>
        <v>4095000</v>
      </c>
    </row>
    <row r="62" spans="1:24" ht="24.95" customHeight="1" x14ac:dyDescent="0.25">
      <c r="A62" s="29"/>
      <c r="B62" s="27">
        <v>59</v>
      </c>
      <c r="C62" s="30" t="s">
        <v>82</v>
      </c>
      <c r="D62" s="30" t="s">
        <v>31</v>
      </c>
      <c r="E62" s="31" t="s">
        <v>32</v>
      </c>
      <c r="F62" s="33">
        <v>6500000</v>
      </c>
      <c r="G62" s="32">
        <v>30</v>
      </c>
      <c r="H62" s="32">
        <f t="shared" si="1"/>
        <v>6500000</v>
      </c>
      <c r="I62" s="33"/>
      <c r="J62" s="33"/>
      <c r="K62" s="33"/>
      <c r="L62" s="33"/>
      <c r="M62" s="33"/>
      <c r="N62" s="33">
        <f t="shared" si="2"/>
        <v>6500000</v>
      </c>
      <c r="O62" s="33">
        <f>+F62*0.04</f>
        <v>260000</v>
      </c>
      <c r="P62" s="33">
        <f>+F62*0.05</f>
        <v>325000</v>
      </c>
      <c r="Q62" s="33"/>
      <c r="R62" s="33">
        <v>294000</v>
      </c>
      <c r="S62" s="33">
        <v>207372</v>
      </c>
      <c r="T62" s="33"/>
      <c r="U62" s="33"/>
      <c r="V62" s="33"/>
      <c r="W62" s="33">
        <f t="shared" si="6"/>
        <v>1086372</v>
      </c>
      <c r="X62" s="34">
        <f>N62-W62</f>
        <v>5413628</v>
      </c>
    </row>
    <row r="63" spans="1:24" ht="24.95" customHeight="1" x14ac:dyDescent="0.25">
      <c r="A63" s="29" t="s">
        <v>83</v>
      </c>
      <c r="B63" s="27">
        <v>1</v>
      </c>
      <c r="C63" s="30" t="s">
        <v>84</v>
      </c>
      <c r="D63" s="30" t="s">
        <v>31</v>
      </c>
      <c r="E63" s="31" t="s">
        <v>32</v>
      </c>
      <c r="F63" s="33">
        <v>912000</v>
      </c>
      <c r="G63" s="32">
        <v>30</v>
      </c>
      <c r="H63" s="32">
        <f t="shared" si="1"/>
        <v>912000</v>
      </c>
      <c r="I63" s="33">
        <v>88211</v>
      </c>
      <c r="J63" s="33"/>
      <c r="K63" s="33"/>
      <c r="L63" s="33"/>
      <c r="M63" s="33"/>
      <c r="N63" s="33">
        <f t="shared" si="2"/>
        <v>1000211</v>
      </c>
      <c r="O63" s="33">
        <f>+F63*0.04</f>
        <v>36480</v>
      </c>
      <c r="P63" s="33">
        <f>+F63*0.04</f>
        <v>36480</v>
      </c>
      <c r="Q63" s="33"/>
      <c r="R63" s="33"/>
      <c r="S63" s="33"/>
      <c r="T63" s="33"/>
      <c r="U63" s="33"/>
      <c r="V63" s="33"/>
      <c r="W63" s="33">
        <f>SUM(O63:V63)</f>
        <v>72960</v>
      </c>
      <c r="X63" s="37">
        <f>N63-W63</f>
        <v>927251</v>
      </c>
    </row>
    <row r="64" spans="1:24" ht="24.95" customHeight="1" x14ac:dyDescent="0.25">
      <c r="A64" s="29"/>
      <c r="B64" s="27">
        <v>2</v>
      </c>
      <c r="C64" s="30" t="s">
        <v>85</v>
      </c>
      <c r="D64" s="30" t="s">
        <v>31</v>
      </c>
      <c r="E64" s="31" t="s">
        <v>32</v>
      </c>
      <c r="F64" s="33">
        <v>3000000</v>
      </c>
      <c r="G64" s="32">
        <v>30</v>
      </c>
      <c r="H64" s="32">
        <f t="shared" si="1"/>
        <v>3000000</v>
      </c>
      <c r="I64" s="33"/>
      <c r="J64" s="33"/>
      <c r="K64" s="33"/>
      <c r="L64" s="33"/>
      <c r="M64" s="33">
        <f>+F64-H64</f>
        <v>0</v>
      </c>
      <c r="N64" s="33">
        <f t="shared" si="2"/>
        <v>3000000</v>
      </c>
      <c r="O64" s="33">
        <f>+F64*0.04</f>
        <v>120000</v>
      </c>
      <c r="P64" s="33">
        <f>+F64*0.04</f>
        <v>120000</v>
      </c>
      <c r="Q64" s="33"/>
      <c r="R64" s="33">
        <v>95000</v>
      </c>
      <c r="S64" s="33"/>
      <c r="T64" s="33"/>
      <c r="U64" s="33"/>
      <c r="V64" s="33"/>
      <c r="W64" s="33">
        <f t="shared" ref="W64:W112" si="24">SUM(O64:V64)</f>
        <v>335000</v>
      </c>
      <c r="X64" s="37">
        <f>N64-W64</f>
        <v>2665000</v>
      </c>
    </row>
    <row r="65" spans="1:24" ht="24.95" customHeight="1" x14ac:dyDescent="0.25">
      <c r="A65" s="29"/>
      <c r="B65" s="27">
        <v>3</v>
      </c>
      <c r="C65" s="38" t="s">
        <v>86</v>
      </c>
      <c r="D65" s="30" t="s">
        <v>31</v>
      </c>
      <c r="E65" s="31" t="s">
        <v>32</v>
      </c>
      <c r="F65" s="33">
        <v>2500000</v>
      </c>
      <c r="G65" s="32">
        <v>30</v>
      </c>
      <c r="H65" s="32">
        <f t="shared" si="1"/>
        <v>2500000</v>
      </c>
      <c r="I65" s="33"/>
      <c r="J65" s="33"/>
      <c r="K65" s="33">
        <v>0</v>
      </c>
      <c r="L65" s="33"/>
      <c r="M65" s="33"/>
      <c r="N65" s="33">
        <f t="shared" si="2"/>
        <v>2500000</v>
      </c>
      <c r="O65" s="33">
        <f>+F65*4%</f>
        <v>100000</v>
      </c>
      <c r="P65" s="33">
        <f>+F65*4%</f>
        <v>100000</v>
      </c>
      <c r="Q65" s="33"/>
      <c r="R65" s="33"/>
      <c r="S65" s="33"/>
      <c r="T65" s="33"/>
      <c r="U65" s="33"/>
      <c r="V65" s="33"/>
      <c r="W65" s="33">
        <f t="shared" si="24"/>
        <v>200000</v>
      </c>
      <c r="X65" s="37">
        <f>N65-W65</f>
        <v>2300000</v>
      </c>
    </row>
    <row r="66" spans="1:24" s="21" customFormat="1" ht="24.95" customHeight="1" x14ac:dyDescent="0.25">
      <c r="A66" s="29"/>
      <c r="B66" s="16">
        <v>4</v>
      </c>
      <c r="C66" s="17" t="s">
        <v>87</v>
      </c>
      <c r="D66" s="17" t="s">
        <v>31</v>
      </c>
      <c r="E66" s="18" t="s">
        <v>32</v>
      </c>
      <c r="F66" s="6">
        <v>3000000</v>
      </c>
      <c r="G66" s="19">
        <v>30</v>
      </c>
      <c r="H66" s="19">
        <f t="shared" si="1"/>
        <v>3000000</v>
      </c>
      <c r="I66" s="6">
        <v>0</v>
      </c>
      <c r="J66" s="6"/>
      <c r="K66" s="6"/>
      <c r="L66" s="6"/>
      <c r="M66" s="6"/>
      <c r="N66" s="6">
        <f t="shared" si="2"/>
        <v>3000000</v>
      </c>
      <c r="O66" s="6">
        <f>+F66*4%</f>
        <v>120000</v>
      </c>
      <c r="P66" s="6">
        <f>+F66*4%</f>
        <v>120000</v>
      </c>
      <c r="Q66" s="6"/>
      <c r="R66" s="6"/>
      <c r="S66" s="43"/>
      <c r="T66" s="6"/>
      <c r="U66" s="6"/>
      <c r="V66" s="6"/>
      <c r="W66" s="6">
        <f t="shared" si="24"/>
        <v>240000</v>
      </c>
      <c r="X66" s="20">
        <f t="shared" ref="X66:X76" si="25">+N66-W66</f>
        <v>2760000</v>
      </c>
    </row>
    <row r="67" spans="1:24" ht="24.95" customHeight="1" x14ac:dyDescent="0.25">
      <c r="A67" s="29"/>
      <c r="B67" s="27">
        <v>5</v>
      </c>
      <c r="C67" s="30" t="s">
        <v>156</v>
      </c>
      <c r="D67" s="30" t="s">
        <v>31</v>
      </c>
      <c r="E67" s="31" t="s">
        <v>102</v>
      </c>
      <c r="F67" s="33">
        <v>781242</v>
      </c>
      <c r="G67" s="32">
        <v>15</v>
      </c>
      <c r="H67" s="32">
        <f t="shared" si="1"/>
        <v>390621</v>
      </c>
      <c r="I67" s="33">
        <v>195310</v>
      </c>
      <c r="J67" s="33"/>
      <c r="K67" s="33"/>
      <c r="L67" s="33"/>
      <c r="M67" s="33"/>
      <c r="N67" s="33">
        <f t="shared" si="2"/>
        <v>585931</v>
      </c>
      <c r="O67" s="33">
        <v>0</v>
      </c>
      <c r="P67" s="33">
        <v>0</v>
      </c>
      <c r="Q67" s="33"/>
      <c r="R67" s="33"/>
      <c r="S67" s="36"/>
      <c r="T67" s="33"/>
      <c r="U67" s="33"/>
      <c r="V67" s="33"/>
      <c r="W67" s="33">
        <f t="shared" ref="W67" si="26">SUM(O67:V67)</f>
        <v>0</v>
      </c>
      <c r="X67" s="37">
        <f t="shared" si="25"/>
        <v>585931</v>
      </c>
    </row>
    <row r="68" spans="1:24" ht="24.95" customHeight="1" x14ac:dyDescent="0.25">
      <c r="A68" s="29"/>
      <c r="B68" s="27">
        <v>6</v>
      </c>
      <c r="C68" s="30" t="s">
        <v>89</v>
      </c>
      <c r="D68" s="30" t="s">
        <v>31</v>
      </c>
      <c r="E68" s="31" t="s">
        <v>32</v>
      </c>
      <c r="F68" s="33">
        <v>2200000</v>
      </c>
      <c r="G68" s="32">
        <v>30</v>
      </c>
      <c r="H68" s="32">
        <f>+F68-M68</f>
        <v>2126667</v>
      </c>
      <c r="I68" s="33"/>
      <c r="J68" s="33"/>
      <c r="K68" s="33"/>
      <c r="L68" s="33"/>
      <c r="M68" s="33">
        <v>73333</v>
      </c>
      <c r="N68" s="33">
        <f t="shared" si="2"/>
        <v>2200000</v>
      </c>
      <c r="O68" s="33">
        <f>+F68*4%</f>
        <v>88000</v>
      </c>
      <c r="P68" s="33">
        <f>+F68*4%</f>
        <v>88000</v>
      </c>
      <c r="Q68" s="33"/>
      <c r="R68" s="33"/>
      <c r="S68" s="36"/>
      <c r="T68" s="33"/>
      <c r="U68" s="33"/>
      <c r="V68" s="33"/>
      <c r="W68" s="33">
        <f t="shared" si="24"/>
        <v>176000</v>
      </c>
      <c r="X68" s="37">
        <f t="shared" si="25"/>
        <v>2024000</v>
      </c>
    </row>
    <row r="69" spans="1:24" ht="24.95" customHeight="1" x14ac:dyDescent="0.25">
      <c r="A69" s="29"/>
      <c r="B69" s="27">
        <v>7</v>
      </c>
      <c r="C69" s="30" t="s">
        <v>90</v>
      </c>
      <c r="D69" s="30" t="s">
        <v>31</v>
      </c>
      <c r="E69" s="31" t="s">
        <v>32</v>
      </c>
      <c r="F69" s="33">
        <v>1800000</v>
      </c>
      <c r="G69" s="32">
        <v>30</v>
      </c>
      <c r="H69" s="32">
        <f>+F69-M69</f>
        <v>1740000</v>
      </c>
      <c r="I69" s="33">
        <v>0</v>
      </c>
      <c r="J69" s="33"/>
      <c r="K69" s="33"/>
      <c r="L69" s="33"/>
      <c r="M69" s="33">
        <v>60000</v>
      </c>
      <c r="N69" s="33">
        <f t="shared" si="2"/>
        <v>1800000</v>
      </c>
      <c r="O69" s="33">
        <f>+F69*4%</f>
        <v>72000</v>
      </c>
      <c r="P69" s="33">
        <f>+F69*4%</f>
        <v>72000</v>
      </c>
      <c r="Q69" s="33"/>
      <c r="R69" s="33"/>
      <c r="S69" s="33">
        <v>0</v>
      </c>
      <c r="T69" s="33"/>
      <c r="U69" s="33"/>
      <c r="V69" s="33"/>
      <c r="W69" s="33">
        <f t="shared" si="24"/>
        <v>144000</v>
      </c>
      <c r="X69" s="37">
        <f t="shared" si="25"/>
        <v>1656000</v>
      </c>
    </row>
    <row r="70" spans="1:24" ht="24.95" customHeight="1" x14ac:dyDescent="0.25">
      <c r="A70" s="29"/>
      <c r="B70" s="27">
        <v>8</v>
      </c>
      <c r="C70" s="30" t="s">
        <v>91</v>
      </c>
      <c r="D70" s="30" t="s">
        <v>31</v>
      </c>
      <c r="E70" s="31" t="s">
        <v>32</v>
      </c>
      <c r="F70" s="33">
        <v>781242</v>
      </c>
      <c r="G70" s="32">
        <v>30</v>
      </c>
      <c r="H70" s="32">
        <f t="shared" si="1"/>
        <v>781242</v>
      </c>
      <c r="I70" s="33">
        <v>88211</v>
      </c>
      <c r="J70" s="33"/>
      <c r="K70" s="33"/>
      <c r="L70" s="33"/>
      <c r="M70" s="33"/>
      <c r="N70" s="33">
        <f t="shared" si="2"/>
        <v>869453</v>
      </c>
      <c r="O70" s="33">
        <v>31250</v>
      </c>
      <c r="P70" s="33">
        <v>31250</v>
      </c>
      <c r="Q70" s="33"/>
      <c r="R70" s="33"/>
      <c r="S70" s="36"/>
      <c r="T70" s="33"/>
      <c r="U70" s="33"/>
      <c r="V70" s="33"/>
      <c r="W70" s="33">
        <f t="shared" si="24"/>
        <v>62500</v>
      </c>
      <c r="X70" s="37">
        <f t="shared" si="25"/>
        <v>806953</v>
      </c>
    </row>
    <row r="71" spans="1:24" ht="24.95" customHeight="1" x14ac:dyDescent="0.25">
      <c r="A71" s="29"/>
      <c r="B71" s="27">
        <v>9</v>
      </c>
      <c r="C71" s="30" t="s">
        <v>92</v>
      </c>
      <c r="D71" s="30" t="s">
        <v>31</v>
      </c>
      <c r="E71" s="31" t="s">
        <v>32</v>
      </c>
      <c r="F71" s="33">
        <v>3000000</v>
      </c>
      <c r="G71" s="32">
        <v>30</v>
      </c>
      <c r="H71" s="32">
        <f t="shared" si="1"/>
        <v>3000000</v>
      </c>
      <c r="I71" s="33"/>
      <c r="J71" s="33"/>
      <c r="K71" s="33"/>
      <c r="L71" s="33"/>
      <c r="M71" s="33"/>
      <c r="N71" s="33">
        <f t="shared" si="2"/>
        <v>3000000</v>
      </c>
      <c r="O71" s="33">
        <f t="shared" ref="O71:O77" si="27">+F71*4%</f>
        <v>120000</v>
      </c>
      <c r="P71" s="33">
        <f>+F71*4%</f>
        <v>120000</v>
      </c>
      <c r="Q71" s="33"/>
      <c r="R71" s="33">
        <v>114000</v>
      </c>
      <c r="S71" s="33"/>
      <c r="T71" s="33"/>
      <c r="U71" s="33"/>
      <c r="V71" s="33"/>
      <c r="W71" s="33">
        <f t="shared" si="24"/>
        <v>354000</v>
      </c>
      <c r="X71" s="37">
        <f t="shared" si="25"/>
        <v>2646000</v>
      </c>
    </row>
    <row r="72" spans="1:24" ht="24.95" customHeight="1" x14ac:dyDescent="0.25">
      <c r="A72" s="29"/>
      <c r="B72" s="27">
        <v>10</v>
      </c>
      <c r="C72" s="30" t="s">
        <v>94</v>
      </c>
      <c r="D72" s="30" t="s">
        <v>31</v>
      </c>
      <c r="E72" s="31" t="s">
        <v>32</v>
      </c>
      <c r="F72" s="33">
        <v>2500000</v>
      </c>
      <c r="G72" s="32">
        <v>30</v>
      </c>
      <c r="H72" s="32">
        <f t="shared" si="1"/>
        <v>2500000</v>
      </c>
      <c r="I72" s="33"/>
      <c r="J72" s="33"/>
      <c r="K72" s="33"/>
      <c r="L72" s="33">
        <v>700000</v>
      </c>
      <c r="M72" s="33"/>
      <c r="N72" s="33">
        <f t="shared" si="2"/>
        <v>3200000</v>
      </c>
      <c r="O72" s="33">
        <f t="shared" si="27"/>
        <v>100000</v>
      </c>
      <c r="P72" s="33">
        <f>+F72*4%</f>
        <v>100000</v>
      </c>
      <c r="Q72" s="33"/>
      <c r="R72" s="33"/>
      <c r="S72" s="33">
        <v>0</v>
      </c>
      <c r="T72" s="33"/>
      <c r="U72" s="33"/>
      <c r="V72" s="33">
        <v>200210</v>
      </c>
      <c r="W72" s="33">
        <f t="shared" si="24"/>
        <v>400210</v>
      </c>
      <c r="X72" s="37">
        <f t="shared" si="25"/>
        <v>2799790</v>
      </c>
    </row>
    <row r="73" spans="1:24" ht="24.95" customHeight="1" x14ac:dyDescent="0.25">
      <c r="A73" s="29"/>
      <c r="B73" s="27">
        <v>11</v>
      </c>
      <c r="C73" s="30" t="s">
        <v>95</v>
      </c>
      <c r="D73" s="30" t="s">
        <v>31</v>
      </c>
      <c r="E73" s="31" t="s">
        <v>32</v>
      </c>
      <c r="F73" s="33">
        <v>4000000</v>
      </c>
      <c r="G73" s="32">
        <v>30</v>
      </c>
      <c r="H73" s="32">
        <f t="shared" si="1"/>
        <v>4000000.0000000005</v>
      </c>
      <c r="I73" s="33"/>
      <c r="J73" s="33"/>
      <c r="K73" s="33"/>
      <c r="L73" s="33"/>
      <c r="M73" s="33"/>
      <c r="N73" s="33">
        <f t="shared" si="2"/>
        <v>4000000.0000000005</v>
      </c>
      <c r="O73" s="33">
        <f t="shared" si="27"/>
        <v>160000</v>
      </c>
      <c r="P73" s="33">
        <f>+F73*5%</f>
        <v>200000</v>
      </c>
      <c r="Q73" s="33">
        <v>0</v>
      </c>
      <c r="R73" s="33"/>
      <c r="S73" s="33">
        <v>0</v>
      </c>
      <c r="T73" s="33"/>
      <c r="U73" s="33"/>
      <c r="V73" s="33">
        <v>422966</v>
      </c>
      <c r="W73" s="33">
        <f t="shared" si="24"/>
        <v>782966</v>
      </c>
      <c r="X73" s="37">
        <f t="shared" si="25"/>
        <v>3217034.0000000005</v>
      </c>
    </row>
    <row r="74" spans="1:24" ht="24.95" customHeight="1" x14ac:dyDescent="0.25">
      <c r="A74" s="29"/>
      <c r="B74" s="27">
        <v>12</v>
      </c>
      <c r="C74" s="30" t="s">
        <v>96</v>
      </c>
      <c r="D74" s="30" t="s">
        <v>31</v>
      </c>
      <c r="E74" s="31" t="s">
        <v>32</v>
      </c>
      <c r="F74" s="33">
        <v>1500000</v>
      </c>
      <c r="G74" s="32">
        <v>30</v>
      </c>
      <c r="H74" s="32">
        <f>+F74-K74</f>
        <v>1500000</v>
      </c>
      <c r="I74" s="33">
        <v>88211</v>
      </c>
      <c r="J74" s="33"/>
      <c r="K74" s="33"/>
      <c r="L74" s="33"/>
      <c r="M74" s="33"/>
      <c r="N74" s="33">
        <f t="shared" si="2"/>
        <v>1588211</v>
      </c>
      <c r="O74" s="33">
        <f>+F74*4%</f>
        <v>60000</v>
      </c>
      <c r="P74" s="33">
        <f>+F74*4%</f>
        <v>60000</v>
      </c>
      <c r="Q74" s="33"/>
      <c r="R74" s="33"/>
      <c r="S74" s="33">
        <v>0</v>
      </c>
      <c r="T74" s="33"/>
      <c r="U74" s="33"/>
      <c r="V74" s="33"/>
      <c r="W74" s="33">
        <f t="shared" si="24"/>
        <v>120000</v>
      </c>
      <c r="X74" s="37">
        <f t="shared" si="25"/>
        <v>1468211</v>
      </c>
    </row>
    <row r="75" spans="1:24" ht="24.95" customHeight="1" x14ac:dyDescent="0.25">
      <c r="A75" s="29"/>
      <c r="B75" s="27">
        <v>13</v>
      </c>
      <c r="C75" s="30" t="s">
        <v>97</v>
      </c>
      <c r="D75" s="30" t="s">
        <v>31</v>
      </c>
      <c r="E75" s="31" t="s">
        <v>32</v>
      </c>
      <c r="F75" s="33">
        <v>3000000</v>
      </c>
      <c r="G75" s="32">
        <v>30</v>
      </c>
      <c r="H75" s="32">
        <f t="shared" si="1"/>
        <v>3000000</v>
      </c>
      <c r="I75" s="33"/>
      <c r="J75" s="33"/>
      <c r="K75" s="33"/>
      <c r="L75" s="33">
        <v>200000</v>
      </c>
      <c r="M75" s="33"/>
      <c r="N75" s="33">
        <f t="shared" si="2"/>
        <v>3200000</v>
      </c>
      <c r="O75" s="33">
        <f t="shared" si="27"/>
        <v>120000</v>
      </c>
      <c r="P75" s="33">
        <f>+F75*0.04</f>
        <v>120000</v>
      </c>
      <c r="Q75" s="33"/>
      <c r="R75" s="33"/>
      <c r="S75" s="33">
        <v>0</v>
      </c>
      <c r="T75" s="33"/>
      <c r="U75" s="33"/>
      <c r="V75" s="33">
        <v>323803</v>
      </c>
      <c r="W75" s="33">
        <f t="shared" si="24"/>
        <v>563803</v>
      </c>
      <c r="X75" s="37">
        <f t="shared" si="25"/>
        <v>2636197</v>
      </c>
    </row>
    <row r="76" spans="1:24" ht="24.95" customHeight="1" x14ac:dyDescent="0.25">
      <c r="A76" s="29"/>
      <c r="B76" s="27">
        <v>14</v>
      </c>
      <c r="C76" s="30" t="s">
        <v>98</v>
      </c>
      <c r="D76" s="30" t="s">
        <v>31</v>
      </c>
      <c r="E76" s="31" t="s">
        <v>32</v>
      </c>
      <c r="F76" s="33">
        <v>2000000</v>
      </c>
      <c r="G76" s="32">
        <v>30</v>
      </c>
      <c r="H76" s="32">
        <f t="shared" si="1"/>
        <v>2000000.0000000002</v>
      </c>
      <c r="I76" s="33"/>
      <c r="J76" s="33"/>
      <c r="K76" s="33"/>
      <c r="L76" s="33"/>
      <c r="M76" s="33"/>
      <c r="N76" s="33">
        <f t="shared" si="2"/>
        <v>2000000.0000000002</v>
      </c>
      <c r="O76" s="33">
        <f t="shared" si="27"/>
        <v>80000</v>
      </c>
      <c r="P76" s="33">
        <f>+F76*4%</f>
        <v>80000</v>
      </c>
      <c r="Q76" s="33"/>
      <c r="R76" s="33"/>
      <c r="S76" s="33">
        <v>0</v>
      </c>
      <c r="T76" s="33"/>
      <c r="U76" s="33"/>
      <c r="V76" s="33"/>
      <c r="W76" s="33">
        <f t="shared" si="24"/>
        <v>160000</v>
      </c>
      <c r="X76" s="37">
        <f t="shared" si="25"/>
        <v>1840000.0000000002</v>
      </c>
    </row>
    <row r="77" spans="1:24" ht="24.95" customHeight="1" x14ac:dyDescent="0.25">
      <c r="A77" s="29"/>
      <c r="B77" s="27">
        <v>15</v>
      </c>
      <c r="C77" s="38" t="s">
        <v>99</v>
      </c>
      <c r="D77" s="30" t="s">
        <v>31</v>
      </c>
      <c r="E77" s="31" t="s">
        <v>32</v>
      </c>
      <c r="F77" s="33">
        <v>4500000</v>
      </c>
      <c r="G77" s="32">
        <v>30</v>
      </c>
      <c r="H77" s="32">
        <f t="shared" si="1"/>
        <v>4500000</v>
      </c>
      <c r="I77" s="33"/>
      <c r="J77" s="33"/>
      <c r="K77" s="33"/>
      <c r="L77" s="33"/>
      <c r="M77" s="33"/>
      <c r="N77" s="33">
        <f t="shared" si="2"/>
        <v>4500000</v>
      </c>
      <c r="O77" s="33">
        <f t="shared" si="27"/>
        <v>180000</v>
      </c>
      <c r="P77" s="33">
        <f>+F77*5%</f>
        <v>225000</v>
      </c>
      <c r="Q77" s="33"/>
      <c r="R77" s="33">
        <v>10000</v>
      </c>
      <c r="S77" s="33">
        <v>0</v>
      </c>
      <c r="T77" s="33"/>
      <c r="U77" s="33"/>
      <c r="V77" s="33"/>
      <c r="W77" s="33">
        <f t="shared" si="24"/>
        <v>415000</v>
      </c>
      <c r="X77" s="37">
        <f t="shared" ref="X77:X85" si="28">N77-W77</f>
        <v>4085000</v>
      </c>
    </row>
    <row r="78" spans="1:24" ht="24.95" customHeight="1" x14ac:dyDescent="0.25">
      <c r="A78" s="29"/>
      <c r="B78" s="27">
        <v>16</v>
      </c>
      <c r="C78" s="30" t="s">
        <v>101</v>
      </c>
      <c r="D78" s="30" t="s">
        <v>31</v>
      </c>
      <c r="E78" s="31" t="s">
        <v>32</v>
      </c>
      <c r="F78" s="33">
        <v>1000000</v>
      </c>
      <c r="G78" s="32">
        <v>30</v>
      </c>
      <c r="H78" s="32">
        <f t="shared" si="1"/>
        <v>1000000.0000000001</v>
      </c>
      <c r="I78" s="33">
        <v>88211</v>
      </c>
      <c r="J78" s="33"/>
      <c r="K78" s="33"/>
      <c r="L78" s="33"/>
      <c r="M78" s="33"/>
      <c r="N78" s="33">
        <f t="shared" si="2"/>
        <v>1088211</v>
      </c>
      <c r="O78" s="33">
        <f>+F78*4%</f>
        <v>40000</v>
      </c>
      <c r="P78" s="33">
        <f>+F78*4%</f>
        <v>40000</v>
      </c>
      <c r="Q78" s="33"/>
      <c r="R78" s="33"/>
      <c r="S78" s="33"/>
      <c r="T78" s="33"/>
      <c r="U78" s="33"/>
      <c r="V78" s="33"/>
      <c r="W78" s="33">
        <f t="shared" si="24"/>
        <v>80000</v>
      </c>
      <c r="X78" s="37">
        <f t="shared" si="28"/>
        <v>1008211</v>
      </c>
    </row>
    <row r="79" spans="1:24" ht="24.95" customHeight="1" x14ac:dyDescent="0.25">
      <c r="A79" s="29"/>
      <c r="B79" s="27">
        <v>17</v>
      </c>
      <c r="C79" s="30" t="s">
        <v>103</v>
      </c>
      <c r="D79" s="30" t="s">
        <v>31</v>
      </c>
      <c r="E79" s="31" t="s">
        <v>32</v>
      </c>
      <c r="F79" s="33">
        <v>4200000</v>
      </c>
      <c r="G79" s="32">
        <v>30</v>
      </c>
      <c r="H79" s="32">
        <f t="shared" ref="H79:H111" si="29">+F79/30*G79</f>
        <v>4200000</v>
      </c>
      <c r="I79" s="33"/>
      <c r="J79" s="33"/>
      <c r="K79" s="33"/>
      <c r="L79" s="33"/>
      <c r="M79" s="33"/>
      <c r="N79" s="33">
        <f t="shared" ref="N79:N112" si="30">+H79+I79+K79+L79+M79+J79</f>
        <v>4200000</v>
      </c>
      <c r="O79" s="33">
        <f>+F79*0.04</f>
        <v>168000</v>
      </c>
      <c r="P79" s="33">
        <f>+F79*0.05</f>
        <v>210000</v>
      </c>
      <c r="Q79" s="33"/>
      <c r="R79" s="33"/>
      <c r="S79" s="33">
        <v>0</v>
      </c>
      <c r="T79" s="33"/>
      <c r="U79" s="33"/>
      <c r="V79" s="33"/>
      <c r="W79" s="33">
        <f t="shared" si="24"/>
        <v>378000</v>
      </c>
      <c r="X79" s="37">
        <f t="shared" si="28"/>
        <v>3822000</v>
      </c>
    </row>
    <row r="80" spans="1:24" ht="24.95" customHeight="1" x14ac:dyDescent="0.25">
      <c r="A80" s="29"/>
      <c r="B80" s="27">
        <v>18</v>
      </c>
      <c r="C80" s="30" t="s">
        <v>104</v>
      </c>
      <c r="D80" s="30" t="s">
        <v>31</v>
      </c>
      <c r="E80" s="31" t="s">
        <v>32</v>
      </c>
      <c r="F80" s="33">
        <v>2500000</v>
      </c>
      <c r="G80" s="32">
        <v>30</v>
      </c>
      <c r="H80" s="32">
        <f t="shared" si="29"/>
        <v>2500000</v>
      </c>
      <c r="I80" s="33"/>
      <c r="J80" s="33"/>
      <c r="K80" s="33"/>
      <c r="L80" s="33"/>
      <c r="M80" s="33"/>
      <c r="N80" s="33">
        <f t="shared" si="30"/>
        <v>2500000</v>
      </c>
      <c r="O80" s="33">
        <f>+F80*4%</f>
        <v>100000</v>
      </c>
      <c r="P80" s="33">
        <f>+F80*4%</f>
        <v>100000</v>
      </c>
      <c r="Q80" s="33"/>
      <c r="R80" s="33"/>
      <c r="S80" s="33"/>
      <c r="T80" s="33"/>
      <c r="U80" s="33"/>
      <c r="V80" s="33"/>
      <c r="W80" s="33">
        <f t="shared" si="24"/>
        <v>200000</v>
      </c>
      <c r="X80" s="37">
        <f t="shared" si="28"/>
        <v>2300000</v>
      </c>
    </row>
    <row r="81" spans="1:24" ht="24.95" customHeight="1" x14ac:dyDescent="0.25">
      <c r="A81" s="29"/>
      <c r="B81" s="27">
        <v>19</v>
      </c>
      <c r="C81" s="30" t="s">
        <v>105</v>
      </c>
      <c r="D81" s="30" t="s">
        <v>31</v>
      </c>
      <c r="E81" s="31" t="s">
        <v>32</v>
      </c>
      <c r="F81" s="33">
        <v>1272000</v>
      </c>
      <c r="G81" s="32">
        <v>30</v>
      </c>
      <c r="H81" s="32">
        <f t="shared" si="29"/>
        <v>1272000</v>
      </c>
      <c r="I81" s="33">
        <v>88211</v>
      </c>
      <c r="J81" s="33">
        <v>66240</v>
      </c>
      <c r="K81" s="33"/>
      <c r="L81" s="33"/>
      <c r="M81" s="33"/>
      <c r="N81" s="33">
        <f t="shared" si="30"/>
        <v>1426451</v>
      </c>
      <c r="O81" s="33">
        <f>+F81*4%</f>
        <v>50880</v>
      </c>
      <c r="P81" s="33">
        <f>+F81*4%</f>
        <v>50880</v>
      </c>
      <c r="Q81" s="33"/>
      <c r="R81" s="33"/>
      <c r="S81" s="33"/>
      <c r="T81" s="33"/>
      <c r="U81" s="33"/>
      <c r="V81" s="33"/>
      <c r="W81" s="33">
        <f t="shared" si="24"/>
        <v>101760</v>
      </c>
      <c r="X81" s="37">
        <f t="shared" si="28"/>
        <v>1324691</v>
      </c>
    </row>
    <row r="82" spans="1:24" ht="24.95" customHeight="1" x14ac:dyDescent="0.25">
      <c r="A82" s="29"/>
      <c r="B82" s="27">
        <v>20</v>
      </c>
      <c r="C82" s="30" t="s">
        <v>106</v>
      </c>
      <c r="D82" s="30" t="s">
        <v>31</v>
      </c>
      <c r="E82" s="31" t="s">
        <v>32</v>
      </c>
      <c r="F82" s="33">
        <v>2500000</v>
      </c>
      <c r="G82" s="32">
        <v>30</v>
      </c>
      <c r="H82" s="32">
        <f t="shared" si="29"/>
        <v>2500000</v>
      </c>
      <c r="I82" s="33"/>
      <c r="J82" s="33"/>
      <c r="K82" s="33"/>
      <c r="L82" s="33"/>
      <c r="M82" s="33"/>
      <c r="N82" s="33">
        <f t="shared" si="30"/>
        <v>2500000</v>
      </c>
      <c r="O82" s="33">
        <f>+F82*4%</f>
        <v>100000</v>
      </c>
      <c r="P82" s="33">
        <f>+F82*4%</f>
        <v>100000</v>
      </c>
      <c r="Q82" s="33"/>
      <c r="R82" s="33">
        <v>380000</v>
      </c>
      <c r="S82" s="33">
        <v>0</v>
      </c>
      <c r="T82" s="33"/>
      <c r="U82" s="33"/>
      <c r="V82" s="33"/>
      <c r="W82" s="33">
        <f t="shared" si="24"/>
        <v>580000</v>
      </c>
      <c r="X82" s="37">
        <f t="shared" si="28"/>
        <v>1920000</v>
      </c>
    </row>
    <row r="83" spans="1:24" ht="24.95" customHeight="1" x14ac:dyDescent="0.25">
      <c r="A83" s="29"/>
      <c r="B83" s="27">
        <v>21</v>
      </c>
      <c r="C83" s="30" t="s">
        <v>107</v>
      </c>
      <c r="D83" s="30" t="s">
        <v>31</v>
      </c>
      <c r="E83" s="31" t="s">
        <v>102</v>
      </c>
      <c r="F83" s="33">
        <v>781242</v>
      </c>
      <c r="G83" s="32">
        <v>15</v>
      </c>
      <c r="H83" s="32">
        <f t="shared" si="29"/>
        <v>390621</v>
      </c>
      <c r="I83" s="33">
        <v>195310</v>
      </c>
      <c r="J83" s="33"/>
      <c r="K83" s="33"/>
      <c r="L83" s="33"/>
      <c r="M83" s="33"/>
      <c r="N83" s="33">
        <f t="shared" si="30"/>
        <v>585931</v>
      </c>
      <c r="O83" s="33"/>
      <c r="P83" s="33"/>
      <c r="Q83" s="33"/>
      <c r="R83" s="33"/>
      <c r="S83" s="33"/>
      <c r="T83" s="33"/>
      <c r="U83" s="33"/>
      <c r="V83" s="33"/>
      <c r="W83" s="33">
        <f t="shared" si="24"/>
        <v>0</v>
      </c>
      <c r="X83" s="37">
        <f t="shared" si="28"/>
        <v>585931</v>
      </c>
    </row>
    <row r="84" spans="1:24" ht="24.95" customHeight="1" x14ac:dyDescent="0.25">
      <c r="A84" s="29"/>
      <c r="B84" s="27">
        <v>22</v>
      </c>
      <c r="C84" s="38" t="s">
        <v>109</v>
      </c>
      <c r="D84" s="30" t="s">
        <v>31</v>
      </c>
      <c r="E84" s="31" t="s">
        <v>32</v>
      </c>
      <c r="F84" s="33">
        <v>1700000</v>
      </c>
      <c r="G84" s="32">
        <v>30</v>
      </c>
      <c r="H84" s="32">
        <f t="shared" si="29"/>
        <v>1700000</v>
      </c>
      <c r="I84" s="33"/>
      <c r="J84" s="33"/>
      <c r="K84" s="33"/>
      <c r="L84" s="33"/>
      <c r="M84" s="33"/>
      <c r="N84" s="33">
        <f t="shared" si="30"/>
        <v>1700000</v>
      </c>
      <c r="O84" s="33">
        <f t="shared" ref="O84:O92" si="31">+F84*4%</f>
        <v>68000</v>
      </c>
      <c r="P84" s="33">
        <f>+F84*4%</f>
        <v>68000</v>
      </c>
      <c r="Q84" s="33"/>
      <c r="R84" s="33"/>
      <c r="S84" s="33"/>
      <c r="T84" s="33"/>
      <c r="U84" s="33"/>
      <c r="V84" s="33"/>
      <c r="W84" s="33">
        <f t="shared" si="24"/>
        <v>136000</v>
      </c>
      <c r="X84" s="37">
        <f t="shared" si="28"/>
        <v>1564000</v>
      </c>
    </row>
    <row r="85" spans="1:24" ht="24.95" customHeight="1" x14ac:dyDescent="0.25">
      <c r="A85" s="29"/>
      <c r="B85" s="27">
        <v>23</v>
      </c>
      <c r="C85" s="38" t="s">
        <v>110</v>
      </c>
      <c r="D85" s="30" t="s">
        <v>31</v>
      </c>
      <c r="E85" s="31" t="s">
        <v>32</v>
      </c>
      <c r="F85" s="33">
        <v>2400000</v>
      </c>
      <c r="G85" s="32">
        <v>30</v>
      </c>
      <c r="H85" s="32">
        <f t="shared" si="29"/>
        <v>2400000</v>
      </c>
      <c r="I85" s="33"/>
      <c r="J85" s="33"/>
      <c r="K85" s="33"/>
      <c r="L85" s="33"/>
      <c r="M85" s="33">
        <f>+F85-H85</f>
        <v>0</v>
      </c>
      <c r="N85" s="33">
        <f t="shared" si="30"/>
        <v>2400000</v>
      </c>
      <c r="O85" s="33">
        <f t="shared" si="31"/>
        <v>96000</v>
      </c>
      <c r="P85" s="33">
        <f>+F85*4%</f>
        <v>96000</v>
      </c>
      <c r="Q85" s="33"/>
      <c r="R85" s="33"/>
      <c r="S85" s="33"/>
      <c r="T85" s="33"/>
      <c r="U85" s="33"/>
      <c r="V85" s="33"/>
      <c r="W85" s="33">
        <f t="shared" si="24"/>
        <v>192000</v>
      </c>
      <c r="X85" s="37">
        <f t="shared" si="28"/>
        <v>2208000</v>
      </c>
    </row>
    <row r="86" spans="1:24" ht="24.95" customHeight="1" x14ac:dyDescent="0.25">
      <c r="A86" s="29"/>
      <c r="B86" s="27">
        <v>24</v>
      </c>
      <c r="C86" s="30" t="s">
        <v>111</v>
      </c>
      <c r="D86" s="30" t="s">
        <v>31</v>
      </c>
      <c r="E86" s="31" t="s">
        <v>32</v>
      </c>
      <c r="F86" s="33">
        <v>2200000</v>
      </c>
      <c r="G86" s="32">
        <v>30</v>
      </c>
      <c r="H86" s="32">
        <f t="shared" si="29"/>
        <v>2200000</v>
      </c>
      <c r="I86" s="33"/>
      <c r="J86" s="33"/>
      <c r="K86" s="33"/>
      <c r="L86" s="33"/>
      <c r="M86" s="33"/>
      <c r="N86" s="33">
        <f t="shared" si="30"/>
        <v>2200000</v>
      </c>
      <c r="O86" s="33">
        <f t="shared" si="31"/>
        <v>88000</v>
      </c>
      <c r="P86" s="33">
        <f>+F86*4%</f>
        <v>88000</v>
      </c>
      <c r="Q86" s="33"/>
      <c r="R86" s="33"/>
      <c r="S86" s="33">
        <v>0</v>
      </c>
      <c r="T86" s="33"/>
      <c r="U86" s="33"/>
      <c r="V86" s="33"/>
      <c r="W86" s="33">
        <f t="shared" si="24"/>
        <v>176000</v>
      </c>
      <c r="X86" s="37">
        <f>+N86-W86</f>
        <v>2024000</v>
      </c>
    </row>
    <row r="87" spans="1:24" ht="24.95" customHeight="1" x14ac:dyDescent="0.25">
      <c r="A87" s="29"/>
      <c r="B87" s="27">
        <v>25</v>
      </c>
      <c r="C87" s="30" t="s">
        <v>114</v>
      </c>
      <c r="D87" s="30" t="s">
        <v>31</v>
      </c>
      <c r="E87" s="31" t="s">
        <v>32</v>
      </c>
      <c r="F87" s="33">
        <v>5500000</v>
      </c>
      <c r="G87" s="32">
        <v>30</v>
      </c>
      <c r="H87" s="32">
        <f>+F87-K87</f>
        <v>5500000</v>
      </c>
      <c r="I87" s="33"/>
      <c r="J87" s="33"/>
      <c r="K87" s="33"/>
      <c r="L87" s="33">
        <v>500000</v>
      </c>
      <c r="M87" s="33">
        <v>0</v>
      </c>
      <c r="N87" s="33">
        <f t="shared" si="30"/>
        <v>6000000</v>
      </c>
      <c r="O87" s="33">
        <f t="shared" si="31"/>
        <v>220000</v>
      </c>
      <c r="P87" s="33">
        <f>+F87*5%</f>
        <v>275000</v>
      </c>
      <c r="Q87" s="33"/>
      <c r="R87" s="33"/>
      <c r="S87" s="36">
        <v>69147</v>
      </c>
      <c r="T87" s="33"/>
      <c r="U87" s="33"/>
      <c r="V87" s="33">
        <v>480989</v>
      </c>
      <c r="W87" s="33">
        <f t="shared" si="24"/>
        <v>1045136</v>
      </c>
      <c r="X87" s="37">
        <f t="shared" ref="X87:X90" si="32">+N87-W87</f>
        <v>4954864</v>
      </c>
    </row>
    <row r="88" spans="1:24" ht="24.95" customHeight="1" x14ac:dyDescent="0.25">
      <c r="A88" s="29"/>
      <c r="B88" s="27">
        <v>26</v>
      </c>
      <c r="C88" s="30" t="s">
        <v>116</v>
      </c>
      <c r="D88" s="30" t="s">
        <v>31</v>
      </c>
      <c r="E88" s="31" t="s">
        <v>32</v>
      </c>
      <c r="F88" s="33">
        <v>781242</v>
      </c>
      <c r="G88" s="32">
        <v>30</v>
      </c>
      <c r="H88" s="32">
        <f t="shared" si="29"/>
        <v>781242</v>
      </c>
      <c r="I88" s="33">
        <v>88211</v>
      </c>
      <c r="J88" s="33"/>
      <c r="K88" s="33"/>
      <c r="L88" s="33"/>
      <c r="M88" s="33"/>
      <c r="N88" s="33">
        <f t="shared" si="30"/>
        <v>869453</v>
      </c>
      <c r="O88" s="33">
        <f t="shared" si="31"/>
        <v>31249.68</v>
      </c>
      <c r="P88" s="33">
        <f>+F88*4%</f>
        <v>31249.68</v>
      </c>
      <c r="Q88" s="33"/>
      <c r="R88" s="33"/>
      <c r="S88" s="36"/>
      <c r="T88" s="33"/>
      <c r="U88" s="33"/>
      <c r="V88" s="33"/>
      <c r="W88" s="33">
        <f t="shared" si="24"/>
        <v>62499.360000000001</v>
      </c>
      <c r="X88" s="37">
        <f t="shared" si="32"/>
        <v>806953.64</v>
      </c>
    </row>
    <row r="89" spans="1:24" ht="24.95" customHeight="1" x14ac:dyDescent="0.25">
      <c r="A89" s="29"/>
      <c r="B89" s="27">
        <v>27</v>
      </c>
      <c r="C89" s="30" t="s">
        <v>61</v>
      </c>
      <c r="D89" s="30" t="s">
        <v>31</v>
      </c>
      <c r="E89" s="31" t="s">
        <v>32</v>
      </c>
      <c r="F89" s="33">
        <v>3500000</v>
      </c>
      <c r="G89" s="32">
        <v>30</v>
      </c>
      <c r="H89" s="32">
        <f t="shared" si="29"/>
        <v>3500000</v>
      </c>
      <c r="I89" s="33"/>
      <c r="J89" s="33"/>
      <c r="K89" s="33"/>
      <c r="L89" s="33"/>
      <c r="M89" s="33"/>
      <c r="N89" s="33">
        <f>+H89+I89+K89+L89+M89+J89</f>
        <v>3500000</v>
      </c>
      <c r="O89" s="33">
        <f t="shared" ref="O89" si="33">F89*4/100</f>
        <v>140000</v>
      </c>
      <c r="P89" s="33">
        <f t="shared" ref="P89" si="34">+F89*0.05</f>
        <v>175000</v>
      </c>
      <c r="Q89" s="33"/>
      <c r="R89" s="33"/>
      <c r="S89" s="36">
        <v>0</v>
      </c>
      <c r="T89" s="33"/>
      <c r="U89" s="33">
        <v>111000</v>
      </c>
      <c r="V89" s="33"/>
      <c r="W89" s="33">
        <f t="shared" si="24"/>
        <v>426000</v>
      </c>
      <c r="X89" s="34">
        <f>N89-W89</f>
        <v>3074000</v>
      </c>
    </row>
    <row r="90" spans="1:24" ht="24.95" customHeight="1" x14ac:dyDescent="0.25">
      <c r="A90" s="29"/>
      <c r="B90" s="27">
        <v>28</v>
      </c>
      <c r="C90" s="30" t="s">
        <v>118</v>
      </c>
      <c r="D90" s="30" t="s">
        <v>31</v>
      </c>
      <c r="E90" s="31" t="s">
        <v>32</v>
      </c>
      <c r="F90" s="33">
        <v>2200000</v>
      </c>
      <c r="G90" s="32">
        <v>30</v>
      </c>
      <c r="H90" s="32">
        <f t="shared" si="29"/>
        <v>2200000</v>
      </c>
      <c r="I90" s="33"/>
      <c r="J90" s="33"/>
      <c r="K90" s="33"/>
      <c r="L90" s="33"/>
      <c r="M90" s="33"/>
      <c r="N90" s="33">
        <f t="shared" si="30"/>
        <v>2200000</v>
      </c>
      <c r="O90" s="33">
        <f t="shared" si="31"/>
        <v>88000</v>
      </c>
      <c r="P90" s="33">
        <f>+F90*4%</f>
        <v>88000</v>
      </c>
      <c r="Q90" s="33"/>
      <c r="R90" s="33"/>
      <c r="S90" s="36">
        <v>0</v>
      </c>
      <c r="T90" s="33"/>
      <c r="U90" s="33"/>
      <c r="V90" s="33"/>
      <c r="W90" s="33">
        <f t="shared" si="24"/>
        <v>176000</v>
      </c>
      <c r="X90" s="37">
        <f t="shared" si="32"/>
        <v>2024000</v>
      </c>
    </row>
    <row r="91" spans="1:24" ht="24.95" customHeight="1" x14ac:dyDescent="0.25">
      <c r="A91" s="29"/>
      <c r="B91" s="27">
        <v>29</v>
      </c>
      <c r="C91" s="30" t="s">
        <v>122</v>
      </c>
      <c r="D91" s="30" t="s">
        <v>31</v>
      </c>
      <c r="E91" s="31" t="s">
        <v>32</v>
      </c>
      <c r="F91" s="33">
        <v>3500000</v>
      </c>
      <c r="G91" s="32">
        <v>30</v>
      </c>
      <c r="H91" s="32">
        <f t="shared" si="29"/>
        <v>3500000</v>
      </c>
      <c r="I91" s="33"/>
      <c r="J91" s="33"/>
      <c r="K91" s="33"/>
      <c r="L91" s="33"/>
      <c r="M91" s="33"/>
      <c r="N91" s="33">
        <f t="shared" si="30"/>
        <v>3500000</v>
      </c>
      <c r="O91" s="33">
        <f t="shared" si="31"/>
        <v>140000</v>
      </c>
      <c r="P91" s="33">
        <f>+F91*5%</f>
        <v>175000</v>
      </c>
      <c r="Q91" s="33">
        <v>0</v>
      </c>
      <c r="R91" s="33"/>
      <c r="S91" s="33">
        <v>0</v>
      </c>
      <c r="T91" s="33"/>
      <c r="U91" s="33"/>
      <c r="V91" s="33"/>
      <c r="W91" s="33">
        <f t="shared" si="24"/>
        <v>315000</v>
      </c>
      <c r="X91" s="37">
        <f t="shared" ref="X91:X97" si="35">N91-W91</f>
        <v>3185000</v>
      </c>
    </row>
    <row r="92" spans="1:24" ht="24.95" customHeight="1" x14ac:dyDescent="0.25">
      <c r="A92" s="29"/>
      <c r="B92" s="27">
        <v>30</v>
      </c>
      <c r="C92" s="30" t="s">
        <v>123</v>
      </c>
      <c r="D92" s="30" t="s">
        <v>31</v>
      </c>
      <c r="E92" s="31" t="s">
        <v>32</v>
      </c>
      <c r="F92" s="33">
        <v>2200000</v>
      </c>
      <c r="G92" s="32">
        <v>30</v>
      </c>
      <c r="H92" s="32">
        <f>+F92-M92</f>
        <v>2200000</v>
      </c>
      <c r="I92" s="33"/>
      <c r="J92" s="33"/>
      <c r="K92" s="33"/>
      <c r="L92" s="33"/>
      <c r="M92" s="33"/>
      <c r="N92" s="33">
        <f t="shared" si="30"/>
        <v>2200000</v>
      </c>
      <c r="O92" s="33">
        <f t="shared" si="31"/>
        <v>88000</v>
      </c>
      <c r="P92" s="33">
        <f>+F92*4%</f>
        <v>88000</v>
      </c>
      <c r="Q92" s="33"/>
      <c r="R92" s="33"/>
      <c r="S92" s="33"/>
      <c r="T92" s="33"/>
      <c r="U92" s="33"/>
      <c r="V92" s="33"/>
      <c r="W92" s="33">
        <f t="shared" si="24"/>
        <v>176000</v>
      </c>
      <c r="X92" s="37">
        <f t="shared" si="35"/>
        <v>2024000</v>
      </c>
    </row>
    <row r="93" spans="1:24" ht="24.95" customHeight="1" x14ac:dyDescent="0.25">
      <c r="A93" s="29"/>
      <c r="B93" s="27">
        <v>31</v>
      </c>
      <c r="C93" s="38" t="s">
        <v>124</v>
      </c>
      <c r="D93" s="30" t="s">
        <v>31</v>
      </c>
      <c r="E93" s="31" t="s">
        <v>32</v>
      </c>
      <c r="F93" s="33">
        <v>781242</v>
      </c>
      <c r="G93" s="32">
        <v>30</v>
      </c>
      <c r="H93" s="32">
        <f>+F93</f>
        <v>781242</v>
      </c>
      <c r="I93" s="33">
        <v>88211</v>
      </c>
      <c r="J93" s="33">
        <v>81380</v>
      </c>
      <c r="K93" s="33"/>
      <c r="L93" s="33"/>
      <c r="M93" s="33"/>
      <c r="N93" s="33">
        <f>+H93+I93+K93+L93+M93+J93</f>
        <v>950833</v>
      </c>
      <c r="O93" s="33">
        <f>+F93*0.04</f>
        <v>31249.68</v>
      </c>
      <c r="P93" s="33">
        <f>+F93*0.04</f>
        <v>31249.68</v>
      </c>
      <c r="Q93" s="33"/>
      <c r="R93" s="33"/>
      <c r="S93" s="33">
        <v>0</v>
      </c>
      <c r="T93" s="33"/>
      <c r="U93" s="33"/>
      <c r="V93" s="33"/>
      <c r="W93" s="33">
        <f t="shared" si="24"/>
        <v>62499.360000000001</v>
      </c>
      <c r="X93" s="37">
        <f t="shared" si="35"/>
        <v>888333.64</v>
      </c>
    </row>
    <row r="94" spans="1:24" ht="24.95" customHeight="1" x14ac:dyDescent="0.25">
      <c r="A94" s="29"/>
      <c r="B94" s="27">
        <v>32</v>
      </c>
      <c r="C94" s="30" t="s">
        <v>157</v>
      </c>
      <c r="D94" s="30" t="s">
        <v>31</v>
      </c>
      <c r="E94" s="31" t="s">
        <v>102</v>
      </c>
      <c r="F94" s="33">
        <v>781242</v>
      </c>
      <c r="G94" s="32">
        <v>30</v>
      </c>
      <c r="H94" s="32">
        <f t="shared" ref="H94" si="36">+F94/30*G94</f>
        <v>781242</v>
      </c>
      <c r="I94" s="33"/>
      <c r="J94" s="33"/>
      <c r="K94" s="33"/>
      <c r="L94" s="33"/>
      <c r="M94" s="33"/>
      <c r="N94" s="33">
        <f t="shared" ref="N94" si="37">+H94+I94+K94+L94+M94+J94</f>
        <v>781242</v>
      </c>
      <c r="O94" s="33">
        <v>0</v>
      </c>
      <c r="P94" s="33">
        <v>0</v>
      </c>
      <c r="Q94" s="33">
        <v>0</v>
      </c>
      <c r="R94" s="33"/>
      <c r="S94" s="33">
        <v>0</v>
      </c>
      <c r="T94" s="33"/>
      <c r="U94" s="33"/>
      <c r="V94" s="33"/>
      <c r="W94" s="33">
        <f t="shared" ref="W94" si="38">SUM(O94:V94)</f>
        <v>0</v>
      </c>
      <c r="X94" s="37">
        <f t="shared" si="35"/>
        <v>781242</v>
      </c>
    </row>
    <row r="95" spans="1:24" ht="24.95" customHeight="1" x14ac:dyDescent="0.25">
      <c r="A95" s="29"/>
      <c r="B95" s="27">
        <v>33</v>
      </c>
      <c r="C95" s="38" t="s">
        <v>125</v>
      </c>
      <c r="D95" s="30" t="s">
        <v>31</v>
      </c>
      <c r="E95" s="31" t="s">
        <v>32</v>
      </c>
      <c r="F95" s="33">
        <v>2100000</v>
      </c>
      <c r="G95" s="32">
        <v>30</v>
      </c>
      <c r="H95" s="32">
        <f>+F95-M95</f>
        <v>2100000</v>
      </c>
      <c r="I95" s="33"/>
      <c r="J95" s="33"/>
      <c r="K95" s="33"/>
      <c r="L95" s="33"/>
      <c r="M95" s="33"/>
      <c r="N95" s="33">
        <f t="shared" si="30"/>
        <v>2100000</v>
      </c>
      <c r="O95" s="33">
        <f>+F95*0.04</f>
        <v>84000</v>
      </c>
      <c r="P95" s="33">
        <f>+F95*0.04</f>
        <v>84000</v>
      </c>
      <c r="Q95" s="33"/>
      <c r="R95" s="33"/>
      <c r="S95" s="33">
        <v>0</v>
      </c>
      <c r="T95" s="33"/>
      <c r="U95" s="33"/>
      <c r="V95" s="33"/>
      <c r="W95" s="33">
        <f t="shared" si="24"/>
        <v>168000</v>
      </c>
      <c r="X95" s="37">
        <f t="shared" si="35"/>
        <v>1932000</v>
      </c>
    </row>
    <row r="96" spans="1:24" ht="24.95" customHeight="1" x14ac:dyDescent="0.25">
      <c r="A96" s="29"/>
      <c r="B96" s="27">
        <v>34</v>
      </c>
      <c r="C96" s="38" t="s">
        <v>126</v>
      </c>
      <c r="D96" s="30" t="s">
        <v>31</v>
      </c>
      <c r="E96" s="31" t="s">
        <v>32</v>
      </c>
      <c r="F96" s="33">
        <v>781242</v>
      </c>
      <c r="G96" s="32">
        <v>30</v>
      </c>
      <c r="H96" s="32">
        <f t="shared" si="29"/>
        <v>781242</v>
      </c>
      <c r="I96" s="33">
        <v>88211</v>
      </c>
      <c r="J96" s="33">
        <v>51066</v>
      </c>
      <c r="K96" s="33"/>
      <c r="L96" s="33">
        <v>0</v>
      </c>
      <c r="M96" s="33">
        <f>+F96-H96</f>
        <v>0</v>
      </c>
      <c r="N96" s="33">
        <f t="shared" si="30"/>
        <v>920519</v>
      </c>
      <c r="O96" s="33">
        <f>+F96*0.04</f>
        <v>31249.68</v>
      </c>
      <c r="P96" s="33">
        <f>+F96*4%</f>
        <v>31249.68</v>
      </c>
      <c r="Q96" s="33"/>
      <c r="R96" s="33"/>
      <c r="S96" s="33"/>
      <c r="T96" s="33"/>
      <c r="U96" s="33"/>
      <c r="V96" s="33"/>
      <c r="W96" s="33">
        <f t="shared" si="24"/>
        <v>62499.360000000001</v>
      </c>
      <c r="X96" s="37">
        <f t="shared" si="35"/>
        <v>858019.64</v>
      </c>
    </row>
    <row r="97" spans="1:24" ht="24.95" customHeight="1" x14ac:dyDescent="0.25">
      <c r="A97" s="29"/>
      <c r="B97" s="27">
        <v>35</v>
      </c>
      <c r="C97" s="38" t="s">
        <v>127</v>
      </c>
      <c r="D97" s="30" t="s">
        <v>31</v>
      </c>
      <c r="E97" s="31" t="s">
        <v>32</v>
      </c>
      <c r="F97" s="33">
        <v>781242</v>
      </c>
      <c r="G97" s="32">
        <v>30</v>
      </c>
      <c r="H97" s="32">
        <f t="shared" si="29"/>
        <v>781242</v>
      </c>
      <c r="I97" s="33">
        <f>+I96</f>
        <v>88211</v>
      </c>
      <c r="J97" s="33"/>
      <c r="K97" s="33"/>
      <c r="L97" s="33"/>
      <c r="M97" s="33"/>
      <c r="N97" s="33">
        <f t="shared" si="30"/>
        <v>869453</v>
      </c>
      <c r="O97" s="33">
        <f>+F97*4%</f>
        <v>31249.68</v>
      </c>
      <c r="P97" s="33">
        <f>+F97*4%</f>
        <v>31249.68</v>
      </c>
      <c r="Q97" s="33"/>
      <c r="R97" s="33"/>
      <c r="S97" s="33"/>
      <c r="T97" s="33"/>
      <c r="U97" s="33"/>
      <c r="V97" s="33"/>
      <c r="W97" s="33">
        <f t="shared" si="24"/>
        <v>62499.360000000001</v>
      </c>
      <c r="X97" s="37">
        <f t="shared" si="35"/>
        <v>806953.64</v>
      </c>
    </row>
    <row r="98" spans="1:24" ht="24.95" customHeight="1" x14ac:dyDescent="0.25">
      <c r="A98" s="29"/>
      <c r="B98" s="27">
        <v>36</v>
      </c>
      <c r="C98" s="30" t="s">
        <v>128</v>
      </c>
      <c r="D98" s="30" t="s">
        <v>31</v>
      </c>
      <c r="E98" s="31" t="s">
        <v>32</v>
      </c>
      <c r="F98" s="33">
        <v>15400000</v>
      </c>
      <c r="G98" s="32">
        <v>30</v>
      </c>
      <c r="H98" s="32">
        <f t="shared" si="29"/>
        <v>15400000</v>
      </c>
      <c r="I98" s="33"/>
      <c r="J98" s="33"/>
      <c r="K98" s="33"/>
      <c r="L98" s="33">
        <v>600000</v>
      </c>
      <c r="M98" s="33">
        <f>+F98-H98</f>
        <v>0</v>
      </c>
      <c r="N98" s="33">
        <f t="shared" si="30"/>
        <v>16000000</v>
      </c>
      <c r="O98" s="33">
        <v>616000</v>
      </c>
      <c r="P98" s="33">
        <f>616000+308000</f>
        <v>924000</v>
      </c>
      <c r="Q98" s="33">
        <v>112700</v>
      </c>
      <c r="R98" s="33"/>
      <c r="S98" s="33">
        <v>916000</v>
      </c>
      <c r="T98" s="33">
        <v>5000000</v>
      </c>
      <c r="U98" s="33"/>
      <c r="V98" s="33">
        <v>2314715</v>
      </c>
      <c r="W98" s="33">
        <f t="shared" si="24"/>
        <v>9883415</v>
      </c>
      <c r="X98" s="37">
        <f>+N98-W98</f>
        <v>6116585</v>
      </c>
    </row>
    <row r="99" spans="1:24" ht="24.95" customHeight="1" x14ac:dyDescent="0.25">
      <c r="A99" s="29"/>
      <c r="B99" s="27">
        <v>37</v>
      </c>
      <c r="C99" s="30" t="s">
        <v>129</v>
      </c>
      <c r="D99" s="30" t="s">
        <v>31</v>
      </c>
      <c r="E99" s="31" t="s">
        <v>32</v>
      </c>
      <c r="F99" s="33">
        <v>5500000</v>
      </c>
      <c r="G99" s="32">
        <v>30</v>
      </c>
      <c r="H99" s="32">
        <f t="shared" si="29"/>
        <v>5500000</v>
      </c>
      <c r="I99" s="33"/>
      <c r="J99" s="33"/>
      <c r="K99" s="33"/>
      <c r="L99" s="33">
        <v>500000</v>
      </c>
      <c r="M99" s="33">
        <f>+F99-H99</f>
        <v>0</v>
      </c>
      <c r="N99" s="33">
        <f t="shared" si="30"/>
        <v>6000000</v>
      </c>
      <c r="O99" s="33">
        <f>+F99*0.04</f>
        <v>220000</v>
      </c>
      <c r="P99" s="33">
        <f>+F99*0.05</f>
        <v>275000</v>
      </c>
      <c r="Q99" s="33"/>
      <c r="R99" s="33"/>
      <c r="S99" s="33">
        <v>120000</v>
      </c>
      <c r="T99" s="33"/>
      <c r="U99" s="33"/>
      <c r="V99" s="33">
        <v>979498</v>
      </c>
      <c r="W99" s="33">
        <f t="shared" si="24"/>
        <v>1594498</v>
      </c>
      <c r="X99" s="37">
        <f>+N99-W99</f>
        <v>4405502</v>
      </c>
    </row>
    <row r="100" spans="1:24" ht="24.95" customHeight="1" x14ac:dyDescent="0.25">
      <c r="A100" s="29"/>
      <c r="B100" s="27">
        <v>38</v>
      </c>
      <c r="C100" s="30" t="s">
        <v>130</v>
      </c>
      <c r="D100" s="30" t="s">
        <v>31</v>
      </c>
      <c r="E100" s="31" t="s">
        <v>32</v>
      </c>
      <c r="F100" s="33">
        <v>1600000</v>
      </c>
      <c r="G100" s="32">
        <v>30</v>
      </c>
      <c r="H100" s="32">
        <f t="shared" si="29"/>
        <v>1600000</v>
      </c>
      <c r="I100" s="33"/>
      <c r="J100" s="33"/>
      <c r="K100" s="33"/>
      <c r="L100" s="33"/>
      <c r="M100" s="33">
        <f>+F100-H100</f>
        <v>0</v>
      </c>
      <c r="N100" s="33">
        <f t="shared" si="30"/>
        <v>1600000</v>
      </c>
      <c r="O100" s="33">
        <f>+F100*4%</f>
        <v>64000</v>
      </c>
      <c r="P100" s="33">
        <f>+F100*4%</f>
        <v>64000</v>
      </c>
      <c r="Q100" s="33"/>
      <c r="R100" s="33"/>
      <c r="S100" s="33"/>
      <c r="T100" s="33"/>
      <c r="U100" s="33"/>
      <c r="V100" s="33"/>
      <c r="W100" s="33">
        <f t="shared" si="24"/>
        <v>128000</v>
      </c>
      <c r="X100" s="37">
        <f>+N100-W100</f>
        <v>1472000</v>
      </c>
    </row>
    <row r="101" spans="1:24" ht="24.95" customHeight="1" x14ac:dyDescent="0.25">
      <c r="A101" s="29"/>
      <c r="B101" s="27">
        <v>39</v>
      </c>
      <c r="C101" s="38" t="s">
        <v>132</v>
      </c>
      <c r="D101" s="30" t="s">
        <v>31</v>
      </c>
      <c r="E101" s="31" t="s">
        <v>32</v>
      </c>
      <c r="F101" s="33">
        <v>3000000</v>
      </c>
      <c r="G101" s="32">
        <v>30</v>
      </c>
      <c r="H101" s="32">
        <f t="shared" si="29"/>
        <v>3000000</v>
      </c>
      <c r="I101" s="33"/>
      <c r="J101" s="33"/>
      <c r="K101" s="33"/>
      <c r="L101" s="33">
        <v>270000</v>
      </c>
      <c r="M101" s="33"/>
      <c r="N101" s="33">
        <f t="shared" si="30"/>
        <v>3270000</v>
      </c>
      <c r="O101" s="33">
        <f>+F101*0.04</f>
        <v>120000</v>
      </c>
      <c r="P101" s="33">
        <f>+F101*0.04</f>
        <v>120000</v>
      </c>
      <c r="Q101" s="33"/>
      <c r="R101" s="33"/>
      <c r="S101" s="33">
        <v>0</v>
      </c>
      <c r="T101" s="33"/>
      <c r="U101" s="33"/>
      <c r="V101" s="33">
        <v>514771</v>
      </c>
      <c r="W101" s="33">
        <f t="shared" si="24"/>
        <v>754771</v>
      </c>
      <c r="X101" s="37">
        <f>N101-W101</f>
        <v>2515229</v>
      </c>
    </row>
    <row r="102" spans="1:24" ht="24.95" customHeight="1" x14ac:dyDescent="0.25">
      <c r="A102" s="29"/>
      <c r="B102" s="27">
        <v>40</v>
      </c>
      <c r="C102" s="30" t="s">
        <v>135</v>
      </c>
      <c r="D102" s="30" t="s">
        <v>31</v>
      </c>
      <c r="E102" s="31" t="s">
        <v>32</v>
      </c>
      <c r="F102" s="33">
        <v>3850220</v>
      </c>
      <c r="G102" s="32">
        <v>30</v>
      </c>
      <c r="H102" s="32">
        <f t="shared" si="29"/>
        <v>3850220</v>
      </c>
      <c r="I102" s="33"/>
      <c r="J102" s="33"/>
      <c r="K102" s="39"/>
      <c r="L102" s="33">
        <v>676390</v>
      </c>
      <c r="M102" s="33">
        <f>+F102-H102</f>
        <v>0</v>
      </c>
      <c r="N102" s="33">
        <f t="shared" si="30"/>
        <v>4526610</v>
      </c>
      <c r="O102" s="33">
        <f t="shared" ref="O102:O108" si="39">+F102*4%</f>
        <v>154008.80000000002</v>
      </c>
      <c r="P102" s="33">
        <f>+F102*5%</f>
        <v>192511</v>
      </c>
      <c r="Q102" s="33"/>
      <c r="R102" s="33"/>
      <c r="S102" s="33"/>
      <c r="T102" s="33"/>
      <c r="U102" s="33"/>
      <c r="V102" s="33"/>
      <c r="W102" s="33">
        <f t="shared" si="24"/>
        <v>346519.80000000005</v>
      </c>
      <c r="X102" s="37">
        <f>+N102-W102</f>
        <v>4180090.2</v>
      </c>
    </row>
    <row r="103" spans="1:24" ht="24.95" customHeight="1" x14ac:dyDescent="0.25">
      <c r="A103" s="29"/>
      <c r="B103" s="27">
        <v>41</v>
      </c>
      <c r="C103" s="30" t="s">
        <v>136</v>
      </c>
      <c r="D103" s="30" t="s">
        <v>31</v>
      </c>
      <c r="E103" s="31" t="s">
        <v>32</v>
      </c>
      <c r="F103" s="33">
        <v>4500000</v>
      </c>
      <c r="G103" s="32">
        <v>30</v>
      </c>
      <c r="H103" s="32">
        <f t="shared" si="29"/>
        <v>4500000</v>
      </c>
      <c r="I103" s="33"/>
      <c r="J103" s="33"/>
      <c r="K103" s="33"/>
      <c r="L103" s="33" t="s">
        <v>1</v>
      </c>
      <c r="M103" s="33"/>
      <c r="N103" s="33">
        <v>4500000</v>
      </c>
      <c r="O103" s="33">
        <f t="shared" si="39"/>
        <v>180000</v>
      </c>
      <c r="P103" s="33">
        <f>+F103*5%</f>
        <v>225000</v>
      </c>
      <c r="Q103" s="33"/>
      <c r="R103" s="33"/>
      <c r="S103" s="33"/>
      <c r="T103" s="33"/>
      <c r="U103" s="33"/>
      <c r="V103" s="33"/>
      <c r="W103" s="33">
        <f>SUM(O103:V103)</f>
        <v>405000</v>
      </c>
      <c r="X103" s="37">
        <f>+N103-W103</f>
        <v>4095000</v>
      </c>
    </row>
    <row r="104" spans="1:24" ht="24.95" customHeight="1" x14ac:dyDescent="0.25">
      <c r="A104" s="29"/>
      <c r="B104" s="27">
        <v>42</v>
      </c>
      <c r="C104" s="30" t="s">
        <v>137</v>
      </c>
      <c r="D104" s="30" t="s">
        <v>31</v>
      </c>
      <c r="E104" s="31" t="s">
        <v>32</v>
      </c>
      <c r="F104" s="33">
        <v>2000000</v>
      </c>
      <c r="G104" s="32">
        <v>30</v>
      </c>
      <c r="H104" s="32">
        <f t="shared" si="29"/>
        <v>2000000.0000000002</v>
      </c>
      <c r="I104" s="33"/>
      <c r="J104" s="33"/>
      <c r="K104" s="33"/>
      <c r="L104" s="33"/>
      <c r="M104" s="33"/>
      <c r="N104" s="33">
        <f>+H104+I104+K104+L104+M104+J104</f>
        <v>2000000.0000000002</v>
      </c>
      <c r="O104" s="33">
        <f t="shared" si="39"/>
        <v>80000</v>
      </c>
      <c r="P104" s="33">
        <f>+F104*4%</f>
        <v>80000</v>
      </c>
      <c r="Q104" s="33"/>
      <c r="R104" s="33"/>
      <c r="S104" s="36"/>
      <c r="T104" s="33"/>
      <c r="U104" s="33"/>
      <c r="V104" s="33"/>
      <c r="W104" s="33">
        <f t="shared" si="24"/>
        <v>160000</v>
      </c>
      <c r="X104" s="37">
        <f>+N104-W104</f>
        <v>1840000.0000000002</v>
      </c>
    </row>
    <row r="105" spans="1:24" ht="24.95" customHeight="1" x14ac:dyDescent="0.25">
      <c r="A105" s="29"/>
      <c r="B105" s="27">
        <v>43</v>
      </c>
      <c r="C105" s="30" t="s">
        <v>164</v>
      </c>
      <c r="D105" s="30" t="s">
        <v>31</v>
      </c>
      <c r="E105" s="31" t="s">
        <v>102</v>
      </c>
      <c r="F105" s="33">
        <v>781242</v>
      </c>
      <c r="G105" s="32">
        <v>13</v>
      </c>
      <c r="H105" s="32">
        <f t="shared" si="29"/>
        <v>338538.2</v>
      </c>
      <c r="I105" s="33">
        <v>117770</v>
      </c>
      <c r="J105" s="33"/>
      <c r="K105" s="33"/>
      <c r="L105" s="33"/>
      <c r="M105" s="33"/>
      <c r="N105" s="33">
        <f>+H105+I105+K105+L105+M105+J105</f>
        <v>456308.2</v>
      </c>
      <c r="O105" s="33"/>
      <c r="P105" s="33"/>
      <c r="Q105" s="33"/>
      <c r="R105" s="33"/>
      <c r="S105" s="36"/>
      <c r="T105" s="33"/>
      <c r="U105" s="33"/>
      <c r="V105" s="33"/>
      <c r="W105" s="33">
        <f t="shared" ref="W105" si="40">SUM(O105:V105)</f>
        <v>0</v>
      </c>
      <c r="X105" s="37">
        <f>+N105-W105</f>
        <v>456308.2</v>
      </c>
    </row>
    <row r="106" spans="1:24" ht="24.95" customHeight="1" x14ac:dyDescent="0.25">
      <c r="A106" s="29"/>
      <c r="B106" s="27">
        <v>44</v>
      </c>
      <c r="C106" s="38" t="s">
        <v>138</v>
      </c>
      <c r="D106" s="30" t="s">
        <v>31</v>
      </c>
      <c r="E106" s="31" t="s">
        <v>32</v>
      </c>
      <c r="F106" s="33">
        <v>1600000</v>
      </c>
      <c r="G106" s="32">
        <v>30</v>
      </c>
      <c r="H106" s="32">
        <f>+F106-M106</f>
        <v>1546667</v>
      </c>
      <c r="I106" s="33"/>
      <c r="J106" s="33"/>
      <c r="K106" s="33">
        <v>0</v>
      </c>
      <c r="L106" s="33"/>
      <c r="M106" s="33">
        <v>53333</v>
      </c>
      <c r="N106" s="33">
        <f t="shared" si="30"/>
        <v>1600000</v>
      </c>
      <c r="O106" s="33">
        <f t="shared" si="39"/>
        <v>64000</v>
      </c>
      <c r="P106" s="33">
        <f>+F106*0.04</f>
        <v>64000</v>
      </c>
      <c r="Q106" s="33"/>
      <c r="R106" s="33">
        <v>396000</v>
      </c>
      <c r="S106" s="33">
        <v>0</v>
      </c>
      <c r="T106" s="33"/>
      <c r="U106" s="33"/>
      <c r="V106" s="33"/>
      <c r="W106" s="33">
        <f t="shared" si="24"/>
        <v>524000</v>
      </c>
      <c r="X106" s="37">
        <f>N106-W106</f>
        <v>1076000</v>
      </c>
    </row>
    <row r="107" spans="1:24" ht="24.95" customHeight="1" x14ac:dyDescent="0.25">
      <c r="A107" s="29"/>
      <c r="B107" s="27">
        <v>45</v>
      </c>
      <c r="C107" s="38" t="s">
        <v>148</v>
      </c>
      <c r="D107" s="30" t="s">
        <v>31</v>
      </c>
      <c r="E107" s="31" t="s">
        <v>32</v>
      </c>
      <c r="F107" s="33">
        <v>1500000</v>
      </c>
      <c r="G107" s="32">
        <v>30</v>
      </c>
      <c r="H107" s="32">
        <f t="shared" si="29"/>
        <v>1500000</v>
      </c>
      <c r="I107" s="33">
        <v>88211</v>
      </c>
      <c r="J107" s="33"/>
      <c r="K107" s="33"/>
      <c r="L107" s="33"/>
      <c r="M107" s="33"/>
      <c r="N107" s="33">
        <f t="shared" si="30"/>
        <v>1588211</v>
      </c>
      <c r="O107" s="33">
        <f>+F107*4%</f>
        <v>60000</v>
      </c>
      <c r="P107" s="33">
        <f>+F107*0.04</f>
        <v>60000</v>
      </c>
      <c r="Q107" s="33"/>
      <c r="R107" s="33"/>
      <c r="S107" s="33">
        <v>0</v>
      </c>
      <c r="T107" s="33"/>
      <c r="U107" s="33">
        <v>0</v>
      </c>
      <c r="V107" s="33"/>
      <c r="W107" s="33">
        <f t="shared" si="24"/>
        <v>120000</v>
      </c>
      <c r="X107" s="37">
        <f>N107-W107</f>
        <v>1468211</v>
      </c>
    </row>
    <row r="108" spans="1:24" ht="24.95" customHeight="1" x14ac:dyDescent="0.25">
      <c r="A108" s="29"/>
      <c r="B108" s="27">
        <v>46</v>
      </c>
      <c r="C108" s="30" t="s">
        <v>139</v>
      </c>
      <c r="D108" s="30" t="s">
        <v>31</v>
      </c>
      <c r="E108" s="31" t="s">
        <v>32</v>
      </c>
      <c r="F108" s="33">
        <v>2300000</v>
      </c>
      <c r="G108" s="32">
        <v>30</v>
      </c>
      <c r="H108" s="32">
        <f t="shared" si="29"/>
        <v>2300000</v>
      </c>
      <c r="I108" s="33"/>
      <c r="J108" s="33"/>
      <c r="K108" s="33"/>
      <c r="L108" s="33"/>
      <c r="M108" s="33"/>
      <c r="N108" s="33">
        <f t="shared" si="30"/>
        <v>2300000</v>
      </c>
      <c r="O108" s="33">
        <f t="shared" si="39"/>
        <v>92000</v>
      </c>
      <c r="P108" s="33">
        <f>+F108*4%</f>
        <v>92000</v>
      </c>
      <c r="Q108" s="33"/>
      <c r="R108" s="33"/>
      <c r="S108" s="33">
        <v>0</v>
      </c>
      <c r="T108" s="33"/>
      <c r="U108" s="33"/>
      <c r="V108" s="33"/>
      <c r="W108" s="33">
        <f t="shared" si="24"/>
        <v>184000</v>
      </c>
      <c r="X108" s="37">
        <f t="shared" ref="X108:X112" si="41">+N108-W108</f>
        <v>2116000</v>
      </c>
    </row>
    <row r="109" spans="1:24" ht="24.95" customHeight="1" x14ac:dyDescent="0.25">
      <c r="A109" s="29"/>
      <c r="B109" s="27">
        <v>47</v>
      </c>
      <c r="C109" s="30" t="s">
        <v>140</v>
      </c>
      <c r="D109" s="30" t="s">
        <v>31</v>
      </c>
      <c r="E109" s="31" t="s">
        <v>32</v>
      </c>
      <c r="F109" s="33">
        <v>912000</v>
      </c>
      <c r="G109" s="32">
        <v>30</v>
      </c>
      <c r="H109" s="32">
        <f t="shared" si="29"/>
        <v>912000</v>
      </c>
      <c r="I109" s="33">
        <v>88211</v>
      </c>
      <c r="J109" s="33"/>
      <c r="K109" s="33">
        <v>0</v>
      </c>
      <c r="L109" s="33"/>
      <c r="M109" s="33"/>
      <c r="N109" s="33">
        <f t="shared" si="30"/>
        <v>1000211</v>
      </c>
      <c r="O109" s="33">
        <f>+F109*0.04</f>
        <v>36480</v>
      </c>
      <c r="P109" s="33">
        <f>+F109*0.04</f>
        <v>36480</v>
      </c>
      <c r="Q109" s="33"/>
      <c r="R109" s="33"/>
      <c r="S109" s="33"/>
      <c r="T109" s="33"/>
      <c r="U109" s="33"/>
      <c r="V109" s="33"/>
      <c r="W109" s="33">
        <f>SUM(O109:V109)</f>
        <v>72960</v>
      </c>
      <c r="X109" s="37">
        <f>+N109-W109</f>
        <v>927251</v>
      </c>
    </row>
    <row r="110" spans="1:24" ht="24.95" customHeight="1" x14ac:dyDescent="0.25">
      <c r="A110" s="29"/>
      <c r="B110" s="27">
        <v>48</v>
      </c>
      <c r="C110" s="30" t="s">
        <v>141</v>
      </c>
      <c r="D110" s="30" t="s">
        <v>31</v>
      </c>
      <c r="E110" s="31" t="s">
        <v>32</v>
      </c>
      <c r="F110" s="33">
        <v>2700000</v>
      </c>
      <c r="G110" s="32">
        <v>30</v>
      </c>
      <c r="H110" s="32">
        <f t="shared" si="29"/>
        <v>2700000</v>
      </c>
      <c r="I110" s="33"/>
      <c r="J110" s="33"/>
      <c r="K110" s="33"/>
      <c r="L110" s="33"/>
      <c r="M110" s="33"/>
      <c r="N110" s="33">
        <f t="shared" si="30"/>
        <v>2700000</v>
      </c>
      <c r="O110" s="33">
        <f>+F110*0.04</f>
        <v>108000</v>
      </c>
      <c r="P110" s="33">
        <f>+F110*0.04</f>
        <v>108000</v>
      </c>
      <c r="Q110" s="33"/>
      <c r="R110" s="33">
        <v>190000</v>
      </c>
      <c r="S110" s="33"/>
      <c r="T110" s="33"/>
      <c r="U110" s="33"/>
      <c r="V110" s="33"/>
      <c r="W110" s="33">
        <f t="shared" si="24"/>
        <v>406000</v>
      </c>
      <c r="X110" s="37">
        <f t="shared" si="41"/>
        <v>2294000</v>
      </c>
    </row>
    <row r="111" spans="1:24" s="21" customFormat="1" ht="24.95" customHeight="1" x14ac:dyDescent="0.25">
      <c r="A111" s="29"/>
      <c r="B111" s="16">
        <v>49</v>
      </c>
      <c r="C111" s="17" t="s">
        <v>142</v>
      </c>
      <c r="D111" s="17" t="s">
        <v>31</v>
      </c>
      <c r="E111" s="18" t="s">
        <v>32</v>
      </c>
      <c r="F111" s="6">
        <v>2000000</v>
      </c>
      <c r="G111" s="19">
        <v>30</v>
      </c>
      <c r="H111" s="19">
        <f t="shared" si="29"/>
        <v>2000000.0000000002</v>
      </c>
      <c r="I111" s="6"/>
      <c r="J111" s="6"/>
      <c r="K111" s="6"/>
      <c r="L111" s="6"/>
      <c r="M111" s="6"/>
      <c r="N111" s="6">
        <f t="shared" si="30"/>
        <v>2000000.0000000002</v>
      </c>
      <c r="O111" s="6">
        <f>+F111*4%</f>
        <v>80000</v>
      </c>
      <c r="P111" s="6">
        <f>+F111*4%</f>
        <v>80000</v>
      </c>
      <c r="Q111" s="6"/>
      <c r="R111" s="6"/>
      <c r="S111" s="6">
        <v>0</v>
      </c>
      <c r="T111" s="6"/>
      <c r="U111" s="6"/>
      <c r="V111" s="6"/>
      <c r="W111" s="6">
        <f t="shared" si="24"/>
        <v>160000</v>
      </c>
      <c r="X111" s="20">
        <f t="shared" si="41"/>
        <v>1840000.0000000002</v>
      </c>
    </row>
    <row r="112" spans="1:24" s="21" customFormat="1" ht="17.25" customHeight="1" x14ac:dyDescent="0.25">
      <c r="A112" s="29"/>
      <c r="B112" s="16">
        <v>50</v>
      </c>
      <c r="C112" s="17" t="s">
        <v>144</v>
      </c>
      <c r="D112" s="17" t="s">
        <v>31</v>
      </c>
      <c r="E112" s="18" t="s">
        <v>32</v>
      </c>
      <c r="F112" s="6">
        <v>1200000</v>
      </c>
      <c r="G112" s="19">
        <v>30</v>
      </c>
      <c r="H112" s="19">
        <f>+F112-K112</f>
        <v>1200000</v>
      </c>
      <c r="I112" s="6">
        <v>88211</v>
      </c>
      <c r="J112" s="6"/>
      <c r="K112" s="6"/>
      <c r="L112" s="6"/>
      <c r="M112" s="6"/>
      <c r="N112" s="6">
        <f t="shared" si="30"/>
        <v>1288211</v>
      </c>
      <c r="O112" s="6">
        <f>+F112*4%</f>
        <v>48000</v>
      </c>
      <c r="P112" s="6">
        <f>+F112*4%</f>
        <v>48000</v>
      </c>
      <c r="Q112" s="6"/>
      <c r="R112" s="6">
        <v>95000</v>
      </c>
      <c r="S112" s="6">
        <v>0</v>
      </c>
      <c r="T112" s="6"/>
      <c r="U112" s="6"/>
      <c r="V112" s="6"/>
      <c r="W112" s="6">
        <f t="shared" si="24"/>
        <v>191000</v>
      </c>
      <c r="X112" s="20">
        <f t="shared" si="41"/>
        <v>1097211</v>
      </c>
    </row>
    <row r="113" spans="2:24" x14ac:dyDescent="0.25">
      <c r="F113" s="45">
        <f>SUM(F4:F112)</f>
        <v>432010398</v>
      </c>
      <c r="H113" s="45">
        <f t="shared" ref="H113:X113" si="42">SUM(H4:H112)</f>
        <v>418080119.86666662</v>
      </c>
      <c r="I113" s="45">
        <f t="shared" si="42"/>
        <v>1566922</v>
      </c>
      <c r="J113" s="45">
        <f t="shared" si="42"/>
        <v>986486</v>
      </c>
      <c r="K113" s="45">
        <f t="shared" si="42"/>
        <v>168675</v>
      </c>
      <c r="L113" s="45">
        <f t="shared" si="42"/>
        <v>14943302</v>
      </c>
      <c r="M113" s="45">
        <f t="shared" si="42"/>
        <v>5427499</v>
      </c>
      <c r="N113" s="45">
        <f t="shared" si="42"/>
        <v>441173003.86666667</v>
      </c>
      <c r="O113" s="45">
        <f t="shared" si="42"/>
        <v>16874364.186666667</v>
      </c>
      <c r="P113" s="45">
        <f t="shared" si="42"/>
        <v>20476129.719999999</v>
      </c>
      <c r="Q113" s="45">
        <f t="shared" si="42"/>
        <v>226700</v>
      </c>
      <c r="R113" s="45">
        <f t="shared" si="42"/>
        <v>7665583</v>
      </c>
      <c r="S113" s="45">
        <f t="shared" si="42"/>
        <v>4437423</v>
      </c>
      <c r="T113" s="45">
        <f t="shared" si="42"/>
        <v>10015000</v>
      </c>
      <c r="U113" s="45">
        <f t="shared" si="42"/>
        <v>344614</v>
      </c>
      <c r="V113" s="45">
        <f t="shared" si="42"/>
        <v>13687427</v>
      </c>
      <c r="W113" s="45">
        <f t="shared" si="42"/>
        <v>73727240.906666651</v>
      </c>
      <c r="X113" s="45">
        <f t="shared" si="42"/>
        <v>367445762.95999992</v>
      </c>
    </row>
    <row r="114" spans="2:24" x14ac:dyDescent="0.25">
      <c r="X114" s="41"/>
    </row>
    <row r="115" spans="2:24" x14ac:dyDescent="0.25">
      <c r="X115" s="41"/>
    </row>
    <row r="116" spans="2:24" x14ac:dyDescent="0.25">
      <c r="E116" s="46"/>
    </row>
    <row r="117" spans="2:24" x14ac:dyDescent="0.25">
      <c r="E117" s="46"/>
    </row>
    <row r="118" spans="2:24" x14ac:dyDescent="0.25"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R118" s="47"/>
      <c r="S118" s="47"/>
      <c r="T118" s="47"/>
      <c r="U118" s="47"/>
      <c r="V118" s="47"/>
      <c r="W118" s="47"/>
      <c r="X118" s="47"/>
    </row>
    <row r="122" spans="2:24" x14ac:dyDescent="0.25">
      <c r="C122" s="48"/>
      <c r="D122" s="48"/>
      <c r="E122" s="48"/>
      <c r="F122" s="48"/>
      <c r="G122" s="48"/>
      <c r="H122" s="49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</row>
    <row r="123" spans="2:24" x14ac:dyDescent="0.25">
      <c r="B123" s="50"/>
      <c r="C123" s="51"/>
      <c r="D123" s="52"/>
      <c r="E123" s="52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2"/>
    </row>
    <row r="124" spans="2:24" x14ac:dyDescent="0.25">
      <c r="C124" s="54"/>
      <c r="H124" s="55"/>
      <c r="Q124" s="56"/>
      <c r="R124" s="56"/>
      <c r="S124" s="56"/>
      <c r="T124" s="56"/>
      <c r="U124" s="56"/>
    </row>
    <row r="125" spans="2:24" x14ac:dyDescent="0.25">
      <c r="C125" s="57"/>
      <c r="D125" s="52"/>
      <c r="E125" s="52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2"/>
    </row>
    <row r="126" spans="2:24" x14ac:dyDescent="0.25">
      <c r="B126" s="52"/>
      <c r="C126" s="57"/>
      <c r="D126" s="52"/>
      <c r="E126" s="52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2"/>
    </row>
    <row r="127" spans="2:24" x14ac:dyDescent="0.25">
      <c r="C127" s="57"/>
      <c r="D127" s="52"/>
      <c r="E127" s="52"/>
      <c r="X127" s="41"/>
    </row>
    <row r="128" spans="2:24" x14ac:dyDescent="0.25">
      <c r="C128" s="57"/>
      <c r="D128" s="52"/>
      <c r="E128" s="52"/>
      <c r="X128" s="41"/>
    </row>
    <row r="129" spans="3:24" x14ac:dyDescent="0.25">
      <c r="C129" s="57"/>
      <c r="D129" s="52"/>
      <c r="E129" s="52"/>
      <c r="X129" s="41"/>
    </row>
    <row r="130" spans="3:24" x14ac:dyDescent="0.25">
      <c r="C130" s="57"/>
      <c r="D130" s="52"/>
      <c r="E130" s="52"/>
      <c r="X130" s="41"/>
    </row>
    <row r="131" spans="3:24" x14ac:dyDescent="0.25">
      <c r="C131" s="57"/>
      <c r="D131" s="52"/>
      <c r="E131" s="52"/>
      <c r="X131" s="41"/>
    </row>
    <row r="132" spans="3:24" x14ac:dyDescent="0.25">
      <c r="C132" s="57"/>
      <c r="D132" s="52"/>
      <c r="E132" s="52"/>
      <c r="X132" s="41"/>
    </row>
    <row r="133" spans="3:24" x14ac:dyDescent="0.25">
      <c r="X133" s="41"/>
    </row>
    <row r="134" spans="3:24" x14ac:dyDescent="0.25">
      <c r="C134" s="57"/>
      <c r="X134" s="41"/>
    </row>
    <row r="135" spans="3:24" x14ac:dyDescent="0.25">
      <c r="C135" s="57"/>
      <c r="X135" s="41"/>
    </row>
    <row r="136" spans="3:24" x14ac:dyDescent="0.25">
      <c r="C136" s="57"/>
      <c r="X136" s="41"/>
    </row>
    <row r="137" spans="3:24" x14ac:dyDescent="0.25">
      <c r="C137" s="57"/>
      <c r="X137" s="41"/>
    </row>
    <row r="138" spans="3:24" x14ac:dyDescent="0.25">
      <c r="C138" s="57"/>
      <c r="N138" s="45">
        <f>737717*4</f>
        <v>2950868</v>
      </c>
      <c r="O138" s="45">
        <f>737717*2</f>
        <v>1475434</v>
      </c>
      <c r="X138" s="41"/>
    </row>
    <row r="139" spans="3:24" x14ac:dyDescent="0.25">
      <c r="C139" s="57"/>
      <c r="X139" s="41"/>
    </row>
    <row r="140" spans="3:24" x14ac:dyDescent="0.25">
      <c r="C140" s="57"/>
      <c r="X140" s="41"/>
    </row>
    <row r="141" spans="3:24" x14ac:dyDescent="0.25">
      <c r="C141" s="57"/>
      <c r="X141" s="41"/>
    </row>
    <row r="142" spans="3:24" x14ac:dyDescent="0.25">
      <c r="C142" s="57"/>
      <c r="X142" s="41"/>
    </row>
    <row r="143" spans="3:24" x14ac:dyDescent="0.25">
      <c r="C143" s="57"/>
      <c r="X143" s="41"/>
    </row>
    <row r="144" spans="3:24" x14ac:dyDescent="0.25">
      <c r="C144" s="57"/>
      <c r="X144" s="41"/>
    </row>
    <row r="146" spans="2:24" x14ac:dyDescent="0.25"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22"/>
    </row>
    <row r="147" spans="2:24" x14ac:dyDescent="0.25"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</row>
    <row r="148" spans="2:24" x14ac:dyDescent="0.25"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2"/>
    </row>
    <row r="149" spans="2:24" x14ac:dyDescent="0.25">
      <c r="C149" s="57"/>
      <c r="D149" s="52"/>
      <c r="E149" s="52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2"/>
    </row>
    <row r="150" spans="2:24" x14ac:dyDescent="0.25">
      <c r="B150" s="60"/>
      <c r="C150" s="57"/>
      <c r="D150" s="52"/>
      <c r="E150" s="52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2"/>
    </row>
    <row r="151" spans="2:24" x14ac:dyDescent="0.25">
      <c r="C151" s="57"/>
      <c r="D151" s="52"/>
      <c r="E151" s="52"/>
      <c r="X151" s="41"/>
    </row>
    <row r="152" spans="2:24" x14ac:dyDescent="0.25">
      <c r="C152" s="57"/>
      <c r="D152" s="52"/>
      <c r="E152" s="52"/>
      <c r="X152" s="41"/>
    </row>
    <row r="153" spans="2:24" x14ac:dyDescent="0.25">
      <c r="C153" s="57"/>
      <c r="D153" s="52"/>
      <c r="E153" s="52"/>
      <c r="X153" s="41"/>
    </row>
    <row r="154" spans="2:24" x14ac:dyDescent="0.25">
      <c r="X154" s="41"/>
    </row>
    <row r="155" spans="2:24" x14ac:dyDescent="0.25">
      <c r="C155" s="57"/>
      <c r="X155" s="41"/>
    </row>
    <row r="157" spans="2:24" x14ac:dyDescent="0.25">
      <c r="X157" s="41"/>
    </row>
    <row r="160" spans="2:24" x14ac:dyDescent="0.25">
      <c r="X160" s="61"/>
    </row>
    <row r="169" spans="3:23" x14ac:dyDescent="0.25">
      <c r="O169" s="45">
        <v>3003000</v>
      </c>
    </row>
    <row r="170" spans="3:23" x14ac:dyDescent="0.25">
      <c r="C170" s="57"/>
    </row>
    <row r="171" spans="3:23" x14ac:dyDescent="0.25">
      <c r="C171" s="57"/>
    </row>
    <row r="172" spans="3:23" x14ac:dyDescent="0.25">
      <c r="C172" s="57"/>
    </row>
    <row r="173" spans="3:23" x14ac:dyDescent="0.25">
      <c r="C173" s="57"/>
    </row>
    <row r="174" spans="3:23" x14ac:dyDescent="0.25">
      <c r="C174" s="44">
        <v>42614840</v>
      </c>
      <c r="W174" s="45">
        <v>412608</v>
      </c>
    </row>
    <row r="175" spans="3:23" x14ac:dyDescent="0.25">
      <c r="C175" s="44">
        <v>9675182</v>
      </c>
      <c r="W175" s="45">
        <v>1880000</v>
      </c>
    </row>
    <row r="176" spans="3:23" x14ac:dyDescent="0.25">
      <c r="C176" s="44">
        <v>17903600</v>
      </c>
    </row>
    <row r="177" spans="3:3" x14ac:dyDescent="0.25">
      <c r="C177" s="44">
        <f>SUM(C174:C176)</f>
        <v>70193622</v>
      </c>
    </row>
    <row r="178" spans="3:3" x14ac:dyDescent="0.25">
      <c r="C178" s="44">
        <v>400000</v>
      </c>
    </row>
    <row r="179" spans="3:3" x14ac:dyDescent="0.25">
      <c r="C179" s="44">
        <f>+C177+C178</f>
        <v>70593622</v>
      </c>
    </row>
    <row r="183" spans="3:3" x14ac:dyDescent="0.25">
      <c r="C183" s="44">
        <v>11000000</v>
      </c>
    </row>
    <row r="184" spans="3:3" x14ac:dyDescent="0.25">
      <c r="C184" s="44">
        <f>+C182+C183</f>
        <v>11000000</v>
      </c>
    </row>
    <row r="189" spans="3:3" x14ac:dyDescent="0.25">
      <c r="C189" s="44">
        <v>3185000</v>
      </c>
    </row>
    <row r="190" spans="3:3" x14ac:dyDescent="0.25">
      <c r="C190" s="44">
        <v>1080000</v>
      </c>
    </row>
    <row r="191" spans="3:3" x14ac:dyDescent="0.25">
      <c r="C191" s="44">
        <v>4850100</v>
      </c>
    </row>
    <row r="192" spans="3:3" x14ac:dyDescent="0.25">
      <c r="C192" s="44">
        <v>5027500</v>
      </c>
    </row>
    <row r="193" spans="3:3" x14ac:dyDescent="0.25">
      <c r="C193" s="44">
        <v>4566000</v>
      </c>
    </row>
    <row r="194" spans="3:3" x14ac:dyDescent="0.25">
      <c r="C194" s="44">
        <v>1050000</v>
      </c>
    </row>
    <row r="195" spans="3:3" x14ac:dyDescent="0.25">
      <c r="C195" s="44">
        <v>3877333</v>
      </c>
    </row>
    <row r="196" spans="3:3" x14ac:dyDescent="0.25">
      <c r="C196" s="44">
        <v>6732440</v>
      </c>
    </row>
    <row r="197" spans="3:3" x14ac:dyDescent="0.25">
      <c r="C197" s="44">
        <v>3460000</v>
      </c>
    </row>
    <row r="198" spans="3:3" x14ac:dyDescent="0.25">
      <c r="C198" s="44">
        <v>588800</v>
      </c>
    </row>
    <row r="199" spans="3:3" x14ac:dyDescent="0.25">
      <c r="C199" s="44">
        <v>1868000</v>
      </c>
    </row>
    <row r="200" spans="3:3" x14ac:dyDescent="0.25">
      <c r="C200" s="44">
        <v>10313000</v>
      </c>
    </row>
    <row r="201" spans="3:3" x14ac:dyDescent="0.25">
      <c r="C201" s="44">
        <v>3443800</v>
      </c>
    </row>
    <row r="202" spans="3:3" x14ac:dyDescent="0.25">
      <c r="C202" s="44">
        <v>8136400</v>
      </c>
    </row>
    <row r="203" spans="3:3" x14ac:dyDescent="0.25">
      <c r="C203" s="44">
        <v>9675183</v>
      </c>
    </row>
    <row r="204" spans="3:3" x14ac:dyDescent="0.25">
      <c r="C204" s="44">
        <f>SUM(C188:C203)</f>
        <v>67853556</v>
      </c>
    </row>
  </sheetData>
  <mergeCells count="7">
    <mergeCell ref="D147:X147"/>
    <mergeCell ref="C1:X1"/>
    <mergeCell ref="F2:N2"/>
    <mergeCell ref="O2:W2"/>
    <mergeCell ref="A4:A62"/>
    <mergeCell ref="A63:A112"/>
    <mergeCell ref="F146:T146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1B0E-4474-4801-AF9C-BC80CD5E0360}">
  <dimension ref="A1:Z207"/>
  <sheetViews>
    <sheetView workbookViewId="0">
      <selection activeCell="K13" sqref="K13"/>
    </sheetView>
  </sheetViews>
  <sheetFormatPr baseColWidth="10" defaultRowHeight="12" x14ac:dyDescent="0.25"/>
  <cols>
    <col min="1" max="1" width="6.7109375" style="62" customWidth="1"/>
    <col min="2" max="2" width="4.85546875" style="62" customWidth="1"/>
    <col min="3" max="3" width="32.28515625" style="13" customWidth="1"/>
    <col min="4" max="4" width="8.5703125" style="62" customWidth="1"/>
    <col min="5" max="5" width="15" style="71" customWidth="1"/>
    <col min="6" max="6" width="4.42578125" style="71" customWidth="1"/>
    <col min="7" max="7" width="15.5703125" style="71" customWidth="1"/>
    <col min="8" max="9" width="11.28515625" style="71" customWidth="1"/>
    <col min="10" max="10" width="9.5703125" style="71" customWidth="1"/>
    <col min="11" max="11" width="12.28515625" style="71" customWidth="1"/>
    <col min="12" max="12" width="12.5703125" style="71" customWidth="1"/>
    <col min="13" max="13" width="16" style="71" customWidth="1"/>
    <col min="14" max="15" width="12.28515625" style="71" customWidth="1"/>
    <col min="16" max="18" width="11.28515625" style="71" customWidth="1"/>
    <col min="19" max="19" width="12.28515625" style="71" customWidth="1"/>
    <col min="20" max="20" width="11.28515625" style="71" customWidth="1"/>
    <col min="21" max="21" width="15.7109375" style="71" customWidth="1"/>
    <col min="22" max="22" width="12.42578125" style="71" customWidth="1"/>
    <col min="23" max="23" width="18" style="62" bestFit="1" customWidth="1"/>
    <col min="24" max="24" width="11.85546875" style="62" bestFit="1" customWidth="1"/>
    <col min="25" max="243" width="11.42578125" style="62"/>
    <col min="244" max="244" width="10.5703125" style="62" customWidth="1"/>
    <col min="245" max="245" width="4.85546875" style="62" customWidth="1"/>
    <col min="246" max="246" width="32.42578125" style="62" customWidth="1"/>
    <col min="247" max="247" width="9.85546875" style="62" customWidth="1"/>
    <col min="248" max="248" width="10.140625" style="62" customWidth="1"/>
    <col min="249" max="249" width="12.28515625" style="62" customWidth="1"/>
    <col min="250" max="250" width="15.42578125" style="62" customWidth="1"/>
    <col min="251" max="251" width="11.85546875" style="62" customWidth="1"/>
    <col min="252" max="252" width="13.28515625" style="62" customWidth="1"/>
    <col min="253" max="253" width="15.28515625" style="62" customWidth="1"/>
    <col min="254" max="254" width="11.85546875" style="62" customWidth="1"/>
    <col min="255" max="255" width="6.140625" style="62" customWidth="1"/>
    <col min="256" max="256" width="11.85546875" style="62" customWidth="1"/>
    <col min="257" max="257" width="9.42578125" style="62" customWidth="1"/>
    <col min="258" max="258" width="14.7109375" style="62" customWidth="1"/>
    <col min="259" max="259" width="11.5703125" style="62" customWidth="1"/>
    <col min="260" max="260" width="0.42578125" style="62" customWidth="1"/>
    <col min="261" max="261" width="10.5703125" style="62" bestFit="1" customWidth="1"/>
    <col min="262" max="262" width="12.28515625" style="62" customWidth="1"/>
    <col min="263" max="263" width="12.5703125" style="62" customWidth="1"/>
    <col min="264" max="264" width="10.5703125" style="62" customWidth="1"/>
    <col min="265" max="265" width="10.140625" style="62" customWidth="1"/>
    <col min="266" max="266" width="8.42578125" style="62" customWidth="1"/>
    <col min="267" max="267" width="18.85546875" style="62" customWidth="1"/>
    <col min="268" max="268" width="10.28515625" style="62" customWidth="1"/>
    <col min="269" max="269" width="11.42578125" style="62"/>
    <col min="270" max="270" width="12.140625" style="62" customWidth="1"/>
    <col min="271" max="271" width="10.5703125" style="62" customWidth="1"/>
    <col min="272" max="272" width="12.42578125" style="62" customWidth="1"/>
    <col min="273" max="273" width="15.140625" style="62" customWidth="1"/>
    <col min="274" max="274" width="13.5703125" style="62" customWidth="1"/>
    <col min="275" max="275" width="13.140625" style="62" customWidth="1"/>
    <col min="276" max="276" width="15.7109375" style="62" customWidth="1"/>
    <col min="277" max="277" width="37.5703125" style="62" customWidth="1"/>
    <col min="278" max="499" width="11.42578125" style="62"/>
    <col min="500" max="500" width="10.5703125" style="62" customWidth="1"/>
    <col min="501" max="501" width="4.85546875" style="62" customWidth="1"/>
    <col min="502" max="502" width="32.42578125" style="62" customWidth="1"/>
    <col min="503" max="503" width="9.85546875" style="62" customWidth="1"/>
    <col min="504" max="504" width="10.140625" style="62" customWidth="1"/>
    <col min="505" max="505" width="12.28515625" style="62" customWidth="1"/>
    <col min="506" max="506" width="15.42578125" style="62" customWidth="1"/>
    <col min="507" max="507" width="11.85546875" style="62" customWidth="1"/>
    <col min="508" max="508" width="13.28515625" style="62" customWidth="1"/>
    <col min="509" max="509" width="15.28515625" style="62" customWidth="1"/>
    <col min="510" max="510" width="11.85546875" style="62" customWidth="1"/>
    <col min="511" max="511" width="6.140625" style="62" customWidth="1"/>
    <col min="512" max="512" width="11.85546875" style="62" customWidth="1"/>
    <col min="513" max="513" width="9.42578125" style="62" customWidth="1"/>
    <col min="514" max="514" width="14.7109375" style="62" customWidth="1"/>
    <col min="515" max="515" width="11.5703125" style="62" customWidth="1"/>
    <col min="516" max="516" width="0.42578125" style="62" customWidth="1"/>
    <col min="517" max="517" width="10.5703125" style="62" bestFit="1" customWidth="1"/>
    <col min="518" max="518" width="12.28515625" style="62" customWidth="1"/>
    <col min="519" max="519" width="12.5703125" style="62" customWidth="1"/>
    <col min="520" max="520" width="10.5703125" style="62" customWidth="1"/>
    <col min="521" max="521" width="10.140625" style="62" customWidth="1"/>
    <col min="522" max="522" width="8.42578125" style="62" customWidth="1"/>
    <col min="523" max="523" width="18.85546875" style="62" customWidth="1"/>
    <col min="524" max="524" width="10.28515625" style="62" customWidth="1"/>
    <col min="525" max="525" width="11.42578125" style="62"/>
    <col min="526" max="526" width="12.140625" style="62" customWidth="1"/>
    <col min="527" max="527" width="10.5703125" style="62" customWidth="1"/>
    <col min="528" max="528" width="12.42578125" style="62" customWidth="1"/>
    <col min="529" max="529" width="15.140625" style="62" customWidth="1"/>
    <col min="530" max="530" width="13.5703125" style="62" customWidth="1"/>
    <col min="531" max="531" width="13.140625" style="62" customWidth="1"/>
    <col min="532" max="532" width="15.7109375" style="62" customWidth="1"/>
    <col min="533" max="533" width="37.5703125" style="62" customWidth="1"/>
    <col min="534" max="755" width="11.42578125" style="62"/>
    <col min="756" max="756" width="10.5703125" style="62" customWidth="1"/>
    <col min="757" max="757" width="4.85546875" style="62" customWidth="1"/>
    <col min="758" max="758" width="32.42578125" style="62" customWidth="1"/>
    <col min="759" max="759" width="9.85546875" style="62" customWidth="1"/>
    <col min="760" max="760" width="10.140625" style="62" customWidth="1"/>
    <col min="761" max="761" width="12.28515625" style="62" customWidth="1"/>
    <col min="762" max="762" width="15.42578125" style="62" customWidth="1"/>
    <col min="763" max="763" width="11.85546875" style="62" customWidth="1"/>
    <col min="764" max="764" width="13.28515625" style="62" customWidth="1"/>
    <col min="765" max="765" width="15.28515625" style="62" customWidth="1"/>
    <col min="766" max="766" width="11.85546875" style="62" customWidth="1"/>
    <col min="767" max="767" width="6.140625" style="62" customWidth="1"/>
    <col min="768" max="768" width="11.85546875" style="62" customWidth="1"/>
    <col min="769" max="769" width="9.42578125" style="62" customWidth="1"/>
    <col min="770" max="770" width="14.7109375" style="62" customWidth="1"/>
    <col min="771" max="771" width="11.5703125" style="62" customWidth="1"/>
    <col min="772" max="772" width="0.42578125" style="62" customWidth="1"/>
    <col min="773" max="773" width="10.5703125" style="62" bestFit="1" customWidth="1"/>
    <col min="774" max="774" width="12.28515625" style="62" customWidth="1"/>
    <col min="775" max="775" width="12.5703125" style="62" customWidth="1"/>
    <col min="776" max="776" width="10.5703125" style="62" customWidth="1"/>
    <col min="777" max="777" width="10.140625" style="62" customWidth="1"/>
    <col min="778" max="778" width="8.42578125" style="62" customWidth="1"/>
    <col min="779" max="779" width="18.85546875" style="62" customWidth="1"/>
    <col min="780" max="780" width="10.28515625" style="62" customWidth="1"/>
    <col min="781" max="781" width="11.42578125" style="62"/>
    <col min="782" max="782" width="12.140625" style="62" customWidth="1"/>
    <col min="783" max="783" width="10.5703125" style="62" customWidth="1"/>
    <col min="784" max="784" width="12.42578125" style="62" customWidth="1"/>
    <col min="785" max="785" width="15.140625" style="62" customWidth="1"/>
    <col min="786" max="786" width="13.5703125" style="62" customWidth="1"/>
    <col min="787" max="787" width="13.140625" style="62" customWidth="1"/>
    <col min="788" max="788" width="15.7109375" style="62" customWidth="1"/>
    <col min="789" max="789" width="37.5703125" style="62" customWidth="1"/>
    <col min="790" max="1011" width="11.42578125" style="62"/>
    <col min="1012" max="1012" width="10.5703125" style="62" customWidth="1"/>
    <col min="1013" max="1013" width="4.85546875" style="62" customWidth="1"/>
    <col min="1014" max="1014" width="32.42578125" style="62" customWidth="1"/>
    <col min="1015" max="1015" width="9.85546875" style="62" customWidth="1"/>
    <col min="1016" max="1016" width="10.140625" style="62" customWidth="1"/>
    <col min="1017" max="1017" width="12.28515625" style="62" customWidth="1"/>
    <col min="1018" max="1018" width="15.42578125" style="62" customWidth="1"/>
    <col min="1019" max="1019" width="11.85546875" style="62" customWidth="1"/>
    <col min="1020" max="1020" width="13.28515625" style="62" customWidth="1"/>
    <col min="1021" max="1021" width="15.28515625" style="62" customWidth="1"/>
    <col min="1022" max="1022" width="11.85546875" style="62" customWidth="1"/>
    <col min="1023" max="1023" width="6.140625" style="62" customWidth="1"/>
    <col min="1024" max="1024" width="11.85546875" style="62" customWidth="1"/>
    <col min="1025" max="1025" width="9.42578125" style="62" customWidth="1"/>
    <col min="1026" max="1026" width="14.7109375" style="62" customWidth="1"/>
    <col min="1027" max="1027" width="11.5703125" style="62" customWidth="1"/>
    <col min="1028" max="1028" width="0.42578125" style="62" customWidth="1"/>
    <col min="1029" max="1029" width="10.5703125" style="62" bestFit="1" customWidth="1"/>
    <col min="1030" max="1030" width="12.28515625" style="62" customWidth="1"/>
    <col min="1031" max="1031" width="12.5703125" style="62" customWidth="1"/>
    <col min="1032" max="1032" width="10.5703125" style="62" customWidth="1"/>
    <col min="1033" max="1033" width="10.140625" style="62" customWidth="1"/>
    <col min="1034" max="1034" width="8.42578125" style="62" customWidth="1"/>
    <col min="1035" max="1035" width="18.85546875" style="62" customWidth="1"/>
    <col min="1036" max="1036" width="10.28515625" style="62" customWidth="1"/>
    <col min="1037" max="1037" width="11.42578125" style="62"/>
    <col min="1038" max="1038" width="12.140625" style="62" customWidth="1"/>
    <col min="1039" max="1039" width="10.5703125" style="62" customWidth="1"/>
    <col min="1040" max="1040" width="12.42578125" style="62" customWidth="1"/>
    <col min="1041" max="1041" width="15.140625" style="62" customWidth="1"/>
    <col min="1042" max="1042" width="13.5703125" style="62" customWidth="1"/>
    <col min="1043" max="1043" width="13.140625" style="62" customWidth="1"/>
    <col min="1044" max="1044" width="15.7109375" style="62" customWidth="1"/>
    <col min="1045" max="1045" width="37.5703125" style="62" customWidth="1"/>
    <col min="1046" max="1267" width="11.42578125" style="62"/>
    <col min="1268" max="1268" width="10.5703125" style="62" customWidth="1"/>
    <col min="1269" max="1269" width="4.85546875" style="62" customWidth="1"/>
    <col min="1270" max="1270" width="32.42578125" style="62" customWidth="1"/>
    <col min="1271" max="1271" width="9.85546875" style="62" customWidth="1"/>
    <col min="1272" max="1272" width="10.140625" style="62" customWidth="1"/>
    <col min="1273" max="1273" width="12.28515625" style="62" customWidth="1"/>
    <col min="1274" max="1274" width="15.42578125" style="62" customWidth="1"/>
    <col min="1275" max="1275" width="11.85546875" style="62" customWidth="1"/>
    <col min="1276" max="1276" width="13.28515625" style="62" customWidth="1"/>
    <col min="1277" max="1277" width="15.28515625" style="62" customWidth="1"/>
    <col min="1278" max="1278" width="11.85546875" style="62" customWidth="1"/>
    <col min="1279" max="1279" width="6.140625" style="62" customWidth="1"/>
    <col min="1280" max="1280" width="11.85546875" style="62" customWidth="1"/>
    <col min="1281" max="1281" width="9.42578125" style="62" customWidth="1"/>
    <col min="1282" max="1282" width="14.7109375" style="62" customWidth="1"/>
    <col min="1283" max="1283" width="11.5703125" style="62" customWidth="1"/>
    <col min="1284" max="1284" width="0.42578125" style="62" customWidth="1"/>
    <col min="1285" max="1285" width="10.5703125" style="62" bestFit="1" customWidth="1"/>
    <col min="1286" max="1286" width="12.28515625" style="62" customWidth="1"/>
    <col min="1287" max="1287" width="12.5703125" style="62" customWidth="1"/>
    <col min="1288" max="1288" width="10.5703125" style="62" customWidth="1"/>
    <col min="1289" max="1289" width="10.140625" style="62" customWidth="1"/>
    <col min="1290" max="1290" width="8.42578125" style="62" customWidth="1"/>
    <col min="1291" max="1291" width="18.85546875" style="62" customWidth="1"/>
    <col min="1292" max="1292" width="10.28515625" style="62" customWidth="1"/>
    <col min="1293" max="1293" width="11.42578125" style="62"/>
    <col min="1294" max="1294" width="12.140625" style="62" customWidth="1"/>
    <col min="1295" max="1295" width="10.5703125" style="62" customWidth="1"/>
    <col min="1296" max="1296" width="12.42578125" style="62" customWidth="1"/>
    <col min="1297" max="1297" width="15.140625" style="62" customWidth="1"/>
    <col min="1298" max="1298" width="13.5703125" style="62" customWidth="1"/>
    <col min="1299" max="1299" width="13.140625" style="62" customWidth="1"/>
    <col min="1300" max="1300" width="15.7109375" style="62" customWidth="1"/>
    <col min="1301" max="1301" width="37.5703125" style="62" customWidth="1"/>
    <col min="1302" max="1523" width="11.42578125" style="62"/>
    <col min="1524" max="1524" width="10.5703125" style="62" customWidth="1"/>
    <col min="1525" max="1525" width="4.85546875" style="62" customWidth="1"/>
    <col min="1526" max="1526" width="32.42578125" style="62" customWidth="1"/>
    <col min="1527" max="1527" width="9.85546875" style="62" customWidth="1"/>
    <col min="1528" max="1528" width="10.140625" style="62" customWidth="1"/>
    <col min="1529" max="1529" width="12.28515625" style="62" customWidth="1"/>
    <col min="1530" max="1530" width="15.42578125" style="62" customWidth="1"/>
    <col min="1531" max="1531" width="11.85546875" style="62" customWidth="1"/>
    <col min="1532" max="1532" width="13.28515625" style="62" customWidth="1"/>
    <col min="1533" max="1533" width="15.28515625" style="62" customWidth="1"/>
    <col min="1534" max="1534" width="11.85546875" style="62" customWidth="1"/>
    <col min="1535" max="1535" width="6.140625" style="62" customWidth="1"/>
    <col min="1536" max="1536" width="11.85546875" style="62" customWidth="1"/>
    <col min="1537" max="1537" width="9.42578125" style="62" customWidth="1"/>
    <col min="1538" max="1538" width="14.7109375" style="62" customWidth="1"/>
    <col min="1539" max="1539" width="11.5703125" style="62" customWidth="1"/>
    <col min="1540" max="1540" width="0.42578125" style="62" customWidth="1"/>
    <col min="1541" max="1541" width="10.5703125" style="62" bestFit="1" customWidth="1"/>
    <col min="1542" max="1542" width="12.28515625" style="62" customWidth="1"/>
    <col min="1543" max="1543" width="12.5703125" style="62" customWidth="1"/>
    <col min="1544" max="1544" width="10.5703125" style="62" customWidth="1"/>
    <col min="1545" max="1545" width="10.140625" style="62" customWidth="1"/>
    <col min="1546" max="1546" width="8.42578125" style="62" customWidth="1"/>
    <col min="1547" max="1547" width="18.85546875" style="62" customWidth="1"/>
    <col min="1548" max="1548" width="10.28515625" style="62" customWidth="1"/>
    <col min="1549" max="1549" width="11.42578125" style="62"/>
    <col min="1550" max="1550" width="12.140625" style="62" customWidth="1"/>
    <col min="1551" max="1551" width="10.5703125" style="62" customWidth="1"/>
    <col min="1552" max="1552" width="12.42578125" style="62" customWidth="1"/>
    <col min="1553" max="1553" width="15.140625" style="62" customWidth="1"/>
    <col min="1554" max="1554" width="13.5703125" style="62" customWidth="1"/>
    <col min="1555" max="1555" width="13.140625" style="62" customWidth="1"/>
    <col min="1556" max="1556" width="15.7109375" style="62" customWidth="1"/>
    <col min="1557" max="1557" width="37.5703125" style="62" customWidth="1"/>
    <col min="1558" max="1779" width="11.42578125" style="62"/>
    <col min="1780" max="1780" width="10.5703125" style="62" customWidth="1"/>
    <col min="1781" max="1781" width="4.85546875" style="62" customWidth="1"/>
    <col min="1782" max="1782" width="32.42578125" style="62" customWidth="1"/>
    <col min="1783" max="1783" width="9.85546875" style="62" customWidth="1"/>
    <col min="1784" max="1784" width="10.140625" style="62" customWidth="1"/>
    <col min="1785" max="1785" width="12.28515625" style="62" customWidth="1"/>
    <col min="1786" max="1786" width="15.42578125" style="62" customWidth="1"/>
    <col min="1787" max="1787" width="11.85546875" style="62" customWidth="1"/>
    <col min="1788" max="1788" width="13.28515625" style="62" customWidth="1"/>
    <col min="1789" max="1789" width="15.28515625" style="62" customWidth="1"/>
    <col min="1790" max="1790" width="11.85546875" style="62" customWidth="1"/>
    <col min="1791" max="1791" width="6.140625" style="62" customWidth="1"/>
    <col min="1792" max="1792" width="11.85546875" style="62" customWidth="1"/>
    <col min="1793" max="1793" width="9.42578125" style="62" customWidth="1"/>
    <col min="1794" max="1794" width="14.7109375" style="62" customWidth="1"/>
    <col min="1795" max="1795" width="11.5703125" style="62" customWidth="1"/>
    <col min="1796" max="1796" width="0.42578125" style="62" customWidth="1"/>
    <col min="1797" max="1797" width="10.5703125" style="62" bestFit="1" customWidth="1"/>
    <col min="1798" max="1798" width="12.28515625" style="62" customWidth="1"/>
    <col min="1799" max="1799" width="12.5703125" style="62" customWidth="1"/>
    <col min="1800" max="1800" width="10.5703125" style="62" customWidth="1"/>
    <col min="1801" max="1801" width="10.140625" style="62" customWidth="1"/>
    <col min="1802" max="1802" width="8.42578125" style="62" customWidth="1"/>
    <col min="1803" max="1803" width="18.85546875" style="62" customWidth="1"/>
    <col min="1804" max="1804" width="10.28515625" style="62" customWidth="1"/>
    <col min="1805" max="1805" width="11.42578125" style="62"/>
    <col min="1806" max="1806" width="12.140625" style="62" customWidth="1"/>
    <col min="1807" max="1807" width="10.5703125" style="62" customWidth="1"/>
    <col min="1808" max="1808" width="12.42578125" style="62" customWidth="1"/>
    <col min="1809" max="1809" width="15.140625" style="62" customWidth="1"/>
    <col min="1810" max="1810" width="13.5703125" style="62" customWidth="1"/>
    <col min="1811" max="1811" width="13.140625" style="62" customWidth="1"/>
    <col min="1812" max="1812" width="15.7109375" style="62" customWidth="1"/>
    <col min="1813" max="1813" width="37.5703125" style="62" customWidth="1"/>
    <col min="1814" max="2035" width="11.42578125" style="62"/>
    <col min="2036" max="2036" width="10.5703125" style="62" customWidth="1"/>
    <col min="2037" max="2037" width="4.85546875" style="62" customWidth="1"/>
    <col min="2038" max="2038" width="32.42578125" style="62" customWidth="1"/>
    <col min="2039" max="2039" width="9.85546875" style="62" customWidth="1"/>
    <col min="2040" max="2040" width="10.140625" style="62" customWidth="1"/>
    <col min="2041" max="2041" width="12.28515625" style="62" customWidth="1"/>
    <col min="2042" max="2042" width="15.42578125" style="62" customWidth="1"/>
    <col min="2043" max="2043" width="11.85546875" style="62" customWidth="1"/>
    <col min="2044" max="2044" width="13.28515625" style="62" customWidth="1"/>
    <col min="2045" max="2045" width="15.28515625" style="62" customWidth="1"/>
    <col min="2046" max="2046" width="11.85546875" style="62" customWidth="1"/>
    <col min="2047" max="2047" width="6.140625" style="62" customWidth="1"/>
    <col min="2048" max="2048" width="11.85546875" style="62" customWidth="1"/>
    <col min="2049" max="2049" width="9.42578125" style="62" customWidth="1"/>
    <col min="2050" max="2050" width="14.7109375" style="62" customWidth="1"/>
    <col min="2051" max="2051" width="11.5703125" style="62" customWidth="1"/>
    <col min="2052" max="2052" width="0.42578125" style="62" customWidth="1"/>
    <col min="2053" max="2053" width="10.5703125" style="62" bestFit="1" customWidth="1"/>
    <col min="2054" max="2054" width="12.28515625" style="62" customWidth="1"/>
    <col min="2055" max="2055" width="12.5703125" style="62" customWidth="1"/>
    <col min="2056" max="2056" width="10.5703125" style="62" customWidth="1"/>
    <col min="2057" max="2057" width="10.140625" style="62" customWidth="1"/>
    <col min="2058" max="2058" width="8.42578125" style="62" customWidth="1"/>
    <col min="2059" max="2059" width="18.85546875" style="62" customWidth="1"/>
    <col min="2060" max="2060" width="10.28515625" style="62" customWidth="1"/>
    <col min="2061" max="2061" width="11.42578125" style="62"/>
    <col min="2062" max="2062" width="12.140625" style="62" customWidth="1"/>
    <col min="2063" max="2063" width="10.5703125" style="62" customWidth="1"/>
    <col min="2064" max="2064" width="12.42578125" style="62" customWidth="1"/>
    <col min="2065" max="2065" width="15.140625" style="62" customWidth="1"/>
    <col min="2066" max="2066" width="13.5703125" style="62" customWidth="1"/>
    <col min="2067" max="2067" width="13.140625" style="62" customWidth="1"/>
    <col min="2068" max="2068" width="15.7109375" style="62" customWidth="1"/>
    <col min="2069" max="2069" width="37.5703125" style="62" customWidth="1"/>
    <col min="2070" max="2291" width="11.42578125" style="62"/>
    <col min="2292" max="2292" width="10.5703125" style="62" customWidth="1"/>
    <col min="2293" max="2293" width="4.85546875" style="62" customWidth="1"/>
    <col min="2294" max="2294" width="32.42578125" style="62" customWidth="1"/>
    <col min="2295" max="2295" width="9.85546875" style="62" customWidth="1"/>
    <col min="2296" max="2296" width="10.140625" style="62" customWidth="1"/>
    <col min="2297" max="2297" width="12.28515625" style="62" customWidth="1"/>
    <col min="2298" max="2298" width="15.42578125" style="62" customWidth="1"/>
    <col min="2299" max="2299" width="11.85546875" style="62" customWidth="1"/>
    <col min="2300" max="2300" width="13.28515625" style="62" customWidth="1"/>
    <col min="2301" max="2301" width="15.28515625" style="62" customWidth="1"/>
    <col min="2302" max="2302" width="11.85546875" style="62" customWidth="1"/>
    <col min="2303" max="2303" width="6.140625" style="62" customWidth="1"/>
    <col min="2304" max="2304" width="11.85546875" style="62" customWidth="1"/>
    <col min="2305" max="2305" width="9.42578125" style="62" customWidth="1"/>
    <col min="2306" max="2306" width="14.7109375" style="62" customWidth="1"/>
    <col min="2307" max="2307" width="11.5703125" style="62" customWidth="1"/>
    <col min="2308" max="2308" width="0.42578125" style="62" customWidth="1"/>
    <col min="2309" max="2309" width="10.5703125" style="62" bestFit="1" customWidth="1"/>
    <col min="2310" max="2310" width="12.28515625" style="62" customWidth="1"/>
    <col min="2311" max="2311" width="12.5703125" style="62" customWidth="1"/>
    <col min="2312" max="2312" width="10.5703125" style="62" customWidth="1"/>
    <col min="2313" max="2313" width="10.140625" style="62" customWidth="1"/>
    <col min="2314" max="2314" width="8.42578125" style="62" customWidth="1"/>
    <col min="2315" max="2315" width="18.85546875" style="62" customWidth="1"/>
    <col min="2316" max="2316" width="10.28515625" style="62" customWidth="1"/>
    <col min="2317" max="2317" width="11.42578125" style="62"/>
    <col min="2318" max="2318" width="12.140625" style="62" customWidth="1"/>
    <col min="2319" max="2319" width="10.5703125" style="62" customWidth="1"/>
    <col min="2320" max="2320" width="12.42578125" style="62" customWidth="1"/>
    <col min="2321" max="2321" width="15.140625" style="62" customWidth="1"/>
    <col min="2322" max="2322" width="13.5703125" style="62" customWidth="1"/>
    <col min="2323" max="2323" width="13.140625" style="62" customWidth="1"/>
    <col min="2324" max="2324" width="15.7109375" style="62" customWidth="1"/>
    <col min="2325" max="2325" width="37.5703125" style="62" customWidth="1"/>
    <col min="2326" max="2547" width="11.42578125" style="62"/>
    <col min="2548" max="2548" width="10.5703125" style="62" customWidth="1"/>
    <col min="2549" max="2549" width="4.85546875" style="62" customWidth="1"/>
    <col min="2550" max="2550" width="32.42578125" style="62" customWidth="1"/>
    <col min="2551" max="2551" width="9.85546875" style="62" customWidth="1"/>
    <col min="2552" max="2552" width="10.140625" style="62" customWidth="1"/>
    <col min="2553" max="2553" width="12.28515625" style="62" customWidth="1"/>
    <col min="2554" max="2554" width="15.42578125" style="62" customWidth="1"/>
    <col min="2555" max="2555" width="11.85546875" style="62" customWidth="1"/>
    <col min="2556" max="2556" width="13.28515625" style="62" customWidth="1"/>
    <col min="2557" max="2557" width="15.28515625" style="62" customWidth="1"/>
    <col min="2558" max="2558" width="11.85546875" style="62" customWidth="1"/>
    <col min="2559" max="2559" width="6.140625" style="62" customWidth="1"/>
    <col min="2560" max="2560" width="11.85546875" style="62" customWidth="1"/>
    <col min="2561" max="2561" width="9.42578125" style="62" customWidth="1"/>
    <col min="2562" max="2562" width="14.7109375" style="62" customWidth="1"/>
    <col min="2563" max="2563" width="11.5703125" style="62" customWidth="1"/>
    <col min="2564" max="2564" width="0.42578125" style="62" customWidth="1"/>
    <col min="2565" max="2565" width="10.5703125" style="62" bestFit="1" customWidth="1"/>
    <col min="2566" max="2566" width="12.28515625" style="62" customWidth="1"/>
    <col min="2567" max="2567" width="12.5703125" style="62" customWidth="1"/>
    <col min="2568" max="2568" width="10.5703125" style="62" customWidth="1"/>
    <col min="2569" max="2569" width="10.140625" style="62" customWidth="1"/>
    <col min="2570" max="2570" width="8.42578125" style="62" customWidth="1"/>
    <col min="2571" max="2571" width="18.85546875" style="62" customWidth="1"/>
    <col min="2572" max="2572" width="10.28515625" style="62" customWidth="1"/>
    <col min="2573" max="2573" width="11.42578125" style="62"/>
    <col min="2574" max="2574" width="12.140625" style="62" customWidth="1"/>
    <col min="2575" max="2575" width="10.5703125" style="62" customWidth="1"/>
    <col min="2576" max="2576" width="12.42578125" style="62" customWidth="1"/>
    <col min="2577" max="2577" width="15.140625" style="62" customWidth="1"/>
    <col min="2578" max="2578" width="13.5703125" style="62" customWidth="1"/>
    <col min="2579" max="2579" width="13.140625" style="62" customWidth="1"/>
    <col min="2580" max="2580" width="15.7109375" style="62" customWidth="1"/>
    <col min="2581" max="2581" width="37.5703125" style="62" customWidth="1"/>
    <col min="2582" max="2803" width="11.42578125" style="62"/>
    <col min="2804" max="2804" width="10.5703125" style="62" customWidth="1"/>
    <col min="2805" max="2805" width="4.85546875" style="62" customWidth="1"/>
    <col min="2806" max="2806" width="32.42578125" style="62" customWidth="1"/>
    <col min="2807" max="2807" width="9.85546875" style="62" customWidth="1"/>
    <col min="2808" max="2808" width="10.140625" style="62" customWidth="1"/>
    <col min="2809" max="2809" width="12.28515625" style="62" customWidth="1"/>
    <col min="2810" max="2810" width="15.42578125" style="62" customWidth="1"/>
    <col min="2811" max="2811" width="11.85546875" style="62" customWidth="1"/>
    <col min="2812" max="2812" width="13.28515625" style="62" customWidth="1"/>
    <col min="2813" max="2813" width="15.28515625" style="62" customWidth="1"/>
    <col min="2814" max="2814" width="11.85546875" style="62" customWidth="1"/>
    <col min="2815" max="2815" width="6.140625" style="62" customWidth="1"/>
    <col min="2816" max="2816" width="11.85546875" style="62" customWidth="1"/>
    <col min="2817" max="2817" width="9.42578125" style="62" customWidth="1"/>
    <col min="2818" max="2818" width="14.7109375" style="62" customWidth="1"/>
    <col min="2819" max="2819" width="11.5703125" style="62" customWidth="1"/>
    <col min="2820" max="2820" width="0.42578125" style="62" customWidth="1"/>
    <col min="2821" max="2821" width="10.5703125" style="62" bestFit="1" customWidth="1"/>
    <col min="2822" max="2822" width="12.28515625" style="62" customWidth="1"/>
    <col min="2823" max="2823" width="12.5703125" style="62" customWidth="1"/>
    <col min="2824" max="2824" width="10.5703125" style="62" customWidth="1"/>
    <col min="2825" max="2825" width="10.140625" style="62" customWidth="1"/>
    <col min="2826" max="2826" width="8.42578125" style="62" customWidth="1"/>
    <col min="2827" max="2827" width="18.85546875" style="62" customWidth="1"/>
    <col min="2828" max="2828" width="10.28515625" style="62" customWidth="1"/>
    <col min="2829" max="2829" width="11.42578125" style="62"/>
    <col min="2830" max="2830" width="12.140625" style="62" customWidth="1"/>
    <col min="2831" max="2831" width="10.5703125" style="62" customWidth="1"/>
    <col min="2832" max="2832" width="12.42578125" style="62" customWidth="1"/>
    <col min="2833" max="2833" width="15.140625" style="62" customWidth="1"/>
    <col min="2834" max="2834" width="13.5703125" style="62" customWidth="1"/>
    <col min="2835" max="2835" width="13.140625" style="62" customWidth="1"/>
    <col min="2836" max="2836" width="15.7109375" style="62" customWidth="1"/>
    <col min="2837" max="2837" width="37.5703125" style="62" customWidth="1"/>
    <col min="2838" max="3059" width="11.42578125" style="62"/>
    <col min="3060" max="3060" width="10.5703125" style="62" customWidth="1"/>
    <col min="3061" max="3061" width="4.85546875" style="62" customWidth="1"/>
    <col min="3062" max="3062" width="32.42578125" style="62" customWidth="1"/>
    <col min="3063" max="3063" width="9.85546875" style="62" customWidth="1"/>
    <col min="3064" max="3064" width="10.140625" style="62" customWidth="1"/>
    <col min="3065" max="3065" width="12.28515625" style="62" customWidth="1"/>
    <col min="3066" max="3066" width="15.42578125" style="62" customWidth="1"/>
    <col min="3067" max="3067" width="11.85546875" style="62" customWidth="1"/>
    <col min="3068" max="3068" width="13.28515625" style="62" customWidth="1"/>
    <col min="3069" max="3069" width="15.28515625" style="62" customWidth="1"/>
    <col min="3070" max="3070" width="11.85546875" style="62" customWidth="1"/>
    <col min="3071" max="3071" width="6.140625" style="62" customWidth="1"/>
    <col min="3072" max="3072" width="11.85546875" style="62" customWidth="1"/>
    <col min="3073" max="3073" width="9.42578125" style="62" customWidth="1"/>
    <col min="3074" max="3074" width="14.7109375" style="62" customWidth="1"/>
    <col min="3075" max="3075" width="11.5703125" style="62" customWidth="1"/>
    <col min="3076" max="3076" width="0.42578125" style="62" customWidth="1"/>
    <col min="3077" max="3077" width="10.5703125" style="62" bestFit="1" customWidth="1"/>
    <col min="3078" max="3078" width="12.28515625" style="62" customWidth="1"/>
    <col min="3079" max="3079" width="12.5703125" style="62" customWidth="1"/>
    <col min="3080" max="3080" width="10.5703125" style="62" customWidth="1"/>
    <col min="3081" max="3081" width="10.140625" style="62" customWidth="1"/>
    <col min="3082" max="3082" width="8.42578125" style="62" customWidth="1"/>
    <col min="3083" max="3083" width="18.85546875" style="62" customWidth="1"/>
    <col min="3084" max="3084" width="10.28515625" style="62" customWidth="1"/>
    <col min="3085" max="3085" width="11.42578125" style="62"/>
    <col min="3086" max="3086" width="12.140625" style="62" customWidth="1"/>
    <col min="3087" max="3087" width="10.5703125" style="62" customWidth="1"/>
    <col min="3088" max="3088" width="12.42578125" style="62" customWidth="1"/>
    <col min="3089" max="3089" width="15.140625" style="62" customWidth="1"/>
    <col min="3090" max="3090" width="13.5703125" style="62" customWidth="1"/>
    <col min="3091" max="3091" width="13.140625" style="62" customWidth="1"/>
    <col min="3092" max="3092" width="15.7109375" style="62" customWidth="1"/>
    <col min="3093" max="3093" width="37.5703125" style="62" customWidth="1"/>
    <col min="3094" max="3315" width="11.42578125" style="62"/>
    <col min="3316" max="3316" width="10.5703125" style="62" customWidth="1"/>
    <col min="3317" max="3317" width="4.85546875" style="62" customWidth="1"/>
    <col min="3318" max="3318" width="32.42578125" style="62" customWidth="1"/>
    <col min="3319" max="3319" width="9.85546875" style="62" customWidth="1"/>
    <col min="3320" max="3320" width="10.140625" style="62" customWidth="1"/>
    <col min="3321" max="3321" width="12.28515625" style="62" customWidth="1"/>
    <col min="3322" max="3322" width="15.42578125" style="62" customWidth="1"/>
    <col min="3323" max="3323" width="11.85546875" style="62" customWidth="1"/>
    <col min="3324" max="3324" width="13.28515625" style="62" customWidth="1"/>
    <col min="3325" max="3325" width="15.28515625" style="62" customWidth="1"/>
    <col min="3326" max="3326" width="11.85546875" style="62" customWidth="1"/>
    <col min="3327" max="3327" width="6.140625" style="62" customWidth="1"/>
    <col min="3328" max="3328" width="11.85546875" style="62" customWidth="1"/>
    <col min="3329" max="3329" width="9.42578125" style="62" customWidth="1"/>
    <col min="3330" max="3330" width="14.7109375" style="62" customWidth="1"/>
    <col min="3331" max="3331" width="11.5703125" style="62" customWidth="1"/>
    <col min="3332" max="3332" width="0.42578125" style="62" customWidth="1"/>
    <col min="3333" max="3333" width="10.5703125" style="62" bestFit="1" customWidth="1"/>
    <col min="3334" max="3334" width="12.28515625" style="62" customWidth="1"/>
    <col min="3335" max="3335" width="12.5703125" style="62" customWidth="1"/>
    <col min="3336" max="3336" width="10.5703125" style="62" customWidth="1"/>
    <col min="3337" max="3337" width="10.140625" style="62" customWidth="1"/>
    <col min="3338" max="3338" width="8.42578125" style="62" customWidth="1"/>
    <col min="3339" max="3339" width="18.85546875" style="62" customWidth="1"/>
    <col min="3340" max="3340" width="10.28515625" style="62" customWidth="1"/>
    <col min="3341" max="3341" width="11.42578125" style="62"/>
    <col min="3342" max="3342" width="12.140625" style="62" customWidth="1"/>
    <col min="3343" max="3343" width="10.5703125" style="62" customWidth="1"/>
    <col min="3344" max="3344" width="12.42578125" style="62" customWidth="1"/>
    <col min="3345" max="3345" width="15.140625" style="62" customWidth="1"/>
    <col min="3346" max="3346" width="13.5703125" style="62" customWidth="1"/>
    <col min="3347" max="3347" width="13.140625" style="62" customWidth="1"/>
    <col min="3348" max="3348" width="15.7109375" style="62" customWidth="1"/>
    <col min="3349" max="3349" width="37.5703125" style="62" customWidth="1"/>
    <col min="3350" max="3571" width="11.42578125" style="62"/>
    <col min="3572" max="3572" width="10.5703125" style="62" customWidth="1"/>
    <col min="3573" max="3573" width="4.85546875" style="62" customWidth="1"/>
    <col min="3574" max="3574" width="32.42578125" style="62" customWidth="1"/>
    <col min="3575" max="3575" width="9.85546875" style="62" customWidth="1"/>
    <col min="3576" max="3576" width="10.140625" style="62" customWidth="1"/>
    <col min="3577" max="3577" width="12.28515625" style="62" customWidth="1"/>
    <col min="3578" max="3578" width="15.42578125" style="62" customWidth="1"/>
    <col min="3579" max="3579" width="11.85546875" style="62" customWidth="1"/>
    <col min="3580" max="3580" width="13.28515625" style="62" customWidth="1"/>
    <col min="3581" max="3581" width="15.28515625" style="62" customWidth="1"/>
    <col min="3582" max="3582" width="11.85546875" style="62" customWidth="1"/>
    <col min="3583" max="3583" width="6.140625" style="62" customWidth="1"/>
    <col min="3584" max="3584" width="11.85546875" style="62" customWidth="1"/>
    <col min="3585" max="3585" width="9.42578125" style="62" customWidth="1"/>
    <col min="3586" max="3586" width="14.7109375" style="62" customWidth="1"/>
    <col min="3587" max="3587" width="11.5703125" style="62" customWidth="1"/>
    <col min="3588" max="3588" width="0.42578125" style="62" customWidth="1"/>
    <col min="3589" max="3589" width="10.5703125" style="62" bestFit="1" customWidth="1"/>
    <col min="3590" max="3590" width="12.28515625" style="62" customWidth="1"/>
    <col min="3591" max="3591" width="12.5703125" style="62" customWidth="1"/>
    <col min="3592" max="3592" width="10.5703125" style="62" customWidth="1"/>
    <col min="3593" max="3593" width="10.140625" style="62" customWidth="1"/>
    <col min="3594" max="3594" width="8.42578125" style="62" customWidth="1"/>
    <col min="3595" max="3595" width="18.85546875" style="62" customWidth="1"/>
    <col min="3596" max="3596" width="10.28515625" style="62" customWidth="1"/>
    <col min="3597" max="3597" width="11.42578125" style="62"/>
    <col min="3598" max="3598" width="12.140625" style="62" customWidth="1"/>
    <col min="3599" max="3599" width="10.5703125" style="62" customWidth="1"/>
    <col min="3600" max="3600" width="12.42578125" style="62" customWidth="1"/>
    <col min="3601" max="3601" width="15.140625" style="62" customWidth="1"/>
    <col min="3602" max="3602" width="13.5703125" style="62" customWidth="1"/>
    <col min="3603" max="3603" width="13.140625" style="62" customWidth="1"/>
    <col min="3604" max="3604" width="15.7109375" style="62" customWidth="1"/>
    <col min="3605" max="3605" width="37.5703125" style="62" customWidth="1"/>
    <col min="3606" max="3827" width="11.42578125" style="62"/>
    <col min="3828" max="3828" width="10.5703125" style="62" customWidth="1"/>
    <col min="3829" max="3829" width="4.85546875" style="62" customWidth="1"/>
    <col min="3830" max="3830" width="32.42578125" style="62" customWidth="1"/>
    <col min="3831" max="3831" width="9.85546875" style="62" customWidth="1"/>
    <col min="3832" max="3832" width="10.140625" style="62" customWidth="1"/>
    <col min="3833" max="3833" width="12.28515625" style="62" customWidth="1"/>
    <col min="3834" max="3834" width="15.42578125" style="62" customWidth="1"/>
    <col min="3835" max="3835" width="11.85546875" style="62" customWidth="1"/>
    <col min="3836" max="3836" width="13.28515625" style="62" customWidth="1"/>
    <col min="3837" max="3837" width="15.28515625" style="62" customWidth="1"/>
    <col min="3838" max="3838" width="11.85546875" style="62" customWidth="1"/>
    <col min="3839" max="3839" width="6.140625" style="62" customWidth="1"/>
    <col min="3840" max="3840" width="11.85546875" style="62" customWidth="1"/>
    <col min="3841" max="3841" width="9.42578125" style="62" customWidth="1"/>
    <col min="3842" max="3842" width="14.7109375" style="62" customWidth="1"/>
    <col min="3843" max="3843" width="11.5703125" style="62" customWidth="1"/>
    <col min="3844" max="3844" width="0.42578125" style="62" customWidth="1"/>
    <col min="3845" max="3845" width="10.5703125" style="62" bestFit="1" customWidth="1"/>
    <col min="3846" max="3846" width="12.28515625" style="62" customWidth="1"/>
    <col min="3847" max="3847" width="12.5703125" style="62" customWidth="1"/>
    <col min="3848" max="3848" width="10.5703125" style="62" customWidth="1"/>
    <col min="3849" max="3849" width="10.140625" style="62" customWidth="1"/>
    <col min="3850" max="3850" width="8.42578125" style="62" customWidth="1"/>
    <col min="3851" max="3851" width="18.85546875" style="62" customWidth="1"/>
    <col min="3852" max="3852" width="10.28515625" style="62" customWidth="1"/>
    <col min="3853" max="3853" width="11.42578125" style="62"/>
    <col min="3854" max="3854" width="12.140625" style="62" customWidth="1"/>
    <col min="3855" max="3855" width="10.5703125" style="62" customWidth="1"/>
    <col min="3856" max="3856" width="12.42578125" style="62" customWidth="1"/>
    <col min="3857" max="3857" width="15.140625" style="62" customWidth="1"/>
    <col min="3858" max="3858" width="13.5703125" style="62" customWidth="1"/>
    <col min="3859" max="3859" width="13.140625" style="62" customWidth="1"/>
    <col min="3860" max="3860" width="15.7109375" style="62" customWidth="1"/>
    <col min="3861" max="3861" width="37.5703125" style="62" customWidth="1"/>
    <col min="3862" max="4083" width="11.42578125" style="62"/>
    <col min="4084" max="4084" width="10.5703125" style="62" customWidth="1"/>
    <col min="4085" max="4085" width="4.85546875" style="62" customWidth="1"/>
    <col min="4086" max="4086" width="32.42578125" style="62" customWidth="1"/>
    <col min="4087" max="4087" width="9.85546875" style="62" customWidth="1"/>
    <col min="4088" max="4088" width="10.140625" style="62" customWidth="1"/>
    <col min="4089" max="4089" width="12.28515625" style="62" customWidth="1"/>
    <col min="4090" max="4090" width="15.42578125" style="62" customWidth="1"/>
    <col min="4091" max="4091" width="11.85546875" style="62" customWidth="1"/>
    <col min="4092" max="4092" width="13.28515625" style="62" customWidth="1"/>
    <col min="4093" max="4093" width="15.28515625" style="62" customWidth="1"/>
    <col min="4094" max="4094" width="11.85546875" style="62" customWidth="1"/>
    <col min="4095" max="4095" width="6.140625" style="62" customWidth="1"/>
    <col min="4096" max="4096" width="11.85546875" style="62" customWidth="1"/>
    <col min="4097" max="4097" width="9.42578125" style="62" customWidth="1"/>
    <col min="4098" max="4098" width="14.7109375" style="62" customWidth="1"/>
    <col min="4099" max="4099" width="11.5703125" style="62" customWidth="1"/>
    <col min="4100" max="4100" width="0.42578125" style="62" customWidth="1"/>
    <col min="4101" max="4101" width="10.5703125" style="62" bestFit="1" customWidth="1"/>
    <col min="4102" max="4102" width="12.28515625" style="62" customWidth="1"/>
    <col min="4103" max="4103" width="12.5703125" style="62" customWidth="1"/>
    <col min="4104" max="4104" width="10.5703125" style="62" customWidth="1"/>
    <col min="4105" max="4105" width="10.140625" style="62" customWidth="1"/>
    <col min="4106" max="4106" width="8.42578125" style="62" customWidth="1"/>
    <col min="4107" max="4107" width="18.85546875" style="62" customWidth="1"/>
    <col min="4108" max="4108" width="10.28515625" style="62" customWidth="1"/>
    <col min="4109" max="4109" width="11.42578125" style="62"/>
    <col min="4110" max="4110" width="12.140625" style="62" customWidth="1"/>
    <col min="4111" max="4111" width="10.5703125" style="62" customWidth="1"/>
    <col min="4112" max="4112" width="12.42578125" style="62" customWidth="1"/>
    <col min="4113" max="4113" width="15.140625" style="62" customWidth="1"/>
    <col min="4114" max="4114" width="13.5703125" style="62" customWidth="1"/>
    <col min="4115" max="4115" width="13.140625" style="62" customWidth="1"/>
    <col min="4116" max="4116" width="15.7109375" style="62" customWidth="1"/>
    <col min="4117" max="4117" width="37.5703125" style="62" customWidth="1"/>
    <col min="4118" max="4339" width="11.42578125" style="62"/>
    <col min="4340" max="4340" width="10.5703125" style="62" customWidth="1"/>
    <col min="4341" max="4341" width="4.85546875" style="62" customWidth="1"/>
    <col min="4342" max="4342" width="32.42578125" style="62" customWidth="1"/>
    <col min="4343" max="4343" width="9.85546875" style="62" customWidth="1"/>
    <col min="4344" max="4344" width="10.140625" style="62" customWidth="1"/>
    <col min="4345" max="4345" width="12.28515625" style="62" customWidth="1"/>
    <col min="4346" max="4346" width="15.42578125" style="62" customWidth="1"/>
    <col min="4347" max="4347" width="11.85546875" style="62" customWidth="1"/>
    <col min="4348" max="4348" width="13.28515625" style="62" customWidth="1"/>
    <col min="4349" max="4349" width="15.28515625" style="62" customWidth="1"/>
    <col min="4350" max="4350" width="11.85546875" style="62" customWidth="1"/>
    <col min="4351" max="4351" width="6.140625" style="62" customWidth="1"/>
    <col min="4352" max="4352" width="11.85546875" style="62" customWidth="1"/>
    <col min="4353" max="4353" width="9.42578125" style="62" customWidth="1"/>
    <col min="4354" max="4354" width="14.7109375" style="62" customWidth="1"/>
    <col min="4355" max="4355" width="11.5703125" style="62" customWidth="1"/>
    <col min="4356" max="4356" width="0.42578125" style="62" customWidth="1"/>
    <col min="4357" max="4357" width="10.5703125" style="62" bestFit="1" customWidth="1"/>
    <col min="4358" max="4358" width="12.28515625" style="62" customWidth="1"/>
    <col min="4359" max="4359" width="12.5703125" style="62" customWidth="1"/>
    <col min="4360" max="4360" width="10.5703125" style="62" customWidth="1"/>
    <col min="4361" max="4361" width="10.140625" style="62" customWidth="1"/>
    <col min="4362" max="4362" width="8.42578125" style="62" customWidth="1"/>
    <col min="4363" max="4363" width="18.85546875" style="62" customWidth="1"/>
    <col min="4364" max="4364" width="10.28515625" style="62" customWidth="1"/>
    <col min="4365" max="4365" width="11.42578125" style="62"/>
    <col min="4366" max="4366" width="12.140625" style="62" customWidth="1"/>
    <col min="4367" max="4367" width="10.5703125" style="62" customWidth="1"/>
    <col min="4368" max="4368" width="12.42578125" style="62" customWidth="1"/>
    <col min="4369" max="4369" width="15.140625" style="62" customWidth="1"/>
    <col min="4370" max="4370" width="13.5703125" style="62" customWidth="1"/>
    <col min="4371" max="4371" width="13.140625" style="62" customWidth="1"/>
    <col min="4372" max="4372" width="15.7109375" style="62" customWidth="1"/>
    <col min="4373" max="4373" width="37.5703125" style="62" customWidth="1"/>
    <col min="4374" max="4595" width="11.42578125" style="62"/>
    <col min="4596" max="4596" width="10.5703125" style="62" customWidth="1"/>
    <col min="4597" max="4597" width="4.85546875" style="62" customWidth="1"/>
    <col min="4598" max="4598" width="32.42578125" style="62" customWidth="1"/>
    <col min="4599" max="4599" width="9.85546875" style="62" customWidth="1"/>
    <col min="4600" max="4600" width="10.140625" style="62" customWidth="1"/>
    <col min="4601" max="4601" width="12.28515625" style="62" customWidth="1"/>
    <col min="4602" max="4602" width="15.42578125" style="62" customWidth="1"/>
    <col min="4603" max="4603" width="11.85546875" style="62" customWidth="1"/>
    <col min="4604" max="4604" width="13.28515625" style="62" customWidth="1"/>
    <col min="4605" max="4605" width="15.28515625" style="62" customWidth="1"/>
    <col min="4606" max="4606" width="11.85546875" style="62" customWidth="1"/>
    <col min="4607" max="4607" width="6.140625" style="62" customWidth="1"/>
    <col min="4608" max="4608" width="11.85546875" style="62" customWidth="1"/>
    <col min="4609" max="4609" width="9.42578125" style="62" customWidth="1"/>
    <col min="4610" max="4610" width="14.7109375" style="62" customWidth="1"/>
    <col min="4611" max="4611" width="11.5703125" style="62" customWidth="1"/>
    <col min="4612" max="4612" width="0.42578125" style="62" customWidth="1"/>
    <col min="4613" max="4613" width="10.5703125" style="62" bestFit="1" customWidth="1"/>
    <col min="4614" max="4614" width="12.28515625" style="62" customWidth="1"/>
    <col min="4615" max="4615" width="12.5703125" style="62" customWidth="1"/>
    <col min="4616" max="4616" width="10.5703125" style="62" customWidth="1"/>
    <col min="4617" max="4617" width="10.140625" style="62" customWidth="1"/>
    <col min="4618" max="4618" width="8.42578125" style="62" customWidth="1"/>
    <col min="4619" max="4619" width="18.85546875" style="62" customWidth="1"/>
    <col min="4620" max="4620" width="10.28515625" style="62" customWidth="1"/>
    <col min="4621" max="4621" width="11.42578125" style="62"/>
    <col min="4622" max="4622" width="12.140625" style="62" customWidth="1"/>
    <col min="4623" max="4623" width="10.5703125" style="62" customWidth="1"/>
    <col min="4624" max="4624" width="12.42578125" style="62" customWidth="1"/>
    <col min="4625" max="4625" width="15.140625" style="62" customWidth="1"/>
    <col min="4626" max="4626" width="13.5703125" style="62" customWidth="1"/>
    <col min="4627" max="4627" width="13.140625" style="62" customWidth="1"/>
    <col min="4628" max="4628" width="15.7109375" style="62" customWidth="1"/>
    <col min="4629" max="4629" width="37.5703125" style="62" customWidth="1"/>
    <col min="4630" max="4851" width="11.42578125" style="62"/>
    <col min="4852" max="4852" width="10.5703125" style="62" customWidth="1"/>
    <col min="4853" max="4853" width="4.85546875" style="62" customWidth="1"/>
    <col min="4854" max="4854" width="32.42578125" style="62" customWidth="1"/>
    <col min="4855" max="4855" width="9.85546875" style="62" customWidth="1"/>
    <col min="4856" max="4856" width="10.140625" style="62" customWidth="1"/>
    <col min="4857" max="4857" width="12.28515625" style="62" customWidth="1"/>
    <col min="4858" max="4858" width="15.42578125" style="62" customWidth="1"/>
    <col min="4859" max="4859" width="11.85546875" style="62" customWidth="1"/>
    <col min="4860" max="4860" width="13.28515625" style="62" customWidth="1"/>
    <col min="4861" max="4861" width="15.28515625" style="62" customWidth="1"/>
    <col min="4862" max="4862" width="11.85546875" style="62" customWidth="1"/>
    <col min="4863" max="4863" width="6.140625" style="62" customWidth="1"/>
    <col min="4864" max="4864" width="11.85546875" style="62" customWidth="1"/>
    <col min="4865" max="4865" width="9.42578125" style="62" customWidth="1"/>
    <col min="4866" max="4866" width="14.7109375" style="62" customWidth="1"/>
    <col min="4867" max="4867" width="11.5703125" style="62" customWidth="1"/>
    <col min="4868" max="4868" width="0.42578125" style="62" customWidth="1"/>
    <col min="4869" max="4869" width="10.5703125" style="62" bestFit="1" customWidth="1"/>
    <col min="4870" max="4870" width="12.28515625" style="62" customWidth="1"/>
    <col min="4871" max="4871" width="12.5703125" style="62" customWidth="1"/>
    <col min="4872" max="4872" width="10.5703125" style="62" customWidth="1"/>
    <col min="4873" max="4873" width="10.140625" style="62" customWidth="1"/>
    <col min="4874" max="4874" width="8.42578125" style="62" customWidth="1"/>
    <col min="4875" max="4875" width="18.85546875" style="62" customWidth="1"/>
    <col min="4876" max="4876" width="10.28515625" style="62" customWidth="1"/>
    <col min="4877" max="4877" width="11.42578125" style="62"/>
    <col min="4878" max="4878" width="12.140625" style="62" customWidth="1"/>
    <col min="4879" max="4879" width="10.5703125" style="62" customWidth="1"/>
    <col min="4880" max="4880" width="12.42578125" style="62" customWidth="1"/>
    <col min="4881" max="4881" width="15.140625" style="62" customWidth="1"/>
    <col min="4882" max="4882" width="13.5703125" style="62" customWidth="1"/>
    <col min="4883" max="4883" width="13.140625" style="62" customWidth="1"/>
    <col min="4884" max="4884" width="15.7109375" style="62" customWidth="1"/>
    <col min="4885" max="4885" width="37.5703125" style="62" customWidth="1"/>
    <col min="4886" max="5107" width="11.42578125" style="62"/>
    <col min="5108" max="5108" width="10.5703125" style="62" customWidth="1"/>
    <col min="5109" max="5109" width="4.85546875" style="62" customWidth="1"/>
    <col min="5110" max="5110" width="32.42578125" style="62" customWidth="1"/>
    <col min="5111" max="5111" width="9.85546875" style="62" customWidth="1"/>
    <col min="5112" max="5112" width="10.140625" style="62" customWidth="1"/>
    <col min="5113" max="5113" width="12.28515625" style="62" customWidth="1"/>
    <col min="5114" max="5114" width="15.42578125" style="62" customWidth="1"/>
    <col min="5115" max="5115" width="11.85546875" style="62" customWidth="1"/>
    <col min="5116" max="5116" width="13.28515625" style="62" customWidth="1"/>
    <col min="5117" max="5117" width="15.28515625" style="62" customWidth="1"/>
    <col min="5118" max="5118" width="11.85546875" style="62" customWidth="1"/>
    <col min="5119" max="5119" width="6.140625" style="62" customWidth="1"/>
    <col min="5120" max="5120" width="11.85546875" style="62" customWidth="1"/>
    <col min="5121" max="5121" width="9.42578125" style="62" customWidth="1"/>
    <col min="5122" max="5122" width="14.7109375" style="62" customWidth="1"/>
    <col min="5123" max="5123" width="11.5703125" style="62" customWidth="1"/>
    <col min="5124" max="5124" width="0.42578125" style="62" customWidth="1"/>
    <col min="5125" max="5125" width="10.5703125" style="62" bestFit="1" customWidth="1"/>
    <col min="5126" max="5126" width="12.28515625" style="62" customWidth="1"/>
    <col min="5127" max="5127" width="12.5703125" style="62" customWidth="1"/>
    <col min="5128" max="5128" width="10.5703125" style="62" customWidth="1"/>
    <col min="5129" max="5129" width="10.140625" style="62" customWidth="1"/>
    <col min="5130" max="5130" width="8.42578125" style="62" customWidth="1"/>
    <col min="5131" max="5131" width="18.85546875" style="62" customWidth="1"/>
    <col min="5132" max="5132" width="10.28515625" style="62" customWidth="1"/>
    <col min="5133" max="5133" width="11.42578125" style="62"/>
    <col min="5134" max="5134" width="12.140625" style="62" customWidth="1"/>
    <col min="5135" max="5135" width="10.5703125" style="62" customWidth="1"/>
    <col min="5136" max="5136" width="12.42578125" style="62" customWidth="1"/>
    <col min="5137" max="5137" width="15.140625" style="62" customWidth="1"/>
    <col min="5138" max="5138" width="13.5703125" style="62" customWidth="1"/>
    <col min="5139" max="5139" width="13.140625" style="62" customWidth="1"/>
    <col min="5140" max="5140" width="15.7109375" style="62" customWidth="1"/>
    <col min="5141" max="5141" width="37.5703125" style="62" customWidth="1"/>
    <col min="5142" max="5363" width="11.42578125" style="62"/>
    <col min="5364" max="5364" width="10.5703125" style="62" customWidth="1"/>
    <col min="5365" max="5365" width="4.85546875" style="62" customWidth="1"/>
    <col min="5366" max="5366" width="32.42578125" style="62" customWidth="1"/>
    <col min="5367" max="5367" width="9.85546875" style="62" customWidth="1"/>
    <col min="5368" max="5368" width="10.140625" style="62" customWidth="1"/>
    <col min="5369" max="5369" width="12.28515625" style="62" customWidth="1"/>
    <col min="5370" max="5370" width="15.42578125" style="62" customWidth="1"/>
    <col min="5371" max="5371" width="11.85546875" style="62" customWidth="1"/>
    <col min="5372" max="5372" width="13.28515625" style="62" customWidth="1"/>
    <col min="5373" max="5373" width="15.28515625" style="62" customWidth="1"/>
    <col min="5374" max="5374" width="11.85546875" style="62" customWidth="1"/>
    <col min="5375" max="5375" width="6.140625" style="62" customWidth="1"/>
    <col min="5376" max="5376" width="11.85546875" style="62" customWidth="1"/>
    <col min="5377" max="5377" width="9.42578125" style="62" customWidth="1"/>
    <col min="5378" max="5378" width="14.7109375" style="62" customWidth="1"/>
    <col min="5379" max="5379" width="11.5703125" style="62" customWidth="1"/>
    <col min="5380" max="5380" width="0.42578125" style="62" customWidth="1"/>
    <col min="5381" max="5381" width="10.5703125" style="62" bestFit="1" customWidth="1"/>
    <col min="5382" max="5382" width="12.28515625" style="62" customWidth="1"/>
    <col min="5383" max="5383" width="12.5703125" style="62" customWidth="1"/>
    <col min="5384" max="5384" width="10.5703125" style="62" customWidth="1"/>
    <col min="5385" max="5385" width="10.140625" style="62" customWidth="1"/>
    <col min="5386" max="5386" width="8.42578125" style="62" customWidth="1"/>
    <col min="5387" max="5387" width="18.85546875" style="62" customWidth="1"/>
    <col min="5388" max="5388" width="10.28515625" style="62" customWidth="1"/>
    <col min="5389" max="5389" width="11.42578125" style="62"/>
    <col min="5390" max="5390" width="12.140625" style="62" customWidth="1"/>
    <col min="5391" max="5391" width="10.5703125" style="62" customWidth="1"/>
    <col min="5392" max="5392" width="12.42578125" style="62" customWidth="1"/>
    <col min="5393" max="5393" width="15.140625" style="62" customWidth="1"/>
    <col min="5394" max="5394" width="13.5703125" style="62" customWidth="1"/>
    <col min="5395" max="5395" width="13.140625" style="62" customWidth="1"/>
    <col min="5396" max="5396" width="15.7109375" style="62" customWidth="1"/>
    <col min="5397" max="5397" width="37.5703125" style="62" customWidth="1"/>
    <col min="5398" max="5619" width="11.42578125" style="62"/>
    <col min="5620" max="5620" width="10.5703125" style="62" customWidth="1"/>
    <col min="5621" max="5621" width="4.85546875" style="62" customWidth="1"/>
    <col min="5622" max="5622" width="32.42578125" style="62" customWidth="1"/>
    <col min="5623" max="5623" width="9.85546875" style="62" customWidth="1"/>
    <col min="5624" max="5624" width="10.140625" style="62" customWidth="1"/>
    <col min="5625" max="5625" width="12.28515625" style="62" customWidth="1"/>
    <col min="5626" max="5626" width="15.42578125" style="62" customWidth="1"/>
    <col min="5627" max="5627" width="11.85546875" style="62" customWidth="1"/>
    <col min="5628" max="5628" width="13.28515625" style="62" customWidth="1"/>
    <col min="5629" max="5629" width="15.28515625" style="62" customWidth="1"/>
    <col min="5630" max="5630" width="11.85546875" style="62" customWidth="1"/>
    <col min="5631" max="5631" width="6.140625" style="62" customWidth="1"/>
    <col min="5632" max="5632" width="11.85546875" style="62" customWidth="1"/>
    <col min="5633" max="5633" width="9.42578125" style="62" customWidth="1"/>
    <col min="5634" max="5634" width="14.7109375" style="62" customWidth="1"/>
    <col min="5635" max="5635" width="11.5703125" style="62" customWidth="1"/>
    <col min="5636" max="5636" width="0.42578125" style="62" customWidth="1"/>
    <col min="5637" max="5637" width="10.5703125" style="62" bestFit="1" customWidth="1"/>
    <col min="5638" max="5638" width="12.28515625" style="62" customWidth="1"/>
    <col min="5639" max="5639" width="12.5703125" style="62" customWidth="1"/>
    <col min="5640" max="5640" width="10.5703125" style="62" customWidth="1"/>
    <col min="5641" max="5641" width="10.140625" style="62" customWidth="1"/>
    <col min="5642" max="5642" width="8.42578125" style="62" customWidth="1"/>
    <col min="5643" max="5643" width="18.85546875" style="62" customWidth="1"/>
    <col min="5644" max="5644" width="10.28515625" style="62" customWidth="1"/>
    <col min="5645" max="5645" width="11.42578125" style="62"/>
    <col min="5646" max="5646" width="12.140625" style="62" customWidth="1"/>
    <col min="5647" max="5647" width="10.5703125" style="62" customWidth="1"/>
    <col min="5648" max="5648" width="12.42578125" style="62" customWidth="1"/>
    <col min="5649" max="5649" width="15.140625" style="62" customWidth="1"/>
    <col min="5650" max="5650" width="13.5703125" style="62" customWidth="1"/>
    <col min="5651" max="5651" width="13.140625" style="62" customWidth="1"/>
    <col min="5652" max="5652" width="15.7109375" style="62" customWidth="1"/>
    <col min="5653" max="5653" width="37.5703125" style="62" customWidth="1"/>
    <col min="5654" max="5875" width="11.42578125" style="62"/>
    <col min="5876" max="5876" width="10.5703125" style="62" customWidth="1"/>
    <col min="5877" max="5877" width="4.85546875" style="62" customWidth="1"/>
    <col min="5878" max="5878" width="32.42578125" style="62" customWidth="1"/>
    <col min="5879" max="5879" width="9.85546875" style="62" customWidth="1"/>
    <col min="5880" max="5880" width="10.140625" style="62" customWidth="1"/>
    <col min="5881" max="5881" width="12.28515625" style="62" customWidth="1"/>
    <col min="5882" max="5882" width="15.42578125" style="62" customWidth="1"/>
    <col min="5883" max="5883" width="11.85546875" style="62" customWidth="1"/>
    <col min="5884" max="5884" width="13.28515625" style="62" customWidth="1"/>
    <col min="5885" max="5885" width="15.28515625" style="62" customWidth="1"/>
    <col min="5886" max="5886" width="11.85546875" style="62" customWidth="1"/>
    <col min="5887" max="5887" width="6.140625" style="62" customWidth="1"/>
    <col min="5888" max="5888" width="11.85546875" style="62" customWidth="1"/>
    <col min="5889" max="5889" width="9.42578125" style="62" customWidth="1"/>
    <col min="5890" max="5890" width="14.7109375" style="62" customWidth="1"/>
    <col min="5891" max="5891" width="11.5703125" style="62" customWidth="1"/>
    <col min="5892" max="5892" width="0.42578125" style="62" customWidth="1"/>
    <col min="5893" max="5893" width="10.5703125" style="62" bestFit="1" customWidth="1"/>
    <col min="5894" max="5894" width="12.28515625" style="62" customWidth="1"/>
    <col min="5895" max="5895" width="12.5703125" style="62" customWidth="1"/>
    <col min="5896" max="5896" width="10.5703125" style="62" customWidth="1"/>
    <col min="5897" max="5897" width="10.140625" style="62" customWidth="1"/>
    <col min="5898" max="5898" width="8.42578125" style="62" customWidth="1"/>
    <col min="5899" max="5899" width="18.85546875" style="62" customWidth="1"/>
    <col min="5900" max="5900" width="10.28515625" style="62" customWidth="1"/>
    <col min="5901" max="5901" width="11.42578125" style="62"/>
    <col min="5902" max="5902" width="12.140625" style="62" customWidth="1"/>
    <col min="5903" max="5903" width="10.5703125" style="62" customWidth="1"/>
    <col min="5904" max="5904" width="12.42578125" style="62" customWidth="1"/>
    <col min="5905" max="5905" width="15.140625" style="62" customWidth="1"/>
    <col min="5906" max="5906" width="13.5703125" style="62" customWidth="1"/>
    <col min="5907" max="5907" width="13.140625" style="62" customWidth="1"/>
    <col min="5908" max="5908" width="15.7109375" style="62" customWidth="1"/>
    <col min="5909" max="5909" width="37.5703125" style="62" customWidth="1"/>
    <col min="5910" max="6131" width="11.42578125" style="62"/>
    <col min="6132" max="6132" width="10.5703125" style="62" customWidth="1"/>
    <col min="6133" max="6133" width="4.85546875" style="62" customWidth="1"/>
    <col min="6134" max="6134" width="32.42578125" style="62" customWidth="1"/>
    <col min="6135" max="6135" width="9.85546875" style="62" customWidth="1"/>
    <col min="6136" max="6136" width="10.140625" style="62" customWidth="1"/>
    <col min="6137" max="6137" width="12.28515625" style="62" customWidth="1"/>
    <col min="6138" max="6138" width="15.42578125" style="62" customWidth="1"/>
    <col min="6139" max="6139" width="11.85546875" style="62" customWidth="1"/>
    <col min="6140" max="6140" width="13.28515625" style="62" customWidth="1"/>
    <col min="6141" max="6141" width="15.28515625" style="62" customWidth="1"/>
    <col min="6142" max="6142" width="11.85546875" style="62" customWidth="1"/>
    <col min="6143" max="6143" width="6.140625" style="62" customWidth="1"/>
    <col min="6144" max="6144" width="11.85546875" style="62" customWidth="1"/>
    <col min="6145" max="6145" width="9.42578125" style="62" customWidth="1"/>
    <col min="6146" max="6146" width="14.7109375" style="62" customWidth="1"/>
    <col min="6147" max="6147" width="11.5703125" style="62" customWidth="1"/>
    <col min="6148" max="6148" width="0.42578125" style="62" customWidth="1"/>
    <col min="6149" max="6149" width="10.5703125" style="62" bestFit="1" customWidth="1"/>
    <col min="6150" max="6150" width="12.28515625" style="62" customWidth="1"/>
    <col min="6151" max="6151" width="12.5703125" style="62" customWidth="1"/>
    <col min="6152" max="6152" width="10.5703125" style="62" customWidth="1"/>
    <col min="6153" max="6153" width="10.140625" style="62" customWidth="1"/>
    <col min="6154" max="6154" width="8.42578125" style="62" customWidth="1"/>
    <col min="6155" max="6155" width="18.85546875" style="62" customWidth="1"/>
    <col min="6156" max="6156" width="10.28515625" style="62" customWidth="1"/>
    <col min="6157" max="6157" width="11.42578125" style="62"/>
    <col min="6158" max="6158" width="12.140625" style="62" customWidth="1"/>
    <col min="6159" max="6159" width="10.5703125" style="62" customWidth="1"/>
    <col min="6160" max="6160" width="12.42578125" style="62" customWidth="1"/>
    <col min="6161" max="6161" width="15.140625" style="62" customWidth="1"/>
    <col min="6162" max="6162" width="13.5703125" style="62" customWidth="1"/>
    <col min="6163" max="6163" width="13.140625" style="62" customWidth="1"/>
    <col min="6164" max="6164" width="15.7109375" style="62" customWidth="1"/>
    <col min="6165" max="6165" width="37.5703125" style="62" customWidth="1"/>
    <col min="6166" max="6387" width="11.42578125" style="62"/>
    <col min="6388" max="6388" width="10.5703125" style="62" customWidth="1"/>
    <col min="6389" max="6389" width="4.85546875" style="62" customWidth="1"/>
    <col min="6390" max="6390" width="32.42578125" style="62" customWidth="1"/>
    <col min="6391" max="6391" width="9.85546875" style="62" customWidth="1"/>
    <col min="6392" max="6392" width="10.140625" style="62" customWidth="1"/>
    <col min="6393" max="6393" width="12.28515625" style="62" customWidth="1"/>
    <col min="6394" max="6394" width="15.42578125" style="62" customWidth="1"/>
    <col min="6395" max="6395" width="11.85546875" style="62" customWidth="1"/>
    <col min="6396" max="6396" width="13.28515625" style="62" customWidth="1"/>
    <col min="6397" max="6397" width="15.28515625" style="62" customWidth="1"/>
    <col min="6398" max="6398" width="11.85546875" style="62" customWidth="1"/>
    <col min="6399" max="6399" width="6.140625" style="62" customWidth="1"/>
    <col min="6400" max="6400" width="11.85546875" style="62" customWidth="1"/>
    <col min="6401" max="6401" width="9.42578125" style="62" customWidth="1"/>
    <col min="6402" max="6402" width="14.7109375" style="62" customWidth="1"/>
    <col min="6403" max="6403" width="11.5703125" style="62" customWidth="1"/>
    <col min="6404" max="6404" width="0.42578125" style="62" customWidth="1"/>
    <col min="6405" max="6405" width="10.5703125" style="62" bestFit="1" customWidth="1"/>
    <col min="6406" max="6406" width="12.28515625" style="62" customWidth="1"/>
    <col min="6407" max="6407" width="12.5703125" style="62" customWidth="1"/>
    <col min="6408" max="6408" width="10.5703125" style="62" customWidth="1"/>
    <col min="6409" max="6409" width="10.140625" style="62" customWidth="1"/>
    <col min="6410" max="6410" width="8.42578125" style="62" customWidth="1"/>
    <col min="6411" max="6411" width="18.85546875" style="62" customWidth="1"/>
    <col min="6412" max="6412" width="10.28515625" style="62" customWidth="1"/>
    <col min="6413" max="6413" width="11.42578125" style="62"/>
    <col min="6414" max="6414" width="12.140625" style="62" customWidth="1"/>
    <col min="6415" max="6415" width="10.5703125" style="62" customWidth="1"/>
    <col min="6416" max="6416" width="12.42578125" style="62" customWidth="1"/>
    <col min="6417" max="6417" width="15.140625" style="62" customWidth="1"/>
    <col min="6418" max="6418" width="13.5703125" style="62" customWidth="1"/>
    <col min="6419" max="6419" width="13.140625" style="62" customWidth="1"/>
    <col min="6420" max="6420" width="15.7109375" style="62" customWidth="1"/>
    <col min="6421" max="6421" width="37.5703125" style="62" customWidth="1"/>
    <col min="6422" max="6643" width="11.42578125" style="62"/>
    <col min="6644" max="6644" width="10.5703125" style="62" customWidth="1"/>
    <col min="6645" max="6645" width="4.85546875" style="62" customWidth="1"/>
    <col min="6646" max="6646" width="32.42578125" style="62" customWidth="1"/>
    <col min="6647" max="6647" width="9.85546875" style="62" customWidth="1"/>
    <col min="6648" max="6648" width="10.140625" style="62" customWidth="1"/>
    <col min="6649" max="6649" width="12.28515625" style="62" customWidth="1"/>
    <col min="6650" max="6650" width="15.42578125" style="62" customWidth="1"/>
    <col min="6651" max="6651" width="11.85546875" style="62" customWidth="1"/>
    <col min="6652" max="6652" width="13.28515625" style="62" customWidth="1"/>
    <col min="6653" max="6653" width="15.28515625" style="62" customWidth="1"/>
    <col min="6654" max="6654" width="11.85546875" style="62" customWidth="1"/>
    <col min="6655" max="6655" width="6.140625" style="62" customWidth="1"/>
    <col min="6656" max="6656" width="11.85546875" style="62" customWidth="1"/>
    <col min="6657" max="6657" width="9.42578125" style="62" customWidth="1"/>
    <col min="6658" max="6658" width="14.7109375" style="62" customWidth="1"/>
    <col min="6659" max="6659" width="11.5703125" style="62" customWidth="1"/>
    <col min="6660" max="6660" width="0.42578125" style="62" customWidth="1"/>
    <col min="6661" max="6661" width="10.5703125" style="62" bestFit="1" customWidth="1"/>
    <col min="6662" max="6662" width="12.28515625" style="62" customWidth="1"/>
    <col min="6663" max="6663" width="12.5703125" style="62" customWidth="1"/>
    <col min="6664" max="6664" width="10.5703125" style="62" customWidth="1"/>
    <col min="6665" max="6665" width="10.140625" style="62" customWidth="1"/>
    <col min="6666" max="6666" width="8.42578125" style="62" customWidth="1"/>
    <col min="6667" max="6667" width="18.85546875" style="62" customWidth="1"/>
    <col min="6668" max="6668" width="10.28515625" style="62" customWidth="1"/>
    <col min="6669" max="6669" width="11.42578125" style="62"/>
    <col min="6670" max="6670" width="12.140625" style="62" customWidth="1"/>
    <col min="6671" max="6671" width="10.5703125" style="62" customWidth="1"/>
    <col min="6672" max="6672" width="12.42578125" style="62" customWidth="1"/>
    <col min="6673" max="6673" width="15.140625" style="62" customWidth="1"/>
    <col min="6674" max="6674" width="13.5703125" style="62" customWidth="1"/>
    <col min="6675" max="6675" width="13.140625" style="62" customWidth="1"/>
    <col min="6676" max="6676" width="15.7109375" style="62" customWidth="1"/>
    <col min="6677" max="6677" width="37.5703125" style="62" customWidth="1"/>
    <col min="6678" max="6899" width="11.42578125" style="62"/>
    <col min="6900" max="6900" width="10.5703125" style="62" customWidth="1"/>
    <col min="6901" max="6901" width="4.85546875" style="62" customWidth="1"/>
    <col min="6902" max="6902" width="32.42578125" style="62" customWidth="1"/>
    <col min="6903" max="6903" width="9.85546875" style="62" customWidth="1"/>
    <col min="6904" max="6904" width="10.140625" style="62" customWidth="1"/>
    <col min="6905" max="6905" width="12.28515625" style="62" customWidth="1"/>
    <col min="6906" max="6906" width="15.42578125" style="62" customWidth="1"/>
    <col min="6907" max="6907" width="11.85546875" style="62" customWidth="1"/>
    <col min="6908" max="6908" width="13.28515625" style="62" customWidth="1"/>
    <col min="6909" max="6909" width="15.28515625" style="62" customWidth="1"/>
    <col min="6910" max="6910" width="11.85546875" style="62" customWidth="1"/>
    <col min="6911" max="6911" width="6.140625" style="62" customWidth="1"/>
    <col min="6912" max="6912" width="11.85546875" style="62" customWidth="1"/>
    <col min="6913" max="6913" width="9.42578125" style="62" customWidth="1"/>
    <col min="6914" max="6914" width="14.7109375" style="62" customWidth="1"/>
    <col min="6915" max="6915" width="11.5703125" style="62" customWidth="1"/>
    <col min="6916" max="6916" width="0.42578125" style="62" customWidth="1"/>
    <col min="6917" max="6917" width="10.5703125" style="62" bestFit="1" customWidth="1"/>
    <col min="6918" max="6918" width="12.28515625" style="62" customWidth="1"/>
    <col min="6919" max="6919" width="12.5703125" style="62" customWidth="1"/>
    <col min="6920" max="6920" width="10.5703125" style="62" customWidth="1"/>
    <col min="6921" max="6921" width="10.140625" style="62" customWidth="1"/>
    <col min="6922" max="6922" width="8.42578125" style="62" customWidth="1"/>
    <col min="6923" max="6923" width="18.85546875" style="62" customWidth="1"/>
    <col min="6924" max="6924" width="10.28515625" style="62" customWidth="1"/>
    <col min="6925" max="6925" width="11.42578125" style="62"/>
    <col min="6926" max="6926" width="12.140625" style="62" customWidth="1"/>
    <col min="6927" max="6927" width="10.5703125" style="62" customWidth="1"/>
    <col min="6928" max="6928" width="12.42578125" style="62" customWidth="1"/>
    <col min="6929" max="6929" width="15.140625" style="62" customWidth="1"/>
    <col min="6930" max="6930" width="13.5703125" style="62" customWidth="1"/>
    <col min="6931" max="6931" width="13.140625" style="62" customWidth="1"/>
    <col min="6932" max="6932" width="15.7109375" style="62" customWidth="1"/>
    <col min="6933" max="6933" width="37.5703125" style="62" customWidth="1"/>
    <col min="6934" max="7155" width="11.42578125" style="62"/>
    <col min="7156" max="7156" width="10.5703125" style="62" customWidth="1"/>
    <col min="7157" max="7157" width="4.85546875" style="62" customWidth="1"/>
    <col min="7158" max="7158" width="32.42578125" style="62" customWidth="1"/>
    <col min="7159" max="7159" width="9.85546875" style="62" customWidth="1"/>
    <col min="7160" max="7160" width="10.140625" style="62" customWidth="1"/>
    <col min="7161" max="7161" width="12.28515625" style="62" customWidth="1"/>
    <col min="7162" max="7162" width="15.42578125" style="62" customWidth="1"/>
    <col min="7163" max="7163" width="11.85546875" style="62" customWidth="1"/>
    <col min="7164" max="7164" width="13.28515625" style="62" customWidth="1"/>
    <col min="7165" max="7165" width="15.28515625" style="62" customWidth="1"/>
    <col min="7166" max="7166" width="11.85546875" style="62" customWidth="1"/>
    <col min="7167" max="7167" width="6.140625" style="62" customWidth="1"/>
    <col min="7168" max="7168" width="11.85546875" style="62" customWidth="1"/>
    <col min="7169" max="7169" width="9.42578125" style="62" customWidth="1"/>
    <col min="7170" max="7170" width="14.7109375" style="62" customWidth="1"/>
    <col min="7171" max="7171" width="11.5703125" style="62" customWidth="1"/>
    <col min="7172" max="7172" width="0.42578125" style="62" customWidth="1"/>
    <col min="7173" max="7173" width="10.5703125" style="62" bestFit="1" customWidth="1"/>
    <col min="7174" max="7174" width="12.28515625" style="62" customWidth="1"/>
    <col min="7175" max="7175" width="12.5703125" style="62" customWidth="1"/>
    <col min="7176" max="7176" width="10.5703125" style="62" customWidth="1"/>
    <col min="7177" max="7177" width="10.140625" style="62" customWidth="1"/>
    <col min="7178" max="7178" width="8.42578125" style="62" customWidth="1"/>
    <col min="7179" max="7179" width="18.85546875" style="62" customWidth="1"/>
    <col min="7180" max="7180" width="10.28515625" style="62" customWidth="1"/>
    <col min="7181" max="7181" width="11.42578125" style="62"/>
    <col min="7182" max="7182" width="12.140625" style="62" customWidth="1"/>
    <col min="7183" max="7183" width="10.5703125" style="62" customWidth="1"/>
    <col min="7184" max="7184" width="12.42578125" style="62" customWidth="1"/>
    <col min="7185" max="7185" width="15.140625" style="62" customWidth="1"/>
    <col min="7186" max="7186" width="13.5703125" style="62" customWidth="1"/>
    <col min="7187" max="7187" width="13.140625" style="62" customWidth="1"/>
    <col min="7188" max="7188" width="15.7109375" style="62" customWidth="1"/>
    <col min="7189" max="7189" width="37.5703125" style="62" customWidth="1"/>
    <col min="7190" max="7411" width="11.42578125" style="62"/>
    <col min="7412" max="7412" width="10.5703125" style="62" customWidth="1"/>
    <col min="7413" max="7413" width="4.85546875" style="62" customWidth="1"/>
    <col min="7414" max="7414" width="32.42578125" style="62" customWidth="1"/>
    <col min="7415" max="7415" width="9.85546875" style="62" customWidth="1"/>
    <col min="7416" max="7416" width="10.140625" style="62" customWidth="1"/>
    <col min="7417" max="7417" width="12.28515625" style="62" customWidth="1"/>
    <col min="7418" max="7418" width="15.42578125" style="62" customWidth="1"/>
    <col min="7419" max="7419" width="11.85546875" style="62" customWidth="1"/>
    <col min="7420" max="7420" width="13.28515625" style="62" customWidth="1"/>
    <col min="7421" max="7421" width="15.28515625" style="62" customWidth="1"/>
    <col min="7422" max="7422" width="11.85546875" style="62" customWidth="1"/>
    <col min="7423" max="7423" width="6.140625" style="62" customWidth="1"/>
    <col min="7424" max="7424" width="11.85546875" style="62" customWidth="1"/>
    <col min="7425" max="7425" width="9.42578125" style="62" customWidth="1"/>
    <col min="7426" max="7426" width="14.7109375" style="62" customWidth="1"/>
    <col min="7427" max="7427" width="11.5703125" style="62" customWidth="1"/>
    <col min="7428" max="7428" width="0.42578125" style="62" customWidth="1"/>
    <col min="7429" max="7429" width="10.5703125" style="62" bestFit="1" customWidth="1"/>
    <col min="7430" max="7430" width="12.28515625" style="62" customWidth="1"/>
    <col min="7431" max="7431" width="12.5703125" style="62" customWidth="1"/>
    <col min="7432" max="7432" width="10.5703125" style="62" customWidth="1"/>
    <col min="7433" max="7433" width="10.140625" style="62" customWidth="1"/>
    <col min="7434" max="7434" width="8.42578125" style="62" customWidth="1"/>
    <col min="7435" max="7435" width="18.85546875" style="62" customWidth="1"/>
    <col min="7436" max="7436" width="10.28515625" style="62" customWidth="1"/>
    <col min="7437" max="7437" width="11.42578125" style="62"/>
    <col min="7438" max="7438" width="12.140625" style="62" customWidth="1"/>
    <col min="7439" max="7439" width="10.5703125" style="62" customWidth="1"/>
    <col min="7440" max="7440" width="12.42578125" style="62" customWidth="1"/>
    <col min="7441" max="7441" width="15.140625" style="62" customWidth="1"/>
    <col min="7442" max="7442" width="13.5703125" style="62" customWidth="1"/>
    <col min="7443" max="7443" width="13.140625" style="62" customWidth="1"/>
    <col min="7444" max="7444" width="15.7109375" style="62" customWidth="1"/>
    <col min="7445" max="7445" width="37.5703125" style="62" customWidth="1"/>
    <col min="7446" max="7667" width="11.42578125" style="62"/>
    <col min="7668" max="7668" width="10.5703125" style="62" customWidth="1"/>
    <col min="7669" max="7669" width="4.85546875" style="62" customWidth="1"/>
    <col min="7670" max="7670" width="32.42578125" style="62" customWidth="1"/>
    <col min="7671" max="7671" width="9.85546875" style="62" customWidth="1"/>
    <col min="7672" max="7672" width="10.140625" style="62" customWidth="1"/>
    <col min="7673" max="7673" width="12.28515625" style="62" customWidth="1"/>
    <col min="7674" max="7674" width="15.42578125" style="62" customWidth="1"/>
    <col min="7675" max="7675" width="11.85546875" style="62" customWidth="1"/>
    <col min="7676" max="7676" width="13.28515625" style="62" customWidth="1"/>
    <col min="7677" max="7677" width="15.28515625" style="62" customWidth="1"/>
    <col min="7678" max="7678" width="11.85546875" style="62" customWidth="1"/>
    <col min="7679" max="7679" width="6.140625" style="62" customWidth="1"/>
    <col min="7680" max="7680" width="11.85546875" style="62" customWidth="1"/>
    <col min="7681" max="7681" width="9.42578125" style="62" customWidth="1"/>
    <col min="7682" max="7682" width="14.7109375" style="62" customWidth="1"/>
    <col min="7683" max="7683" width="11.5703125" style="62" customWidth="1"/>
    <col min="7684" max="7684" width="0.42578125" style="62" customWidth="1"/>
    <col min="7685" max="7685" width="10.5703125" style="62" bestFit="1" customWidth="1"/>
    <col min="7686" max="7686" width="12.28515625" style="62" customWidth="1"/>
    <col min="7687" max="7687" width="12.5703125" style="62" customWidth="1"/>
    <col min="7688" max="7688" width="10.5703125" style="62" customWidth="1"/>
    <col min="7689" max="7689" width="10.140625" style="62" customWidth="1"/>
    <col min="7690" max="7690" width="8.42578125" style="62" customWidth="1"/>
    <col min="7691" max="7691" width="18.85546875" style="62" customWidth="1"/>
    <col min="7692" max="7692" width="10.28515625" style="62" customWidth="1"/>
    <col min="7693" max="7693" width="11.42578125" style="62"/>
    <col min="7694" max="7694" width="12.140625" style="62" customWidth="1"/>
    <col min="7695" max="7695" width="10.5703125" style="62" customWidth="1"/>
    <col min="7696" max="7696" width="12.42578125" style="62" customWidth="1"/>
    <col min="7697" max="7697" width="15.140625" style="62" customWidth="1"/>
    <col min="7698" max="7698" width="13.5703125" style="62" customWidth="1"/>
    <col min="7699" max="7699" width="13.140625" style="62" customWidth="1"/>
    <col min="7700" max="7700" width="15.7109375" style="62" customWidth="1"/>
    <col min="7701" max="7701" width="37.5703125" style="62" customWidth="1"/>
    <col min="7702" max="7923" width="11.42578125" style="62"/>
    <col min="7924" max="7924" width="10.5703125" style="62" customWidth="1"/>
    <col min="7925" max="7925" width="4.85546875" style="62" customWidth="1"/>
    <col min="7926" max="7926" width="32.42578125" style="62" customWidth="1"/>
    <col min="7927" max="7927" width="9.85546875" style="62" customWidth="1"/>
    <col min="7928" max="7928" width="10.140625" style="62" customWidth="1"/>
    <col min="7929" max="7929" width="12.28515625" style="62" customWidth="1"/>
    <col min="7930" max="7930" width="15.42578125" style="62" customWidth="1"/>
    <col min="7931" max="7931" width="11.85546875" style="62" customWidth="1"/>
    <col min="7932" max="7932" width="13.28515625" style="62" customWidth="1"/>
    <col min="7933" max="7933" width="15.28515625" style="62" customWidth="1"/>
    <col min="7934" max="7934" width="11.85546875" style="62" customWidth="1"/>
    <col min="7935" max="7935" width="6.140625" style="62" customWidth="1"/>
    <col min="7936" max="7936" width="11.85546875" style="62" customWidth="1"/>
    <col min="7937" max="7937" width="9.42578125" style="62" customWidth="1"/>
    <col min="7938" max="7938" width="14.7109375" style="62" customWidth="1"/>
    <col min="7939" max="7939" width="11.5703125" style="62" customWidth="1"/>
    <col min="7940" max="7940" width="0.42578125" style="62" customWidth="1"/>
    <col min="7941" max="7941" width="10.5703125" style="62" bestFit="1" customWidth="1"/>
    <col min="7942" max="7942" width="12.28515625" style="62" customWidth="1"/>
    <col min="7943" max="7943" width="12.5703125" style="62" customWidth="1"/>
    <col min="7944" max="7944" width="10.5703125" style="62" customWidth="1"/>
    <col min="7945" max="7945" width="10.140625" style="62" customWidth="1"/>
    <col min="7946" max="7946" width="8.42578125" style="62" customWidth="1"/>
    <col min="7947" max="7947" width="18.85546875" style="62" customWidth="1"/>
    <col min="7948" max="7948" width="10.28515625" style="62" customWidth="1"/>
    <col min="7949" max="7949" width="11.42578125" style="62"/>
    <col min="7950" max="7950" width="12.140625" style="62" customWidth="1"/>
    <col min="7951" max="7951" width="10.5703125" style="62" customWidth="1"/>
    <col min="7952" max="7952" width="12.42578125" style="62" customWidth="1"/>
    <col min="7953" max="7953" width="15.140625" style="62" customWidth="1"/>
    <col min="7954" max="7954" width="13.5703125" style="62" customWidth="1"/>
    <col min="7955" max="7955" width="13.140625" style="62" customWidth="1"/>
    <col min="7956" max="7956" width="15.7109375" style="62" customWidth="1"/>
    <col min="7957" max="7957" width="37.5703125" style="62" customWidth="1"/>
    <col min="7958" max="8179" width="11.42578125" style="62"/>
    <col min="8180" max="8180" width="10.5703125" style="62" customWidth="1"/>
    <col min="8181" max="8181" width="4.85546875" style="62" customWidth="1"/>
    <col min="8182" max="8182" width="32.42578125" style="62" customWidth="1"/>
    <col min="8183" max="8183" width="9.85546875" style="62" customWidth="1"/>
    <col min="8184" max="8184" width="10.140625" style="62" customWidth="1"/>
    <col min="8185" max="8185" width="12.28515625" style="62" customWidth="1"/>
    <col min="8186" max="8186" width="15.42578125" style="62" customWidth="1"/>
    <col min="8187" max="8187" width="11.85546875" style="62" customWidth="1"/>
    <col min="8188" max="8188" width="13.28515625" style="62" customWidth="1"/>
    <col min="8189" max="8189" width="15.28515625" style="62" customWidth="1"/>
    <col min="8190" max="8190" width="11.85546875" style="62" customWidth="1"/>
    <col min="8191" max="8191" width="6.140625" style="62" customWidth="1"/>
    <col min="8192" max="8192" width="11.85546875" style="62" customWidth="1"/>
    <col min="8193" max="8193" width="9.42578125" style="62" customWidth="1"/>
    <col min="8194" max="8194" width="14.7109375" style="62" customWidth="1"/>
    <col min="8195" max="8195" width="11.5703125" style="62" customWidth="1"/>
    <col min="8196" max="8196" width="0.42578125" style="62" customWidth="1"/>
    <col min="8197" max="8197" width="10.5703125" style="62" bestFit="1" customWidth="1"/>
    <col min="8198" max="8198" width="12.28515625" style="62" customWidth="1"/>
    <col min="8199" max="8199" width="12.5703125" style="62" customWidth="1"/>
    <col min="8200" max="8200" width="10.5703125" style="62" customWidth="1"/>
    <col min="8201" max="8201" width="10.140625" style="62" customWidth="1"/>
    <col min="8202" max="8202" width="8.42578125" style="62" customWidth="1"/>
    <col min="8203" max="8203" width="18.85546875" style="62" customWidth="1"/>
    <col min="8204" max="8204" width="10.28515625" style="62" customWidth="1"/>
    <col min="8205" max="8205" width="11.42578125" style="62"/>
    <col min="8206" max="8206" width="12.140625" style="62" customWidth="1"/>
    <col min="8207" max="8207" width="10.5703125" style="62" customWidth="1"/>
    <col min="8208" max="8208" width="12.42578125" style="62" customWidth="1"/>
    <col min="8209" max="8209" width="15.140625" style="62" customWidth="1"/>
    <col min="8210" max="8210" width="13.5703125" style="62" customWidth="1"/>
    <col min="8211" max="8211" width="13.140625" style="62" customWidth="1"/>
    <col min="8212" max="8212" width="15.7109375" style="62" customWidth="1"/>
    <col min="8213" max="8213" width="37.5703125" style="62" customWidth="1"/>
    <col min="8214" max="8435" width="11.42578125" style="62"/>
    <col min="8436" max="8436" width="10.5703125" style="62" customWidth="1"/>
    <col min="8437" max="8437" width="4.85546875" style="62" customWidth="1"/>
    <col min="8438" max="8438" width="32.42578125" style="62" customWidth="1"/>
    <col min="8439" max="8439" width="9.85546875" style="62" customWidth="1"/>
    <col min="8440" max="8440" width="10.140625" style="62" customWidth="1"/>
    <col min="8441" max="8441" width="12.28515625" style="62" customWidth="1"/>
    <col min="8442" max="8442" width="15.42578125" style="62" customWidth="1"/>
    <col min="8443" max="8443" width="11.85546875" style="62" customWidth="1"/>
    <col min="8444" max="8444" width="13.28515625" style="62" customWidth="1"/>
    <col min="8445" max="8445" width="15.28515625" style="62" customWidth="1"/>
    <col min="8446" max="8446" width="11.85546875" style="62" customWidth="1"/>
    <col min="8447" max="8447" width="6.140625" style="62" customWidth="1"/>
    <col min="8448" max="8448" width="11.85546875" style="62" customWidth="1"/>
    <col min="8449" max="8449" width="9.42578125" style="62" customWidth="1"/>
    <col min="8450" max="8450" width="14.7109375" style="62" customWidth="1"/>
    <col min="8451" max="8451" width="11.5703125" style="62" customWidth="1"/>
    <col min="8452" max="8452" width="0.42578125" style="62" customWidth="1"/>
    <col min="8453" max="8453" width="10.5703125" style="62" bestFit="1" customWidth="1"/>
    <col min="8454" max="8454" width="12.28515625" style="62" customWidth="1"/>
    <col min="8455" max="8455" width="12.5703125" style="62" customWidth="1"/>
    <col min="8456" max="8456" width="10.5703125" style="62" customWidth="1"/>
    <col min="8457" max="8457" width="10.140625" style="62" customWidth="1"/>
    <col min="8458" max="8458" width="8.42578125" style="62" customWidth="1"/>
    <col min="8459" max="8459" width="18.85546875" style="62" customWidth="1"/>
    <col min="8460" max="8460" width="10.28515625" style="62" customWidth="1"/>
    <col min="8461" max="8461" width="11.42578125" style="62"/>
    <col min="8462" max="8462" width="12.140625" style="62" customWidth="1"/>
    <col min="8463" max="8463" width="10.5703125" style="62" customWidth="1"/>
    <col min="8464" max="8464" width="12.42578125" style="62" customWidth="1"/>
    <col min="8465" max="8465" width="15.140625" style="62" customWidth="1"/>
    <col min="8466" max="8466" width="13.5703125" style="62" customWidth="1"/>
    <col min="8467" max="8467" width="13.140625" style="62" customWidth="1"/>
    <col min="8468" max="8468" width="15.7109375" style="62" customWidth="1"/>
    <col min="8469" max="8469" width="37.5703125" style="62" customWidth="1"/>
    <col min="8470" max="8691" width="11.42578125" style="62"/>
    <col min="8692" max="8692" width="10.5703125" style="62" customWidth="1"/>
    <col min="8693" max="8693" width="4.85546875" style="62" customWidth="1"/>
    <col min="8694" max="8694" width="32.42578125" style="62" customWidth="1"/>
    <col min="8695" max="8695" width="9.85546875" style="62" customWidth="1"/>
    <col min="8696" max="8696" width="10.140625" style="62" customWidth="1"/>
    <col min="8697" max="8697" width="12.28515625" style="62" customWidth="1"/>
    <col min="8698" max="8698" width="15.42578125" style="62" customWidth="1"/>
    <col min="8699" max="8699" width="11.85546875" style="62" customWidth="1"/>
    <col min="8700" max="8700" width="13.28515625" style="62" customWidth="1"/>
    <col min="8701" max="8701" width="15.28515625" style="62" customWidth="1"/>
    <col min="8702" max="8702" width="11.85546875" style="62" customWidth="1"/>
    <col min="8703" max="8703" width="6.140625" style="62" customWidth="1"/>
    <col min="8704" max="8704" width="11.85546875" style="62" customWidth="1"/>
    <col min="8705" max="8705" width="9.42578125" style="62" customWidth="1"/>
    <col min="8706" max="8706" width="14.7109375" style="62" customWidth="1"/>
    <col min="8707" max="8707" width="11.5703125" style="62" customWidth="1"/>
    <col min="8708" max="8708" width="0.42578125" style="62" customWidth="1"/>
    <col min="8709" max="8709" width="10.5703125" style="62" bestFit="1" customWidth="1"/>
    <col min="8710" max="8710" width="12.28515625" style="62" customWidth="1"/>
    <col min="8711" max="8711" width="12.5703125" style="62" customWidth="1"/>
    <col min="8712" max="8712" width="10.5703125" style="62" customWidth="1"/>
    <col min="8713" max="8713" width="10.140625" style="62" customWidth="1"/>
    <col min="8714" max="8714" width="8.42578125" style="62" customWidth="1"/>
    <col min="8715" max="8715" width="18.85546875" style="62" customWidth="1"/>
    <col min="8716" max="8716" width="10.28515625" style="62" customWidth="1"/>
    <col min="8717" max="8717" width="11.42578125" style="62"/>
    <col min="8718" max="8718" width="12.140625" style="62" customWidth="1"/>
    <col min="8719" max="8719" width="10.5703125" style="62" customWidth="1"/>
    <col min="8720" max="8720" width="12.42578125" style="62" customWidth="1"/>
    <col min="8721" max="8721" width="15.140625" style="62" customWidth="1"/>
    <col min="8722" max="8722" width="13.5703125" style="62" customWidth="1"/>
    <col min="8723" max="8723" width="13.140625" style="62" customWidth="1"/>
    <col min="8724" max="8724" width="15.7109375" style="62" customWidth="1"/>
    <col min="8725" max="8725" width="37.5703125" style="62" customWidth="1"/>
    <col min="8726" max="8947" width="11.42578125" style="62"/>
    <col min="8948" max="8948" width="10.5703125" style="62" customWidth="1"/>
    <col min="8949" max="8949" width="4.85546875" style="62" customWidth="1"/>
    <col min="8950" max="8950" width="32.42578125" style="62" customWidth="1"/>
    <col min="8951" max="8951" width="9.85546875" style="62" customWidth="1"/>
    <col min="8952" max="8952" width="10.140625" style="62" customWidth="1"/>
    <col min="8953" max="8953" width="12.28515625" style="62" customWidth="1"/>
    <col min="8954" max="8954" width="15.42578125" style="62" customWidth="1"/>
    <col min="8955" max="8955" width="11.85546875" style="62" customWidth="1"/>
    <col min="8956" max="8956" width="13.28515625" style="62" customWidth="1"/>
    <col min="8957" max="8957" width="15.28515625" style="62" customWidth="1"/>
    <col min="8958" max="8958" width="11.85546875" style="62" customWidth="1"/>
    <col min="8959" max="8959" width="6.140625" style="62" customWidth="1"/>
    <col min="8960" max="8960" width="11.85546875" style="62" customWidth="1"/>
    <col min="8961" max="8961" width="9.42578125" style="62" customWidth="1"/>
    <col min="8962" max="8962" width="14.7109375" style="62" customWidth="1"/>
    <col min="8963" max="8963" width="11.5703125" style="62" customWidth="1"/>
    <col min="8964" max="8964" width="0.42578125" style="62" customWidth="1"/>
    <col min="8965" max="8965" width="10.5703125" style="62" bestFit="1" customWidth="1"/>
    <col min="8966" max="8966" width="12.28515625" style="62" customWidth="1"/>
    <col min="8967" max="8967" width="12.5703125" style="62" customWidth="1"/>
    <col min="8968" max="8968" width="10.5703125" style="62" customWidth="1"/>
    <col min="8969" max="8969" width="10.140625" style="62" customWidth="1"/>
    <col min="8970" max="8970" width="8.42578125" style="62" customWidth="1"/>
    <col min="8971" max="8971" width="18.85546875" style="62" customWidth="1"/>
    <col min="8972" max="8972" width="10.28515625" style="62" customWidth="1"/>
    <col min="8973" max="8973" width="11.42578125" style="62"/>
    <col min="8974" max="8974" width="12.140625" style="62" customWidth="1"/>
    <col min="8975" max="8975" width="10.5703125" style="62" customWidth="1"/>
    <col min="8976" max="8976" width="12.42578125" style="62" customWidth="1"/>
    <col min="8977" max="8977" width="15.140625" style="62" customWidth="1"/>
    <col min="8978" max="8978" width="13.5703125" style="62" customWidth="1"/>
    <col min="8979" max="8979" width="13.140625" style="62" customWidth="1"/>
    <col min="8980" max="8980" width="15.7109375" style="62" customWidth="1"/>
    <col min="8981" max="8981" width="37.5703125" style="62" customWidth="1"/>
    <col min="8982" max="9203" width="11.42578125" style="62"/>
    <col min="9204" max="9204" width="10.5703125" style="62" customWidth="1"/>
    <col min="9205" max="9205" width="4.85546875" style="62" customWidth="1"/>
    <col min="9206" max="9206" width="32.42578125" style="62" customWidth="1"/>
    <col min="9207" max="9207" width="9.85546875" style="62" customWidth="1"/>
    <col min="9208" max="9208" width="10.140625" style="62" customWidth="1"/>
    <col min="9209" max="9209" width="12.28515625" style="62" customWidth="1"/>
    <col min="9210" max="9210" width="15.42578125" style="62" customWidth="1"/>
    <col min="9211" max="9211" width="11.85546875" style="62" customWidth="1"/>
    <col min="9212" max="9212" width="13.28515625" style="62" customWidth="1"/>
    <col min="9213" max="9213" width="15.28515625" style="62" customWidth="1"/>
    <col min="9214" max="9214" width="11.85546875" style="62" customWidth="1"/>
    <col min="9215" max="9215" width="6.140625" style="62" customWidth="1"/>
    <col min="9216" max="9216" width="11.85546875" style="62" customWidth="1"/>
    <col min="9217" max="9217" width="9.42578125" style="62" customWidth="1"/>
    <col min="9218" max="9218" width="14.7109375" style="62" customWidth="1"/>
    <col min="9219" max="9219" width="11.5703125" style="62" customWidth="1"/>
    <col min="9220" max="9220" width="0.42578125" style="62" customWidth="1"/>
    <col min="9221" max="9221" width="10.5703125" style="62" bestFit="1" customWidth="1"/>
    <col min="9222" max="9222" width="12.28515625" style="62" customWidth="1"/>
    <col min="9223" max="9223" width="12.5703125" style="62" customWidth="1"/>
    <col min="9224" max="9224" width="10.5703125" style="62" customWidth="1"/>
    <col min="9225" max="9225" width="10.140625" style="62" customWidth="1"/>
    <col min="9226" max="9226" width="8.42578125" style="62" customWidth="1"/>
    <col min="9227" max="9227" width="18.85546875" style="62" customWidth="1"/>
    <col min="9228" max="9228" width="10.28515625" style="62" customWidth="1"/>
    <col min="9229" max="9229" width="11.42578125" style="62"/>
    <col min="9230" max="9230" width="12.140625" style="62" customWidth="1"/>
    <col min="9231" max="9231" width="10.5703125" style="62" customWidth="1"/>
    <col min="9232" max="9232" width="12.42578125" style="62" customWidth="1"/>
    <col min="9233" max="9233" width="15.140625" style="62" customWidth="1"/>
    <col min="9234" max="9234" width="13.5703125" style="62" customWidth="1"/>
    <col min="9235" max="9235" width="13.140625" style="62" customWidth="1"/>
    <col min="9236" max="9236" width="15.7109375" style="62" customWidth="1"/>
    <col min="9237" max="9237" width="37.5703125" style="62" customWidth="1"/>
    <col min="9238" max="9459" width="11.42578125" style="62"/>
    <col min="9460" max="9460" width="10.5703125" style="62" customWidth="1"/>
    <col min="9461" max="9461" width="4.85546875" style="62" customWidth="1"/>
    <col min="9462" max="9462" width="32.42578125" style="62" customWidth="1"/>
    <col min="9463" max="9463" width="9.85546875" style="62" customWidth="1"/>
    <col min="9464" max="9464" width="10.140625" style="62" customWidth="1"/>
    <col min="9465" max="9465" width="12.28515625" style="62" customWidth="1"/>
    <col min="9466" max="9466" width="15.42578125" style="62" customWidth="1"/>
    <col min="9467" max="9467" width="11.85546875" style="62" customWidth="1"/>
    <col min="9468" max="9468" width="13.28515625" style="62" customWidth="1"/>
    <col min="9469" max="9469" width="15.28515625" style="62" customWidth="1"/>
    <col min="9470" max="9470" width="11.85546875" style="62" customWidth="1"/>
    <col min="9471" max="9471" width="6.140625" style="62" customWidth="1"/>
    <col min="9472" max="9472" width="11.85546875" style="62" customWidth="1"/>
    <col min="9473" max="9473" width="9.42578125" style="62" customWidth="1"/>
    <col min="9474" max="9474" width="14.7109375" style="62" customWidth="1"/>
    <col min="9475" max="9475" width="11.5703125" style="62" customWidth="1"/>
    <col min="9476" max="9476" width="0.42578125" style="62" customWidth="1"/>
    <col min="9477" max="9477" width="10.5703125" style="62" bestFit="1" customWidth="1"/>
    <col min="9478" max="9478" width="12.28515625" style="62" customWidth="1"/>
    <col min="9479" max="9479" width="12.5703125" style="62" customWidth="1"/>
    <col min="9480" max="9480" width="10.5703125" style="62" customWidth="1"/>
    <col min="9481" max="9481" width="10.140625" style="62" customWidth="1"/>
    <col min="9482" max="9482" width="8.42578125" style="62" customWidth="1"/>
    <col min="9483" max="9483" width="18.85546875" style="62" customWidth="1"/>
    <col min="9484" max="9484" width="10.28515625" style="62" customWidth="1"/>
    <col min="9485" max="9485" width="11.42578125" style="62"/>
    <col min="9486" max="9486" width="12.140625" style="62" customWidth="1"/>
    <col min="9487" max="9487" width="10.5703125" style="62" customWidth="1"/>
    <col min="9488" max="9488" width="12.42578125" style="62" customWidth="1"/>
    <col min="9489" max="9489" width="15.140625" style="62" customWidth="1"/>
    <col min="9490" max="9490" width="13.5703125" style="62" customWidth="1"/>
    <col min="9491" max="9491" width="13.140625" style="62" customWidth="1"/>
    <col min="9492" max="9492" width="15.7109375" style="62" customWidth="1"/>
    <col min="9493" max="9493" width="37.5703125" style="62" customWidth="1"/>
    <col min="9494" max="9715" width="11.42578125" style="62"/>
    <col min="9716" max="9716" width="10.5703125" style="62" customWidth="1"/>
    <col min="9717" max="9717" width="4.85546875" style="62" customWidth="1"/>
    <col min="9718" max="9718" width="32.42578125" style="62" customWidth="1"/>
    <col min="9719" max="9719" width="9.85546875" style="62" customWidth="1"/>
    <col min="9720" max="9720" width="10.140625" style="62" customWidth="1"/>
    <col min="9721" max="9721" width="12.28515625" style="62" customWidth="1"/>
    <col min="9722" max="9722" width="15.42578125" style="62" customWidth="1"/>
    <col min="9723" max="9723" width="11.85546875" style="62" customWidth="1"/>
    <col min="9724" max="9724" width="13.28515625" style="62" customWidth="1"/>
    <col min="9725" max="9725" width="15.28515625" style="62" customWidth="1"/>
    <col min="9726" max="9726" width="11.85546875" style="62" customWidth="1"/>
    <col min="9727" max="9727" width="6.140625" style="62" customWidth="1"/>
    <col min="9728" max="9728" width="11.85546875" style="62" customWidth="1"/>
    <col min="9729" max="9729" width="9.42578125" style="62" customWidth="1"/>
    <col min="9730" max="9730" width="14.7109375" style="62" customWidth="1"/>
    <col min="9731" max="9731" width="11.5703125" style="62" customWidth="1"/>
    <col min="9732" max="9732" width="0.42578125" style="62" customWidth="1"/>
    <col min="9733" max="9733" width="10.5703125" style="62" bestFit="1" customWidth="1"/>
    <col min="9734" max="9734" width="12.28515625" style="62" customWidth="1"/>
    <col min="9735" max="9735" width="12.5703125" style="62" customWidth="1"/>
    <col min="9736" max="9736" width="10.5703125" style="62" customWidth="1"/>
    <col min="9737" max="9737" width="10.140625" style="62" customWidth="1"/>
    <col min="9738" max="9738" width="8.42578125" style="62" customWidth="1"/>
    <col min="9739" max="9739" width="18.85546875" style="62" customWidth="1"/>
    <col min="9740" max="9740" width="10.28515625" style="62" customWidth="1"/>
    <col min="9741" max="9741" width="11.42578125" style="62"/>
    <col min="9742" max="9742" width="12.140625" style="62" customWidth="1"/>
    <col min="9743" max="9743" width="10.5703125" style="62" customWidth="1"/>
    <col min="9744" max="9744" width="12.42578125" style="62" customWidth="1"/>
    <col min="9745" max="9745" width="15.140625" style="62" customWidth="1"/>
    <col min="9746" max="9746" width="13.5703125" style="62" customWidth="1"/>
    <col min="9747" max="9747" width="13.140625" style="62" customWidth="1"/>
    <col min="9748" max="9748" width="15.7109375" style="62" customWidth="1"/>
    <col min="9749" max="9749" width="37.5703125" style="62" customWidth="1"/>
    <col min="9750" max="9971" width="11.42578125" style="62"/>
    <col min="9972" max="9972" width="10.5703125" style="62" customWidth="1"/>
    <col min="9973" max="9973" width="4.85546875" style="62" customWidth="1"/>
    <col min="9974" max="9974" width="32.42578125" style="62" customWidth="1"/>
    <col min="9975" max="9975" width="9.85546875" style="62" customWidth="1"/>
    <col min="9976" max="9976" width="10.140625" style="62" customWidth="1"/>
    <col min="9977" max="9977" width="12.28515625" style="62" customWidth="1"/>
    <col min="9978" max="9978" width="15.42578125" style="62" customWidth="1"/>
    <col min="9979" max="9979" width="11.85546875" style="62" customWidth="1"/>
    <col min="9980" max="9980" width="13.28515625" style="62" customWidth="1"/>
    <col min="9981" max="9981" width="15.28515625" style="62" customWidth="1"/>
    <col min="9982" max="9982" width="11.85546875" style="62" customWidth="1"/>
    <col min="9983" max="9983" width="6.140625" style="62" customWidth="1"/>
    <col min="9984" max="9984" width="11.85546875" style="62" customWidth="1"/>
    <col min="9985" max="9985" width="9.42578125" style="62" customWidth="1"/>
    <col min="9986" max="9986" width="14.7109375" style="62" customWidth="1"/>
    <col min="9987" max="9987" width="11.5703125" style="62" customWidth="1"/>
    <col min="9988" max="9988" width="0.42578125" style="62" customWidth="1"/>
    <col min="9989" max="9989" width="10.5703125" style="62" bestFit="1" customWidth="1"/>
    <col min="9990" max="9990" width="12.28515625" style="62" customWidth="1"/>
    <col min="9991" max="9991" width="12.5703125" style="62" customWidth="1"/>
    <col min="9992" max="9992" width="10.5703125" style="62" customWidth="1"/>
    <col min="9993" max="9993" width="10.140625" style="62" customWidth="1"/>
    <col min="9994" max="9994" width="8.42578125" style="62" customWidth="1"/>
    <col min="9995" max="9995" width="18.85546875" style="62" customWidth="1"/>
    <col min="9996" max="9996" width="10.28515625" style="62" customWidth="1"/>
    <col min="9997" max="9997" width="11.42578125" style="62"/>
    <col min="9998" max="9998" width="12.140625" style="62" customWidth="1"/>
    <col min="9999" max="9999" width="10.5703125" style="62" customWidth="1"/>
    <col min="10000" max="10000" width="12.42578125" style="62" customWidth="1"/>
    <col min="10001" max="10001" width="15.140625" style="62" customWidth="1"/>
    <col min="10002" max="10002" width="13.5703125" style="62" customWidth="1"/>
    <col min="10003" max="10003" width="13.140625" style="62" customWidth="1"/>
    <col min="10004" max="10004" width="15.7109375" style="62" customWidth="1"/>
    <col min="10005" max="10005" width="37.5703125" style="62" customWidth="1"/>
    <col min="10006" max="10227" width="11.42578125" style="62"/>
    <col min="10228" max="10228" width="10.5703125" style="62" customWidth="1"/>
    <col min="10229" max="10229" width="4.85546875" style="62" customWidth="1"/>
    <col min="10230" max="10230" width="32.42578125" style="62" customWidth="1"/>
    <col min="10231" max="10231" width="9.85546875" style="62" customWidth="1"/>
    <col min="10232" max="10232" width="10.140625" style="62" customWidth="1"/>
    <col min="10233" max="10233" width="12.28515625" style="62" customWidth="1"/>
    <col min="10234" max="10234" width="15.42578125" style="62" customWidth="1"/>
    <col min="10235" max="10235" width="11.85546875" style="62" customWidth="1"/>
    <col min="10236" max="10236" width="13.28515625" style="62" customWidth="1"/>
    <col min="10237" max="10237" width="15.28515625" style="62" customWidth="1"/>
    <col min="10238" max="10238" width="11.85546875" style="62" customWidth="1"/>
    <col min="10239" max="10239" width="6.140625" style="62" customWidth="1"/>
    <col min="10240" max="10240" width="11.85546875" style="62" customWidth="1"/>
    <col min="10241" max="10241" width="9.42578125" style="62" customWidth="1"/>
    <col min="10242" max="10242" width="14.7109375" style="62" customWidth="1"/>
    <col min="10243" max="10243" width="11.5703125" style="62" customWidth="1"/>
    <col min="10244" max="10244" width="0.42578125" style="62" customWidth="1"/>
    <col min="10245" max="10245" width="10.5703125" style="62" bestFit="1" customWidth="1"/>
    <col min="10246" max="10246" width="12.28515625" style="62" customWidth="1"/>
    <col min="10247" max="10247" width="12.5703125" style="62" customWidth="1"/>
    <col min="10248" max="10248" width="10.5703125" style="62" customWidth="1"/>
    <col min="10249" max="10249" width="10.140625" style="62" customWidth="1"/>
    <col min="10250" max="10250" width="8.42578125" style="62" customWidth="1"/>
    <col min="10251" max="10251" width="18.85546875" style="62" customWidth="1"/>
    <col min="10252" max="10252" width="10.28515625" style="62" customWidth="1"/>
    <col min="10253" max="10253" width="11.42578125" style="62"/>
    <col min="10254" max="10254" width="12.140625" style="62" customWidth="1"/>
    <col min="10255" max="10255" width="10.5703125" style="62" customWidth="1"/>
    <col min="10256" max="10256" width="12.42578125" style="62" customWidth="1"/>
    <col min="10257" max="10257" width="15.140625" style="62" customWidth="1"/>
    <col min="10258" max="10258" width="13.5703125" style="62" customWidth="1"/>
    <col min="10259" max="10259" width="13.140625" style="62" customWidth="1"/>
    <col min="10260" max="10260" width="15.7109375" style="62" customWidth="1"/>
    <col min="10261" max="10261" width="37.5703125" style="62" customWidth="1"/>
    <col min="10262" max="10483" width="11.42578125" style="62"/>
    <col min="10484" max="10484" width="10.5703125" style="62" customWidth="1"/>
    <col min="10485" max="10485" width="4.85546875" style="62" customWidth="1"/>
    <col min="10486" max="10486" width="32.42578125" style="62" customWidth="1"/>
    <col min="10487" max="10487" width="9.85546875" style="62" customWidth="1"/>
    <col min="10488" max="10488" width="10.140625" style="62" customWidth="1"/>
    <col min="10489" max="10489" width="12.28515625" style="62" customWidth="1"/>
    <col min="10490" max="10490" width="15.42578125" style="62" customWidth="1"/>
    <col min="10491" max="10491" width="11.85546875" style="62" customWidth="1"/>
    <col min="10492" max="10492" width="13.28515625" style="62" customWidth="1"/>
    <col min="10493" max="10493" width="15.28515625" style="62" customWidth="1"/>
    <col min="10494" max="10494" width="11.85546875" style="62" customWidth="1"/>
    <col min="10495" max="10495" width="6.140625" style="62" customWidth="1"/>
    <col min="10496" max="10496" width="11.85546875" style="62" customWidth="1"/>
    <col min="10497" max="10497" width="9.42578125" style="62" customWidth="1"/>
    <col min="10498" max="10498" width="14.7109375" style="62" customWidth="1"/>
    <col min="10499" max="10499" width="11.5703125" style="62" customWidth="1"/>
    <col min="10500" max="10500" width="0.42578125" style="62" customWidth="1"/>
    <col min="10501" max="10501" width="10.5703125" style="62" bestFit="1" customWidth="1"/>
    <col min="10502" max="10502" width="12.28515625" style="62" customWidth="1"/>
    <col min="10503" max="10503" width="12.5703125" style="62" customWidth="1"/>
    <col min="10504" max="10504" width="10.5703125" style="62" customWidth="1"/>
    <col min="10505" max="10505" width="10.140625" style="62" customWidth="1"/>
    <col min="10506" max="10506" width="8.42578125" style="62" customWidth="1"/>
    <col min="10507" max="10507" width="18.85546875" style="62" customWidth="1"/>
    <col min="10508" max="10508" width="10.28515625" style="62" customWidth="1"/>
    <col min="10509" max="10509" width="11.42578125" style="62"/>
    <col min="10510" max="10510" width="12.140625" style="62" customWidth="1"/>
    <col min="10511" max="10511" width="10.5703125" style="62" customWidth="1"/>
    <col min="10512" max="10512" width="12.42578125" style="62" customWidth="1"/>
    <col min="10513" max="10513" width="15.140625" style="62" customWidth="1"/>
    <col min="10514" max="10514" width="13.5703125" style="62" customWidth="1"/>
    <col min="10515" max="10515" width="13.140625" style="62" customWidth="1"/>
    <col min="10516" max="10516" width="15.7109375" style="62" customWidth="1"/>
    <col min="10517" max="10517" width="37.5703125" style="62" customWidth="1"/>
    <col min="10518" max="10739" width="11.42578125" style="62"/>
    <col min="10740" max="10740" width="10.5703125" style="62" customWidth="1"/>
    <col min="10741" max="10741" width="4.85546875" style="62" customWidth="1"/>
    <col min="10742" max="10742" width="32.42578125" style="62" customWidth="1"/>
    <col min="10743" max="10743" width="9.85546875" style="62" customWidth="1"/>
    <col min="10744" max="10744" width="10.140625" style="62" customWidth="1"/>
    <col min="10745" max="10745" width="12.28515625" style="62" customWidth="1"/>
    <col min="10746" max="10746" width="15.42578125" style="62" customWidth="1"/>
    <col min="10747" max="10747" width="11.85546875" style="62" customWidth="1"/>
    <col min="10748" max="10748" width="13.28515625" style="62" customWidth="1"/>
    <col min="10749" max="10749" width="15.28515625" style="62" customWidth="1"/>
    <col min="10750" max="10750" width="11.85546875" style="62" customWidth="1"/>
    <col min="10751" max="10751" width="6.140625" style="62" customWidth="1"/>
    <col min="10752" max="10752" width="11.85546875" style="62" customWidth="1"/>
    <col min="10753" max="10753" width="9.42578125" style="62" customWidth="1"/>
    <col min="10754" max="10754" width="14.7109375" style="62" customWidth="1"/>
    <col min="10755" max="10755" width="11.5703125" style="62" customWidth="1"/>
    <col min="10756" max="10756" width="0.42578125" style="62" customWidth="1"/>
    <col min="10757" max="10757" width="10.5703125" style="62" bestFit="1" customWidth="1"/>
    <col min="10758" max="10758" width="12.28515625" style="62" customWidth="1"/>
    <col min="10759" max="10759" width="12.5703125" style="62" customWidth="1"/>
    <col min="10760" max="10760" width="10.5703125" style="62" customWidth="1"/>
    <col min="10761" max="10761" width="10.140625" style="62" customWidth="1"/>
    <col min="10762" max="10762" width="8.42578125" style="62" customWidth="1"/>
    <col min="10763" max="10763" width="18.85546875" style="62" customWidth="1"/>
    <col min="10764" max="10764" width="10.28515625" style="62" customWidth="1"/>
    <col min="10765" max="10765" width="11.42578125" style="62"/>
    <col min="10766" max="10766" width="12.140625" style="62" customWidth="1"/>
    <col min="10767" max="10767" width="10.5703125" style="62" customWidth="1"/>
    <col min="10768" max="10768" width="12.42578125" style="62" customWidth="1"/>
    <col min="10769" max="10769" width="15.140625" style="62" customWidth="1"/>
    <col min="10770" max="10770" width="13.5703125" style="62" customWidth="1"/>
    <col min="10771" max="10771" width="13.140625" style="62" customWidth="1"/>
    <col min="10772" max="10772" width="15.7109375" style="62" customWidth="1"/>
    <col min="10773" max="10773" width="37.5703125" style="62" customWidth="1"/>
    <col min="10774" max="10995" width="11.42578125" style="62"/>
    <col min="10996" max="10996" width="10.5703125" style="62" customWidth="1"/>
    <col min="10997" max="10997" width="4.85546875" style="62" customWidth="1"/>
    <col min="10998" max="10998" width="32.42578125" style="62" customWidth="1"/>
    <col min="10999" max="10999" width="9.85546875" style="62" customWidth="1"/>
    <col min="11000" max="11000" width="10.140625" style="62" customWidth="1"/>
    <col min="11001" max="11001" width="12.28515625" style="62" customWidth="1"/>
    <col min="11002" max="11002" width="15.42578125" style="62" customWidth="1"/>
    <col min="11003" max="11003" width="11.85546875" style="62" customWidth="1"/>
    <col min="11004" max="11004" width="13.28515625" style="62" customWidth="1"/>
    <col min="11005" max="11005" width="15.28515625" style="62" customWidth="1"/>
    <col min="11006" max="11006" width="11.85546875" style="62" customWidth="1"/>
    <col min="11007" max="11007" width="6.140625" style="62" customWidth="1"/>
    <col min="11008" max="11008" width="11.85546875" style="62" customWidth="1"/>
    <col min="11009" max="11009" width="9.42578125" style="62" customWidth="1"/>
    <col min="11010" max="11010" width="14.7109375" style="62" customWidth="1"/>
    <col min="11011" max="11011" width="11.5703125" style="62" customWidth="1"/>
    <col min="11012" max="11012" width="0.42578125" style="62" customWidth="1"/>
    <col min="11013" max="11013" width="10.5703125" style="62" bestFit="1" customWidth="1"/>
    <col min="11014" max="11014" width="12.28515625" style="62" customWidth="1"/>
    <col min="11015" max="11015" width="12.5703125" style="62" customWidth="1"/>
    <col min="11016" max="11016" width="10.5703125" style="62" customWidth="1"/>
    <col min="11017" max="11017" width="10.140625" style="62" customWidth="1"/>
    <col min="11018" max="11018" width="8.42578125" style="62" customWidth="1"/>
    <col min="11019" max="11019" width="18.85546875" style="62" customWidth="1"/>
    <col min="11020" max="11020" width="10.28515625" style="62" customWidth="1"/>
    <col min="11021" max="11021" width="11.42578125" style="62"/>
    <col min="11022" max="11022" width="12.140625" style="62" customWidth="1"/>
    <col min="11023" max="11023" width="10.5703125" style="62" customWidth="1"/>
    <col min="11024" max="11024" width="12.42578125" style="62" customWidth="1"/>
    <col min="11025" max="11025" width="15.140625" style="62" customWidth="1"/>
    <col min="11026" max="11026" width="13.5703125" style="62" customWidth="1"/>
    <col min="11027" max="11027" width="13.140625" style="62" customWidth="1"/>
    <col min="11028" max="11028" width="15.7109375" style="62" customWidth="1"/>
    <col min="11029" max="11029" width="37.5703125" style="62" customWidth="1"/>
    <col min="11030" max="11251" width="11.42578125" style="62"/>
    <col min="11252" max="11252" width="10.5703125" style="62" customWidth="1"/>
    <col min="11253" max="11253" width="4.85546875" style="62" customWidth="1"/>
    <col min="11254" max="11254" width="32.42578125" style="62" customWidth="1"/>
    <col min="11255" max="11255" width="9.85546875" style="62" customWidth="1"/>
    <col min="11256" max="11256" width="10.140625" style="62" customWidth="1"/>
    <col min="11257" max="11257" width="12.28515625" style="62" customWidth="1"/>
    <col min="11258" max="11258" width="15.42578125" style="62" customWidth="1"/>
    <col min="11259" max="11259" width="11.85546875" style="62" customWidth="1"/>
    <col min="11260" max="11260" width="13.28515625" style="62" customWidth="1"/>
    <col min="11261" max="11261" width="15.28515625" style="62" customWidth="1"/>
    <col min="11262" max="11262" width="11.85546875" style="62" customWidth="1"/>
    <col min="11263" max="11263" width="6.140625" style="62" customWidth="1"/>
    <col min="11264" max="11264" width="11.85546875" style="62" customWidth="1"/>
    <col min="11265" max="11265" width="9.42578125" style="62" customWidth="1"/>
    <col min="11266" max="11266" width="14.7109375" style="62" customWidth="1"/>
    <col min="11267" max="11267" width="11.5703125" style="62" customWidth="1"/>
    <col min="11268" max="11268" width="0.42578125" style="62" customWidth="1"/>
    <col min="11269" max="11269" width="10.5703125" style="62" bestFit="1" customWidth="1"/>
    <col min="11270" max="11270" width="12.28515625" style="62" customWidth="1"/>
    <col min="11271" max="11271" width="12.5703125" style="62" customWidth="1"/>
    <col min="11272" max="11272" width="10.5703125" style="62" customWidth="1"/>
    <col min="11273" max="11273" width="10.140625" style="62" customWidth="1"/>
    <col min="11274" max="11274" width="8.42578125" style="62" customWidth="1"/>
    <col min="11275" max="11275" width="18.85546875" style="62" customWidth="1"/>
    <col min="11276" max="11276" width="10.28515625" style="62" customWidth="1"/>
    <col min="11277" max="11277" width="11.42578125" style="62"/>
    <col min="11278" max="11278" width="12.140625" style="62" customWidth="1"/>
    <col min="11279" max="11279" width="10.5703125" style="62" customWidth="1"/>
    <col min="11280" max="11280" width="12.42578125" style="62" customWidth="1"/>
    <col min="11281" max="11281" width="15.140625" style="62" customWidth="1"/>
    <col min="11282" max="11282" width="13.5703125" style="62" customWidth="1"/>
    <col min="11283" max="11283" width="13.140625" style="62" customWidth="1"/>
    <col min="11284" max="11284" width="15.7109375" style="62" customWidth="1"/>
    <col min="11285" max="11285" width="37.5703125" style="62" customWidth="1"/>
    <col min="11286" max="11507" width="11.42578125" style="62"/>
    <col min="11508" max="11508" width="10.5703125" style="62" customWidth="1"/>
    <col min="11509" max="11509" width="4.85546875" style="62" customWidth="1"/>
    <col min="11510" max="11510" width="32.42578125" style="62" customWidth="1"/>
    <col min="11511" max="11511" width="9.85546875" style="62" customWidth="1"/>
    <col min="11512" max="11512" width="10.140625" style="62" customWidth="1"/>
    <col min="11513" max="11513" width="12.28515625" style="62" customWidth="1"/>
    <col min="11514" max="11514" width="15.42578125" style="62" customWidth="1"/>
    <col min="11515" max="11515" width="11.85546875" style="62" customWidth="1"/>
    <col min="11516" max="11516" width="13.28515625" style="62" customWidth="1"/>
    <col min="11517" max="11517" width="15.28515625" style="62" customWidth="1"/>
    <col min="11518" max="11518" width="11.85546875" style="62" customWidth="1"/>
    <col min="11519" max="11519" width="6.140625" style="62" customWidth="1"/>
    <col min="11520" max="11520" width="11.85546875" style="62" customWidth="1"/>
    <col min="11521" max="11521" width="9.42578125" style="62" customWidth="1"/>
    <col min="11522" max="11522" width="14.7109375" style="62" customWidth="1"/>
    <col min="11523" max="11523" width="11.5703125" style="62" customWidth="1"/>
    <col min="11524" max="11524" width="0.42578125" style="62" customWidth="1"/>
    <col min="11525" max="11525" width="10.5703125" style="62" bestFit="1" customWidth="1"/>
    <col min="11526" max="11526" width="12.28515625" style="62" customWidth="1"/>
    <col min="11527" max="11527" width="12.5703125" style="62" customWidth="1"/>
    <col min="11528" max="11528" width="10.5703125" style="62" customWidth="1"/>
    <col min="11529" max="11529" width="10.140625" style="62" customWidth="1"/>
    <col min="11530" max="11530" width="8.42578125" style="62" customWidth="1"/>
    <col min="11531" max="11531" width="18.85546875" style="62" customWidth="1"/>
    <col min="11532" max="11532" width="10.28515625" style="62" customWidth="1"/>
    <col min="11533" max="11533" width="11.42578125" style="62"/>
    <col min="11534" max="11534" width="12.140625" style="62" customWidth="1"/>
    <col min="11535" max="11535" width="10.5703125" style="62" customWidth="1"/>
    <col min="11536" max="11536" width="12.42578125" style="62" customWidth="1"/>
    <col min="11537" max="11537" width="15.140625" style="62" customWidth="1"/>
    <col min="11538" max="11538" width="13.5703125" style="62" customWidth="1"/>
    <col min="11539" max="11539" width="13.140625" style="62" customWidth="1"/>
    <col min="11540" max="11540" width="15.7109375" style="62" customWidth="1"/>
    <col min="11541" max="11541" width="37.5703125" style="62" customWidth="1"/>
    <col min="11542" max="11763" width="11.42578125" style="62"/>
    <col min="11764" max="11764" width="10.5703125" style="62" customWidth="1"/>
    <col min="11765" max="11765" width="4.85546875" style="62" customWidth="1"/>
    <col min="11766" max="11766" width="32.42578125" style="62" customWidth="1"/>
    <col min="11767" max="11767" width="9.85546875" style="62" customWidth="1"/>
    <col min="11768" max="11768" width="10.140625" style="62" customWidth="1"/>
    <col min="11769" max="11769" width="12.28515625" style="62" customWidth="1"/>
    <col min="11770" max="11770" width="15.42578125" style="62" customWidth="1"/>
    <col min="11771" max="11771" width="11.85546875" style="62" customWidth="1"/>
    <col min="11772" max="11772" width="13.28515625" style="62" customWidth="1"/>
    <col min="11773" max="11773" width="15.28515625" style="62" customWidth="1"/>
    <col min="11774" max="11774" width="11.85546875" style="62" customWidth="1"/>
    <col min="11775" max="11775" width="6.140625" style="62" customWidth="1"/>
    <col min="11776" max="11776" width="11.85546875" style="62" customWidth="1"/>
    <col min="11777" max="11777" width="9.42578125" style="62" customWidth="1"/>
    <col min="11778" max="11778" width="14.7109375" style="62" customWidth="1"/>
    <col min="11779" max="11779" width="11.5703125" style="62" customWidth="1"/>
    <col min="11780" max="11780" width="0.42578125" style="62" customWidth="1"/>
    <col min="11781" max="11781" width="10.5703125" style="62" bestFit="1" customWidth="1"/>
    <col min="11782" max="11782" width="12.28515625" style="62" customWidth="1"/>
    <col min="11783" max="11783" width="12.5703125" style="62" customWidth="1"/>
    <col min="11784" max="11784" width="10.5703125" style="62" customWidth="1"/>
    <col min="11785" max="11785" width="10.140625" style="62" customWidth="1"/>
    <col min="11786" max="11786" width="8.42578125" style="62" customWidth="1"/>
    <col min="11787" max="11787" width="18.85546875" style="62" customWidth="1"/>
    <col min="11788" max="11788" width="10.28515625" style="62" customWidth="1"/>
    <col min="11789" max="11789" width="11.42578125" style="62"/>
    <col min="11790" max="11790" width="12.140625" style="62" customWidth="1"/>
    <col min="11791" max="11791" width="10.5703125" style="62" customWidth="1"/>
    <col min="11792" max="11792" width="12.42578125" style="62" customWidth="1"/>
    <col min="11793" max="11793" width="15.140625" style="62" customWidth="1"/>
    <col min="11794" max="11794" width="13.5703125" style="62" customWidth="1"/>
    <col min="11795" max="11795" width="13.140625" style="62" customWidth="1"/>
    <col min="11796" max="11796" width="15.7109375" style="62" customWidth="1"/>
    <col min="11797" max="11797" width="37.5703125" style="62" customWidth="1"/>
    <col min="11798" max="12019" width="11.42578125" style="62"/>
    <col min="12020" max="12020" width="10.5703125" style="62" customWidth="1"/>
    <col min="12021" max="12021" width="4.85546875" style="62" customWidth="1"/>
    <col min="12022" max="12022" width="32.42578125" style="62" customWidth="1"/>
    <col min="12023" max="12023" width="9.85546875" style="62" customWidth="1"/>
    <col min="12024" max="12024" width="10.140625" style="62" customWidth="1"/>
    <col min="12025" max="12025" width="12.28515625" style="62" customWidth="1"/>
    <col min="12026" max="12026" width="15.42578125" style="62" customWidth="1"/>
    <col min="12027" max="12027" width="11.85546875" style="62" customWidth="1"/>
    <col min="12028" max="12028" width="13.28515625" style="62" customWidth="1"/>
    <col min="12029" max="12029" width="15.28515625" style="62" customWidth="1"/>
    <col min="12030" max="12030" width="11.85546875" style="62" customWidth="1"/>
    <col min="12031" max="12031" width="6.140625" style="62" customWidth="1"/>
    <col min="12032" max="12032" width="11.85546875" style="62" customWidth="1"/>
    <col min="12033" max="12033" width="9.42578125" style="62" customWidth="1"/>
    <col min="12034" max="12034" width="14.7109375" style="62" customWidth="1"/>
    <col min="12035" max="12035" width="11.5703125" style="62" customWidth="1"/>
    <col min="12036" max="12036" width="0.42578125" style="62" customWidth="1"/>
    <col min="12037" max="12037" width="10.5703125" style="62" bestFit="1" customWidth="1"/>
    <col min="12038" max="12038" width="12.28515625" style="62" customWidth="1"/>
    <col min="12039" max="12039" width="12.5703125" style="62" customWidth="1"/>
    <col min="12040" max="12040" width="10.5703125" style="62" customWidth="1"/>
    <col min="12041" max="12041" width="10.140625" style="62" customWidth="1"/>
    <col min="12042" max="12042" width="8.42578125" style="62" customWidth="1"/>
    <col min="12043" max="12043" width="18.85546875" style="62" customWidth="1"/>
    <col min="12044" max="12044" width="10.28515625" style="62" customWidth="1"/>
    <col min="12045" max="12045" width="11.42578125" style="62"/>
    <col min="12046" max="12046" width="12.140625" style="62" customWidth="1"/>
    <col min="12047" max="12047" width="10.5703125" style="62" customWidth="1"/>
    <col min="12048" max="12048" width="12.42578125" style="62" customWidth="1"/>
    <col min="12049" max="12049" width="15.140625" style="62" customWidth="1"/>
    <col min="12050" max="12050" width="13.5703125" style="62" customWidth="1"/>
    <col min="12051" max="12051" width="13.140625" style="62" customWidth="1"/>
    <col min="12052" max="12052" width="15.7109375" style="62" customWidth="1"/>
    <col min="12053" max="12053" width="37.5703125" style="62" customWidth="1"/>
    <col min="12054" max="12275" width="11.42578125" style="62"/>
    <col min="12276" max="12276" width="10.5703125" style="62" customWidth="1"/>
    <col min="12277" max="12277" width="4.85546875" style="62" customWidth="1"/>
    <col min="12278" max="12278" width="32.42578125" style="62" customWidth="1"/>
    <col min="12279" max="12279" width="9.85546875" style="62" customWidth="1"/>
    <col min="12280" max="12280" width="10.140625" style="62" customWidth="1"/>
    <col min="12281" max="12281" width="12.28515625" style="62" customWidth="1"/>
    <col min="12282" max="12282" width="15.42578125" style="62" customWidth="1"/>
    <col min="12283" max="12283" width="11.85546875" style="62" customWidth="1"/>
    <col min="12284" max="12284" width="13.28515625" style="62" customWidth="1"/>
    <col min="12285" max="12285" width="15.28515625" style="62" customWidth="1"/>
    <col min="12286" max="12286" width="11.85546875" style="62" customWidth="1"/>
    <col min="12287" max="12287" width="6.140625" style="62" customWidth="1"/>
    <col min="12288" max="12288" width="11.85546875" style="62" customWidth="1"/>
    <col min="12289" max="12289" width="9.42578125" style="62" customWidth="1"/>
    <col min="12290" max="12290" width="14.7109375" style="62" customWidth="1"/>
    <col min="12291" max="12291" width="11.5703125" style="62" customWidth="1"/>
    <col min="12292" max="12292" width="0.42578125" style="62" customWidth="1"/>
    <col min="12293" max="12293" width="10.5703125" style="62" bestFit="1" customWidth="1"/>
    <col min="12294" max="12294" width="12.28515625" style="62" customWidth="1"/>
    <col min="12295" max="12295" width="12.5703125" style="62" customWidth="1"/>
    <col min="12296" max="12296" width="10.5703125" style="62" customWidth="1"/>
    <col min="12297" max="12297" width="10.140625" style="62" customWidth="1"/>
    <col min="12298" max="12298" width="8.42578125" style="62" customWidth="1"/>
    <col min="12299" max="12299" width="18.85546875" style="62" customWidth="1"/>
    <col min="12300" max="12300" width="10.28515625" style="62" customWidth="1"/>
    <col min="12301" max="12301" width="11.42578125" style="62"/>
    <col min="12302" max="12302" width="12.140625" style="62" customWidth="1"/>
    <col min="12303" max="12303" width="10.5703125" style="62" customWidth="1"/>
    <col min="12304" max="12304" width="12.42578125" style="62" customWidth="1"/>
    <col min="12305" max="12305" width="15.140625" style="62" customWidth="1"/>
    <col min="12306" max="12306" width="13.5703125" style="62" customWidth="1"/>
    <col min="12307" max="12307" width="13.140625" style="62" customWidth="1"/>
    <col min="12308" max="12308" width="15.7109375" style="62" customWidth="1"/>
    <col min="12309" max="12309" width="37.5703125" style="62" customWidth="1"/>
    <col min="12310" max="12531" width="11.42578125" style="62"/>
    <col min="12532" max="12532" width="10.5703125" style="62" customWidth="1"/>
    <col min="12533" max="12533" width="4.85546875" style="62" customWidth="1"/>
    <col min="12534" max="12534" width="32.42578125" style="62" customWidth="1"/>
    <col min="12535" max="12535" width="9.85546875" style="62" customWidth="1"/>
    <col min="12536" max="12536" width="10.140625" style="62" customWidth="1"/>
    <col min="12537" max="12537" width="12.28515625" style="62" customWidth="1"/>
    <col min="12538" max="12538" width="15.42578125" style="62" customWidth="1"/>
    <col min="12539" max="12539" width="11.85546875" style="62" customWidth="1"/>
    <col min="12540" max="12540" width="13.28515625" style="62" customWidth="1"/>
    <col min="12541" max="12541" width="15.28515625" style="62" customWidth="1"/>
    <col min="12542" max="12542" width="11.85546875" style="62" customWidth="1"/>
    <col min="12543" max="12543" width="6.140625" style="62" customWidth="1"/>
    <col min="12544" max="12544" width="11.85546875" style="62" customWidth="1"/>
    <col min="12545" max="12545" width="9.42578125" style="62" customWidth="1"/>
    <col min="12546" max="12546" width="14.7109375" style="62" customWidth="1"/>
    <col min="12547" max="12547" width="11.5703125" style="62" customWidth="1"/>
    <col min="12548" max="12548" width="0.42578125" style="62" customWidth="1"/>
    <col min="12549" max="12549" width="10.5703125" style="62" bestFit="1" customWidth="1"/>
    <col min="12550" max="12550" width="12.28515625" style="62" customWidth="1"/>
    <col min="12551" max="12551" width="12.5703125" style="62" customWidth="1"/>
    <col min="12552" max="12552" width="10.5703125" style="62" customWidth="1"/>
    <col min="12553" max="12553" width="10.140625" style="62" customWidth="1"/>
    <col min="12554" max="12554" width="8.42578125" style="62" customWidth="1"/>
    <col min="12555" max="12555" width="18.85546875" style="62" customWidth="1"/>
    <col min="12556" max="12556" width="10.28515625" style="62" customWidth="1"/>
    <col min="12557" max="12557" width="11.42578125" style="62"/>
    <col min="12558" max="12558" width="12.140625" style="62" customWidth="1"/>
    <col min="12559" max="12559" width="10.5703125" style="62" customWidth="1"/>
    <col min="12560" max="12560" width="12.42578125" style="62" customWidth="1"/>
    <col min="12561" max="12561" width="15.140625" style="62" customWidth="1"/>
    <col min="12562" max="12562" width="13.5703125" style="62" customWidth="1"/>
    <col min="12563" max="12563" width="13.140625" style="62" customWidth="1"/>
    <col min="12564" max="12564" width="15.7109375" style="62" customWidth="1"/>
    <col min="12565" max="12565" width="37.5703125" style="62" customWidth="1"/>
    <col min="12566" max="12787" width="11.42578125" style="62"/>
    <col min="12788" max="12788" width="10.5703125" style="62" customWidth="1"/>
    <col min="12789" max="12789" width="4.85546875" style="62" customWidth="1"/>
    <col min="12790" max="12790" width="32.42578125" style="62" customWidth="1"/>
    <col min="12791" max="12791" width="9.85546875" style="62" customWidth="1"/>
    <col min="12792" max="12792" width="10.140625" style="62" customWidth="1"/>
    <col min="12793" max="12793" width="12.28515625" style="62" customWidth="1"/>
    <col min="12794" max="12794" width="15.42578125" style="62" customWidth="1"/>
    <col min="12795" max="12795" width="11.85546875" style="62" customWidth="1"/>
    <col min="12796" max="12796" width="13.28515625" style="62" customWidth="1"/>
    <col min="12797" max="12797" width="15.28515625" style="62" customWidth="1"/>
    <col min="12798" max="12798" width="11.85546875" style="62" customWidth="1"/>
    <col min="12799" max="12799" width="6.140625" style="62" customWidth="1"/>
    <col min="12800" max="12800" width="11.85546875" style="62" customWidth="1"/>
    <col min="12801" max="12801" width="9.42578125" style="62" customWidth="1"/>
    <col min="12802" max="12802" width="14.7109375" style="62" customWidth="1"/>
    <col min="12803" max="12803" width="11.5703125" style="62" customWidth="1"/>
    <col min="12804" max="12804" width="0.42578125" style="62" customWidth="1"/>
    <col min="12805" max="12805" width="10.5703125" style="62" bestFit="1" customWidth="1"/>
    <col min="12806" max="12806" width="12.28515625" style="62" customWidth="1"/>
    <col min="12807" max="12807" width="12.5703125" style="62" customWidth="1"/>
    <col min="12808" max="12808" width="10.5703125" style="62" customWidth="1"/>
    <col min="12809" max="12809" width="10.140625" style="62" customWidth="1"/>
    <col min="12810" max="12810" width="8.42578125" style="62" customWidth="1"/>
    <col min="12811" max="12811" width="18.85546875" style="62" customWidth="1"/>
    <col min="12812" max="12812" width="10.28515625" style="62" customWidth="1"/>
    <col min="12813" max="12813" width="11.42578125" style="62"/>
    <col min="12814" max="12814" width="12.140625" style="62" customWidth="1"/>
    <col min="12815" max="12815" width="10.5703125" style="62" customWidth="1"/>
    <col min="12816" max="12816" width="12.42578125" style="62" customWidth="1"/>
    <col min="12817" max="12817" width="15.140625" style="62" customWidth="1"/>
    <col min="12818" max="12818" width="13.5703125" style="62" customWidth="1"/>
    <col min="12819" max="12819" width="13.140625" style="62" customWidth="1"/>
    <col min="12820" max="12820" width="15.7109375" style="62" customWidth="1"/>
    <col min="12821" max="12821" width="37.5703125" style="62" customWidth="1"/>
    <col min="12822" max="13043" width="11.42578125" style="62"/>
    <col min="13044" max="13044" width="10.5703125" style="62" customWidth="1"/>
    <col min="13045" max="13045" width="4.85546875" style="62" customWidth="1"/>
    <col min="13046" max="13046" width="32.42578125" style="62" customWidth="1"/>
    <col min="13047" max="13047" width="9.85546875" style="62" customWidth="1"/>
    <col min="13048" max="13048" width="10.140625" style="62" customWidth="1"/>
    <col min="13049" max="13049" width="12.28515625" style="62" customWidth="1"/>
    <col min="13050" max="13050" width="15.42578125" style="62" customWidth="1"/>
    <col min="13051" max="13051" width="11.85546875" style="62" customWidth="1"/>
    <col min="13052" max="13052" width="13.28515625" style="62" customWidth="1"/>
    <col min="13053" max="13053" width="15.28515625" style="62" customWidth="1"/>
    <col min="13054" max="13054" width="11.85546875" style="62" customWidth="1"/>
    <col min="13055" max="13055" width="6.140625" style="62" customWidth="1"/>
    <col min="13056" max="13056" width="11.85546875" style="62" customWidth="1"/>
    <col min="13057" max="13057" width="9.42578125" style="62" customWidth="1"/>
    <col min="13058" max="13058" width="14.7109375" style="62" customWidth="1"/>
    <col min="13059" max="13059" width="11.5703125" style="62" customWidth="1"/>
    <col min="13060" max="13060" width="0.42578125" style="62" customWidth="1"/>
    <col min="13061" max="13061" width="10.5703125" style="62" bestFit="1" customWidth="1"/>
    <col min="13062" max="13062" width="12.28515625" style="62" customWidth="1"/>
    <col min="13063" max="13063" width="12.5703125" style="62" customWidth="1"/>
    <col min="13064" max="13064" width="10.5703125" style="62" customWidth="1"/>
    <col min="13065" max="13065" width="10.140625" style="62" customWidth="1"/>
    <col min="13066" max="13066" width="8.42578125" style="62" customWidth="1"/>
    <col min="13067" max="13067" width="18.85546875" style="62" customWidth="1"/>
    <col min="13068" max="13068" width="10.28515625" style="62" customWidth="1"/>
    <col min="13069" max="13069" width="11.42578125" style="62"/>
    <col min="13070" max="13070" width="12.140625" style="62" customWidth="1"/>
    <col min="13071" max="13071" width="10.5703125" style="62" customWidth="1"/>
    <col min="13072" max="13072" width="12.42578125" style="62" customWidth="1"/>
    <col min="13073" max="13073" width="15.140625" style="62" customWidth="1"/>
    <col min="13074" max="13074" width="13.5703125" style="62" customWidth="1"/>
    <col min="13075" max="13075" width="13.140625" style="62" customWidth="1"/>
    <col min="13076" max="13076" width="15.7109375" style="62" customWidth="1"/>
    <col min="13077" max="13077" width="37.5703125" style="62" customWidth="1"/>
    <col min="13078" max="13299" width="11.42578125" style="62"/>
    <col min="13300" max="13300" width="10.5703125" style="62" customWidth="1"/>
    <col min="13301" max="13301" width="4.85546875" style="62" customWidth="1"/>
    <col min="13302" max="13302" width="32.42578125" style="62" customWidth="1"/>
    <col min="13303" max="13303" width="9.85546875" style="62" customWidth="1"/>
    <col min="13304" max="13304" width="10.140625" style="62" customWidth="1"/>
    <col min="13305" max="13305" width="12.28515625" style="62" customWidth="1"/>
    <col min="13306" max="13306" width="15.42578125" style="62" customWidth="1"/>
    <col min="13307" max="13307" width="11.85546875" style="62" customWidth="1"/>
    <col min="13308" max="13308" width="13.28515625" style="62" customWidth="1"/>
    <col min="13309" max="13309" width="15.28515625" style="62" customWidth="1"/>
    <col min="13310" max="13310" width="11.85546875" style="62" customWidth="1"/>
    <col min="13311" max="13311" width="6.140625" style="62" customWidth="1"/>
    <col min="13312" max="13312" width="11.85546875" style="62" customWidth="1"/>
    <col min="13313" max="13313" width="9.42578125" style="62" customWidth="1"/>
    <col min="13314" max="13314" width="14.7109375" style="62" customWidth="1"/>
    <col min="13315" max="13315" width="11.5703125" style="62" customWidth="1"/>
    <col min="13316" max="13316" width="0.42578125" style="62" customWidth="1"/>
    <col min="13317" max="13317" width="10.5703125" style="62" bestFit="1" customWidth="1"/>
    <col min="13318" max="13318" width="12.28515625" style="62" customWidth="1"/>
    <col min="13319" max="13319" width="12.5703125" style="62" customWidth="1"/>
    <col min="13320" max="13320" width="10.5703125" style="62" customWidth="1"/>
    <col min="13321" max="13321" width="10.140625" style="62" customWidth="1"/>
    <col min="13322" max="13322" width="8.42578125" style="62" customWidth="1"/>
    <col min="13323" max="13323" width="18.85546875" style="62" customWidth="1"/>
    <col min="13324" max="13324" width="10.28515625" style="62" customWidth="1"/>
    <col min="13325" max="13325" width="11.42578125" style="62"/>
    <col min="13326" max="13326" width="12.140625" style="62" customWidth="1"/>
    <col min="13327" max="13327" width="10.5703125" style="62" customWidth="1"/>
    <col min="13328" max="13328" width="12.42578125" style="62" customWidth="1"/>
    <col min="13329" max="13329" width="15.140625" style="62" customWidth="1"/>
    <col min="13330" max="13330" width="13.5703125" style="62" customWidth="1"/>
    <col min="13331" max="13331" width="13.140625" style="62" customWidth="1"/>
    <col min="13332" max="13332" width="15.7109375" style="62" customWidth="1"/>
    <col min="13333" max="13333" width="37.5703125" style="62" customWidth="1"/>
    <col min="13334" max="13555" width="11.42578125" style="62"/>
    <col min="13556" max="13556" width="10.5703125" style="62" customWidth="1"/>
    <col min="13557" max="13557" width="4.85546875" style="62" customWidth="1"/>
    <col min="13558" max="13558" width="32.42578125" style="62" customWidth="1"/>
    <col min="13559" max="13559" width="9.85546875" style="62" customWidth="1"/>
    <col min="13560" max="13560" width="10.140625" style="62" customWidth="1"/>
    <col min="13561" max="13561" width="12.28515625" style="62" customWidth="1"/>
    <col min="13562" max="13562" width="15.42578125" style="62" customWidth="1"/>
    <col min="13563" max="13563" width="11.85546875" style="62" customWidth="1"/>
    <col min="13564" max="13564" width="13.28515625" style="62" customWidth="1"/>
    <col min="13565" max="13565" width="15.28515625" style="62" customWidth="1"/>
    <col min="13566" max="13566" width="11.85546875" style="62" customWidth="1"/>
    <col min="13567" max="13567" width="6.140625" style="62" customWidth="1"/>
    <col min="13568" max="13568" width="11.85546875" style="62" customWidth="1"/>
    <col min="13569" max="13569" width="9.42578125" style="62" customWidth="1"/>
    <col min="13570" max="13570" width="14.7109375" style="62" customWidth="1"/>
    <col min="13571" max="13571" width="11.5703125" style="62" customWidth="1"/>
    <col min="13572" max="13572" width="0.42578125" style="62" customWidth="1"/>
    <col min="13573" max="13573" width="10.5703125" style="62" bestFit="1" customWidth="1"/>
    <col min="13574" max="13574" width="12.28515625" style="62" customWidth="1"/>
    <col min="13575" max="13575" width="12.5703125" style="62" customWidth="1"/>
    <col min="13576" max="13576" width="10.5703125" style="62" customWidth="1"/>
    <col min="13577" max="13577" width="10.140625" style="62" customWidth="1"/>
    <col min="13578" max="13578" width="8.42578125" style="62" customWidth="1"/>
    <col min="13579" max="13579" width="18.85546875" style="62" customWidth="1"/>
    <col min="13580" max="13580" width="10.28515625" style="62" customWidth="1"/>
    <col min="13581" max="13581" width="11.42578125" style="62"/>
    <col min="13582" max="13582" width="12.140625" style="62" customWidth="1"/>
    <col min="13583" max="13583" width="10.5703125" style="62" customWidth="1"/>
    <col min="13584" max="13584" width="12.42578125" style="62" customWidth="1"/>
    <col min="13585" max="13585" width="15.140625" style="62" customWidth="1"/>
    <col min="13586" max="13586" width="13.5703125" style="62" customWidth="1"/>
    <col min="13587" max="13587" width="13.140625" style="62" customWidth="1"/>
    <col min="13588" max="13588" width="15.7109375" style="62" customWidth="1"/>
    <col min="13589" max="13589" width="37.5703125" style="62" customWidth="1"/>
    <col min="13590" max="13811" width="11.42578125" style="62"/>
    <col min="13812" max="13812" width="10.5703125" style="62" customWidth="1"/>
    <col min="13813" max="13813" width="4.85546875" style="62" customWidth="1"/>
    <col min="13814" max="13814" width="32.42578125" style="62" customWidth="1"/>
    <col min="13815" max="13815" width="9.85546875" style="62" customWidth="1"/>
    <col min="13816" max="13816" width="10.140625" style="62" customWidth="1"/>
    <col min="13817" max="13817" width="12.28515625" style="62" customWidth="1"/>
    <col min="13818" max="13818" width="15.42578125" style="62" customWidth="1"/>
    <col min="13819" max="13819" width="11.85546875" style="62" customWidth="1"/>
    <col min="13820" max="13820" width="13.28515625" style="62" customWidth="1"/>
    <col min="13821" max="13821" width="15.28515625" style="62" customWidth="1"/>
    <col min="13822" max="13822" width="11.85546875" style="62" customWidth="1"/>
    <col min="13823" max="13823" width="6.140625" style="62" customWidth="1"/>
    <col min="13824" max="13824" width="11.85546875" style="62" customWidth="1"/>
    <col min="13825" max="13825" width="9.42578125" style="62" customWidth="1"/>
    <col min="13826" max="13826" width="14.7109375" style="62" customWidth="1"/>
    <col min="13827" max="13827" width="11.5703125" style="62" customWidth="1"/>
    <col min="13828" max="13828" width="0.42578125" style="62" customWidth="1"/>
    <col min="13829" max="13829" width="10.5703125" style="62" bestFit="1" customWidth="1"/>
    <col min="13830" max="13830" width="12.28515625" style="62" customWidth="1"/>
    <col min="13831" max="13831" width="12.5703125" style="62" customWidth="1"/>
    <col min="13832" max="13832" width="10.5703125" style="62" customWidth="1"/>
    <col min="13833" max="13833" width="10.140625" style="62" customWidth="1"/>
    <col min="13834" max="13834" width="8.42578125" style="62" customWidth="1"/>
    <col min="13835" max="13835" width="18.85546875" style="62" customWidth="1"/>
    <col min="13836" max="13836" width="10.28515625" style="62" customWidth="1"/>
    <col min="13837" max="13837" width="11.42578125" style="62"/>
    <col min="13838" max="13838" width="12.140625" style="62" customWidth="1"/>
    <col min="13839" max="13839" width="10.5703125" style="62" customWidth="1"/>
    <col min="13840" max="13840" width="12.42578125" style="62" customWidth="1"/>
    <col min="13841" max="13841" width="15.140625" style="62" customWidth="1"/>
    <col min="13842" max="13842" width="13.5703125" style="62" customWidth="1"/>
    <col min="13843" max="13843" width="13.140625" style="62" customWidth="1"/>
    <col min="13844" max="13844" width="15.7109375" style="62" customWidth="1"/>
    <col min="13845" max="13845" width="37.5703125" style="62" customWidth="1"/>
    <col min="13846" max="14067" width="11.42578125" style="62"/>
    <col min="14068" max="14068" width="10.5703125" style="62" customWidth="1"/>
    <col min="14069" max="14069" width="4.85546875" style="62" customWidth="1"/>
    <col min="14070" max="14070" width="32.42578125" style="62" customWidth="1"/>
    <col min="14071" max="14071" width="9.85546875" style="62" customWidth="1"/>
    <col min="14072" max="14072" width="10.140625" style="62" customWidth="1"/>
    <col min="14073" max="14073" width="12.28515625" style="62" customWidth="1"/>
    <col min="14074" max="14074" width="15.42578125" style="62" customWidth="1"/>
    <col min="14075" max="14075" width="11.85546875" style="62" customWidth="1"/>
    <col min="14076" max="14076" width="13.28515625" style="62" customWidth="1"/>
    <col min="14077" max="14077" width="15.28515625" style="62" customWidth="1"/>
    <col min="14078" max="14078" width="11.85546875" style="62" customWidth="1"/>
    <col min="14079" max="14079" width="6.140625" style="62" customWidth="1"/>
    <col min="14080" max="14080" width="11.85546875" style="62" customWidth="1"/>
    <col min="14081" max="14081" width="9.42578125" style="62" customWidth="1"/>
    <col min="14082" max="14082" width="14.7109375" style="62" customWidth="1"/>
    <col min="14083" max="14083" width="11.5703125" style="62" customWidth="1"/>
    <col min="14084" max="14084" width="0.42578125" style="62" customWidth="1"/>
    <col min="14085" max="14085" width="10.5703125" style="62" bestFit="1" customWidth="1"/>
    <col min="14086" max="14086" width="12.28515625" style="62" customWidth="1"/>
    <col min="14087" max="14087" width="12.5703125" style="62" customWidth="1"/>
    <col min="14088" max="14088" width="10.5703125" style="62" customWidth="1"/>
    <col min="14089" max="14089" width="10.140625" style="62" customWidth="1"/>
    <col min="14090" max="14090" width="8.42578125" style="62" customWidth="1"/>
    <col min="14091" max="14091" width="18.85546875" style="62" customWidth="1"/>
    <col min="14092" max="14092" width="10.28515625" style="62" customWidth="1"/>
    <col min="14093" max="14093" width="11.42578125" style="62"/>
    <col min="14094" max="14094" width="12.140625" style="62" customWidth="1"/>
    <col min="14095" max="14095" width="10.5703125" style="62" customWidth="1"/>
    <col min="14096" max="14096" width="12.42578125" style="62" customWidth="1"/>
    <col min="14097" max="14097" width="15.140625" style="62" customWidth="1"/>
    <col min="14098" max="14098" width="13.5703125" style="62" customWidth="1"/>
    <col min="14099" max="14099" width="13.140625" style="62" customWidth="1"/>
    <col min="14100" max="14100" width="15.7109375" style="62" customWidth="1"/>
    <col min="14101" max="14101" width="37.5703125" style="62" customWidth="1"/>
    <col min="14102" max="14323" width="11.42578125" style="62"/>
    <col min="14324" max="14324" width="10.5703125" style="62" customWidth="1"/>
    <col min="14325" max="14325" width="4.85546875" style="62" customWidth="1"/>
    <col min="14326" max="14326" width="32.42578125" style="62" customWidth="1"/>
    <col min="14327" max="14327" width="9.85546875" style="62" customWidth="1"/>
    <col min="14328" max="14328" width="10.140625" style="62" customWidth="1"/>
    <col min="14329" max="14329" width="12.28515625" style="62" customWidth="1"/>
    <col min="14330" max="14330" width="15.42578125" style="62" customWidth="1"/>
    <col min="14331" max="14331" width="11.85546875" style="62" customWidth="1"/>
    <col min="14332" max="14332" width="13.28515625" style="62" customWidth="1"/>
    <col min="14333" max="14333" width="15.28515625" style="62" customWidth="1"/>
    <col min="14334" max="14334" width="11.85546875" style="62" customWidth="1"/>
    <col min="14335" max="14335" width="6.140625" style="62" customWidth="1"/>
    <col min="14336" max="14336" width="11.85546875" style="62" customWidth="1"/>
    <col min="14337" max="14337" width="9.42578125" style="62" customWidth="1"/>
    <col min="14338" max="14338" width="14.7109375" style="62" customWidth="1"/>
    <col min="14339" max="14339" width="11.5703125" style="62" customWidth="1"/>
    <col min="14340" max="14340" width="0.42578125" style="62" customWidth="1"/>
    <col min="14341" max="14341" width="10.5703125" style="62" bestFit="1" customWidth="1"/>
    <col min="14342" max="14342" width="12.28515625" style="62" customWidth="1"/>
    <col min="14343" max="14343" width="12.5703125" style="62" customWidth="1"/>
    <col min="14344" max="14344" width="10.5703125" style="62" customWidth="1"/>
    <col min="14345" max="14345" width="10.140625" style="62" customWidth="1"/>
    <col min="14346" max="14346" width="8.42578125" style="62" customWidth="1"/>
    <col min="14347" max="14347" width="18.85546875" style="62" customWidth="1"/>
    <col min="14348" max="14348" width="10.28515625" style="62" customWidth="1"/>
    <col min="14349" max="14349" width="11.42578125" style="62"/>
    <col min="14350" max="14350" width="12.140625" style="62" customWidth="1"/>
    <col min="14351" max="14351" width="10.5703125" style="62" customWidth="1"/>
    <col min="14352" max="14352" width="12.42578125" style="62" customWidth="1"/>
    <col min="14353" max="14353" width="15.140625" style="62" customWidth="1"/>
    <col min="14354" max="14354" width="13.5703125" style="62" customWidth="1"/>
    <col min="14355" max="14355" width="13.140625" style="62" customWidth="1"/>
    <col min="14356" max="14356" width="15.7109375" style="62" customWidth="1"/>
    <col min="14357" max="14357" width="37.5703125" style="62" customWidth="1"/>
    <col min="14358" max="14579" width="11.42578125" style="62"/>
    <col min="14580" max="14580" width="10.5703125" style="62" customWidth="1"/>
    <col min="14581" max="14581" width="4.85546875" style="62" customWidth="1"/>
    <col min="14582" max="14582" width="32.42578125" style="62" customWidth="1"/>
    <col min="14583" max="14583" width="9.85546875" style="62" customWidth="1"/>
    <col min="14584" max="14584" width="10.140625" style="62" customWidth="1"/>
    <col min="14585" max="14585" width="12.28515625" style="62" customWidth="1"/>
    <col min="14586" max="14586" width="15.42578125" style="62" customWidth="1"/>
    <col min="14587" max="14587" width="11.85546875" style="62" customWidth="1"/>
    <col min="14588" max="14588" width="13.28515625" style="62" customWidth="1"/>
    <col min="14589" max="14589" width="15.28515625" style="62" customWidth="1"/>
    <col min="14590" max="14590" width="11.85546875" style="62" customWidth="1"/>
    <col min="14591" max="14591" width="6.140625" style="62" customWidth="1"/>
    <col min="14592" max="14592" width="11.85546875" style="62" customWidth="1"/>
    <col min="14593" max="14593" width="9.42578125" style="62" customWidth="1"/>
    <col min="14594" max="14594" width="14.7109375" style="62" customWidth="1"/>
    <col min="14595" max="14595" width="11.5703125" style="62" customWidth="1"/>
    <col min="14596" max="14596" width="0.42578125" style="62" customWidth="1"/>
    <col min="14597" max="14597" width="10.5703125" style="62" bestFit="1" customWidth="1"/>
    <col min="14598" max="14598" width="12.28515625" style="62" customWidth="1"/>
    <col min="14599" max="14599" width="12.5703125" style="62" customWidth="1"/>
    <col min="14600" max="14600" width="10.5703125" style="62" customWidth="1"/>
    <col min="14601" max="14601" width="10.140625" style="62" customWidth="1"/>
    <col min="14602" max="14602" width="8.42578125" style="62" customWidth="1"/>
    <col min="14603" max="14603" width="18.85546875" style="62" customWidth="1"/>
    <col min="14604" max="14604" width="10.28515625" style="62" customWidth="1"/>
    <col min="14605" max="14605" width="11.42578125" style="62"/>
    <col min="14606" max="14606" width="12.140625" style="62" customWidth="1"/>
    <col min="14607" max="14607" width="10.5703125" style="62" customWidth="1"/>
    <col min="14608" max="14608" width="12.42578125" style="62" customWidth="1"/>
    <col min="14609" max="14609" width="15.140625" style="62" customWidth="1"/>
    <col min="14610" max="14610" width="13.5703125" style="62" customWidth="1"/>
    <col min="14611" max="14611" width="13.140625" style="62" customWidth="1"/>
    <col min="14612" max="14612" width="15.7109375" style="62" customWidth="1"/>
    <col min="14613" max="14613" width="37.5703125" style="62" customWidth="1"/>
    <col min="14614" max="14835" width="11.42578125" style="62"/>
    <col min="14836" max="14836" width="10.5703125" style="62" customWidth="1"/>
    <col min="14837" max="14837" width="4.85546875" style="62" customWidth="1"/>
    <col min="14838" max="14838" width="32.42578125" style="62" customWidth="1"/>
    <col min="14839" max="14839" width="9.85546875" style="62" customWidth="1"/>
    <col min="14840" max="14840" width="10.140625" style="62" customWidth="1"/>
    <col min="14841" max="14841" width="12.28515625" style="62" customWidth="1"/>
    <col min="14842" max="14842" width="15.42578125" style="62" customWidth="1"/>
    <col min="14843" max="14843" width="11.85546875" style="62" customWidth="1"/>
    <col min="14844" max="14844" width="13.28515625" style="62" customWidth="1"/>
    <col min="14845" max="14845" width="15.28515625" style="62" customWidth="1"/>
    <col min="14846" max="14846" width="11.85546875" style="62" customWidth="1"/>
    <col min="14847" max="14847" width="6.140625" style="62" customWidth="1"/>
    <col min="14848" max="14848" width="11.85546875" style="62" customWidth="1"/>
    <col min="14849" max="14849" width="9.42578125" style="62" customWidth="1"/>
    <col min="14850" max="14850" width="14.7109375" style="62" customWidth="1"/>
    <col min="14851" max="14851" width="11.5703125" style="62" customWidth="1"/>
    <col min="14852" max="14852" width="0.42578125" style="62" customWidth="1"/>
    <col min="14853" max="14853" width="10.5703125" style="62" bestFit="1" customWidth="1"/>
    <col min="14854" max="14854" width="12.28515625" style="62" customWidth="1"/>
    <col min="14855" max="14855" width="12.5703125" style="62" customWidth="1"/>
    <col min="14856" max="14856" width="10.5703125" style="62" customWidth="1"/>
    <col min="14857" max="14857" width="10.140625" style="62" customWidth="1"/>
    <col min="14858" max="14858" width="8.42578125" style="62" customWidth="1"/>
    <col min="14859" max="14859" width="18.85546875" style="62" customWidth="1"/>
    <col min="14860" max="14860" width="10.28515625" style="62" customWidth="1"/>
    <col min="14861" max="14861" width="11.42578125" style="62"/>
    <col min="14862" max="14862" width="12.140625" style="62" customWidth="1"/>
    <col min="14863" max="14863" width="10.5703125" style="62" customWidth="1"/>
    <col min="14864" max="14864" width="12.42578125" style="62" customWidth="1"/>
    <col min="14865" max="14865" width="15.140625" style="62" customWidth="1"/>
    <col min="14866" max="14866" width="13.5703125" style="62" customWidth="1"/>
    <col min="14867" max="14867" width="13.140625" style="62" customWidth="1"/>
    <col min="14868" max="14868" width="15.7109375" style="62" customWidth="1"/>
    <col min="14869" max="14869" width="37.5703125" style="62" customWidth="1"/>
    <col min="14870" max="15091" width="11.42578125" style="62"/>
    <col min="15092" max="15092" width="10.5703125" style="62" customWidth="1"/>
    <col min="15093" max="15093" width="4.85546875" style="62" customWidth="1"/>
    <col min="15094" max="15094" width="32.42578125" style="62" customWidth="1"/>
    <col min="15095" max="15095" width="9.85546875" style="62" customWidth="1"/>
    <col min="15096" max="15096" width="10.140625" style="62" customWidth="1"/>
    <col min="15097" max="15097" width="12.28515625" style="62" customWidth="1"/>
    <col min="15098" max="15098" width="15.42578125" style="62" customWidth="1"/>
    <col min="15099" max="15099" width="11.85546875" style="62" customWidth="1"/>
    <col min="15100" max="15100" width="13.28515625" style="62" customWidth="1"/>
    <col min="15101" max="15101" width="15.28515625" style="62" customWidth="1"/>
    <col min="15102" max="15102" width="11.85546875" style="62" customWidth="1"/>
    <col min="15103" max="15103" width="6.140625" style="62" customWidth="1"/>
    <col min="15104" max="15104" width="11.85546875" style="62" customWidth="1"/>
    <col min="15105" max="15105" width="9.42578125" style="62" customWidth="1"/>
    <col min="15106" max="15106" width="14.7109375" style="62" customWidth="1"/>
    <col min="15107" max="15107" width="11.5703125" style="62" customWidth="1"/>
    <col min="15108" max="15108" width="0.42578125" style="62" customWidth="1"/>
    <col min="15109" max="15109" width="10.5703125" style="62" bestFit="1" customWidth="1"/>
    <col min="15110" max="15110" width="12.28515625" style="62" customWidth="1"/>
    <col min="15111" max="15111" width="12.5703125" style="62" customWidth="1"/>
    <col min="15112" max="15112" width="10.5703125" style="62" customWidth="1"/>
    <col min="15113" max="15113" width="10.140625" style="62" customWidth="1"/>
    <col min="15114" max="15114" width="8.42578125" style="62" customWidth="1"/>
    <col min="15115" max="15115" width="18.85546875" style="62" customWidth="1"/>
    <col min="15116" max="15116" width="10.28515625" style="62" customWidth="1"/>
    <col min="15117" max="15117" width="11.42578125" style="62"/>
    <col min="15118" max="15118" width="12.140625" style="62" customWidth="1"/>
    <col min="15119" max="15119" width="10.5703125" style="62" customWidth="1"/>
    <col min="15120" max="15120" width="12.42578125" style="62" customWidth="1"/>
    <col min="15121" max="15121" width="15.140625" style="62" customWidth="1"/>
    <col min="15122" max="15122" width="13.5703125" style="62" customWidth="1"/>
    <col min="15123" max="15123" width="13.140625" style="62" customWidth="1"/>
    <col min="15124" max="15124" width="15.7109375" style="62" customWidth="1"/>
    <col min="15125" max="15125" width="37.5703125" style="62" customWidth="1"/>
    <col min="15126" max="15347" width="11.42578125" style="62"/>
    <col min="15348" max="15348" width="10.5703125" style="62" customWidth="1"/>
    <col min="15349" max="15349" width="4.85546875" style="62" customWidth="1"/>
    <col min="15350" max="15350" width="32.42578125" style="62" customWidth="1"/>
    <col min="15351" max="15351" width="9.85546875" style="62" customWidth="1"/>
    <col min="15352" max="15352" width="10.140625" style="62" customWidth="1"/>
    <col min="15353" max="15353" width="12.28515625" style="62" customWidth="1"/>
    <col min="15354" max="15354" width="15.42578125" style="62" customWidth="1"/>
    <col min="15355" max="15355" width="11.85546875" style="62" customWidth="1"/>
    <col min="15356" max="15356" width="13.28515625" style="62" customWidth="1"/>
    <col min="15357" max="15357" width="15.28515625" style="62" customWidth="1"/>
    <col min="15358" max="15358" width="11.85546875" style="62" customWidth="1"/>
    <col min="15359" max="15359" width="6.140625" style="62" customWidth="1"/>
    <col min="15360" max="15360" width="11.85546875" style="62" customWidth="1"/>
    <col min="15361" max="15361" width="9.42578125" style="62" customWidth="1"/>
    <col min="15362" max="15362" width="14.7109375" style="62" customWidth="1"/>
    <col min="15363" max="15363" width="11.5703125" style="62" customWidth="1"/>
    <col min="15364" max="15364" width="0.42578125" style="62" customWidth="1"/>
    <col min="15365" max="15365" width="10.5703125" style="62" bestFit="1" customWidth="1"/>
    <col min="15366" max="15366" width="12.28515625" style="62" customWidth="1"/>
    <col min="15367" max="15367" width="12.5703125" style="62" customWidth="1"/>
    <col min="15368" max="15368" width="10.5703125" style="62" customWidth="1"/>
    <col min="15369" max="15369" width="10.140625" style="62" customWidth="1"/>
    <col min="15370" max="15370" width="8.42578125" style="62" customWidth="1"/>
    <col min="15371" max="15371" width="18.85546875" style="62" customWidth="1"/>
    <col min="15372" max="15372" width="10.28515625" style="62" customWidth="1"/>
    <col min="15373" max="15373" width="11.42578125" style="62"/>
    <col min="15374" max="15374" width="12.140625" style="62" customWidth="1"/>
    <col min="15375" max="15375" width="10.5703125" style="62" customWidth="1"/>
    <col min="15376" max="15376" width="12.42578125" style="62" customWidth="1"/>
    <col min="15377" max="15377" width="15.140625" style="62" customWidth="1"/>
    <col min="15378" max="15378" width="13.5703125" style="62" customWidth="1"/>
    <col min="15379" max="15379" width="13.140625" style="62" customWidth="1"/>
    <col min="15380" max="15380" width="15.7109375" style="62" customWidth="1"/>
    <col min="15381" max="15381" width="37.5703125" style="62" customWidth="1"/>
    <col min="15382" max="15603" width="11.42578125" style="62"/>
    <col min="15604" max="15604" width="10.5703125" style="62" customWidth="1"/>
    <col min="15605" max="15605" width="4.85546875" style="62" customWidth="1"/>
    <col min="15606" max="15606" width="32.42578125" style="62" customWidth="1"/>
    <col min="15607" max="15607" width="9.85546875" style="62" customWidth="1"/>
    <col min="15608" max="15608" width="10.140625" style="62" customWidth="1"/>
    <col min="15609" max="15609" width="12.28515625" style="62" customWidth="1"/>
    <col min="15610" max="15610" width="15.42578125" style="62" customWidth="1"/>
    <col min="15611" max="15611" width="11.85546875" style="62" customWidth="1"/>
    <col min="15612" max="15612" width="13.28515625" style="62" customWidth="1"/>
    <col min="15613" max="15613" width="15.28515625" style="62" customWidth="1"/>
    <col min="15614" max="15614" width="11.85546875" style="62" customWidth="1"/>
    <col min="15615" max="15615" width="6.140625" style="62" customWidth="1"/>
    <col min="15616" max="15616" width="11.85546875" style="62" customWidth="1"/>
    <col min="15617" max="15617" width="9.42578125" style="62" customWidth="1"/>
    <col min="15618" max="15618" width="14.7109375" style="62" customWidth="1"/>
    <col min="15619" max="15619" width="11.5703125" style="62" customWidth="1"/>
    <col min="15620" max="15620" width="0.42578125" style="62" customWidth="1"/>
    <col min="15621" max="15621" width="10.5703125" style="62" bestFit="1" customWidth="1"/>
    <col min="15622" max="15622" width="12.28515625" style="62" customWidth="1"/>
    <col min="15623" max="15623" width="12.5703125" style="62" customWidth="1"/>
    <col min="15624" max="15624" width="10.5703125" style="62" customWidth="1"/>
    <col min="15625" max="15625" width="10.140625" style="62" customWidth="1"/>
    <col min="15626" max="15626" width="8.42578125" style="62" customWidth="1"/>
    <col min="15627" max="15627" width="18.85546875" style="62" customWidth="1"/>
    <col min="15628" max="15628" width="10.28515625" style="62" customWidth="1"/>
    <col min="15629" max="15629" width="11.42578125" style="62"/>
    <col min="15630" max="15630" width="12.140625" style="62" customWidth="1"/>
    <col min="15631" max="15631" width="10.5703125" style="62" customWidth="1"/>
    <col min="15632" max="15632" width="12.42578125" style="62" customWidth="1"/>
    <col min="15633" max="15633" width="15.140625" style="62" customWidth="1"/>
    <col min="15634" max="15634" width="13.5703125" style="62" customWidth="1"/>
    <col min="15635" max="15635" width="13.140625" style="62" customWidth="1"/>
    <col min="15636" max="15636" width="15.7109375" style="62" customWidth="1"/>
    <col min="15637" max="15637" width="37.5703125" style="62" customWidth="1"/>
    <col min="15638" max="15859" width="11.42578125" style="62"/>
    <col min="15860" max="15860" width="10.5703125" style="62" customWidth="1"/>
    <col min="15861" max="15861" width="4.85546875" style="62" customWidth="1"/>
    <col min="15862" max="15862" width="32.42578125" style="62" customWidth="1"/>
    <col min="15863" max="15863" width="9.85546875" style="62" customWidth="1"/>
    <col min="15864" max="15864" width="10.140625" style="62" customWidth="1"/>
    <col min="15865" max="15865" width="12.28515625" style="62" customWidth="1"/>
    <col min="15866" max="15866" width="15.42578125" style="62" customWidth="1"/>
    <col min="15867" max="15867" width="11.85546875" style="62" customWidth="1"/>
    <col min="15868" max="15868" width="13.28515625" style="62" customWidth="1"/>
    <col min="15869" max="15869" width="15.28515625" style="62" customWidth="1"/>
    <col min="15870" max="15870" width="11.85546875" style="62" customWidth="1"/>
    <col min="15871" max="15871" width="6.140625" style="62" customWidth="1"/>
    <col min="15872" max="15872" width="11.85546875" style="62" customWidth="1"/>
    <col min="15873" max="15873" width="9.42578125" style="62" customWidth="1"/>
    <col min="15874" max="15874" width="14.7109375" style="62" customWidth="1"/>
    <col min="15875" max="15875" width="11.5703125" style="62" customWidth="1"/>
    <col min="15876" max="15876" width="0.42578125" style="62" customWidth="1"/>
    <col min="15877" max="15877" width="10.5703125" style="62" bestFit="1" customWidth="1"/>
    <col min="15878" max="15878" width="12.28515625" style="62" customWidth="1"/>
    <col min="15879" max="15879" width="12.5703125" style="62" customWidth="1"/>
    <col min="15880" max="15880" width="10.5703125" style="62" customWidth="1"/>
    <col min="15881" max="15881" width="10.140625" style="62" customWidth="1"/>
    <col min="15882" max="15882" width="8.42578125" style="62" customWidth="1"/>
    <col min="15883" max="15883" width="18.85546875" style="62" customWidth="1"/>
    <col min="15884" max="15884" width="10.28515625" style="62" customWidth="1"/>
    <col min="15885" max="15885" width="11.42578125" style="62"/>
    <col min="15886" max="15886" width="12.140625" style="62" customWidth="1"/>
    <col min="15887" max="15887" width="10.5703125" style="62" customWidth="1"/>
    <col min="15888" max="15888" width="12.42578125" style="62" customWidth="1"/>
    <col min="15889" max="15889" width="15.140625" style="62" customWidth="1"/>
    <col min="15890" max="15890" width="13.5703125" style="62" customWidth="1"/>
    <col min="15891" max="15891" width="13.140625" style="62" customWidth="1"/>
    <col min="15892" max="15892" width="15.7109375" style="62" customWidth="1"/>
    <col min="15893" max="15893" width="37.5703125" style="62" customWidth="1"/>
    <col min="15894" max="16115" width="11.42578125" style="62"/>
    <col min="16116" max="16116" width="10.5703125" style="62" customWidth="1"/>
    <col min="16117" max="16117" width="4.85546875" style="62" customWidth="1"/>
    <col min="16118" max="16118" width="32.42578125" style="62" customWidth="1"/>
    <col min="16119" max="16119" width="9.85546875" style="62" customWidth="1"/>
    <col min="16120" max="16120" width="10.140625" style="62" customWidth="1"/>
    <col min="16121" max="16121" width="12.28515625" style="62" customWidth="1"/>
    <col min="16122" max="16122" width="15.42578125" style="62" customWidth="1"/>
    <col min="16123" max="16123" width="11.85546875" style="62" customWidth="1"/>
    <col min="16124" max="16124" width="13.28515625" style="62" customWidth="1"/>
    <col min="16125" max="16125" width="15.28515625" style="62" customWidth="1"/>
    <col min="16126" max="16126" width="11.85546875" style="62" customWidth="1"/>
    <col min="16127" max="16127" width="6.140625" style="62" customWidth="1"/>
    <col min="16128" max="16128" width="11.85546875" style="62" customWidth="1"/>
    <col min="16129" max="16129" width="9.42578125" style="62" customWidth="1"/>
    <col min="16130" max="16130" width="14.7109375" style="62" customWidth="1"/>
    <col min="16131" max="16131" width="11.5703125" style="62" customWidth="1"/>
    <col min="16132" max="16132" width="0.42578125" style="62" customWidth="1"/>
    <col min="16133" max="16133" width="10.5703125" style="62" bestFit="1" customWidth="1"/>
    <col min="16134" max="16134" width="12.28515625" style="62" customWidth="1"/>
    <col min="16135" max="16135" width="12.5703125" style="62" customWidth="1"/>
    <col min="16136" max="16136" width="10.5703125" style="62" customWidth="1"/>
    <col min="16137" max="16137" width="10.140625" style="62" customWidth="1"/>
    <col min="16138" max="16138" width="8.42578125" style="62" customWidth="1"/>
    <col min="16139" max="16139" width="18.85546875" style="62" customWidth="1"/>
    <col min="16140" max="16140" width="10.28515625" style="62" customWidth="1"/>
    <col min="16141" max="16141" width="11.42578125" style="62"/>
    <col min="16142" max="16142" width="12.140625" style="62" customWidth="1"/>
    <col min="16143" max="16143" width="10.5703125" style="62" customWidth="1"/>
    <col min="16144" max="16144" width="12.42578125" style="62" customWidth="1"/>
    <col min="16145" max="16145" width="15.140625" style="62" customWidth="1"/>
    <col min="16146" max="16146" width="13.5703125" style="62" customWidth="1"/>
    <col min="16147" max="16147" width="13.140625" style="62" customWidth="1"/>
    <col min="16148" max="16148" width="15.7109375" style="62" customWidth="1"/>
    <col min="16149" max="16149" width="37.5703125" style="62" customWidth="1"/>
    <col min="16150" max="16384" width="11.42578125" style="62"/>
  </cols>
  <sheetData>
    <row r="1" spans="1:23" ht="15" customHeight="1" x14ac:dyDescent="0.25">
      <c r="A1" s="63" t="s">
        <v>165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</row>
    <row r="2" spans="1:23" ht="15" customHeight="1" x14ac:dyDescent="0.25">
      <c r="A2" s="94" t="s">
        <v>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5"/>
      <c r="N2" s="96" t="s">
        <v>3</v>
      </c>
      <c r="O2" s="97"/>
      <c r="P2" s="97"/>
      <c r="Q2" s="97"/>
      <c r="R2" s="97"/>
      <c r="S2" s="97"/>
      <c r="T2" s="97"/>
      <c r="U2" s="97"/>
      <c r="V2" s="98"/>
      <c r="W2" s="99"/>
    </row>
    <row r="3" spans="1:23" ht="24.95" customHeight="1" x14ac:dyDescent="0.25">
      <c r="B3" s="2" t="s">
        <v>4</v>
      </c>
      <c r="C3" s="2" t="s">
        <v>5</v>
      </c>
      <c r="D3" s="2" t="s">
        <v>6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146</v>
      </c>
      <c r="J3" s="3" t="s">
        <v>13</v>
      </c>
      <c r="K3" s="3" t="s">
        <v>14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159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2" t="s">
        <v>27</v>
      </c>
    </row>
    <row r="4" spans="1:23" s="13" customFormat="1" ht="24.95" customHeight="1" x14ac:dyDescent="0.25">
      <c r="A4" s="65" t="s">
        <v>29</v>
      </c>
      <c r="B4" s="2">
        <v>1</v>
      </c>
      <c r="C4" s="1" t="s">
        <v>147</v>
      </c>
      <c r="D4" s="1" t="s">
        <v>31</v>
      </c>
      <c r="E4" s="3">
        <v>4500000</v>
      </c>
      <c r="F4" s="3">
        <v>30</v>
      </c>
      <c r="G4" s="3">
        <f>+E4/30*F4</f>
        <v>4500000</v>
      </c>
      <c r="H4" s="3"/>
      <c r="I4" s="3"/>
      <c r="J4" s="3"/>
      <c r="K4" s="3"/>
      <c r="L4" s="3"/>
      <c r="M4" s="3">
        <f>+G4+L4+K4+J4+I4+H4</f>
        <v>4500000</v>
      </c>
      <c r="N4" s="3">
        <f>+E4*0.04</f>
        <v>180000</v>
      </c>
      <c r="O4" s="3">
        <f>+E4*0.05</f>
        <v>225000</v>
      </c>
      <c r="P4" s="3"/>
      <c r="Q4" s="3"/>
      <c r="R4" s="3"/>
      <c r="S4" s="3"/>
      <c r="T4" s="3"/>
      <c r="U4" s="3"/>
      <c r="V4" s="4">
        <f>SUM(N4:U4)</f>
        <v>405000</v>
      </c>
      <c r="W4" s="5">
        <f>+M4-V4</f>
        <v>4095000</v>
      </c>
    </row>
    <row r="5" spans="1:23" ht="24.95" customHeight="1" x14ac:dyDescent="0.25">
      <c r="A5" s="65"/>
      <c r="B5" s="2">
        <v>2</v>
      </c>
      <c r="C5" s="1" t="s">
        <v>30</v>
      </c>
      <c r="D5" s="1" t="s">
        <v>31</v>
      </c>
      <c r="E5" s="4">
        <v>5000000</v>
      </c>
      <c r="F5" s="3">
        <v>30</v>
      </c>
      <c r="G5" s="3">
        <f>+E5/30*F5</f>
        <v>5000000</v>
      </c>
      <c r="H5" s="4"/>
      <c r="I5" s="4"/>
      <c r="J5" s="4"/>
      <c r="K5" s="4">
        <v>500000</v>
      </c>
      <c r="L5" s="4">
        <v>750000</v>
      </c>
      <c r="M5" s="4">
        <f>+G5+H5+J5+K5+L5+I5</f>
        <v>6250000</v>
      </c>
      <c r="N5" s="4">
        <f>+E5*4%+30000</f>
        <v>230000</v>
      </c>
      <c r="O5" s="4">
        <f>+E5*5%+30000+7500</f>
        <v>287500</v>
      </c>
      <c r="P5" s="4"/>
      <c r="Q5" s="4"/>
      <c r="R5" s="4">
        <v>30672</v>
      </c>
      <c r="S5" s="4"/>
      <c r="T5" s="4"/>
      <c r="U5" s="4"/>
      <c r="V5" s="4">
        <f t="shared" ref="V5:V10" si="0">SUM(N5:U5)</f>
        <v>548172</v>
      </c>
      <c r="W5" s="5">
        <f>+M5-V5</f>
        <v>5701828</v>
      </c>
    </row>
    <row r="6" spans="1:23" ht="24.95" customHeight="1" x14ac:dyDescent="0.25">
      <c r="A6" s="65"/>
      <c r="B6" s="2">
        <v>3</v>
      </c>
      <c r="C6" s="1" t="s">
        <v>33</v>
      </c>
      <c r="D6" s="1" t="s">
        <v>31</v>
      </c>
      <c r="E6" s="4">
        <v>6000000</v>
      </c>
      <c r="F6" s="3">
        <v>30</v>
      </c>
      <c r="G6" s="3">
        <f t="shared" ref="G6:G83" si="1">+E6/30*F6</f>
        <v>6000000</v>
      </c>
      <c r="H6" s="4"/>
      <c r="I6" s="4"/>
      <c r="J6" s="4"/>
      <c r="K6" s="4">
        <v>600000</v>
      </c>
      <c r="L6" s="4"/>
      <c r="M6" s="4">
        <f t="shared" ref="M6:M83" si="2">+G6+H6+J6+K6+L6+I6</f>
        <v>6600000</v>
      </c>
      <c r="N6" s="4">
        <f>E6*4%</f>
        <v>240000</v>
      </c>
      <c r="O6" s="4">
        <f>E6*5%</f>
        <v>300000</v>
      </c>
      <c r="P6" s="4"/>
      <c r="Q6" s="4"/>
      <c r="R6" s="4">
        <v>102000</v>
      </c>
      <c r="S6" s="4"/>
      <c r="T6" s="4"/>
      <c r="U6" s="4">
        <v>1212777</v>
      </c>
      <c r="V6" s="4">
        <f t="shared" si="0"/>
        <v>1854777</v>
      </c>
      <c r="W6" s="5">
        <f t="shared" ref="W6:W7" si="3">+M6-V6</f>
        <v>4745223</v>
      </c>
    </row>
    <row r="7" spans="1:23" ht="24.95" customHeight="1" x14ac:dyDescent="0.25">
      <c r="A7" s="65"/>
      <c r="B7" s="2">
        <v>4</v>
      </c>
      <c r="C7" s="1" t="s">
        <v>34</v>
      </c>
      <c r="D7" s="1" t="s">
        <v>31</v>
      </c>
      <c r="E7" s="4">
        <v>6000000</v>
      </c>
      <c r="F7" s="3">
        <v>30</v>
      </c>
      <c r="G7" s="3">
        <f t="shared" si="1"/>
        <v>6000000</v>
      </c>
      <c r="H7" s="4"/>
      <c r="I7" s="4"/>
      <c r="J7" s="4"/>
      <c r="K7" s="4"/>
      <c r="L7" s="4"/>
      <c r="M7" s="4">
        <f t="shared" si="2"/>
        <v>6000000</v>
      </c>
      <c r="N7" s="4">
        <f t="shared" ref="N7:N16" si="4">+E7*4%</f>
        <v>240000</v>
      </c>
      <c r="O7" s="4">
        <f t="shared" ref="O7:O14" si="5">+E7*5%</f>
        <v>300000</v>
      </c>
      <c r="P7" s="4"/>
      <c r="Q7" s="4"/>
      <c r="R7" s="7">
        <v>98000</v>
      </c>
      <c r="S7" s="4"/>
      <c r="T7" s="4"/>
      <c r="U7" s="4">
        <v>726520</v>
      </c>
      <c r="V7" s="4">
        <f t="shared" si="0"/>
        <v>1364520</v>
      </c>
      <c r="W7" s="5">
        <f t="shared" si="3"/>
        <v>4635480</v>
      </c>
    </row>
    <row r="8" spans="1:23" ht="24.95" customHeight="1" x14ac:dyDescent="0.25">
      <c r="A8" s="65"/>
      <c r="B8" s="2">
        <v>5</v>
      </c>
      <c r="C8" s="1" t="s">
        <v>35</v>
      </c>
      <c r="D8" s="1" t="s">
        <v>31</v>
      </c>
      <c r="E8" s="4">
        <v>5000000</v>
      </c>
      <c r="F8" s="3">
        <v>30</v>
      </c>
      <c r="G8" s="3">
        <f>+E8-L8</f>
        <v>4166667</v>
      </c>
      <c r="H8" s="4"/>
      <c r="I8" s="4"/>
      <c r="J8" s="4"/>
      <c r="K8" s="4"/>
      <c r="L8" s="4">
        <v>833333</v>
      </c>
      <c r="M8" s="4">
        <f t="shared" si="2"/>
        <v>5000000</v>
      </c>
      <c r="N8" s="4">
        <f t="shared" si="4"/>
        <v>200000</v>
      </c>
      <c r="O8" s="4">
        <f t="shared" si="5"/>
        <v>250000</v>
      </c>
      <c r="P8" s="4"/>
      <c r="Q8" s="4">
        <v>683825</v>
      </c>
      <c r="R8" s="7">
        <v>21409</v>
      </c>
      <c r="S8" s="4">
        <v>500000</v>
      </c>
      <c r="T8" s="4">
        <v>111000</v>
      </c>
      <c r="U8" s="4"/>
      <c r="V8" s="4">
        <f t="shared" si="0"/>
        <v>1766234</v>
      </c>
      <c r="W8" s="5">
        <f>+M8-V8</f>
        <v>3233766</v>
      </c>
    </row>
    <row r="9" spans="1:23" ht="24.95" customHeight="1" x14ac:dyDescent="0.25">
      <c r="A9" s="65"/>
      <c r="B9" s="2">
        <v>6</v>
      </c>
      <c r="C9" s="1" t="s">
        <v>36</v>
      </c>
      <c r="D9" s="1" t="s">
        <v>31</v>
      </c>
      <c r="E9" s="4">
        <v>5300000</v>
      </c>
      <c r="F9" s="3">
        <v>30</v>
      </c>
      <c r="G9" s="3">
        <f t="shared" si="1"/>
        <v>5300000</v>
      </c>
      <c r="H9" s="4"/>
      <c r="I9" s="4"/>
      <c r="J9" s="4"/>
      <c r="K9" s="4">
        <v>2012670</v>
      </c>
      <c r="L9" s="4"/>
      <c r="M9" s="4">
        <f t="shared" si="2"/>
        <v>7312670</v>
      </c>
      <c r="N9" s="4">
        <f t="shared" si="4"/>
        <v>212000</v>
      </c>
      <c r="O9" s="4">
        <f t="shared" si="5"/>
        <v>265000</v>
      </c>
      <c r="P9" s="4"/>
      <c r="Q9" s="4"/>
      <c r="R9" s="4">
        <v>50000</v>
      </c>
      <c r="S9" s="4">
        <v>700000</v>
      </c>
      <c r="T9" s="4"/>
      <c r="U9" s="4"/>
      <c r="V9" s="4">
        <f t="shared" si="0"/>
        <v>1227000</v>
      </c>
      <c r="W9" s="5">
        <f>+M9-V9</f>
        <v>6085670</v>
      </c>
    </row>
    <row r="10" spans="1:23" ht="24.95" customHeight="1" x14ac:dyDescent="0.25">
      <c r="A10" s="65"/>
      <c r="B10" s="2">
        <v>7</v>
      </c>
      <c r="C10" s="1" t="s">
        <v>37</v>
      </c>
      <c r="D10" s="1" t="s">
        <v>31</v>
      </c>
      <c r="E10" s="4">
        <v>5200000</v>
      </c>
      <c r="F10" s="3">
        <v>30</v>
      </c>
      <c r="G10" s="3">
        <f>+E10-L10</f>
        <v>5200000</v>
      </c>
      <c r="H10" s="4">
        <v>89000</v>
      </c>
      <c r="I10" s="4">
        <f>89000*3</f>
        <v>267000</v>
      </c>
      <c r="J10" s="4"/>
      <c r="K10" s="4"/>
      <c r="L10" s="4"/>
      <c r="M10" s="4">
        <f t="shared" si="2"/>
        <v>5556000</v>
      </c>
      <c r="N10" s="4">
        <f>+E10*4%</f>
        <v>208000</v>
      </c>
      <c r="O10" s="4">
        <f>+E10*5%</f>
        <v>260000</v>
      </c>
      <c r="P10" s="4"/>
      <c r="Q10" s="4"/>
      <c r="R10" s="4">
        <v>0</v>
      </c>
      <c r="S10" s="4"/>
      <c r="T10" s="4"/>
      <c r="U10" s="4">
        <f>945750+420786</f>
        <v>1366536</v>
      </c>
      <c r="V10" s="4">
        <f t="shared" si="0"/>
        <v>1834536</v>
      </c>
      <c r="W10" s="5">
        <f>M10-V10</f>
        <v>3721464</v>
      </c>
    </row>
    <row r="11" spans="1:23" ht="24.95" customHeight="1" x14ac:dyDescent="0.25">
      <c r="A11" s="65"/>
      <c r="B11" s="2">
        <v>8</v>
      </c>
      <c r="C11" s="1" t="s">
        <v>39</v>
      </c>
      <c r="D11" s="1" t="s">
        <v>31</v>
      </c>
      <c r="E11" s="4">
        <v>4800000</v>
      </c>
      <c r="F11" s="3">
        <v>22</v>
      </c>
      <c r="G11" s="3">
        <f t="shared" si="1"/>
        <v>3520000</v>
      </c>
      <c r="H11" s="4"/>
      <c r="I11" s="4"/>
      <c r="J11" s="4"/>
      <c r="K11" s="4"/>
      <c r="L11" s="4"/>
      <c r="M11" s="4">
        <f t="shared" si="2"/>
        <v>3520000</v>
      </c>
      <c r="N11" s="4">
        <f>+G11*4%</f>
        <v>140800</v>
      </c>
      <c r="O11" s="4">
        <f>+G11*5%</f>
        <v>176000</v>
      </c>
      <c r="P11" s="4"/>
      <c r="Q11" s="4"/>
      <c r="R11" s="4">
        <v>0</v>
      </c>
      <c r="S11" s="4"/>
      <c r="T11" s="4"/>
      <c r="U11" s="4"/>
      <c r="V11" s="4">
        <f t="shared" ref="V11:V66" si="6">SUM(N11:U11)</f>
        <v>316800</v>
      </c>
      <c r="W11" s="5">
        <f>M11-V11</f>
        <v>3203200</v>
      </c>
    </row>
    <row r="12" spans="1:23" ht="24.95" customHeight="1" x14ac:dyDescent="0.25">
      <c r="A12" s="65"/>
      <c r="B12" s="2">
        <v>9</v>
      </c>
      <c r="C12" s="1" t="s">
        <v>160</v>
      </c>
      <c r="D12" s="1" t="s">
        <v>45</v>
      </c>
      <c r="E12" s="4">
        <v>3700000</v>
      </c>
      <c r="F12" s="3">
        <v>30</v>
      </c>
      <c r="G12" s="3">
        <f t="shared" si="1"/>
        <v>3700000</v>
      </c>
      <c r="H12" s="4"/>
      <c r="I12" s="4"/>
      <c r="J12" s="4"/>
      <c r="K12" s="4"/>
      <c r="L12" s="4"/>
      <c r="M12" s="4">
        <f t="shared" si="2"/>
        <v>3700000</v>
      </c>
      <c r="N12" s="4">
        <f>+G12*4%</f>
        <v>148000</v>
      </c>
      <c r="O12" s="4">
        <f>+G12*5%</f>
        <v>185000</v>
      </c>
      <c r="P12" s="4"/>
      <c r="Q12" s="4"/>
      <c r="R12" s="4"/>
      <c r="S12" s="4"/>
      <c r="T12" s="4"/>
      <c r="U12" s="4"/>
      <c r="V12" s="4">
        <f t="shared" ref="V12:V13" si="7">SUM(N12:U12)</f>
        <v>333000</v>
      </c>
      <c r="W12" s="5">
        <f>M12-V12</f>
        <v>3367000</v>
      </c>
    </row>
    <row r="13" spans="1:23" ht="24.95" customHeight="1" x14ac:dyDescent="0.25">
      <c r="A13" s="65"/>
      <c r="B13" s="2">
        <v>10</v>
      </c>
      <c r="C13" s="1" t="s">
        <v>166</v>
      </c>
      <c r="D13" s="1" t="s">
        <v>45</v>
      </c>
      <c r="E13" s="4">
        <v>4000000</v>
      </c>
      <c r="F13" s="3">
        <v>29</v>
      </c>
      <c r="G13" s="3">
        <f t="shared" si="1"/>
        <v>3866666.666666667</v>
      </c>
      <c r="H13" s="4"/>
      <c r="I13" s="4"/>
      <c r="J13" s="4"/>
      <c r="K13" s="4"/>
      <c r="L13" s="4"/>
      <c r="M13" s="4">
        <f t="shared" si="2"/>
        <v>3866666.666666667</v>
      </c>
      <c r="N13" s="4">
        <f>+G13*4%</f>
        <v>154666.66666666669</v>
      </c>
      <c r="O13" s="4">
        <f>+G13*5%</f>
        <v>193333.33333333337</v>
      </c>
      <c r="P13" s="4"/>
      <c r="Q13" s="4"/>
      <c r="R13" s="4"/>
      <c r="S13" s="4"/>
      <c r="T13" s="4"/>
      <c r="U13" s="4"/>
      <c r="V13" s="4">
        <f t="shared" si="7"/>
        <v>348000.00000000006</v>
      </c>
      <c r="W13" s="5">
        <f>M13-V13</f>
        <v>3518666.666666667</v>
      </c>
    </row>
    <row r="14" spans="1:23" ht="24.95" customHeight="1" x14ac:dyDescent="0.25">
      <c r="A14" s="65"/>
      <c r="B14" s="2">
        <v>11</v>
      </c>
      <c r="C14" s="1" t="s">
        <v>40</v>
      </c>
      <c r="D14" s="1" t="s">
        <v>31</v>
      </c>
      <c r="E14" s="4">
        <v>5725000</v>
      </c>
      <c r="F14" s="3">
        <v>30</v>
      </c>
      <c r="G14" s="3">
        <f>+E14-L14</f>
        <v>5152500</v>
      </c>
      <c r="H14" s="4"/>
      <c r="I14" s="4"/>
      <c r="J14" s="4"/>
      <c r="K14" s="4"/>
      <c r="L14" s="4">
        <v>572500</v>
      </c>
      <c r="M14" s="4">
        <f t="shared" si="2"/>
        <v>5725000</v>
      </c>
      <c r="N14" s="4">
        <f>+E14*4%</f>
        <v>229000</v>
      </c>
      <c r="O14" s="4">
        <f t="shared" si="5"/>
        <v>286250</v>
      </c>
      <c r="P14" s="4"/>
      <c r="Q14" s="4"/>
      <c r="R14" s="4">
        <v>0</v>
      </c>
      <c r="S14" s="4"/>
      <c r="T14" s="4"/>
      <c r="U14" s="4"/>
      <c r="V14" s="4">
        <f t="shared" si="6"/>
        <v>515250</v>
      </c>
      <c r="W14" s="5">
        <f t="shared" ref="W14:W26" si="8">+M14-V14</f>
        <v>5209750</v>
      </c>
    </row>
    <row r="15" spans="1:23" ht="24.95" customHeight="1" x14ac:dyDescent="0.25">
      <c r="A15" s="65"/>
      <c r="B15" s="2">
        <v>12</v>
      </c>
      <c r="C15" s="1" t="s">
        <v>41</v>
      </c>
      <c r="D15" s="1" t="s">
        <v>31</v>
      </c>
      <c r="E15" s="4">
        <v>4500000</v>
      </c>
      <c r="F15" s="3">
        <v>30</v>
      </c>
      <c r="G15" s="3">
        <f>+E15-J15</f>
        <v>4500000</v>
      </c>
      <c r="H15" s="4"/>
      <c r="I15" s="4"/>
      <c r="J15" s="4"/>
      <c r="K15" s="4"/>
      <c r="L15" s="4"/>
      <c r="M15" s="4">
        <f t="shared" si="2"/>
        <v>4500000</v>
      </c>
      <c r="N15" s="4">
        <f t="shared" si="4"/>
        <v>180000</v>
      </c>
      <c r="O15" s="4">
        <f>+G15*5%</f>
        <v>225000</v>
      </c>
      <c r="P15" s="4"/>
      <c r="Q15" s="4"/>
      <c r="R15" s="7">
        <v>0</v>
      </c>
      <c r="S15" s="4"/>
      <c r="T15" s="4"/>
      <c r="U15" s="4"/>
      <c r="V15" s="4">
        <f t="shared" si="6"/>
        <v>405000</v>
      </c>
      <c r="W15" s="5">
        <f t="shared" si="8"/>
        <v>4095000</v>
      </c>
    </row>
    <row r="16" spans="1:23" ht="24.95" customHeight="1" x14ac:dyDescent="0.25">
      <c r="A16" s="65"/>
      <c r="B16" s="2">
        <v>13</v>
      </c>
      <c r="C16" s="1" t="s">
        <v>93</v>
      </c>
      <c r="D16" s="1" t="s">
        <v>31</v>
      </c>
      <c r="E16" s="4">
        <v>4500000</v>
      </c>
      <c r="F16" s="3">
        <v>30</v>
      </c>
      <c r="G16" s="3">
        <f t="shared" ref="G16:G17" si="9">+E16/30*F16</f>
        <v>4500000</v>
      </c>
      <c r="H16" s="4"/>
      <c r="I16" s="4"/>
      <c r="J16" s="4"/>
      <c r="K16" s="4"/>
      <c r="L16" s="4"/>
      <c r="M16" s="4">
        <f t="shared" si="2"/>
        <v>4500000</v>
      </c>
      <c r="N16" s="4">
        <f t="shared" si="4"/>
        <v>180000</v>
      </c>
      <c r="O16" s="4">
        <f>+E16*5%</f>
        <v>225000</v>
      </c>
      <c r="P16" s="4"/>
      <c r="Q16" s="4"/>
      <c r="R16" s="4">
        <v>0</v>
      </c>
      <c r="S16" s="4"/>
      <c r="T16" s="4"/>
      <c r="U16" s="4">
        <v>774624</v>
      </c>
      <c r="V16" s="4">
        <f t="shared" ref="V16:V17" si="10">SUM(N16:U16)</f>
        <v>1179624</v>
      </c>
      <c r="W16" s="5">
        <f t="shared" si="8"/>
        <v>3320376</v>
      </c>
    </row>
    <row r="17" spans="1:23" ht="24.95" customHeight="1" x14ac:dyDescent="0.25">
      <c r="A17" s="65"/>
      <c r="B17" s="2">
        <v>14</v>
      </c>
      <c r="C17" s="1" t="s">
        <v>167</v>
      </c>
      <c r="D17" s="1" t="s">
        <v>31</v>
      </c>
      <c r="E17" s="4">
        <v>5500000</v>
      </c>
      <c r="F17" s="3">
        <v>10</v>
      </c>
      <c r="G17" s="3">
        <f t="shared" si="9"/>
        <v>1833333.3333333335</v>
      </c>
      <c r="H17" s="4"/>
      <c r="I17" s="4"/>
      <c r="J17" s="4"/>
      <c r="K17" s="4"/>
      <c r="L17" s="4"/>
      <c r="M17" s="4">
        <f t="shared" si="2"/>
        <v>1833333.3333333335</v>
      </c>
      <c r="N17" s="4">
        <f>+G17*4%</f>
        <v>73333.333333333343</v>
      </c>
      <c r="O17" s="4">
        <f>+G17*4%</f>
        <v>73333.333333333343</v>
      </c>
      <c r="P17" s="4"/>
      <c r="Q17" s="4"/>
      <c r="R17" s="4">
        <v>0</v>
      </c>
      <c r="S17" s="4"/>
      <c r="T17" s="4"/>
      <c r="U17" s="4"/>
      <c r="V17" s="4">
        <f t="shared" si="10"/>
        <v>146666.66666666669</v>
      </c>
      <c r="W17" s="5">
        <f t="shared" si="8"/>
        <v>1686666.6666666667</v>
      </c>
    </row>
    <row r="18" spans="1:23" ht="24.95" customHeight="1" x14ac:dyDescent="0.25">
      <c r="A18" s="65"/>
      <c r="B18" s="2">
        <v>15</v>
      </c>
      <c r="C18" s="9" t="s">
        <v>42</v>
      </c>
      <c r="D18" s="1" t="s">
        <v>31</v>
      </c>
      <c r="E18" s="4">
        <v>4800000</v>
      </c>
      <c r="F18" s="3">
        <v>30</v>
      </c>
      <c r="G18" s="3">
        <f t="shared" si="1"/>
        <v>4800000</v>
      </c>
      <c r="H18" s="4"/>
      <c r="I18" s="4"/>
      <c r="J18" s="4"/>
      <c r="K18" s="4"/>
      <c r="L18" s="4"/>
      <c r="M18" s="4">
        <f t="shared" si="2"/>
        <v>4800000</v>
      </c>
      <c r="N18" s="4">
        <f>+G18*4%</f>
        <v>192000</v>
      </c>
      <c r="O18" s="4">
        <f>+G18*5%</f>
        <v>240000</v>
      </c>
      <c r="P18" s="4"/>
      <c r="Q18" s="4"/>
      <c r="R18" s="4">
        <v>0</v>
      </c>
      <c r="S18" s="4"/>
      <c r="T18" s="4"/>
      <c r="U18" s="4"/>
      <c r="V18" s="4">
        <f t="shared" si="6"/>
        <v>432000</v>
      </c>
      <c r="W18" s="5">
        <f t="shared" si="8"/>
        <v>4368000</v>
      </c>
    </row>
    <row r="19" spans="1:23" ht="24.95" customHeight="1" x14ac:dyDescent="0.25">
      <c r="A19" s="65"/>
      <c r="B19" s="2">
        <v>16</v>
      </c>
      <c r="C19" s="9" t="s">
        <v>161</v>
      </c>
      <c r="D19" s="1" t="s">
        <v>31</v>
      </c>
      <c r="E19" s="4">
        <v>4600000</v>
      </c>
      <c r="F19" s="3">
        <v>30</v>
      </c>
      <c r="G19" s="3">
        <f t="shared" si="1"/>
        <v>4600000</v>
      </c>
      <c r="H19" s="4"/>
      <c r="I19" s="4"/>
      <c r="J19" s="4"/>
      <c r="K19" s="4"/>
      <c r="L19" s="4"/>
      <c r="M19" s="4">
        <f t="shared" si="2"/>
        <v>4600000</v>
      </c>
      <c r="N19" s="4">
        <f>+G19*4%</f>
        <v>184000</v>
      </c>
      <c r="O19" s="4">
        <f>+G19*0.05</f>
        <v>230000</v>
      </c>
      <c r="P19" s="4"/>
      <c r="Q19" s="4"/>
      <c r="R19" s="4">
        <v>24000</v>
      </c>
      <c r="S19" s="4"/>
      <c r="T19" s="4"/>
      <c r="U19" s="4"/>
      <c r="V19" s="4">
        <f t="shared" ref="V19" si="11">SUM(N19:U19)</f>
        <v>438000</v>
      </c>
      <c r="W19" s="5">
        <f t="shared" si="8"/>
        <v>4162000</v>
      </c>
    </row>
    <row r="20" spans="1:23" ht="24.95" customHeight="1" x14ac:dyDescent="0.25">
      <c r="A20" s="65"/>
      <c r="B20" s="2">
        <v>17</v>
      </c>
      <c r="C20" s="9" t="s">
        <v>43</v>
      </c>
      <c r="D20" s="1" t="s">
        <v>31</v>
      </c>
      <c r="E20" s="4">
        <v>5200000</v>
      </c>
      <c r="F20" s="3">
        <v>30</v>
      </c>
      <c r="G20" s="3">
        <f t="shared" si="1"/>
        <v>5200000</v>
      </c>
      <c r="H20" s="4"/>
      <c r="I20" s="4"/>
      <c r="J20" s="4"/>
      <c r="K20" s="4">
        <v>0</v>
      </c>
      <c r="L20" s="4"/>
      <c r="M20" s="4">
        <f>+G20+H20+J20+K20+L20+I20</f>
        <v>5200000</v>
      </c>
      <c r="N20" s="4">
        <f>+E20*4%</f>
        <v>208000</v>
      </c>
      <c r="O20" s="4">
        <f>+E20*5%</f>
        <v>260000</v>
      </c>
      <c r="P20" s="4"/>
      <c r="Q20" s="4"/>
      <c r="R20" s="4">
        <v>81000</v>
      </c>
      <c r="S20" s="4"/>
      <c r="T20" s="4"/>
      <c r="U20" s="4">
        <v>519248</v>
      </c>
      <c r="V20" s="4">
        <f t="shared" si="6"/>
        <v>1068248</v>
      </c>
      <c r="W20" s="5">
        <f t="shared" si="8"/>
        <v>4131752</v>
      </c>
    </row>
    <row r="21" spans="1:23" ht="24.95" customHeight="1" x14ac:dyDescent="0.25">
      <c r="A21" s="65"/>
      <c r="B21" s="2">
        <v>18</v>
      </c>
      <c r="C21" s="9" t="s">
        <v>44</v>
      </c>
      <c r="D21" s="1" t="s">
        <v>31</v>
      </c>
      <c r="E21" s="4">
        <v>4400000</v>
      </c>
      <c r="F21" s="3">
        <v>30</v>
      </c>
      <c r="G21" s="3">
        <f t="shared" si="1"/>
        <v>4400000</v>
      </c>
      <c r="H21" s="4"/>
      <c r="I21" s="4"/>
      <c r="J21" s="4"/>
      <c r="K21" s="4"/>
      <c r="L21" s="4">
        <f>+E21-G21</f>
        <v>0</v>
      </c>
      <c r="M21" s="4">
        <f t="shared" si="2"/>
        <v>4400000</v>
      </c>
      <c r="N21" s="4">
        <f>+E21*0.04</f>
        <v>176000</v>
      </c>
      <c r="O21" s="4">
        <f>+E21*0.05</f>
        <v>220000</v>
      </c>
      <c r="P21" s="4"/>
      <c r="Q21" s="4"/>
      <c r="R21" s="4"/>
      <c r="S21" s="4"/>
      <c r="T21" s="4"/>
      <c r="U21" s="4"/>
      <c r="V21" s="4">
        <f t="shared" si="6"/>
        <v>396000</v>
      </c>
      <c r="W21" s="5">
        <f t="shared" si="8"/>
        <v>4004000</v>
      </c>
    </row>
    <row r="22" spans="1:23" ht="24.95" customHeight="1" x14ac:dyDescent="0.25">
      <c r="A22" s="65"/>
      <c r="B22" s="2">
        <v>19</v>
      </c>
      <c r="C22" s="9" t="s">
        <v>46</v>
      </c>
      <c r="D22" s="1" t="s">
        <v>31</v>
      </c>
      <c r="E22" s="4">
        <v>5500000</v>
      </c>
      <c r="F22" s="3">
        <v>30</v>
      </c>
      <c r="G22" s="3">
        <f>+E22-J22</f>
        <v>5500000</v>
      </c>
      <c r="H22" s="4"/>
      <c r="I22" s="4"/>
      <c r="J22" s="4"/>
      <c r="K22" s="4"/>
      <c r="L22" s="4"/>
      <c r="M22" s="4">
        <f t="shared" si="2"/>
        <v>5500000</v>
      </c>
      <c r="N22" s="4">
        <f>+E22*0.04</f>
        <v>220000</v>
      </c>
      <c r="O22" s="4">
        <f>+E22*0.05</f>
        <v>275000</v>
      </c>
      <c r="P22" s="4"/>
      <c r="Q22" s="4"/>
      <c r="R22" s="4">
        <v>83397</v>
      </c>
      <c r="S22" s="4"/>
      <c r="T22" s="4"/>
      <c r="U22" s="4"/>
      <c r="V22" s="4">
        <f t="shared" si="6"/>
        <v>578397</v>
      </c>
      <c r="W22" s="5">
        <f t="shared" si="8"/>
        <v>4921603</v>
      </c>
    </row>
    <row r="23" spans="1:23" ht="24.95" customHeight="1" x14ac:dyDescent="0.25">
      <c r="A23" s="65"/>
      <c r="B23" s="2">
        <v>20</v>
      </c>
      <c r="C23" s="9" t="s">
        <v>162</v>
      </c>
      <c r="D23" s="1" t="s">
        <v>31</v>
      </c>
      <c r="E23" s="4">
        <v>5000000</v>
      </c>
      <c r="F23" s="3">
        <v>30</v>
      </c>
      <c r="G23" s="3">
        <f t="shared" si="1"/>
        <v>5000000</v>
      </c>
      <c r="H23" s="4"/>
      <c r="I23" s="4"/>
      <c r="J23" s="4"/>
      <c r="K23" s="4"/>
      <c r="L23" s="4"/>
      <c r="M23" s="4">
        <f t="shared" si="2"/>
        <v>5000000</v>
      </c>
      <c r="N23" s="4">
        <f>+G23*4%</f>
        <v>200000</v>
      </c>
      <c r="O23" s="4">
        <f>+G23*0.05</f>
        <v>250000</v>
      </c>
      <c r="P23" s="4"/>
      <c r="Q23" s="4"/>
      <c r="R23" s="4">
        <v>78000</v>
      </c>
      <c r="S23" s="4"/>
      <c r="T23" s="4"/>
      <c r="U23" s="4"/>
      <c r="V23" s="4">
        <f t="shared" si="6"/>
        <v>528000</v>
      </c>
      <c r="W23" s="5">
        <f t="shared" si="8"/>
        <v>4472000</v>
      </c>
    </row>
    <row r="24" spans="1:23" ht="24.95" customHeight="1" x14ac:dyDescent="0.25">
      <c r="A24" s="65"/>
      <c r="B24" s="2">
        <v>21</v>
      </c>
      <c r="C24" s="1" t="s">
        <v>150</v>
      </c>
      <c r="D24" s="1" t="s">
        <v>31</v>
      </c>
      <c r="E24" s="4">
        <v>7000000</v>
      </c>
      <c r="F24" s="3">
        <v>30</v>
      </c>
      <c r="G24" s="3">
        <f>+E24/30*F24</f>
        <v>7000000</v>
      </c>
      <c r="H24" s="4"/>
      <c r="I24" s="4"/>
      <c r="J24" s="4"/>
      <c r="K24" s="4"/>
      <c r="L24" s="4"/>
      <c r="M24" s="4">
        <f>+G24+H24+J24+K24+L24+I24</f>
        <v>7000000</v>
      </c>
      <c r="N24" s="4">
        <f>G24*4%</f>
        <v>280000</v>
      </c>
      <c r="O24" s="4">
        <f>+G24*5%</f>
        <v>350000</v>
      </c>
      <c r="P24" s="4"/>
      <c r="Q24" s="4">
        <v>147000</v>
      </c>
      <c r="R24" s="4">
        <v>209509</v>
      </c>
      <c r="S24" s="4"/>
      <c r="T24" s="4"/>
      <c r="U24" s="4"/>
      <c r="V24" s="4">
        <f>SUM(N24:U24)</f>
        <v>986509</v>
      </c>
      <c r="W24" s="5">
        <f>M24-V24</f>
        <v>6013491</v>
      </c>
    </row>
    <row r="25" spans="1:23" ht="24.95" customHeight="1" x14ac:dyDescent="0.25">
      <c r="A25" s="65"/>
      <c r="B25" s="2">
        <v>22</v>
      </c>
      <c r="C25" s="9" t="s">
        <v>47</v>
      </c>
      <c r="D25" s="1" t="s">
        <v>31</v>
      </c>
      <c r="E25" s="4">
        <v>5200000</v>
      </c>
      <c r="F25" s="3">
        <v>30</v>
      </c>
      <c r="G25" s="3">
        <f t="shared" si="1"/>
        <v>5200000</v>
      </c>
      <c r="H25" s="4"/>
      <c r="I25" s="4"/>
      <c r="J25" s="4"/>
      <c r="K25" s="4"/>
      <c r="L25" s="4">
        <v>0</v>
      </c>
      <c r="M25" s="4">
        <f t="shared" si="2"/>
        <v>5200000</v>
      </c>
      <c r="N25" s="4">
        <f>+E25*4%</f>
        <v>208000</v>
      </c>
      <c r="O25" s="4">
        <f>+E25*5%</f>
        <v>260000</v>
      </c>
      <c r="P25" s="4"/>
      <c r="Q25" s="4"/>
      <c r="R25" s="4">
        <v>46204</v>
      </c>
      <c r="S25" s="4"/>
      <c r="T25" s="4"/>
      <c r="U25" s="4"/>
      <c r="V25" s="4">
        <f t="shared" si="6"/>
        <v>514204</v>
      </c>
      <c r="W25" s="5">
        <f t="shared" si="8"/>
        <v>4685796</v>
      </c>
    </row>
    <row r="26" spans="1:23" ht="24.95" customHeight="1" x14ac:dyDescent="0.25">
      <c r="A26" s="65"/>
      <c r="B26" s="2">
        <v>23</v>
      </c>
      <c r="C26" s="1" t="s">
        <v>48</v>
      </c>
      <c r="D26" s="1" t="s">
        <v>31</v>
      </c>
      <c r="E26" s="4">
        <v>5500000</v>
      </c>
      <c r="F26" s="3">
        <v>30</v>
      </c>
      <c r="G26" s="3">
        <f t="shared" si="1"/>
        <v>5500000</v>
      </c>
      <c r="H26" s="4"/>
      <c r="I26" s="4"/>
      <c r="J26" s="4"/>
      <c r="K26" s="4">
        <v>450000</v>
      </c>
      <c r="L26" s="4"/>
      <c r="M26" s="4">
        <f t="shared" si="2"/>
        <v>5950000</v>
      </c>
      <c r="N26" s="4">
        <f>+E26*4%</f>
        <v>220000</v>
      </c>
      <c r="O26" s="4">
        <f>+E26*5%</f>
        <v>275000</v>
      </c>
      <c r="P26" s="4"/>
      <c r="Q26" s="4"/>
      <c r="R26" s="7">
        <v>150521</v>
      </c>
      <c r="S26" s="4">
        <v>1365000</v>
      </c>
      <c r="T26" s="4"/>
      <c r="U26" s="4"/>
      <c r="V26" s="4">
        <f t="shared" si="6"/>
        <v>2010521</v>
      </c>
      <c r="W26" s="5">
        <f t="shared" si="8"/>
        <v>3939479</v>
      </c>
    </row>
    <row r="27" spans="1:23" ht="24.95" customHeight="1" x14ac:dyDescent="0.25">
      <c r="A27" s="65"/>
      <c r="B27" s="2">
        <v>24</v>
      </c>
      <c r="C27" s="1" t="s">
        <v>49</v>
      </c>
      <c r="D27" s="1" t="s">
        <v>31</v>
      </c>
      <c r="E27" s="4">
        <v>5350000</v>
      </c>
      <c r="F27" s="3">
        <v>30</v>
      </c>
      <c r="G27" s="3">
        <f t="shared" si="1"/>
        <v>5350000</v>
      </c>
      <c r="H27" s="4"/>
      <c r="I27" s="4"/>
      <c r="J27" s="4"/>
      <c r="K27" s="4">
        <v>1000000</v>
      </c>
      <c r="L27" s="4"/>
      <c r="M27" s="4">
        <f t="shared" si="2"/>
        <v>6350000</v>
      </c>
      <c r="N27" s="4">
        <f>+E27*4%</f>
        <v>214000</v>
      </c>
      <c r="O27" s="4">
        <f>+E27*0.05</f>
        <v>267500</v>
      </c>
      <c r="P27" s="4"/>
      <c r="Q27" s="4"/>
      <c r="R27" s="7">
        <v>96000</v>
      </c>
      <c r="S27" s="4"/>
      <c r="T27" s="4"/>
      <c r="U27" s="4">
        <v>810005</v>
      </c>
      <c r="V27" s="4">
        <f t="shared" si="6"/>
        <v>1387505</v>
      </c>
      <c r="W27" s="5">
        <f>M27-V27</f>
        <v>4962495</v>
      </c>
    </row>
    <row r="28" spans="1:23" ht="24.95" customHeight="1" x14ac:dyDescent="0.25">
      <c r="A28" s="65"/>
      <c r="B28" s="2">
        <v>25</v>
      </c>
      <c r="C28" s="1" t="s">
        <v>168</v>
      </c>
      <c r="D28" s="1" t="s">
        <v>31</v>
      </c>
      <c r="E28" s="4">
        <v>5000000</v>
      </c>
      <c r="F28" s="3">
        <v>8</v>
      </c>
      <c r="G28" s="3">
        <f t="shared" si="1"/>
        <v>1333333.3333333333</v>
      </c>
      <c r="H28" s="4"/>
      <c r="I28" s="4"/>
      <c r="J28" s="4"/>
      <c r="K28" s="4"/>
      <c r="L28" s="4"/>
      <c r="M28" s="4">
        <f t="shared" si="2"/>
        <v>1333333.3333333333</v>
      </c>
      <c r="N28" s="4">
        <f>+G28*4%</f>
        <v>53333.333333333328</v>
      </c>
      <c r="O28" s="4">
        <f>+G28*4%</f>
        <v>53333.333333333328</v>
      </c>
      <c r="P28" s="4"/>
      <c r="Q28" s="4"/>
      <c r="R28" s="7"/>
      <c r="S28" s="4"/>
      <c r="T28" s="4"/>
      <c r="U28" s="4"/>
      <c r="V28" s="4">
        <f t="shared" ref="V28" si="12">SUM(N28:U28)</f>
        <v>106666.66666666666</v>
      </c>
      <c r="W28" s="5">
        <f>M28-V28</f>
        <v>1226666.6666666665</v>
      </c>
    </row>
    <row r="29" spans="1:23" ht="24.95" customHeight="1" x14ac:dyDescent="0.25">
      <c r="A29" s="65"/>
      <c r="B29" s="2">
        <v>26</v>
      </c>
      <c r="C29" s="1" t="s">
        <v>50</v>
      </c>
      <c r="D29" s="1" t="s">
        <v>31</v>
      </c>
      <c r="E29" s="4">
        <v>7000000</v>
      </c>
      <c r="F29" s="3">
        <v>30</v>
      </c>
      <c r="G29" s="3">
        <f>+E29-L29</f>
        <v>6066667</v>
      </c>
      <c r="H29" s="4"/>
      <c r="I29" s="4"/>
      <c r="J29" s="4"/>
      <c r="K29" s="4"/>
      <c r="L29" s="4">
        <v>933333</v>
      </c>
      <c r="M29" s="4">
        <f t="shared" si="2"/>
        <v>7000000</v>
      </c>
      <c r="N29" s="4">
        <f>+E29*4%</f>
        <v>280000</v>
      </c>
      <c r="O29" s="4">
        <f>+E29*0.05</f>
        <v>350000</v>
      </c>
      <c r="P29" s="4"/>
      <c r="Q29" s="4"/>
      <c r="R29" s="7">
        <v>269359</v>
      </c>
      <c r="S29" s="4"/>
      <c r="T29" s="4"/>
      <c r="U29" s="4"/>
      <c r="V29" s="4">
        <f t="shared" si="6"/>
        <v>899359</v>
      </c>
      <c r="W29" s="5">
        <f>M29-V29</f>
        <v>6100641</v>
      </c>
    </row>
    <row r="30" spans="1:23" ht="24.95" customHeight="1" x14ac:dyDescent="0.25">
      <c r="A30" s="65"/>
      <c r="B30" s="2">
        <v>27</v>
      </c>
      <c r="C30" s="1" t="s">
        <v>51</v>
      </c>
      <c r="D30" s="1" t="s">
        <v>31</v>
      </c>
      <c r="E30" s="4">
        <v>6900000</v>
      </c>
      <c r="F30" s="3">
        <v>30</v>
      </c>
      <c r="G30" s="3">
        <f t="shared" si="1"/>
        <v>6900000</v>
      </c>
      <c r="H30" s="4"/>
      <c r="I30" s="4"/>
      <c r="J30" s="4"/>
      <c r="K30" s="4">
        <v>1400000</v>
      </c>
      <c r="L30" s="10"/>
      <c r="M30" s="4">
        <f t="shared" si="2"/>
        <v>8300000</v>
      </c>
      <c r="N30" s="4">
        <f>+E30*4%</f>
        <v>276000</v>
      </c>
      <c r="O30" s="4">
        <f>+E30*5%</f>
        <v>345000</v>
      </c>
      <c r="P30" s="4"/>
      <c r="Q30" s="4"/>
      <c r="R30" s="7">
        <v>113000</v>
      </c>
      <c r="S30" s="4">
        <v>1300000</v>
      </c>
      <c r="T30" s="4"/>
      <c r="U30" s="4"/>
      <c r="V30" s="4">
        <f t="shared" si="6"/>
        <v>2034000</v>
      </c>
      <c r="W30" s="5">
        <f>M30-V30</f>
        <v>6266000</v>
      </c>
    </row>
    <row r="31" spans="1:23" ht="24.95" customHeight="1" x14ac:dyDescent="0.25">
      <c r="A31" s="65"/>
      <c r="B31" s="2">
        <v>28</v>
      </c>
      <c r="C31" s="9" t="s">
        <v>151</v>
      </c>
      <c r="D31" s="1" t="s">
        <v>31</v>
      </c>
      <c r="E31" s="4">
        <v>4000000</v>
      </c>
      <c r="F31" s="3">
        <v>30</v>
      </c>
      <c r="G31" s="3">
        <f>+E31/30*F31</f>
        <v>4000000.0000000005</v>
      </c>
      <c r="H31" s="4"/>
      <c r="I31" s="4"/>
      <c r="J31" s="4"/>
      <c r="K31" s="4"/>
      <c r="L31" s="4"/>
      <c r="M31" s="4">
        <f>+G31+H31+J31+K31+L31+I31</f>
        <v>4000000.0000000005</v>
      </c>
      <c r="N31" s="4">
        <f>+G31*4%</f>
        <v>160000.00000000003</v>
      </c>
      <c r="O31" s="4">
        <f>+G31*5%</f>
        <v>200000.00000000003</v>
      </c>
      <c r="P31" s="4"/>
      <c r="Q31" s="4"/>
      <c r="R31" s="4"/>
      <c r="S31" s="4"/>
      <c r="T31" s="4"/>
      <c r="U31" s="4"/>
      <c r="V31" s="4">
        <f>SUM(N31:U31)</f>
        <v>360000.00000000006</v>
      </c>
      <c r="W31" s="5">
        <f>M31-V31</f>
        <v>3640000.0000000005</v>
      </c>
    </row>
    <row r="32" spans="1:23" ht="24.95" customHeight="1" x14ac:dyDescent="0.25">
      <c r="A32" s="65"/>
      <c r="B32" s="2">
        <v>29</v>
      </c>
      <c r="C32" s="1" t="s">
        <v>52</v>
      </c>
      <c r="D32" s="1" t="s">
        <v>31</v>
      </c>
      <c r="E32" s="4">
        <v>4000000</v>
      </c>
      <c r="F32" s="3">
        <v>30</v>
      </c>
      <c r="G32" s="3">
        <f t="shared" si="1"/>
        <v>4000000.0000000005</v>
      </c>
      <c r="H32" s="4"/>
      <c r="I32" s="4"/>
      <c r="J32" s="4"/>
      <c r="K32" s="4">
        <v>360000</v>
      </c>
      <c r="L32" s="4">
        <v>1390625</v>
      </c>
      <c r="M32" s="4">
        <f t="shared" si="2"/>
        <v>5750625</v>
      </c>
      <c r="N32" s="4">
        <f>E32*4/100+55625</f>
        <v>215625</v>
      </c>
      <c r="O32" s="4">
        <f>215625+53900</f>
        <v>269525</v>
      </c>
      <c r="P32" s="4"/>
      <c r="Q32" s="4"/>
      <c r="R32" s="4"/>
      <c r="S32" s="4"/>
      <c r="T32" s="4"/>
      <c r="U32" s="4"/>
      <c r="V32" s="4">
        <f t="shared" si="6"/>
        <v>485150</v>
      </c>
      <c r="W32" s="5">
        <f t="shared" ref="W32:W37" si="13">+M32-V32</f>
        <v>5265475</v>
      </c>
    </row>
    <row r="33" spans="1:24" ht="24.95" customHeight="1" x14ac:dyDescent="0.25">
      <c r="A33" s="65"/>
      <c r="B33" s="2">
        <v>30</v>
      </c>
      <c r="C33" s="1" t="s">
        <v>152</v>
      </c>
      <c r="D33" s="1" t="s">
        <v>31</v>
      </c>
      <c r="E33" s="4">
        <v>4500000</v>
      </c>
      <c r="F33" s="3">
        <v>30</v>
      </c>
      <c r="G33" s="3">
        <f>+E33/30*F33</f>
        <v>4500000</v>
      </c>
      <c r="H33" s="4"/>
      <c r="I33" s="4"/>
      <c r="J33" s="4"/>
      <c r="K33" s="4"/>
      <c r="L33" s="4"/>
      <c r="M33" s="4">
        <f t="shared" si="2"/>
        <v>4500000</v>
      </c>
      <c r="N33" s="4">
        <f>G33*4/100</f>
        <v>180000</v>
      </c>
      <c r="O33" s="4">
        <f>+G33*0.05</f>
        <v>225000</v>
      </c>
      <c r="P33" s="4"/>
      <c r="Q33" s="4"/>
      <c r="R33" s="7">
        <v>11000</v>
      </c>
      <c r="S33" s="4"/>
      <c r="T33" s="4"/>
      <c r="U33" s="4"/>
      <c r="V33" s="4">
        <f>SUM(N33:U33)</f>
        <v>416000</v>
      </c>
      <c r="W33" s="5">
        <f t="shared" si="13"/>
        <v>4084000</v>
      </c>
    </row>
    <row r="34" spans="1:24" ht="24.95" customHeight="1" x14ac:dyDescent="0.25">
      <c r="A34" s="65"/>
      <c r="B34" s="2">
        <v>31</v>
      </c>
      <c r="C34" s="1" t="s">
        <v>53</v>
      </c>
      <c r="D34" s="1" t="s">
        <v>31</v>
      </c>
      <c r="E34" s="4">
        <v>5300000</v>
      </c>
      <c r="F34" s="3">
        <v>30</v>
      </c>
      <c r="G34" s="3">
        <f t="shared" si="1"/>
        <v>5300000</v>
      </c>
      <c r="H34" s="4"/>
      <c r="I34" s="4"/>
      <c r="J34" s="4"/>
      <c r="K34" s="4">
        <v>1621317</v>
      </c>
      <c r="L34" s="4"/>
      <c r="M34" s="4">
        <f t="shared" si="2"/>
        <v>6921317</v>
      </c>
      <c r="N34" s="4">
        <f t="shared" ref="N34:N63" si="14">E34*4/100</f>
        <v>212000</v>
      </c>
      <c r="O34" s="4">
        <f t="shared" ref="O34:O63" si="15">+E34*0.05</f>
        <v>265000</v>
      </c>
      <c r="P34" s="4"/>
      <c r="Q34" s="4"/>
      <c r="R34" s="7">
        <v>100000</v>
      </c>
      <c r="S34" s="4"/>
      <c r="T34" s="4"/>
      <c r="U34" s="4">
        <f>884747</f>
        <v>884747</v>
      </c>
      <c r="V34" s="4">
        <f t="shared" si="6"/>
        <v>1461747</v>
      </c>
      <c r="W34" s="5">
        <f t="shared" si="13"/>
        <v>5459570</v>
      </c>
    </row>
    <row r="35" spans="1:24" ht="24.95" customHeight="1" x14ac:dyDescent="0.25">
      <c r="A35" s="65"/>
      <c r="B35" s="2">
        <v>32</v>
      </c>
      <c r="C35" s="1" t="s">
        <v>54</v>
      </c>
      <c r="D35" s="1" t="s">
        <v>31</v>
      </c>
      <c r="E35" s="4">
        <v>4800000</v>
      </c>
      <c r="F35" s="3">
        <v>30</v>
      </c>
      <c r="G35" s="3">
        <f t="shared" si="1"/>
        <v>4800000</v>
      </c>
      <c r="H35" s="4"/>
      <c r="I35" s="4"/>
      <c r="J35" s="4"/>
      <c r="K35" s="4">
        <v>92925</v>
      </c>
      <c r="L35" s="4"/>
      <c r="M35" s="4">
        <f t="shared" si="2"/>
        <v>4892925</v>
      </c>
      <c r="N35" s="4">
        <f t="shared" si="14"/>
        <v>192000</v>
      </c>
      <c r="O35" s="4">
        <f t="shared" si="15"/>
        <v>240000</v>
      </c>
      <c r="P35" s="4"/>
      <c r="Q35" s="4"/>
      <c r="R35" s="7">
        <v>0</v>
      </c>
      <c r="S35" s="4"/>
      <c r="T35" s="4"/>
      <c r="U35" s="4"/>
      <c r="V35" s="4">
        <f t="shared" si="6"/>
        <v>432000</v>
      </c>
      <c r="W35" s="5">
        <f t="shared" si="13"/>
        <v>4460925</v>
      </c>
    </row>
    <row r="36" spans="1:24" ht="24.95" customHeight="1" x14ac:dyDescent="0.25">
      <c r="A36" s="65"/>
      <c r="B36" s="2">
        <v>33</v>
      </c>
      <c r="C36" s="1" t="s">
        <v>55</v>
      </c>
      <c r="D36" s="1" t="s">
        <v>31</v>
      </c>
      <c r="E36" s="4">
        <v>5500000</v>
      </c>
      <c r="F36" s="3">
        <v>30</v>
      </c>
      <c r="G36" s="3">
        <f t="shared" si="1"/>
        <v>5500000</v>
      </c>
      <c r="H36" s="4"/>
      <c r="I36" s="4"/>
      <c r="J36" s="4"/>
      <c r="K36" s="4"/>
      <c r="L36" s="4"/>
      <c r="M36" s="4">
        <f t="shared" si="2"/>
        <v>5500000</v>
      </c>
      <c r="N36" s="4">
        <f t="shared" si="14"/>
        <v>220000</v>
      </c>
      <c r="O36" s="4">
        <f t="shared" si="15"/>
        <v>275000</v>
      </c>
      <c r="P36" s="4"/>
      <c r="Q36" s="4"/>
      <c r="R36" s="4">
        <v>5022</v>
      </c>
      <c r="S36" s="4"/>
      <c r="T36" s="4"/>
      <c r="U36" s="4"/>
      <c r="V36" s="4">
        <f t="shared" si="6"/>
        <v>500022</v>
      </c>
      <c r="W36" s="5">
        <f t="shared" si="13"/>
        <v>4999978</v>
      </c>
    </row>
    <row r="37" spans="1:24" ht="24.95" customHeight="1" x14ac:dyDescent="0.25">
      <c r="A37" s="65"/>
      <c r="B37" s="2">
        <v>34</v>
      </c>
      <c r="C37" s="1" t="s">
        <v>56</v>
      </c>
      <c r="D37" s="1" t="s">
        <v>31</v>
      </c>
      <c r="E37" s="4">
        <v>5500000</v>
      </c>
      <c r="F37" s="3">
        <v>30</v>
      </c>
      <c r="G37" s="3">
        <f t="shared" si="1"/>
        <v>5500000</v>
      </c>
      <c r="H37" s="4"/>
      <c r="I37" s="4"/>
      <c r="J37" s="4"/>
      <c r="K37" s="4"/>
      <c r="L37" s="4"/>
      <c r="M37" s="4">
        <f t="shared" si="2"/>
        <v>5500000</v>
      </c>
      <c r="N37" s="4">
        <f t="shared" si="14"/>
        <v>220000</v>
      </c>
      <c r="O37" s="4">
        <f t="shared" si="15"/>
        <v>275000</v>
      </c>
      <c r="P37" s="4"/>
      <c r="Q37" s="4"/>
      <c r="R37" s="7">
        <v>141000</v>
      </c>
      <c r="S37" s="4"/>
      <c r="T37" s="4"/>
      <c r="U37" s="4"/>
      <c r="V37" s="4">
        <f t="shared" si="6"/>
        <v>636000</v>
      </c>
      <c r="W37" s="5">
        <f t="shared" si="13"/>
        <v>4864000</v>
      </c>
    </row>
    <row r="38" spans="1:24" ht="24.95" customHeight="1" x14ac:dyDescent="0.25">
      <c r="A38" s="65"/>
      <c r="B38" s="2">
        <v>35</v>
      </c>
      <c r="C38" s="1" t="s">
        <v>112</v>
      </c>
      <c r="D38" s="1" t="s">
        <v>31</v>
      </c>
      <c r="E38" s="4">
        <v>4300000</v>
      </c>
      <c r="F38" s="3">
        <v>30</v>
      </c>
      <c r="G38" s="3">
        <f t="shared" si="1"/>
        <v>4300000</v>
      </c>
      <c r="H38" s="4"/>
      <c r="I38" s="4"/>
      <c r="J38" s="4"/>
      <c r="K38" s="4"/>
      <c r="L38" s="4">
        <f>+E38-G38</f>
        <v>0</v>
      </c>
      <c r="M38" s="4">
        <f t="shared" si="2"/>
        <v>4300000</v>
      </c>
      <c r="N38" s="4">
        <f>+E38*4%</f>
        <v>172000</v>
      </c>
      <c r="O38" s="4">
        <f>+E38*5%</f>
        <v>215000</v>
      </c>
      <c r="P38" s="4"/>
      <c r="Q38" s="4"/>
      <c r="R38" s="7">
        <v>0</v>
      </c>
      <c r="S38" s="4"/>
      <c r="T38" s="4">
        <v>0</v>
      </c>
      <c r="U38" s="4"/>
      <c r="V38" s="4">
        <f t="shared" ref="V38" si="16">SUM(N38:U38)</f>
        <v>387000</v>
      </c>
      <c r="W38" s="5">
        <f>+M38-V38</f>
        <v>3913000</v>
      </c>
      <c r="X38" s="67"/>
    </row>
    <row r="39" spans="1:24" ht="24.95" customHeight="1" x14ac:dyDescent="0.25">
      <c r="A39" s="65"/>
      <c r="B39" s="2">
        <v>36</v>
      </c>
      <c r="C39" s="1" t="s">
        <v>59</v>
      </c>
      <c r="D39" s="1" t="s">
        <v>31</v>
      </c>
      <c r="E39" s="4">
        <v>6600000</v>
      </c>
      <c r="F39" s="3">
        <v>30</v>
      </c>
      <c r="G39" s="3">
        <f t="shared" si="1"/>
        <v>6600000</v>
      </c>
      <c r="H39" s="4"/>
      <c r="I39" s="4"/>
      <c r="J39" s="4"/>
      <c r="K39" s="4"/>
      <c r="L39" s="10"/>
      <c r="M39" s="4">
        <f t="shared" si="2"/>
        <v>6600000</v>
      </c>
      <c r="N39" s="4">
        <f t="shared" si="14"/>
        <v>264000</v>
      </c>
      <c r="O39" s="4">
        <f t="shared" si="15"/>
        <v>330000</v>
      </c>
      <c r="P39" s="4"/>
      <c r="Q39" s="4"/>
      <c r="R39" s="7">
        <v>86000</v>
      </c>
      <c r="S39" s="4"/>
      <c r="T39" s="4"/>
      <c r="U39" s="4"/>
      <c r="V39" s="4">
        <f t="shared" si="6"/>
        <v>680000</v>
      </c>
      <c r="W39" s="5">
        <f>M39-V39</f>
        <v>5920000</v>
      </c>
    </row>
    <row r="40" spans="1:24" ht="24.95" customHeight="1" x14ac:dyDescent="0.25">
      <c r="A40" s="65"/>
      <c r="B40" s="2">
        <v>37</v>
      </c>
      <c r="C40" s="1" t="s">
        <v>113</v>
      </c>
      <c r="D40" s="1" t="s">
        <v>31</v>
      </c>
      <c r="E40" s="4">
        <v>4770000</v>
      </c>
      <c r="F40" s="3">
        <v>30</v>
      </c>
      <c r="G40" s="3">
        <f t="shared" si="1"/>
        <v>4770000</v>
      </c>
      <c r="H40" s="4"/>
      <c r="I40" s="4"/>
      <c r="J40" s="4"/>
      <c r="K40" s="4">
        <v>160000</v>
      </c>
      <c r="L40" s="4">
        <f>+E40-G40</f>
        <v>0</v>
      </c>
      <c r="M40" s="4">
        <f t="shared" si="2"/>
        <v>4930000</v>
      </c>
      <c r="N40" s="4">
        <f t="shared" ref="N40" si="17">+E40*4%</f>
        <v>190800</v>
      </c>
      <c r="O40" s="4">
        <f>+E40*5%</f>
        <v>238500</v>
      </c>
      <c r="P40" s="4"/>
      <c r="Q40" s="4"/>
      <c r="R40" s="7">
        <v>0</v>
      </c>
      <c r="S40" s="4"/>
      <c r="T40" s="4"/>
      <c r="U40" s="4"/>
      <c r="V40" s="4">
        <f t="shared" ref="V40" si="18">SUM(N40:U40)</f>
        <v>429300</v>
      </c>
      <c r="W40" s="5">
        <f t="shared" ref="W40" si="19">+M40-V40</f>
        <v>4500700</v>
      </c>
    </row>
    <row r="41" spans="1:24" ht="24.95" customHeight="1" x14ac:dyDescent="0.25">
      <c r="A41" s="65"/>
      <c r="B41" s="2">
        <v>38</v>
      </c>
      <c r="C41" s="1" t="s">
        <v>60</v>
      </c>
      <c r="D41" s="1" t="s">
        <v>31</v>
      </c>
      <c r="E41" s="4">
        <v>7000000</v>
      </c>
      <c r="F41" s="3">
        <v>30</v>
      </c>
      <c r="G41" s="3">
        <f t="shared" si="1"/>
        <v>7000000</v>
      </c>
      <c r="H41" s="4"/>
      <c r="I41" s="4"/>
      <c r="J41" s="4"/>
      <c r="K41" s="4"/>
      <c r="L41" s="11"/>
      <c r="M41" s="4">
        <f t="shared" si="2"/>
        <v>7000000</v>
      </c>
      <c r="N41" s="4">
        <f t="shared" si="14"/>
        <v>280000</v>
      </c>
      <c r="O41" s="4">
        <f t="shared" si="15"/>
        <v>350000</v>
      </c>
      <c r="P41" s="4"/>
      <c r="Q41" s="4"/>
      <c r="R41" s="7">
        <v>86000</v>
      </c>
      <c r="S41" s="4"/>
      <c r="T41" s="4"/>
      <c r="U41" s="4"/>
      <c r="V41" s="4">
        <f t="shared" si="6"/>
        <v>716000</v>
      </c>
      <c r="W41" s="5">
        <f>M41-V41</f>
        <v>6284000</v>
      </c>
    </row>
    <row r="42" spans="1:24" ht="24.95" customHeight="1" x14ac:dyDescent="0.25">
      <c r="A42" s="65"/>
      <c r="B42" s="2">
        <v>39</v>
      </c>
      <c r="C42" s="1" t="s">
        <v>62</v>
      </c>
      <c r="D42" s="1" t="s">
        <v>31</v>
      </c>
      <c r="E42" s="4">
        <v>5088000</v>
      </c>
      <c r="F42" s="3">
        <v>30</v>
      </c>
      <c r="G42" s="3">
        <f t="shared" si="1"/>
        <v>5088000</v>
      </c>
      <c r="H42" s="4"/>
      <c r="I42" s="4"/>
      <c r="J42" s="4"/>
      <c r="K42" s="4"/>
      <c r="L42" s="4"/>
      <c r="M42" s="4">
        <f t="shared" si="2"/>
        <v>5088000</v>
      </c>
      <c r="N42" s="4">
        <f>E42*4/100</f>
        <v>203520</v>
      </c>
      <c r="O42" s="4">
        <f>+E42*0.05</f>
        <v>254400</v>
      </c>
      <c r="P42" s="4"/>
      <c r="Q42" s="4"/>
      <c r="R42" s="4">
        <v>0</v>
      </c>
      <c r="S42" s="4">
        <f>1150000</f>
        <v>1150000</v>
      </c>
      <c r="T42" s="4"/>
      <c r="U42" s="4">
        <f>209579</f>
        <v>209579</v>
      </c>
      <c r="V42" s="4">
        <f t="shared" si="6"/>
        <v>1817499</v>
      </c>
      <c r="W42" s="5">
        <f>M42-V42</f>
        <v>3270501</v>
      </c>
    </row>
    <row r="43" spans="1:24" ht="24.95" customHeight="1" x14ac:dyDescent="0.25">
      <c r="A43" s="65"/>
      <c r="B43" s="2">
        <v>40</v>
      </c>
      <c r="C43" s="1" t="s">
        <v>63</v>
      </c>
      <c r="D43" s="1" t="s">
        <v>31</v>
      </c>
      <c r="E43" s="4">
        <v>4540000</v>
      </c>
      <c r="F43" s="3">
        <v>30</v>
      </c>
      <c r="G43" s="3">
        <f t="shared" si="1"/>
        <v>4540000</v>
      </c>
      <c r="H43" s="4"/>
      <c r="I43" s="4"/>
      <c r="J43" s="4"/>
      <c r="K43" s="4"/>
      <c r="L43" s="4"/>
      <c r="M43" s="4">
        <f t="shared" si="2"/>
        <v>4540000</v>
      </c>
      <c r="N43" s="4">
        <f t="shared" si="14"/>
        <v>181600</v>
      </c>
      <c r="O43" s="4">
        <f t="shared" si="15"/>
        <v>227000</v>
      </c>
      <c r="P43" s="4"/>
      <c r="Q43" s="4">
        <v>270000</v>
      </c>
      <c r="R43" s="7">
        <v>0</v>
      </c>
      <c r="S43" s="4"/>
      <c r="T43" s="4"/>
      <c r="U43" s="4">
        <v>407106</v>
      </c>
      <c r="V43" s="4">
        <f t="shared" si="6"/>
        <v>1085706</v>
      </c>
      <c r="W43" s="5">
        <f>M43-V43</f>
        <v>3454294</v>
      </c>
    </row>
    <row r="44" spans="1:24" ht="24.95" customHeight="1" x14ac:dyDescent="0.25">
      <c r="A44" s="65"/>
      <c r="B44" s="2">
        <v>41</v>
      </c>
      <c r="C44" s="1" t="s">
        <v>64</v>
      </c>
      <c r="D44" s="1" t="s">
        <v>31</v>
      </c>
      <c r="E44" s="4">
        <v>3500000</v>
      </c>
      <c r="F44" s="3">
        <v>30</v>
      </c>
      <c r="G44" s="3">
        <f>+E44-L44</f>
        <v>3500000</v>
      </c>
      <c r="H44" s="4"/>
      <c r="I44" s="4"/>
      <c r="J44" s="4"/>
      <c r="K44" s="4"/>
      <c r="L44" s="4"/>
      <c r="M44" s="4">
        <f t="shared" si="2"/>
        <v>3500000</v>
      </c>
      <c r="N44" s="4">
        <f t="shared" si="14"/>
        <v>140000</v>
      </c>
      <c r="O44" s="4">
        <f t="shared" si="15"/>
        <v>175000</v>
      </c>
      <c r="P44" s="4"/>
      <c r="Q44" s="4"/>
      <c r="R44" s="4">
        <v>0</v>
      </c>
      <c r="S44" s="4"/>
      <c r="T44" s="4"/>
      <c r="U44" s="4">
        <v>257196</v>
      </c>
      <c r="V44" s="4">
        <f t="shared" si="6"/>
        <v>572196</v>
      </c>
      <c r="W44" s="5">
        <f>+M44-V44</f>
        <v>2927804</v>
      </c>
    </row>
    <row r="45" spans="1:24" ht="24.95" customHeight="1" x14ac:dyDescent="0.25">
      <c r="A45" s="65"/>
      <c r="B45" s="2">
        <v>42</v>
      </c>
      <c r="C45" s="1" t="s">
        <v>65</v>
      </c>
      <c r="D45" s="1" t="s">
        <v>31</v>
      </c>
      <c r="E45" s="4">
        <v>4500000</v>
      </c>
      <c r="F45" s="3">
        <v>30</v>
      </c>
      <c r="G45" s="3">
        <f t="shared" si="1"/>
        <v>4500000</v>
      </c>
      <c r="H45" s="4"/>
      <c r="I45" s="4"/>
      <c r="J45" s="4"/>
      <c r="K45" s="4"/>
      <c r="L45" s="4"/>
      <c r="M45" s="4">
        <f t="shared" si="2"/>
        <v>4500000</v>
      </c>
      <c r="N45" s="4">
        <f t="shared" si="14"/>
        <v>180000</v>
      </c>
      <c r="O45" s="4">
        <f t="shared" si="15"/>
        <v>225000</v>
      </c>
      <c r="P45" s="4"/>
      <c r="Q45" s="4"/>
      <c r="R45" s="4">
        <v>0</v>
      </c>
      <c r="S45" s="4"/>
      <c r="T45" s="4"/>
      <c r="U45" s="4"/>
      <c r="V45" s="4">
        <f t="shared" si="6"/>
        <v>405000</v>
      </c>
      <c r="W45" s="5">
        <f>+M45-V45</f>
        <v>4095000</v>
      </c>
    </row>
    <row r="46" spans="1:24" ht="24.95" customHeight="1" x14ac:dyDescent="0.25">
      <c r="A46" s="65"/>
      <c r="B46" s="2">
        <v>43</v>
      </c>
      <c r="C46" s="1" t="s">
        <v>66</v>
      </c>
      <c r="D46" s="1" t="s">
        <v>31</v>
      </c>
      <c r="E46" s="4">
        <v>6360000</v>
      </c>
      <c r="F46" s="3">
        <v>30</v>
      </c>
      <c r="G46" s="3">
        <f>+E46-L46</f>
        <v>6360000</v>
      </c>
      <c r="H46" s="4"/>
      <c r="I46" s="4"/>
      <c r="J46" s="4"/>
      <c r="K46" s="4"/>
      <c r="L46" s="4"/>
      <c r="M46" s="4">
        <f t="shared" si="2"/>
        <v>6360000</v>
      </c>
      <c r="N46" s="4">
        <f t="shared" si="14"/>
        <v>254400</v>
      </c>
      <c r="O46" s="4">
        <f t="shared" si="15"/>
        <v>318000</v>
      </c>
      <c r="P46" s="4"/>
      <c r="Q46" s="4"/>
      <c r="R46" s="4">
        <v>208000</v>
      </c>
      <c r="S46" s="4"/>
      <c r="T46" s="4">
        <v>122614</v>
      </c>
      <c r="U46" s="4"/>
      <c r="V46" s="4">
        <f t="shared" si="6"/>
        <v>903014</v>
      </c>
      <c r="W46" s="5">
        <f>+M46-V46</f>
        <v>5456986</v>
      </c>
    </row>
    <row r="47" spans="1:24" ht="24.95" customHeight="1" x14ac:dyDescent="0.25">
      <c r="A47" s="65"/>
      <c r="B47" s="2">
        <v>44</v>
      </c>
      <c r="C47" s="1" t="s">
        <v>153</v>
      </c>
      <c r="D47" s="1" t="s">
        <v>31</v>
      </c>
      <c r="E47" s="4">
        <v>3500000</v>
      </c>
      <c r="F47" s="3">
        <v>30</v>
      </c>
      <c r="G47" s="3">
        <f>+E47/30*F47</f>
        <v>3500000</v>
      </c>
      <c r="H47" s="4"/>
      <c r="I47" s="4"/>
      <c r="J47" s="4"/>
      <c r="K47" s="4"/>
      <c r="L47" s="4"/>
      <c r="M47" s="4">
        <f>+G47+H47+J47+K47+L47+I47</f>
        <v>3500000</v>
      </c>
      <c r="N47" s="4">
        <f>G47*4/100</f>
        <v>140000</v>
      </c>
      <c r="O47" s="4">
        <f>+G47*0.05</f>
        <v>175000</v>
      </c>
      <c r="P47" s="4"/>
      <c r="Q47" s="4"/>
      <c r="R47" s="4">
        <v>0</v>
      </c>
      <c r="S47" s="4"/>
      <c r="T47" s="4">
        <v>0</v>
      </c>
      <c r="U47" s="4"/>
      <c r="V47" s="4">
        <f t="shared" ref="V47" si="20">SUM(N47:U47)</f>
        <v>315000</v>
      </c>
      <c r="W47" s="5">
        <f>+M47-V47</f>
        <v>3185000</v>
      </c>
    </row>
    <row r="48" spans="1:24" ht="24.95" customHeight="1" x14ac:dyDescent="0.25">
      <c r="A48" s="65"/>
      <c r="B48" s="2">
        <v>45</v>
      </c>
      <c r="C48" s="1" t="s">
        <v>67</v>
      </c>
      <c r="D48" s="1" t="s">
        <v>31</v>
      </c>
      <c r="E48" s="4">
        <v>4770000</v>
      </c>
      <c r="F48" s="3">
        <v>30</v>
      </c>
      <c r="G48" s="3">
        <f t="shared" si="1"/>
        <v>4770000</v>
      </c>
      <c r="H48" s="4"/>
      <c r="I48" s="4"/>
      <c r="J48" s="4"/>
      <c r="K48" s="4">
        <v>500000</v>
      </c>
      <c r="L48" s="4"/>
      <c r="M48" s="4">
        <f t="shared" si="2"/>
        <v>5270000</v>
      </c>
      <c r="N48" s="4">
        <f t="shared" si="14"/>
        <v>190800</v>
      </c>
      <c r="O48" s="4">
        <f t="shared" si="15"/>
        <v>238500</v>
      </c>
      <c r="P48" s="4"/>
      <c r="Q48" s="4"/>
      <c r="R48" s="4">
        <v>22000</v>
      </c>
      <c r="S48" s="4"/>
      <c r="T48" s="4"/>
      <c r="U48" s="4">
        <v>551399</v>
      </c>
      <c r="V48" s="4">
        <f t="shared" si="6"/>
        <v>1002699</v>
      </c>
      <c r="W48" s="5">
        <f>+M48-V48</f>
        <v>4267301</v>
      </c>
    </row>
    <row r="49" spans="1:26" ht="24.95" customHeight="1" x14ac:dyDescent="0.25">
      <c r="A49" s="65"/>
      <c r="B49" s="2">
        <v>46</v>
      </c>
      <c r="C49" s="1" t="s">
        <v>69</v>
      </c>
      <c r="D49" s="1" t="s">
        <v>31</v>
      </c>
      <c r="E49" s="4">
        <v>6000000</v>
      </c>
      <c r="F49" s="3">
        <v>30</v>
      </c>
      <c r="G49" s="3">
        <f>+E49-L49</f>
        <v>6000000</v>
      </c>
      <c r="H49" s="4"/>
      <c r="I49" s="4"/>
      <c r="J49" s="4"/>
      <c r="K49" s="4"/>
      <c r="L49" s="4"/>
      <c r="M49" s="4">
        <f t="shared" si="2"/>
        <v>6000000</v>
      </c>
      <c r="N49" s="4">
        <f t="shared" si="14"/>
        <v>240000</v>
      </c>
      <c r="O49" s="4">
        <f t="shared" si="15"/>
        <v>300000</v>
      </c>
      <c r="P49" s="4">
        <v>0</v>
      </c>
      <c r="Q49" s="4"/>
      <c r="R49" s="4">
        <v>0</v>
      </c>
      <c r="S49" s="4"/>
      <c r="T49" s="4"/>
      <c r="U49" s="4"/>
      <c r="V49" s="4">
        <f t="shared" si="6"/>
        <v>540000</v>
      </c>
      <c r="W49" s="5">
        <f>M49-V49</f>
        <v>5460000</v>
      </c>
      <c r="Z49" s="62">
        <v>321831000</v>
      </c>
    </row>
    <row r="50" spans="1:26" ht="24.95" customHeight="1" x14ac:dyDescent="0.25">
      <c r="A50" s="65"/>
      <c r="B50" s="2">
        <v>47</v>
      </c>
      <c r="C50" s="1" t="s">
        <v>70</v>
      </c>
      <c r="D50" s="1" t="s">
        <v>31</v>
      </c>
      <c r="E50" s="4">
        <v>6420000</v>
      </c>
      <c r="F50" s="3">
        <v>30</v>
      </c>
      <c r="G50" s="3">
        <f t="shared" si="1"/>
        <v>6420000</v>
      </c>
      <c r="H50" s="4"/>
      <c r="I50" s="4"/>
      <c r="J50" s="4"/>
      <c r="K50" s="4"/>
      <c r="L50" s="4"/>
      <c r="M50" s="4">
        <f t="shared" si="2"/>
        <v>6420000</v>
      </c>
      <c r="N50" s="4">
        <f t="shared" si="14"/>
        <v>256800</v>
      </c>
      <c r="O50" s="4">
        <f t="shared" si="15"/>
        <v>321000</v>
      </c>
      <c r="P50" s="4"/>
      <c r="Q50" s="4">
        <v>312983</v>
      </c>
      <c r="R50" s="4">
        <v>231000</v>
      </c>
      <c r="S50" s="4"/>
      <c r="T50" s="4"/>
      <c r="U50" s="4"/>
      <c r="V50" s="4">
        <f t="shared" si="6"/>
        <v>1121783</v>
      </c>
      <c r="W50" s="5">
        <f>+M50-V50</f>
        <v>5298217</v>
      </c>
      <c r="Z50" s="62">
        <f>+Z49/2</f>
        <v>160915500</v>
      </c>
    </row>
    <row r="51" spans="1:26" ht="24.95" customHeight="1" x14ac:dyDescent="0.25">
      <c r="A51" s="65"/>
      <c r="B51" s="2">
        <v>48</v>
      </c>
      <c r="C51" s="9" t="s">
        <v>71</v>
      </c>
      <c r="D51" s="1" t="s">
        <v>31</v>
      </c>
      <c r="E51" s="4">
        <v>7590000</v>
      </c>
      <c r="F51" s="3">
        <v>30</v>
      </c>
      <c r="G51" s="3">
        <f t="shared" si="1"/>
        <v>7590000</v>
      </c>
      <c r="H51" s="4"/>
      <c r="I51" s="4">
        <v>0</v>
      </c>
      <c r="J51" s="4"/>
      <c r="K51" s="4">
        <v>1500000</v>
      </c>
      <c r="L51" s="11"/>
      <c r="M51" s="4">
        <f>+G51+H51+J51+K51+L51+I51</f>
        <v>9090000</v>
      </c>
      <c r="N51" s="4">
        <f t="shared" si="14"/>
        <v>303600</v>
      </c>
      <c r="O51" s="4">
        <f t="shared" si="15"/>
        <v>379500</v>
      </c>
      <c r="P51" s="4"/>
      <c r="Q51" s="4"/>
      <c r="R51" s="4">
        <v>449811</v>
      </c>
      <c r="S51" s="4"/>
      <c r="T51" s="4"/>
      <c r="U51" s="4"/>
      <c r="V51" s="4">
        <f t="shared" si="6"/>
        <v>1132911</v>
      </c>
      <c r="W51" s="5">
        <f>M51-V51</f>
        <v>7957089</v>
      </c>
    </row>
    <row r="52" spans="1:26" ht="24.95" customHeight="1" x14ac:dyDescent="0.25">
      <c r="A52" s="65"/>
      <c r="B52" s="2">
        <v>49</v>
      </c>
      <c r="C52" s="9" t="s">
        <v>169</v>
      </c>
      <c r="D52" s="1" t="s">
        <v>31</v>
      </c>
      <c r="E52" s="4">
        <v>7700000</v>
      </c>
      <c r="F52" s="3">
        <v>29</v>
      </c>
      <c r="G52" s="3">
        <f t="shared" si="1"/>
        <v>7443333.333333333</v>
      </c>
      <c r="H52" s="4"/>
      <c r="I52" s="4"/>
      <c r="J52" s="4"/>
      <c r="K52" s="4">
        <f>+(800000/30)*F52</f>
        <v>773333.33333333337</v>
      </c>
      <c r="L52" s="11"/>
      <c r="M52" s="4">
        <f>+G52+H52+J52+K52+L52+I52</f>
        <v>8216666.666666666</v>
      </c>
      <c r="N52" s="4">
        <f>G52*4/100</f>
        <v>297733.33333333331</v>
      </c>
      <c r="O52" s="4">
        <f>+G52*0.05</f>
        <v>372166.66666666669</v>
      </c>
      <c r="P52" s="4">
        <v>2165000</v>
      </c>
      <c r="Q52" s="4"/>
      <c r="R52" s="4">
        <v>182000</v>
      </c>
      <c r="S52" s="4"/>
      <c r="T52" s="4"/>
      <c r="U52" s="4"/>
      <c r="V52" s="4">
        <f t="shared" ref="V52" si="21">SUM(N52:U52)</f>
        <v>3016900</v>
      </c>
      <c r="W52" s="5">
        <f>M52-V52</f>
        <v>5199766.666666666</v>
      </c>
    </row>
    <row r="53" spans="1:26" ht="24.95" customHeight="1" x14ac:dyDescent="0.25">
      <c r="A53" s="65"/>
      <c r="B53" s="2">
        <v>50</v>
      </c>
      <c r="C53" s="9" t="s">
        <v>72</v>
      </c>
      <c r="D53" s="1" t="s">
        <v>31</v>
      </c>
      <c r="E53" s="4">
        <v>6000000</v>
      </c>
      <c r="F53" s="3">
        <v>30</v>
      </c>
      <c r="G53" s="3">
        <f>+E53-L53</f>
        <v>6000000</v>
      </c>
      <c r="H53" s="4"/>
      <c r="I53" s="4"/>
      <c r="J53" s="4">
        <v>0</v>
      </c>
      <c r="K53" s="4">
        <v>500000</v>
      </c>
      <c r="L53" s="4"/>
      <c r="M53" s="4">
        <f t="shared" si="2"/>
        <v>6500000</v>
      </c>
      <c r="N53" s="4">
        <f t="shared" si="14"/>
        <v>240000</v>
      </c>
      <c r="O53" s="4">
        <f t="shared" si="15"/>
        <v>300000</v>
      </c>
      <c r="P53" s="4"/>
      <c r="Q53" s="4"/>
      <c r="R53" s="4">
        <v>144000</v>
      </c>
      <c r="S53" s="4"/>
      <c r="T53" s="4"/>
      <c r="U53" s="4"/>
      <c r="V53" s="4">
        <f t="shared" si="6"/>
        <v>684000</v>
      </c>
      <c r="W53" s="5">
        <f>M53-V53</f>
        <v>5816000</v>
      </c>
    </row>
    <row r="54" spans="1:26" ht="24.95" customHeight="1" x14ac:dyDescent="0.25">
      <c r="A54" s="65"/>
      <c r="B54" s="2">
        <v>51</v>
      </c>
      <c r="C54" s="1" t="s">
        <v>73</v>
      </c>
      <c r="D54" s="1" t="s">
        <v>31</v>
      </c>
      <c r="E54" s="4">
        <v>5350000</v>
      </c>
      <c r="F54" s="3">
        <v>30</v>
      </c>
      <c r="G54" s="3">
        <f t="shared" si="1"/>
        <v>5350000</v>
      </c>
      <c r="H54" s="4"/>
      <c r="I54" s="4"/>
      <c r="J54" s="4"/>
      <c r="K54" s="4"/>
      <c r="L54" s="4"/>
      <c r="M54" s="4">
        <f t="shared" si="2"/>
        <v>5350000</v>
      </c>
      <c r="N54" s="4">
        <f t="shared" si="14"/>
        <v>214000</v>
      </c>
      <c r="O54" s="4">
        <f t="shared" si="15"/>
        <v>267500</v>
      </c>
      <c r="P54" s="4"/>
      <c r="Q54" s="4"/>
      <c r="R54" s="4">
        <v>95000</v>
      </c>
      <c r="S54" s="4"/>
      <c r="T54" s="4"/>
      <c r="U54" s="4"/>
      <c r="V54" s="4">
        <f t="shared" si="6"/>
        <v>576500</v>
      </c>
      <c r="W54" s="5">
        <f t="shared" ref="W54:W61" si="22">+M54-V54</f>
        <v>4773500</v>
      </c>
    </row>
    <row r="55" spans="1:26" ht="24.95" customHeight="1" x14ac:dyDescent="0.25">
      <c r="A55" s="65"/>
      <c r="B55" s="2">
        <v>52</v>
      </c>
      <c r="C55" s="1" t="s">
        <v>74</v>
      </c>
      <c r="D55" s="2" t="s">
        <v>31</v>
      </c>
      <c r="E55" s="4">
        <v>4500000</v>
      </c>
      <c r="F55" s="3">
        <v>30</v>
      </c>
      <c r="G55" s="3">
        <f>+E55-L55</f>
        <v>4500000</v>
      </c>
      <c r="H55" s="4"/>
      <c r="I55" s="4"/>
      <c r="J55" s="4"/>
      <c r="K55" s="4"/>
      <c r="L55" s="4"/>
      <c r="M55" s="4">
        <f t="shared" si="2"/>
        <v>4500000</v>
      </c>
      <c r="N55" s="4">
        <f t="shared" si="14"/>
        <v>180000</v>
      </c>
      <c r="O55" s="4">
        <f t="shared" si="15"/>
        <v>225000</v>
      </c>
      <c r="P55" s="4"/>
      <c r="Q55" s="4"/>
      <c r="R55" s="4">
        <v>0</v>
      </c>
      <c r="S55" s="4"/>
      <c r="T55" s="4"/>
      <c r="U55" s="4"/>
      <c r="V55" s="4">
        <f t="shared" si="6"/>
        <v>405000</v>
      </c>
      <c r="W55" s="5">
        <f t="shared" si="22"/>
        <v>4095000</v>
      </c>
    </row>
    <row r="56" spans="1:26" ht="24.95" customHeight="1" x14ac:dyDescent="0.25">
      <c r="A56" s="65"/>
      <c r="B56" s="2">
        <v>53</v>
      </c>
      <c r="C56" s="1" t="s">
        <v>75</v>
      </c>
      <c r="D56" s="1" t="s">
        <v>31</v>
      </c>
      <c r="E56" s="4">
        <v>4770000</v>
      </c>
      <c r="F56" s="3">
        <v>30</v>
      </c>
      <c r="G56" s="3">
        <f t="shared" si="1"/>
        <v>4770000</v>
      </c>
      <c r="H56" s="4"/>
      <c r="I56" s="4"/>
      <c r="J56" s="4"/>
      <c r="K56" s="4"/>
      <c r="L56" s="4"/>
      <c r="M56" s="4">
        <f t="shared" si="2"/>
        <v>4770000</v>
      </c>
      <c r="N56" s="4">
        <f t="shared" si="14"/>
        <v>190800</v>
      </c>
      <c r="O56" s="4">
        <f t="shared" si="15"/>
        <v>238500</v>
      </c>
      <c r="P56" s="4"/>
      <c r="Q56" s="4"/>
      <c r="R56" s="4">
        <v>0</v>
      </c>
      <c r="S56" s="4"/>
      <c r="T56" s="4"/>
      <c r="U56" s="4">
        <v>317224</v>
      </c>
      <c r="V56" s="4">
        <f t="shared" si="6"/>
        <v>746524</v>
      </c>
      <c r="W56" s="5">
        <f t="shared" si="22"/>
        <v>4023476</v>
      </c>
    </row>
    <row r="57" spans="1:26" ht="24.95" customHeight="1" x14ac:dyDescent="0.25">
      <c r="A57" s="65"/>
      <c r="B57" s="2">
        <v>54</v>
      </c>
      <c r="C57" s="1" t="s">
        <v>163</v>
      </c>
      <c r="D57" s="1" t="s">
        <v>31</v>
      </c>
      <c r="E57" s="4">
        <v>6800000</v>
      </c>
      <c r="F57" s="3">
        <v>30</v>
      </c>
      <c r="G57" s="3">
        <f t="shared" si="1"/>
        <v>6800000</v>
      </c>
      <c r="H57" s="4"/>
      <c r="I57" s="4"/>
      <c r="J57" s="4"/>
      <c r="K57" s="4"/>
      <c r="L57" s="4"/>
      <c r="M57" s="4">
        <f t="shared" si="2"/>
        <v>6800000</v>
      </c>
      <c r="N57" s="4">
        <f>+G57*4%</f>
        <v>272000</v>
      </c>
      <c r="O57" s="4">
        <f>+G57*0.05</f>
        <v>340000</v>
      </c>
      <c r="P57" s="4"/>
      <c r="Q57" s="4"/>
      <c r="R57" s="4">
        <v>115000</v>
      </c>
      <c r="S57" s="4"/>
      <c r="T57" s="4"/>
      <c r="U57" s="4"/>
      <c r="V57" s="4">
        <f t="shared" ref="V57" si="23">SUM(N57:U57)</f>
        <v>727000</v>
      </c>
      <c r="W57" s="5">
        <f t="shared" si="22"/>
        <v>6073000</v>
      </c>
    </row>
    <row r="58" spans="1:26" ht="24.95" customHeight="1" x14ac:dyDescent="0.25">
      <c r="A58" s="65"/>
      <c r="B58" s="2">
        <v>55</v>
      </c>
      <c r="C58" s="1" t="s">
        <v>76</v>
      </c>
      <c r="D58" s="1" t="s">
        <v>31</v>
      </c>
      <c r="E58" s="4">
        <v>4800000</v>
      </c>
      <c r="F58" s="3">
        <v>30</v>
      </c>
      <c r="G58" s="3">
        <f>+E58-L58</f>
        <v>4800000</v>
      </c>
      <c r="H58" s="4"/>
      <c r="I58" s="4"/>
      <c r="J58" s="4"/>
      <c r="K58" s="4"/>
      <c r="L58" s="4"/>
      <c r="M58" s="4">
        <f t="shared" si="2"/>
        <v>4800000</v>
      </c>
      <c r="N58" s="4">
        <f t="shared" si="14"/>
        <v>192000</v>
      </c>
      <c r="O58" s="4">
        <f t="shared" si="15"/>
        <v>240000</v>
      </c>
      <c r="P58" s="4"/>
      <c r="Q58" s="4"/>
      <c r="R58" s="4">
        <v>0</v>
      </c>
      <c r="S58" s="4"/>
      <c r="T58" s="4"/>
      <c r="U58" s="4">
        <v>1198791</v>
      </c>
      <c r="V58" s="4">
        <f t="shared" si="6"/>
        <v>1630791</v>
      </c>
      <c r="W58" s="5">
        <f t="shared" si="22"/>
        <v>3169209</v>
      </c>
    </row>
    <row r="59" spans="1:26" ht="24.95" customHeight="1" x14ac:dyDescent="0.25">
      <c r="A59" s="65"/>
      <c r="B59" s="2">
        <v>56</v>
      </c>
      <c r="C59" s="1" t="s">
        <v>77</v>
      </c>
      <c r="D59" s="1" t="s">
        <v>31</v>
      </c>
      <c r="E59" s="4">
        <v>4400000</v>
      </c>
      <c r="F59" s="3">
        <v>30</v>
      </c>
      <c r="G59" s="3">
        <f>+E59-L59</f>
        <v>4400000</v>
      </c>
      <c r="H59" s="4"/>
      <c r="I59" s="4"/>
      <c r="J59" s="4"/>
      <c r="K59" s="4"/>
      <c r="L59" s="4"/>
      <c r="M59" s="4">
        <f t="shared" si="2"/>
        <v>4400000</v>
      </c>
      <c r="N59" s="4">
        <f>E59*4/100</f>
        <v>176000</v>
      </c>
      <c r="O59" s="4">
        <f>+E59*0.05</f>
        <v>220000</v>
      </c>
      <c r="P59" s="4"/>
      <c r="Q59" s="4"/>
      <c r="R59" s="4">
        <v>0</v>
      </c>
      <c r="S59" s="4"/>
      <c r="T59" s="4"/>
      <c r="U59" s="4">
        <v>141077</v>
      </c>
      <c r="V59" s="4">
        <f t="shared" si="6"/>
        <v>537077</v>
      </c>
      <c r="W59" s="5">
        <f t="shared" si="22"/>
        <v>3862923</v>
      </c>
    </row>
    <row r="60" spans="1:26" ht="24.95" customHeight="1" x14ac:dyDescent="0.25">
      <c r="A60" s="65"/>
      <c r="B60" s="2">
        <v>57</v>
      </c>
      <c r="C60" s="1" t="s">
        <v>78</v>
      </c>
      <c r="D60" s="1" t="s">
        <v>31</v>
      </c>
      <c r="E60" s="4">
        <v>6000000</v>
      </c>
      <c r="F60" s="3">
        <v>30</v>
      </c>
      <c r="G60" s="3">
        <f t="shared" si="1"/>
        <v>6000000</v>
      </c>
      <c r="H60" s="4"/>
      <c r="I60" s="4"/>
      <c r="J60" s="4"/>
      <c r="K60" s="4">
        <v>400000</v>
      </c>
      <c r="L60" s="4"/>
      <c r="M60" s="4">
        <f t="shared" si="2"/>
        <v>6400000</v>
      </c>
      <c r="N60" s="4">
        <f>E60*4/100</f>
        <v>240000</v>
      </c>
      <c r="O60" s="4">
        <f>+E60*0.05</f>
        <v>300000</v>
      </c>
      <c r="P60" s="4"/>
      <c r="Q60" s="4">
        <v>193581</v>
      </c>
      <c r="R60" s="4">
        <v>97000</v>
      </c>
      <c r="S60" s="4"/>
      <c r="T60" s="4"/>
      <c r="U60" s="4"/>
      <c r="V60" s="4">
        <f t="shared" si="6"/>
        <v>830581</v>
      </c>
      <c r="W60" s="5">
        <f t="shared" si="22"/>
        <v>5569419</v>
      </c>
    </row>
    <row r="61" spans="1:26" ht="24.95" customHeight="1" x14ac:dyDescent="0.25">
      <c r="A61" s="65"/>
      <c r="B61" s="2">
        <v>58</v>
      </c>
      <c r="C61" s="1" t="s">
        <v>154</v>
      </c>
      <c r="D61" s="1" t="s">
        <v>31</v>
      </c>
      <c r="E61" s="4">
        <v>4000000</v>
      </c>
      <c r="F61" s="3">
        <v>30</v>
      </c>
      <c r="G61" s="3">
        <f t="shared" si="1"/>
        <v>4000000.0000000005</v>
      </c>
      <c r="H61" s="4"/>
      <c r="I61" s="4"/>
      <c r="J61" s="4"/>
      <c r="K61" s="4"/>
      <c r="L61" s="4"/>
      <c r="M61" s="4">
        <f t="shared" si="2"/>
        <v>4000000.0000000005</v>
      </c>
      <c r="N61" s="4">
        <f>G61*4/100</f>
        <v>160000.00000000003</v>
      </c>
      <c r="O61" s="4">
        <f>+G61*0.05</f>
        <v>200000.00000000003</v>
      </c>
      <c r="P61" s="4"/>
      <c r="Q61" s="4"/>
      <c r="R61" s="4"/>
      <c r="S61" s="4"/>
      <c r="T61" s="4"/>
      <c r="U61" s="4"/>
      <c r="V61" s="4">
        <f t="shared" ref="V61" si="24">SUM(N61:U61)</f>
        <v>360000.00000000006</v>
      </c>
      <c r="W61" s="5">
        <f t="shared" si="22"/>
        <v>3640000.0000000005</v>
      </c>
    </row>
    <row r="62" spans="1:26" ht="24.95" customHeight="1" x14ac:dyDescent="0.25">
      <c r="A62" s="65"/>
      <c r="B62" s="2">
        <v>59</v>
      </c>
      <c r="C62" s="1" t="s">
        <v>79</v>
      </c>
      <c r="D62" s="1" t="s">
        <v>31</v>
      </c>
      <c r="E62" s="4">
        <v>5500000</v>
      </c>
      <c r="F62" s="3">
        <v>16</v>
      </c>
      <c r="G62" s="3">
        <f t="shared" si="1"/>
        <v>2933333.3333333335</v>
      </c>
      <c r="H62" s="4">
        <v>2100000</v>
      </c>
      <c r="I62" s="4"/>
      <c r="J62" s="4"/>
      <c r="K62" s="4"/>
      <c r="L62" s="4">
        <v>0</v>
      </c>
      <c r="M62" s="4">
        <f t="shared" si="2"/>
        <v>5033333.333333334</v>
      </c>
      <c r="N62" s="4">
        <f>M62*4/100</f>
        <v>201333.33333333337</v>
      </c>
      <c r="O62" s="4">
        <f>+M62*0.05</f>
        <v>251666.66666666672</v>
      </c>
      <c r="P62" s="4"/>
      <c r="Q62" s="4"/>
      <c r="R62" s="4">
        <v>57000</v>
      </c>
      <c r="S62" s="4"/>
      <c r="T62" s="4"/>
      <c r="U62" s="4"/>
      <c r="V62" s="4">
        <f t="shared" si="6"/>
        <v>510000.00000000012</v>
      </c>
      <c r="W62" s="5">
        <f>M62-V62</f>
        <v>4523333.333333334</v>
      </c>
    </row>
    <row r="63" spans="1:26" ht="24.95" customHeight="1" x14ac:dyDescent="0.25">
      <c r="A63" s="65"/>
      <c r="B63" s="2">
        <v>60</v>
      </c>
      <c r="C63" s="1" t="s">
        <v>80</v>
      </c>
      <c r="D63" s="1" t="s">
        <v>31</v>
      </c>
      <c r="E63" s="4">
        <v>6000000</v>
      </c>
      <c r="F63" s="3">
        <v>30</v>
      </c>
      <c r="G63" s="3">
        <f t="shared" si="1"/>
        <v>6000000</v>
      </c>
      <c r="H63" s="4"/>
      <c r="I63" s="4"/>
      <c r="J63" s="4"/>
      <c r="K63" s="4">
        <v>400000</v>
      </c>
      <c r="L63" s="4"/>
      <c r="M63" s="4">
        <f t="shared" si="2"/>
        <v>6400000</v>
      </c>
      <c r="N63" s="4">
        <f t="shared" si="14"/>
        <v>240000</v>
      </c>
      <c r="O63" s="4">
        <f t="shared" si="15"/>
        <v>300000</v>
      </c>
      <c r="P63" s="4"/>
      <c r="Q63" s="4"/>
      <c r="R63" s="4">
        <v>120000</v>
      </c>
      <c r="S63" s="4"/>
      <c r="T63" s="4"/>
      <c r="U63" s="4"/>
      <c r="V63" s="4">
        <f t="shared" si="6"/>
        <v>660000</v>
      </c>
      <c r="W63" s="5">
        <f>M63-V63</f>
        <v>5740000</v>
      </c>
    </row>
    <row r="64" spans="1:26" ht="24.95" customHeight="1" x14ac:dyDescent="0.25">
      <c r="A64" s="65"/>
      <c r="B64" s="2">
        <v>61</v>
      </c>
      <c r="C64" s="1" t="s">
        <v>81</v>
      </c>
      <c r="D64" s="1" t="s">
        <v>31</v>
      </c>
      <c r="E64" s="4">
        <v>4800000</v>
      </c>
      <c r="F64" s="3">
        <v>30</v>
      </c>
      <c r="G64" s="3">
        <f>+E64-L64</f>
        <v>4800000</v>
      </c>
      <c r="H64" s="4"/>
      <c r="I64" s="4"/>
      <c r="J64" s="4"/>
      <c r="K64" s="4"/>
      <c r="L64" s="4"/>
      <c r="M64" s="4">
        <f t="shared" si="2"/>
        <v>4800000</v>
      </c>
      <c r="N64" s="4">
        <f>+E64*4%</f>
        <v>192000</v>
      </c>
      <c r="O64" s="4">
        <f>+E64*5%</f>
        <v>240000</v>
      </c>
      <c r="P64" s="4"/>
      <c r="Q64" s="4"/>
      <c r="R64" s="4">
        <v>0</v>
      </c>
      <c r="S64" s="4"/>
      <c r="T64" s="4"/>
      <c r="U64" s="4"/>
      <c r="V64" s="4">
        <f t="shared" si="6"/>
        <v>432000</v>
      </c>
      <c r="W64" s="5">
        <f>+M64-V64</f>
        <v>4368000</v>
      </c>
    </row>
    <row r="65" spans="1:23" ht="24.95" customHeight="1" x14ac:dyDescent="0.25">
      <c r="A65" s="65"/>
      <c r="B65" s="2">
        <v>62</v>
      </c>
      <c r="C65" s="1" t="s">
        <v>155</v>
      </c>
      <c r="D65" s="1" t="s">
        <v>31</v>
      </c>
      <c r="E65" s="4">
        <v>4500000</v>
      </c>
      <c r="F65" s="3">
        <v>30</v>
      </c>
      <c r="G65" s="3">
        <f t="shared" si="1"/>
        <v>4500000</v>
      </c>
      <c r="H65" s="4"/>
      <c r="I65" s="4"/>
      <c r="J65" s="4"/>
      <c r="K65" s="4"/>
      <c r="L65" s="4"/>
      <c r="M65" s="4">
        <f t="shared" si="2"/>
        <v>4500000</v>
      </c>
      <c r="N65" s="4">
        <f>+G65*4%</f>
        <v>180000</v>
      </c>
      <c r="O65" s="4">
        <f>+G65*5%</f>
        <v>225000</v>
      </c>
      <c r="P65" s="4"/>
      <c r="Q65" s="4"/>
      <c r="R65" s="4"/>
      <c r="S65" s="4"/>
      <c r="T65" s="4"/>
      <c r="U65" s="4"/>
      <c r="V65" s="4">
        <f t="shared" ref="V65" si="25">SUM(N65:U65)</f>
        <v>405000</v>
      </c>
      <c r="W65" s="5">
        <f>+M65-V65</f>
        <v>4095000</v>
      </c>
    </row>
    <row r="66" spans="1:23" ht="24.95" customHeight="1" x14ac:dyDescent="0.25">
      <c r="A66" s="65"/>
      <c r="B66" s="2">
        <v>63</v>
      </c>
      <c r="C66" s="1" t="s">
        <v>82</v>
      </c>
      <c r="D66" s="1" t="s">
        <v>31</v>
      </c>
      <c r="E66" s="4">
        <v>6500000</v>
      </c>
      <c r="F66" s="3">
        <v>30</v>
      </c>
      <c r="G66" s="3">
        <f t="shared" si="1"/>
        <v>6500000</v>
      </c>
      <c r="H66" s="4"/>
      <c r="I66" s="4"/>
      <c r="J66" s="4"/>
      <c r="K66" s="4"/>
      <c r="L66" s="4"/>
      <c r="M66" s="4">
        <f t="shared" si="2"/>
        <v>6500000</v>
      </c>
      <c r="N66" s="4">
        <f>+E66*0.04</f>
        <v>260000</v>
      </c>
      <c r="O66" s="4">
        <f>+E66*0.05</f>
        <v>325000</v>
      </c>
      <c r="P66" s="4"/>
      <c r="Q66" s="4">
        <v>147000</v>
      </c>
      <c r="R66" s="4">
        <v>207372</v>
      </c>
      <c r="S66" s="4"/>
      <c r="T66" s="4"/>
      <c r="U66" s="4"/>
      <c r="V66" s="4">
        <f t="shared" si="6"/>
        <v>939372</v>
      </c>
      <c r="W66" s="5">
        <f>M66-V66</f>
        <v>5560628</v>
      </c>
    </row>
    <row r="67" spans="1:23" ht="24.95" customHeight="1" x14ac:dyDescent="0.25">
      <c r="A67" s="65" t="s">
        <v>83</v>
      </c>
      <c r="B67" s="2">
        <v>1</v>
      </c>
      <c r="C67" s="1" t="s">
        <v>84</v>
      </c>
      <c r="D67" s="1" t="s">
        <v>31</v>
      </c>
      <c r="E67" s="4">
        <v>912000</v>
      </c>
      <c r="F67" s="3">
        <v>30</v>
      </c>
      <c r="G67" s="3">
        <f t="shared" si="1"/>
        <v>912000</v>
      </c>
      <c r="H67" s="4">
        <v>88211</v>
      </c>
      <c r="I67" s="4"/>
      <c r="J67" s="4"/>
      <c r="K67" s="4"/>
      <c r="L67" s="4"/>
      <c r="M67" s="4">
        <f t="shared" si="2"/>
        <v>1000211</v>
      </c>
      <c r="N67" s="4">
        <f>+E67*0.04</f>
        <v>36480</v>
      </c>
      <c r="O67" s="4">
        <f>+E67*0.04</f>
        <v>36480</v>
      </c>
      <c r="P67" s="4"/>
      <c r="Q67" s="4"/>
      <c r="R67" s="4"/>
      <c r="S67" s="4"/>
      <c r="T67" s="4"/>
      <c r="U67" s="4"/>
      <c r="V67" s="4">
        <f>SUM(N67:U67)</f>
        <v>72960</v>
      </c>
      <c r="W67" s="5">
        <f>M67-V67</f>
        <v>927251</v>
      </c>
    </row>
    <row r="68" spans="1:23" ht="24.95" customHeight="1" x14ac:dyDescent="0.25">
      <c r="A68" s="65"/>
      <c r="B68" s="2">
        <v>2</v>
      </c>
      <c r="C68" s="1" t="s">
        <v>85</v>
      </c>
      <c r="D68" s="1" t="s">
        <v>31</v>
      </c>
      <c r="E68" s="4">
        <v>3000000</v>
      </c>
      <c r="F68" s="3">
        <v>30</v>
      </c>
      <c r="G68" s="3">
        <f t="shared" si="1"/>
        <v>3000000</v>
      </c>
      <c r="H68" s="4"/>
      <c r="I68" s="4"/>
      <c r="J68" s="4"/>
      <c r="K68" s="4"/>
      <c r="L68" s="4">
        <f>+E68-G68</f>
        <v>0</v>
      </c>
      <c r="M68" s="4">
        <f t="shared" si="2"/>
        <v>3000000</v>
      </c>
      <c r="N68" s="4">
        <f>+E68*0.04</f>
        <v>120000</v>
      </c>
      <c r="O68" s="4">
        <f>+E68*0.04</f>
        <v>120000</v>
      </c>
      <c r="P68" s="4"/>
      <c r="Q68" s="4"/>
      <c r="R68" s="4"/>
      <c r="S68" s="4"/>
      <c r="T68" s="4"/>
      <c r="U68" s="4"/>
      <c r="V68" s="4">
        <f t="shared" ref="V68:V115" si="26">SUM(N68:U68)</f>
        <v>240000</v>
      </c>
      <c r="W68" s="5">
        <f>M68-V68</f>
        <v>2760000</v>
      </c>
    </row>
    <row r="69" spans="1:23" ht="24.95" customHeight="1" x14ac:dyDescent="0.25">
      <c r="A69" s="65"/>
      <c r="B69" s="2">
        <v>3</v>
      </c>
      <c r="C69" s="9" t="s">
        <v>86</v>
      </c>
      <c r="D69" s="1" t="s">
        <v>31</v>
      </c>
      <c r="E69" s="4">
        <v>2500000</v>
      </c>
      <c r="F69" s="3">
        <v>30</v>
      </c>
      <c r="G69" s="3">
        <f t="shared" si="1"/>
        <v>2500000</v>
      </c>
      <c r="H69" s="4"/>
      <c r="I69" s="4"/>
      <c r="J69" s="4">
        <v>0</v>
      </c>
      <c r="K69" s="4"/>
      <c r="L69" s="4"/>
      <c r="M69" s="4">
        <f t="shared" si="2"/>
        <v>2500000</v>
      </c>
      <c r="N69" s="4">
        <f>+E69*4%</f>
        <v>100000</v>
      </c>
      <c r="O69" s="4">
        <f>+E69*4%</f>
        <v>100000</v>
      </c>
      <c r="P69" s="4"/>
      <c r="Q69" s="4"/>
      <c r="R69" s="4"/>
      <c r="S69" s="4"/>
      <c r="T69" s="4"/>
      <c r="U69" s="4"/>
      <c r="V69" s="4">
        <f t="shared" si="26"/>
        <v>200000</v>
      </c>
      <c r="W69" s="5">
        <f>M69-V69</f>
        <v>2300000</v>
      </c>
    </row>
    <row r="70" spans="1:23" ht="24.95" customHeight="1" x14ac:dyDescent="0.25">
      <c r="A70" s="65"/>
      <c r="B70" s="2">
        <v>4</v>
      </c>
      <c r="C70" s="1" t="s">
        <v>87</v>
      </c>
      <c r="D70" s="1" t="s">
        <v>31</v>
      </c>
      <c r="E70" s="4">
        <v>3000000</v>
      </c>
      <c r="F70" s="3">
        <v>30</v>
      </c>
      <c r="G70" s="3">
        <f t="shared" si="1"/>
        <v>3000000</v>
      </c>
      <c r="H70" s="4">
        <v>0</v>
      </c>
      <c r="I70" s="4"/>
      <c r="J70" s="4"/>
      <c r="K70" s="4"/>
      <c r="L70" s="4"/>
      <c r="M70" s="4">
        <f t="shared" si="2"/>
        <v>3000000</v>
      </c>
      <c r="N70" s="4">
        <f>+E70*4%</f>
        <v>120000</v>
      </c>
      <c r="O70" s="4">
        <f>+E70*4%</f>
        <v>120000</v>
      </c>
      <c r="P70" s="4"/>
      <c r="Q70" s="4"/>
      <c r="R70" s="7"/>
      <c r="S70" s="4"/>
      <c r="T70" s="4"/>
      <c r="U70" s="4"/>
      <c r="V70" s="4">
        <f t="shared" si="26"/>
        <v>240000</v>
      </c>
      <c r="W70" s="5">
        <f t="shared" ref="W70:W80" si="27">+M70-V70</f>
        <v>2760000</v>
      </c>
    </row>
    <row r="71" spans="1:23" ht="24.95" customHeight="1" x14ac:dyDescent="0.25">
      <c r="A71" s="65"/>
      <c r="B71" s="2">
        <v>5</v>
      </c>
      <c r="C71" s="1" t="s">
        <v>156</v>
      </c>
      <c r="D71" s="1" t="s">
        <v>31</v>
      </c>
      <c r="E71" s="4">
        <v>781242</v>
      </c>
      <c r="F71" s="3">
        <v>30</v>
      </c>
      <c r="G71" s="3">
        <f t="shared" si="1"/>
        <v>781242</v>
      </c>
      <c r="H71" s="4"/>
      <c r="I71" s="4"/>
      <c r="J71" s="4"/>
      <c r="K71" s="4"/>
      <c r="L71" s="4"/>
      <c r="M71" s="4">
        <f t="shared" si="2"/>
        <v>781242</v>
      </c>
      <c r="N71" s="4">
        <v>0</v>
      </c>
      <c r="O71" s="4">
        <v>0</v>
      </c>
      <c r="P71" s="4"/>
      <c r="Q71" s="4"/>
      <c r="R71" s="7"/>
      <c r="S71" s="4"/>
      <c r="T71" s="4"/>
      <c r="U71" s="4"/>
      <c r="V71" s="4">
        <f t="shared" ref="V71" si="28">SUM(N71:U71)</f>
        <v>0</v>
      </c>
      <c r="W71" s="5">
        <f t="shared" si="27"/>
        <v>781242</v>
      </c>
    </row>
    <row r="72" spans="1:23" ht="24.95" customHeight="1" x14ac:dyDescent="0.25">
      <c r="A72" s="65"/>
      <c r="B72" s="2">
        <v>6</v>
      </c>
      <c r="C72" s="1" t="s">
        <v>89</v>
      </c>
      <c r="D72" s="1" t="s">
        <v>31</v>
      </c>
      <c r="E72" s="4">
        <v>2200000</v>
      </c>
      <c r="F72" s="3">
        <v>30</v>
      </c>
      <c r="G72" s="3">
        <f>+E72-L72</f>
        <v>1760000</v>
      </c>
      <c r="H72" s="4"/>
      <c r="I72" s="4"/>
      <c r="J72" s="4"/>
      <c r="K72" s="4"/>
      <c r="L72" s="4">
        <v>440000</v>
      </c>
      <c r="M72" s="4">
        <f t="shared" si="2"/>
        <v>2200000</v>
      </c>
      <c r="N72" s="4">
        <f>+E72*4%</f>
        <v>88000</v>
      </c>
      <c r="O72" s="4">
        <f>+E72*4%</f>
        <v>88000</v>
      </c>
      <c r="P72" s="4"/>
      <c r="Q72" s="4"/>
      <c r="R72" s="7"/>
      <c r="S72" s="4"/>
      <c r="T72" s="4"/>
      <c r="U72" s="4"/>
      <c r="V72" s="4">
        <f t="shared" si="26"/>
        <v>176000</v>
      </c>
      <c r="W72" s="5">
        <f t="shared" si="27"/>
        <v>2024000</v>
      </c>
    </row>
    <row r="73" spans="1:23" ht="24.95" customHeight="1" x14ac:dyDescent="0.25">
      <c r="A73" s="65"/>
      <c r="B73" s="2">
        <v>7</v>
      </c>
      <c r="C73" s="1" t="s">
        <v>90</v>
      </c>
      <c r="D73" s="1" t="s">
        <v>31</v>
      </c>
      <c r="E73" s="4">
        <v>1800000</v>
      </c>
      <c r="F73" s="3">
        <v>30</v>
      </c>
      <c r="G73" s="3">
        <f>+E73-L73</f>
        <v>1800000</v>
      </c>
      <c r="H73" s="4">
        <v>0</v>
      </c>
      <c r="I73" s="4"/>
      <c r="J73" s="4"/>
      <c r="K73" s="4"/>
      <c r="L73" s="4"/>
      <c r="M73" s="4">
        <f t="shared" si="2"/>
        <v>1800000</v>
      </c>
      <c r="N73" s="4">
        <f>+E73*4%</f>
        <v>72000</v>
      </c>
      <c r="O73" s="4">
        <f>+E73*4%</f>
        <v>72000</v>
      </c>
      <c r="P73" s="4"/>
      <c r="Q73" s="4"/>
      <c r="R73" s="4">
        <v>0</v>
      </c>
      <c r="S73" s="4"/>
      <c r="T73" s="4"/>
      <c r="U73" s="4">
        <v>252510</v>
      </c>
      <c r="V73" s="4">
        <f t="shared" si="26"/>
        <v>396510</v>
      </c>
      <c r="W73" s="5">
        <f t="shared" si="27"/>
        <v>1403490</v>
      </c>
    </row>
    <row r="74" spans="1:23" ht="24.95" customHeight="1" x14ac:dyDescent="0.25">
      <c r="A74" s="65"/>
      <c r="B74" s="2">
        <v>8</v>
      </c>
      <c r="C74" s="1" t="s">
        <v>91</v>
      </c>
      <c r="D74" s="1" t="s">
        <v>31</v>
      </c>
      <c r="E74" s="4">
        <v>781242</v>
      </c>
      <c r="F74" s="3">
        <v>30</v>
      </c>
      <c r="G74" s="3">
        <f t="shared" si="1"/>
        <v>781242</v>
      </c>
      <c r="H74" s="4">
        <v>88211</v>
      </c>
      <c r="I74" s="4"/>
      <c r="J74" s="4"/>
      <c r="K74" s="4"/>
      <c r="L74" s="4"/>
      <c r="M74" s="4">
        <f t="shared" si="2"/>
        <v>869453</v>
      </c>
      <c r="N74" s="4">
        <v>31250</v>
      </c>
      <c r="O74" s="4">
        <v>31250</v>
      </c>
      <c r="P74" s="4"/>
      <c r="Q74" s="4"/>
      <c r="R74" s="7"/>
      <c r="S74" s="4"/>
      <c r="T74" s="4"/>
      <c r="U74" s="4"/>
      <c r="V74" s="4">
        <f t="shared" si="26"/>
        <v>62500</v>
      </c>
      <c r="W74" s="5">
        <f t="shared" si="27"/>
        <v>806953</v>
      </c>
    </row>
    <row r="75" spans="1:23" ht="24.95" customHeight="1" x14ac:dyDescent="0.25">
      <c r="A75" s="65"/>
      <c r="B75" s="2">
        <v>9</v>
      </c>
      <c r="C75" s="1" t="s">
        <v>92</v>
      </c>
      <c r="D75" s="1" t="s">
        <v>31</v>
      </c>
      <c r="E75" s="4">
        <v>3000000</v>
      </c>
      <c r="F75" s="3">
        <v>30</v>
      </c>
      <c r="G75" s="3">
        <f>+E75-L75</f>
        <v>2200000</v>
      </c>
      <c r="H75" s="4"/>
      <c r="I75" s="4"/>
      <c r="J75" s="4"/>
      <c r="K75" s="4"/>
      <c r="L75" s="4">
        <v>800000</v>
      </c>
      <c r="M75" s="4">
        <f t="shared" si="2"/>
        <v>3000000</v>
      </c>
      <c r="N75" s="4">
        <f t="shared" ref="N75:N81" si="29">+E75*4%</f>
        <v>120000</v>
      </c>
      <c r="O75" s="4">
        <f>+E75*4%</f>
        <v>120000</v>
      </c>
      <c r="P75" s="4"/>
      <c r="Q75" s="4"/>
      <c r="R75" s="4"/>
      <c r="S75" s="4"/>
      <c r="T75" s="4"/>
      <c r="U75" s="4"/>
      <c r="V75" s="4">
        <f t="shared" si="26"/>
        <v>240000</v>
      </c>
      <c r="W75" s="5">
        <f t="shared" si="27"/>
        <v>2760000</v>
      </c>
    </row>
    <row r="76" spans="1:23" ht="24.95" customHeight="1" x14ac:dyDescent="0.25">
      <c r="A76" s="65"/>
      <c r="B76" s="2">
        <v>10</v>
      </c>
      <c r="C76" s="1" t="s">
        <v>94</v>
      </c>
      <c r="D76" s="1" t="s">
        <v>31</v>
      </c>
      <c r="E76" s="4">
        <v>2500000</v>
      </c>
      <c r="F76" s="3">
        <v>30</v>
      </c>
      <c r="G76" s="3">
        <f t="shared" si="1"/>
        <v>2500000</v>
      </c>
      <c r="H76" s="4"/>
      <c r="I76" s="4"/>
      <c r="J76" s="4"/>
      <c r="K76" s="4">
        <v>700000</v>
      </c>
      <c r="L76" s="4"/>
      <c r="M76" s="4">
        <f t="shared" si="2"/>
        <v>3200000</v>
      </c>
      <c r="N76" s="4">
        <f t="shared" si="29"/>
        <v>100000</v>
      </c>
      <c r="O76" s="4">
        <f>+E76*4%</f>
        <v>100000</v>
      </c>
      <c r="P76" s="4"/>
      <c r="Q76" s="4"/>
      <c r="R76" s="4">
        <v>0</v>
      </c>
      <c r="S76" s="4"/>
      <c r="T76" s="4"/>
      <c r="U76" s="4">
        <f>200210+224445</f>
        <v>424655</v>
      </c>
      <c r="V76" s="4">
        <f t="shared" si="26"/>
        <v>624655</v>
      </c>
      <c r="W76" s="5">
        <f t="shared" si="27"/>
        <v>2575345</v>
      </c>
    </row>
    <row r="77" spans="1:23" ht="24.95" customHeight="1" x14ac:dyDescent="0.25">
      <c r="A77" s="65"/>
      <c r="B77" s="2">
        <v>11</v>
      </c>
      <c r="C77" s="1" t="s">
        <v>95</v>
      </c>
      <c r="D77" s="1" t="s">
        <v>31</v>
      </c>
      <c r="E77" s="4">
        <v>4000000</v>
      </c>
      <c r="F77" s="3">
        <v>30</v>
      </c>
      <c r="G77" s="3">
        <f t="shared" si="1"/>
        <v>4000000.0000000005</v>
      </c>
      <c r="H77" s="4"/>
      <c r="I77" s="4"/>
      <c r="J77" s="4"/>
      <c r="K77" s="4"/>
      <c r="L77" s="4"/>
      <c r="M77" s="4">
        <f t="shared" si="2"/>
        <v>4000000.0000000005</v>
      </c>
      <c r="N77" s="4">
        <f t="shared" si="29"/>
        <v>160000</v>
      </c>
      <c r="O77" s="4">
        <f>+E77*5%</f>
        <v>200000</v>
      </c>
      <c r="P77" s="4">
        <v>0</v>
      </c>
      <c r="Q77" s="4"/>
      <c r="R77" s="4">
        <v>0</v>
      </c>
      <c r="S77" s="4"/>
      <c r="T77" s="4"/>
      <c r="U77" s="4">
        <v>422966</v>
      </c>
      <c r="V77" s="4">
        <f t="shared" si="26"/>
        <v>782966</v>
      </c>
      <c r="W77" s="5">
        <f t="shared" si="27"/>
        <v>3217034.0000000005</v>
      </c>
    </row>
    <row r="78" spans="1:23" ht="24.95" customHeight="1" x14ac:dyDescent="0.25">
      <c r="A78" s="65"/>
      <c r="B78" s="2">
        <v>12</v>
      </c>
      <c r="C78" s="1" t="s">
        <v>96</v>
      </c>
      <c r="D78" s="1" t="s">
        <v>31</v>
      </c>
      <c r="E78" s="4">
        <v>1500000</v>
      </c>
      <c r="F78" s="3">
        <v>30</v>
      </c>
      <c r="G78" s="3">
        <f>+E78-J78</f>
        <v>1500000</v>
      </c>
      <c r="H78" s="4">
        <v>88211</v>
      </c>
      <c r="I78" s="4"/>
      <c r="J78" s="4"/>
      <c r="K78" s="4"/>
      <c r="L78" s="4"/>
      <c r="M78" s="4">
        <f t="shared" si="2"/>
        <v>1588211</v>
      </c>
      <c r="N78" s="4">
        <f>+E78*4%</f>
        <v>60000</v>
      </c>
      <c r="O78" s="4">
        <f>+E78*4%</f>
        <v>60000</v>
      </c>
      <c r="P78" s="4"/>
      <c r="Q78" s="4">
        <v>10000</v>
      </c>
      <c r="R78" s="4">
        <v>0</v>
      </c>
      <c r="S78" s="4"/>
      <c r="T78" s="4"/>
      <c r="U78" s="4"/>
      <c r="V78" s="4">
        <f t="shared" si="26"/>
        <v>130000</v>
      </c>
      <c r="W78" s="5">
        <f t="shared" si="27"/>
        <v>1458211</v>
      </c>
    </row>
    <row r="79" spans="1:23" ht="24.95" customHeight="1" x14ac:dyDescent="0.25">
      <c r="A79" s="65"/>
      <c r="B79" s="2">
        <v>13</v>
      </c>
      <c r="C79" s="1" t="s">
        <v>97</v>
      </c>
      <c r="D79" s="1" t="s">
        <v>31</v>
      </c>
      <c r="E79" s="4">
        <v>3000000</v>
      </c>
      <c r="F79" s="3">
        <v>30</v>
      </c>
      <c r="G79" s="3">
        <f t="shared" si="1"/>
        <v>3000000</v>
      </c>
      <c r="H79" s="4"/>
      <c r="I79" s="4"/>
      <c r="J79" s="4"/>
      <c r="K79" s="4">
        <v>200000</v>
      </c>
      <c r="L79" s="4"/>
      <c r="M79" s="4">
        <f t="shared" si="2"/>
        <v>3200000</v>
      </c>
      <c r="N79" s="4">
        <f t="shared" si="29"/>
        <v>120000</v>
      </c>
      <c r="O79" s="4">
        <f>+E79*0.04</f>
        <v>120000</v>
      </c>
      <c r="P79" s="4"/>
      <c r="Q79" s="4"/>
      <c r="R79" s="4">
        <v>0</v>
      </c>
      <c r="S79" s="4"/>
      <c r="T79" s="4"/>
      <c r="U79" s="4">
        <v>323803</v>
      </c>
      <c r="V79" s="4">
        <f t="shared" si="26"/>
        <v>563803</v>
      </c>
      <c r="W79" s="5">
        <f t="shared" si="27"/>
        <v>2636197</v>
      </c>
    </row>
    <row r="80" spans="1:23" ht="24.95" customHeight="1" x14ac:dyDescent="0.25">
      <c r="A80" s="65"/>
      <c r="B80" s="2">
        <v>14</v>
      </c>
      <c r="C80" s="1" t="s">
        <v>98</v>
      </c>
      <c r="D80" s="1" t="s">
        <v>31</v>
      </c>
      <c r="E80" s="4">
        <v>2000000</v>
      </c>
      <c r="F80" s="3">
        <v>30</v>
      </c>
      <c r="G80" s="3">
        <f t="shared" si="1"/>
        <v>2000000.0000000002</v>
      </c>
      <c r="H80" s="4"/>
      <c r="I80" s="4"/>
      <c r="J80" s="4"/>
      <c r="K80" s="4"/>
      <c r="L80" s="4"/>
      <c r="M80" s="4">
        <f t="shared" si="2"/>
        <v>2000000.0000000002</v>
      </c>
      <c r="N80" s="4">
        <f t="shared" si="29"/>
        <v>80000</v>
      </c>
      <c r="O80" s="4">
        <f>+E80*4%</f>
        <v>80000</v>
      </c>
      <c r="P80" s="4"/>
      <c r="Q80" s="4"/>
      <c r="R80" s="4">
        <v>0</v>
      </c>
      <c r="S80" s="4"/>
      <c r="T80" s="4"/>
      <c r="U80" s="4"/>
      <c r="V80" s="4">
        <f t="shared" si="26"/>
        <v>160000</v>
      </c>
      <c r="W80" s="5">
        <f t="shared" si="27"/>
        <v>1840000.0000000002</v>
      </c>
    </row>
    <row r="81" spans="1:23" ht="24.95" customHeight="1" x14ac:dyDescent="0.25">
      <c r="A81" s="65"/>
      <c r="B81" s="2">
        <v>15</v>
      </c>
      <c r="C81" s="9" t="s">
        <v>99</v>
      </c>
      <c r="D81" s="1" t="s">
        <v>31</v>
      </c>
      <c r="E81" s="4">
        <v>4500000</v>
      </c>
      <c r="F81" s="3">
        <v>30</v>
      </c>
      <c r="G81" s="3">
        <f t="shared" si="1"/>
        <v>4500000</v>
      </c>
      <c r="H81" s="4"/>
      <c r="I81" s="4"/>
      <c r="J81" s="4"/>
      <c r="K81" s="4"/>
      <c r="L81" s="4"/>
      <c r="M81" s="4">
        <f t="shared" si="2"/>
        <v>4500000</v>
      </c>
      <c r="N81" s="4">
        <f t="shared" si="29"/>
        <v>180000</v>
      </c>
      <c r="O81" s="4">
        <f>+E81*5%</f>
        <v>225000</v>
      </c>
      <c r="P81" s="4"/>
      <c r="Q81" s="4"/>
      <c r="R81" s="4">
        <v>0</v>
      </c>
      <c r="S81" s="4"/>
      <c r="T81" s="4"/>
      <c r="U81" s="4"/>
      <c r="V81" s="4">
        <f t="shared" si="26"/>
        <v>405000</v>
      </c>
      <c r="W81" s="5">
        <f t="shared" ref="W81:W90" si="30">M81-V81</f>
        <v>4095000</v>
      </c>
    </row>
    <row r="82" spans="1:23" ht="24.95" customHeight="1" x14ac:dyDescent="0.25">
      <c r="A82" s="65"/>
      <c r="B82" s="2">
        <v>16</v>
      </c>
      <c r="C82" s="1" t="s">
        <v>101</v>
      </c>
      <c r="D82" s="1" t="s">
        <v>31</v>
      </c>
      <c r="E82" s="4">
        <v>1000000</v>
      </c>
      <c r="F82" s="3">
        <v>30</v>
      </c>
      <c r="G82" s="3">
        <f t="shared" si="1"/>
        <v>1000000.0000000001</v>
      </c>
      <c r="H82" s="4">
        <v>88211</v>
      </c>
      <c r="I82" s="4"/>
      <c r="J82" s="4"/>
      <c r="K82" s="4"/>
      <c r="L82" s="4"/>
      <c r="M82" s="4">
        <f t="shared" si="2"/>
        <v>1088211</v>
      </c>
      <c r="N82" s="4">
        <f>+E82*4%</f>
        <v>40000</v>
      </c>
      <c r="O82" s="4">
        <f>+E82*4%</f>
        <v>40000</v>
      </c>
      <c r="P82" s="4"/>
      <c r="Q82" s="4"/>
      <c r="R82" s="4"/>
      <c r="S82" s="4"/>
      <c r="T82" s="4"/>
      <c r="U82" s="4"/>
      <c r="V82" s="4">
        <f t="shared" si="26"/>
        <v>80000</v>
      </c>
      <c r="W82" s="5">
        <f t="shared" si="30"/>
        <v>1008211</v>
      </c>
    </row>
    <row r="83" spans="1:23" ht="24.95" customHeight="1" x14ac:dyDescent="0.25">
      <c r="A83" s="65"/>
      <c r="B83" s="2">
        <v>17</v>
      </c>
      <c r="C83" s="1" t="s">
        <v>170</v>
      </c>
      <c r="D83" s="1" t="s">
        <v>31</v>
      </c>
      <c r="E83" s="4">
        <v>390621</v>
      </c>
      <c r="F83" s="3">
        <v>8</v>
      </c>
      <c r="G83" s="3">
        <f t="shared" si="1"/>
        <v>104165.6</v>
      </c>
      <c r="H83" s="4"/>
      <c r="I83" s="4"/>
      <c r="J83" s="4"/>
      <c r="K83" s="4"/>
      <c r="L83" s="4"/>
      <c r="M83" s="4">
        <f t="shared" si="2"/>
        <v>104165.6</v>
      </c>
      <c r="N83" s="4"/>
      <c r="O83" s="4"/>
      <c r="P83" s="4"/>
      <c r="Q83" s="4"/>
      <c r="R83" s="4"/>
      <c r="S83" s="4"/>
      <c r="T83" s="4"/>
      <c r="U83" s="4"/>
      <c r="V83" s="4"/>
      <c r="W83" s="5">
        <f t="shared" si="30"/>
        <v>104165.6</v>
      </c>
    </row>
    <row r="84" spans="1:23" ht="24.95" customHeight="1" x14ac:dyDescent="0.25">
      <c r="A84" s="65"/>
      <c r="B84" s="2">
        <v>18</v>
      </c>
      <c r="C84" s="1" t="s">
        <v>103</v>
      </c>
      <c r="D84" s="1" t="s">
        <v>31</v>
      </c>
      <c r="E84" s="4">
        <v>4800000</v>
      </c>
      <c r="F84" s="3">
        <v>30</v>
      </c>
      <c r="G84" s="3">
        <f t="shared" ref="G84:G114" si="31">+E84/30*F84</f>
        <v>4800000</v>
      </c>
      <c r="H84" s="4"/>
      <c r="I84" s="4"/>
      <c r="J84" s="4"/>
      <c r="K84" s="4"/>
      <c r="L84" s="4"/>
      <c r="M84" s="4">
        <f t="shared" ref="M84:M115" si="32">+G84+H84+J84+K84+L84+I84</f>
        <v>4800000</v>
      </c>
      <c r="N84" s="4">
        <f>+E84*0.04</f>
        <v>192000</v>
      </c>
      <c r="O84" s="4">
        <f>+E84*0.05</f>
        <v>240000</v>
      </c>
      <c r="P84" s="4"/>
      <c r="Q84" s="4"/>
      <c r="R84" s="4">
        <v>31000</v>
      </c>
      <c r="S84" s="4"/>
      <c r="T84" s="4"/>
      <c r="U84" s="4"/>
      <c r="V84" s="4">
        <f t="shared" si="26"/>
        <v>463000</v>
      </c>
      <c r="W84" s="5">
        <f t="shared" si="30"/>
        <v>4337000</v>
      </c>
    </row>
    <row r="85" spans="1:23" ht="24.95" customHeight="1" x14ac:dyDescent="0.25">
      <c r="A85" s="65"/>
      <c r="B85" s="2">
        <v>19</v>
      </c>
      <c r="C85" s="1" t="s">
        <v>104</v>
      </c>
      <c r="D85" s="1" t="s">
        <v>31</v>
      </c>
      <c r="E85" s="4">
        <v>2500000</v>
      </c>
      <c r="F85" s="3">
        <v>30</v>
      </c>
      <c r="G85" s="3">
        <f t="shared" si="31"/>
        <v>2500000</v>
      </c>
      <c r="H85" s="4"/>
      <c r="I85" s="4"/>
      <c r="J85" s="4"/>
      <c r="K85" s="4"/>
      <c r="L85" s="4"/>
      <c r="M85" s="4">
        <f t="shared" si="32"/>
        <v>2500000</v>
      </c>
      <c r="N85" s="4">
        <f>+E85*4%</f>
        <v>100000</v>
      </c>
      <c r="O85" s="4">
        <f>+E85*4%</f>
        <v>100000</v>
      </c>
      <c r="P85" s="4"/>
      <c r="Q85" s="4"/>
      <c r="R85" s="4"/>
      <c r="S85" s="4"/>
      <c r="T85" s="4"/>
      <c r="U85" s="4"/>
      <c r="V85" s="4">
        <f t="shared" si="26"/>
        <v>200000</v>
      </c>
      <c r="W85" s="5">
        <f t="shared" si="30"/>
        <v>2300000</v>
      </c>
    </row>
    <row r="86" spans="1:23" ht="24.95" customHeight="1" x14ac:dyDescent="0.25">
      <c r="A86" s="65"/>
      <c r="B86" s="2">
        <v>20</v>
      </c>
      <c r="C86" s="1" t="s">
        <v>105</v>
      </c>
      <c r="D86" s="1" t="s">
        <v>31</v>
      </c>
      <c r="E86" s="4">
        <v>1272000</v>
      </c>
      <c r="F86" s="3">
        <v>30</v>
      </c>
      <c r="G86" s="3">
        <f t="shared" si="31"/>
        <v>1272000</v>
      </c>
      <c r="H86" s="4">
        <v>88211</v>
      </c>
      <c r="I86" s="4"/>
      <c r="J86" s="4"/>
      <c r="K86" s="4"/>
      <c r="L86" s="4"/>
      <c r="M86" s="4">
        <f t="shared" si="32"/>
        <v>1360211</v>
      </c>
      <c r="N86" s="4">
        <f>+E86*4%</f>
        <v>50880</v>
      </c>
      <c r="O86" s="4">
        <f>+E86*4%</f>
        <v>50880</v>
      </c>
      <c r="P86" s="4"/>
      <c r="Q86" s="4"/>
      <c r="R86" s="4"/>
      <c r="S86" s="4"/>
      <c r="T86" s="4"/>
      <c r="U86" s="4"/>
      <c r="V86" s="4">
        <f t="shared" si="26"/>
        <v>101760</v>
      </c>
      <c r="W86" s="5">
        <f t="shared" si="30"/>
        <v>1258451</v>
      </c>
    </row>
    <row r="87" spans="1:23" ht="24.95" customHeight="1" x14ac:dyDescent="0.25">
      <c r="A87" s="65"/>
      <c r="B87" s="2">
        <v>21</v>
      </c>
      <c r="C87" s="1" t="s">
        <v>106</v>
      </c>
      <c r="D87" s="1" t="s">
        <v>31</v>
      </c>
      <c r="E87" s="4">
        <v>2500000</v>
      </c>
      <c r="F87" s="3">
        <v>30</v>
      </c>
      <c r="G87" s="3">
        <f t="shared" si="31"/>
        <v>2500000</v>
      </c>
      <c r="H87" s="4"/>
      <c r="I87" s="4"/>
      <c r="J87" s="4"/>
      <c r="K87" s="4"/>
      <c r="L87" s="4"/>
      <c r="M87" s="4">
        <f t="shared" si="32"/>
        <v>2500000</v>
      </c>
      <c r="N87" s="4">
        <f>+E87*4%</f>
        <v>100000</v>
      </c>
      <c r="O87" s="4">
        <f>+E87*4%</f>
        <v>100000</v>
      </c>
      <c r="P87" s="4"/>
      <c r="Q87" s="4"/>
      <c r="R87" s="4">
        <v>0</v>
      </c>
      <c r="S87" s="4"/>
      <c r="T87" s="4"/>
      <c r="U87" s="4"/>
      <c r="V87" s="4">
        <f t="shared" si="26"/>
        <v>200000</v>
      </c>
      <c r="W87" s="5">
        <f t="shared" si="30"/>
        <v>2300000</v>
      </c>
    </row>
    <row r="88" spans="1:23" ht="24.95" customHeight="1" x14ac:dyDescent="0.25">
      <c r="A88" s="65"/>
      <c r="B88" s="2">
        <v>22</v>
      </c>
      <c r="C88" s="1" t="s">
        <v>107</v>
      </c>
      <c r="D88" s="1" t="s">
        <v>31</v>
      </c>
      <c r="E88" s="4">
        <v>781242</v>
      </c>
      <c r="F88" s="3">
        <v>30</v>
      </c>
      <c r="G88" s="3">
        <f t="shared" si="31"/>
        <v>781242</v>
      </c>
      <c r="H88" s="4"/>
      <c r="I88" s="4"/>
      <c r="J88" s="4"/>
      <c r="K88" s="4"/>
      <c r="L88" s="4"/>
      <c r="M88" s="4">
        <f t="shared" si="32"/>
        <v>781242</v>
      </c>
      <c r="N88" s="4"/>
      <c r="O88" s="4"/>
      <c r="P88" s="4"/>
      <c r="Q88" s="4"/>
      <c r="R88" s="4"/>
      <c r="S88" s="4"/>
      <c r="T88" s="4"/>
      <c r="U88" s="4"/>
      <c r="V88" s="4">
        <f t="shared" si="26"/>
        <v>0</v>
      </c>
      <c r="W88" s="5">
        <f t="shared" si="30"/>
        <v>781242</v>
      </c>
    </row>
    <row r="89" spans="1:23" ht="24.95" customHeight="1" x14ac:dyDescent="0.25">
      <c r="A89" s="65"/>
      <c r="B89" s="2">
        <v>23</v>
      </c>
      <c r="C89" s="9" t="s">
        <v>109</v>
      </c>
      <c r="D89" s="1" t="s">
        <v>31</v>
      </c>
      <c r="E89" s="4">
        <v>1700000</v>
      </c>
      <c r="F89" s="3">
        <v>30</v>
      </c>
      <c r="G89" s="3">
        <f t="shared" si="31"/>
        <v>1700000</v>
      </c>
      <c r="H89" s="4"/>
      <c r="I89" s="4"/>
      <c r="J89" s="4"/>
      <c r="K89" s="4"/>
      <c r="L89" s="4"/>
      <c r="M89" s="4">
        <f t="shared" si="32"/>
        <v>1700000</v>
      </c>
      <c r="N89" s="4">
        <f t="shared" ref="N89:N96" si="33">+E89*4%</f>
        <v>68000</v>
      </c>
      <c r="O89" s="4">
        <f>+E89*4%</f>
        <v>68000</v>
      </c>
      <c r="P89" s="4"/>
      <c r="Q89" s="4"/>
      <c r="R89" s="4"/>
      <c r="S89" s="4"/>
      <c r="T89" s="4"/>
      <c r="U89" s="4"/>
      <c r="V89" s="4">
        <f t="shared" si="26"/>
        <v>136000</v>
      </c>
      <c r="W89" s="5">
        <f t="shared" si="30"/>
        <v>1564000</v>
      </c>
    </row>
    <row r="90" spans="1:23" ht="24.95" customHeight="1" x14ac:dyDescent="0.25">
      <c r="A90" s="65"/>
      <c r="B90" s="2">
        <v>24</v>
      </c>
      <c r="C90" s="9" t="s">
        <v>110</v>
      </c>
      <c r="D90" s="1" t="s">
        <v>31</v>
      </c>
      <c r="E90" s="4">
        <v>2400000</v>
      </c>
      <c r="F90" s="3">
        <v>30</v>
      </c>
      <c r="G90" s="3">
        <f t="shared" si="31"/>
        <v>2400000</v>
      </c>
      <c r="H90" s="4"/>
      <c r="I90" s="4"/>
      <c r="J90" s="4"/>
      <c r="K90" s="4"/>
      <c r="L90" s="4">
        <f>+E90-G90</f>
        <v>0</v>
      </c>
      <c r="M90" s="4">
        <f t="shared" si="32"/>
        <v>2400000</v>
      </c>
      <c r="N90" s="4">
        <f t="shared" si="33"/>
        <v>96000</v>
      </c>
      <c r="O90" s="4">
        <f>+E90*4%</f>
        <v>96000</v>
      </c>
      <c r="P90" s="4"/>
      <c r="Q90" s="4"/>
      <c r="R90" s="4"/>
      <c r="S90" s="4"/>
      <c r="T90" s="4"/>
      <c r="U90" s="4">
        <v>242074</v>
      </c>
      <c r="V90" s="4">
        <f t="shared" si="26"/>
        <v>434074</v>
      </c>
      <c r="W90" s="5">
        <f t="shared" si="30"/>
        <v>1965926</v>
      </c>
    </row>
    <row r="91" spans="1:23" ht="24.95" customHeight="1" x14ac:dyDescent="0.25">
      <c r="A91" s="65"/>
      <c r="B91" s="2">
        <v>25</v>
      </c>
      <c r="C91" s="1" t="s">
        <v>111</v>
      </c>
      <c r="D91" s="1" t="s">
        <v>31</v>
      </c>
      <c r="E91" s="4">
        <v>2200000</v>
      </c>
      <c r="F91" s="3">
        <v>30</v>
      </c>
      <c r="G91" s="3">
        <f t="shared" si="31"/>
        <v>2200000</v>
      </c>
      <c r="H91" s="4"/>
      <c r="I91" s="4"/>
      <c r="J91" s="4"/>
      <c r="K91" s="4"/>
      <c r="L91" s="4"/>
      <c r="M91" s="4">
        <f t="shared" si="32"/>
        <v>2200000</v>
      </c>
      <c r="N91" s="4">
        <f t="shared" si="33"/>
        <v>88000</v>
      </c>
      <c r="O91" s="4">
        <f>+E91*4%</f>
        <v>88000</v>
      </c>
      <c r="P91" s="4"/>
      <c r="Q91" s="4"/>
      <c r="R91" s="4">
        <v>0</v>
      </c>
      <c r="S91" s="4"/>
      <c r="T91" s="4"/>
      <c r="U91" s="4"/>
      <c r="V91" s="4">
        <f t="shared" si="26"/>
        <v>176000</v>
      </c>
      <c r="W91" s="5">
        <f>+M91-V91</f>
        <v>2024000</v>
      </c>
    </row>
    <row r="92" spans="1:23" ht="24.95" customHeight="1" x14ac:dyDescent="0.25">
      <c r="A92" s="65"/>
      <c r="B92" s="2">
        <v>26</v>
      </c>
      <c r="C92" s="1" t="s">
        <v>114</v>
      </c>
      <c r="D92" s="1" t="s">
        <v>31</v>
      </c>
      <c r="E92" s="4">
        <v>5500000</v>
      </c>
      <c r="F92" s="3">
        <v>30</v>
      </c>
      <c r="G92" s="3">
        <f>+E92-J92</f>
        <v>5500000</v>
      </c>
      <c r="H92" s="4"/>
      <c r="I92" s="4"/>
      <c r="J92" s="4"/>
      <c r="K92" s="4">
        <v>500000</v>
      </c>
      <c r="L92" s="4">
        <v>0</v>
      </c>
      <c r="M92" s="4">
        <f t="shared" si="32"/>
        <v>6000000</v>
      </c>
      <c r="N92" s="4">
        <f t="shared" si="33"/>
        <v>220000</v>
      </c>
      <c r="O92" s="4">
        <f>+E92*5%</f>
        <v>275000</v>
      </c>
      <c r="P92" s="4"/>
      <c r="Q92" s="4">
        <v>490000</v>
      </c>
      <c r="R92" s="7">
        <v>69147</v>
      </c>
      <c r="S92" s="4"/>
      <c r="T92" s="4"/>
      <c r="U92" s="4">
        <v>480989</v>
      </c>
      <c r="V92" s="4">
        <f t="shared" si="26"/>
        <v>1535136</v>
      </c>
      <c r="W92" s="5">
        <f t="shared" ref="W92:W95" si="34">+M92-V92</f>
        <v>4464864</v>
      </c>
    </row>
    <row r="93" spans="1:23" ht="24.95" customHeight="1" x14ac:dyDescent="0.25">
      <c r="A93" s="65"/>
      <c r="B93" s="2">
        <v>27</v>
      </c>
      <c r="C93" s="1" t="s">
        <v>116</v>
      </c>
      <c r="D93" s="1" t="s">
        <v>31</v>
      </c>
      <c r="E93" s="4">
        <v>781242</v>
      </c>
      <c r="F93" s="3">
        <v>30</v>
      </c>
      <c r="G93" s="3">
        <f t="shared" si="31"/>
        <v>781242</v>
      </c>
      <c r="H93" s="4">
        <v>88211</v>
      </c>
      <c r="I93" s="4"/>
      <c r="J93" s="4"/>
      <c r="K93" s="4"/>
      <c r="L93" s="4"/>
      <c r="M93" s="4">
        <f t="shared" si="32"/>
        <v>869453</v>
      </c>
      <c r="N93" s="4">
        <f t="shared" si="33"/>
        <v>31249.68</v>
      </c>
      <c r="O93" s="4">
        <f>+E93*4%</f>
        <v>31249.68</v>
      </c>
      <c r="P93" s="4"/>
      <c r="Q93" s="4"/>
      <c r="R93" s="7"/>
      <c r="S93" s="4"/>
      <c r="T93" s="4"/>
      <c r="U93" s="4"/>
      <c r="V93" s="4">
        <f t="shared" si="26"/>
        <v>62499.360000000001</v>
      </c>
      <c r="W93" s="5">
        <f t="shared" si="34"/>
        <v>806953.64</v>
      </c>
    </row>
    <row r="94" spans="1:23" ht="24.95" customHeight="1" x14ac:dyDescent="0.25">
      <c r="A94" s="65"/>
      <c r="B94" s="2">
        <v>28</v>
      </c>
      <c r="C94" s="1" t="s">
        <v>61</v>
      </c>
      <c r="D94" s="1" t="s">
        <v>31</v>
      </c>
      <c r="E94" s="4">
        <v>3500000</v>
      </c>
      <c r="F94" s="3">
        <v>30</v>
      </c>
      <c r="G94" s="3">
        <f>+E94-L94</f>
        <v>3383333</v>
      </c>
      <c r="H94" s="4"/>
      <c r="I94" s="4"/>
      <c r="J94" s="4"/>
      <c r="K94" s="4"/>
      <c r="L94" s="4">
        <v>116667</v>
      </c>
      <c r="M94" s="4">
        <f>+G94+H94+J94+K94+L94+I94</f>
        <v>3500000</v>
      </c>
      <c r="N94" s="4">
        <f t="shared" ref="N94" si="35">E94*4/100</f>
        <v>140000</v>
      </c>
      <c r="O94" s="4">
        <f t="shared" ref="O94" si="36">+E94*0.05</f>
        <v>175000</v>
      </c>
      <c r="P94" s="4"/>
      <c r="Q94" s="4"/>
      <c r="R94" s="7">
        <v>0</v>
      </c>
      <c r="S94" s="4"/>
      <c r="T94" s="4">
        <v>111000</v>
      </c>
      <c r="U94" s="4"/>
      <c r="V94" s="4">
        <f t="shared" si="26"/>
        <v>426000</v>
      </c>
      <c r="W94" s="5">
        <f>M94-V94</f>
        <v>3074000</v>
      </c>
    </row>
    <row r="95" spans="1:23" ht="24.95" customHeight="1" x14ac:dyDescent="0.25">
      <c r="A95" s="65"/>
      <c r="B95" s="2">
        <v>29</v>
      </c>
      <c r="C95" s="1" t="s">
        <v>118</v>
      </c>
      <c r="D95" s="1" t="s">
        <v>31</v>
      </c>
      <c r="E95" s="4">
        <v>2200000</v>
      </c>
      <c r="F95" s="3">
        <v>30</v>
      </c>
      <c r="G95" s="3">
        <f t="shared" si="31"/>
        <v>2200000</v>
      </c>
      <c r="H95" s="4"/>
      <c r="I95" s="4"/>
      <c r="J95" s="4"/>
      <c r="K95" s="4"/>
      <c r="L95" s="4"/>
      <c r="M95" s="4">
        <f t="shared" si="32"/>
        <v>2200000</v>
      </c>
      <c r="N95" s="4">
        <f t="shared" si="33"/>
        <v>88000</v>
      </c>
      <c r="O95" s="4">
        <f>+E95*4%</f>
        <v>88000</v>
      </c>
      <c r="P95" s="4"/>
      <c r="Q95" s="4"/>
      <c r="R95" s="7">
        <v>0</v>
      </c>
      <c r="S95" s="4"/>
      <c r="T95" s="4"/>
      <c r="U95" s="4"/>
      <c r="V95" s="4">
        <f t="shared" si="26"/>
        <v>176000</v>
      </c>
      <c r="W95" s="5">
        <f t="shared" si="34"/>
        <v>2024000</v>
      </c>
    </row>
    <row r="96" spans="1:23" ht="24.95" customHeight="1" x14ac:dyDescent="0.25">
      <c r="A96" s="65"/>
      <c r="B96" s="2">
        <v>30</v>
      </c>
      <c r="C96" s="1" t="s">
        <v>122</v>
      </c>
      <c r="D96" s="1" t="s">
        <v>31</v>
      </c>
      <c r="E96" s="4">
        <v>3500000</v>
      </c>
      <c r="F96" s="3">
        <v>30</v>
      </c>
      <c r="G96" s="3">
        <f t="shared" si="31"/>
        <v>3500000</v>
      </c>
      <c r="H96" s="4"/>
      <c r="I96" s="4"/>
      <c r="J96" s="4"/>
      <c r="K96" s="4"/>
      <c r="L96" s="4"/>
      <c r="M96" s="4">
        <f t="shared" si="32"/>
        <v>3500000</v>
      </c>
      <c r="N96" s="4">
        <f t="shared" si="33"/>
        <v>140000</v>
      </c>
      <c r="O96" s="4">
        <f>+E96*5%</f>
        <v>175000</v>
      </c>
      <c r="P96" s="4">
        <v>0</v>
      </c>
      <c r="Q96" s="4"/>
      <c r="R96" s="4">
        <v>0</v>
      </c>
      <c r="S96" s="4"/>
      <c r="T96" s="4"/>
      <c r="U96" s="4"/>
      <c r="V96" s="4">
        <f t="shared" si="26"/>
        <v>315000</v>
      </c>
      <c r="W96" s="5">
        <f t="shared" ref="W96:W101" si="37">M96-V96</f>
        <v>3185000</v>
      </c>
    </row>
    <row r="97" spans="1:23" ht="24.95" customHeight="1" x14ac:dyDescent="0.25">
      <c r="A97" s="65"/>
      <c r="B97" s="2">
        <v>31</v>
      </c>
      <c r="C97" s="9" t="s">
        <v>124</v>
      </c>
      <c r="D97" s="1" t="s">
        <v>31</v>
      </c>
      <c r="E97" s="4">
        <v>781242</v>
      </c>
      <c r="F97" s="3">
        <v>30</v>
      </c>
      <c r="G97" s="3">
        <f>+E97</f>
        <v>781242</v>
      </c>
      <c r="H97" s="4">
        <v>88211</v>
      </c>
      <c r="I97" s="4">
        <v>99080</v>
      </c>
      <c r="J97" s="4"/>
      <c r="K97" s="4"/>
      <c r="L97" s="4"/>
      <c r="M97" s="4">
        <f>+G97+H97+J97+K97+L97+I97</f>
        <v>968533</v>
      </c>
      <c r="N97" s="4">
        <f>+E97*0.04</f>
        <v>31249.68</v>
      </c>
      <c r="O97" s="4">
        <f>+E97*0.04</f>
        <v>31249.68</v>
      </c>
      <c r="P97" s="4"/>
      <c r="Q97" s="4"/>
      <c r="R97" s="4">
        <v>0</v>
      </c>
      <c r="S97" s="4"/>
      <c r="T97" s="4"/>
      <c r="U97" s="4"/>
      <c r="V97" s="4">
        <f t="shared" si="26"/>
        <v>62499.360000000001</v>
      </c>
      <c r="W97" s="5">
        <f t="shared" si="37"/>
        <v>906033.64</v>
      </c>
    </row>
    <row r="98" spans="1:23" ht="24.95" customHeight="1" x14ac:dyDescent="0.25">
      <c r="A98" s="65"/>
      <c r="B98" s="2">
        <v>32</v>
      </c>
      <c r="C98" s="1" t="s">
        <v>157</v>
      </c>
      <c r="D98" s="1" t="s">
        <v>31</v>
      </c>
      <c r="E98" s="4">
        <v>781242</v>
      </c>
      <c r="F98" s="3">
        <v>30</v>
      </c>
      <c r="G98" s="3">
        <f t="shared" ref="G98" si="38">+E98/30*F98</f>
        <v>781242</v>
      </c>
      <c r="H98" s="4"/>
      <c r="I98" s="4"/>
      <c r="J98" s="4"/>
      <c r="K98" s="4"/>
      <c r="L98" s="4"/>
      <c r="M98" s="4">
        <f t="shared" ref="M98" si="39">+G98+H98+J98+K98+L98+I98</f>
        <v>781242</v>
      </c>
      <c r="N98" s="4">
        <v>0</v>
      </c>
      <c r="O98" s="4">
        <v>0</v>
      </c>
      <c r="P98" s="4">
        <v>0</v>
      </c>
      <c r="Q98" s="4"/>
      <c r="R98" s="4">
        <v>0</v>
      </c>
      <c r="S98" s="4"/>
      <c r="T98" s="4"/>
      <c r="U98" s="4"/>
      <c r="V98" s="4">
        <f t="shared" ref="V98" si="40">SUM(N98:U98)</f>
        <v>0</v>
      </c>
      <c r="W98" s="5">
        <f t="shared" si="37"/>
        <v>781242</v>
      </c>
    </row>
    <row r="99" spans="1:23" ht="24.95" customHeight="1" x14ac:dyDescent="0.25">
      <c r="A99" s="65"/>
      <c r="B99" s="2">
        <v>33</v>
      </c>
      <c r="C99" s="9" t="s">
        <v>125</v>
      </c>
      <c r="D99" s="1" t="s">
        <v>31</v>
      </c>
      <c r="E99" s="4">
        <v>2100000</v>
      </c>
      <c r="F99" s="3">
        <v>30</v>
      </c>
      <c r="G99" s="3">
        <f>+E99-L99</f>
        <v>2100000</v>
      </c>
      <c r="H99" s="4"/>
      <c r="I99" s="4"/>
      <c r="J99" s="4"/>
      <c r="K99" s="4"/>
      <c r="L99" s="4"/>
      <c r="M99" s="4">
        <f t="shared" si="32"/>
        <v>2100000</v>
      </c>
      <c r="N99" s="4">
        <f>+E99*0.04</f>
        <v>84000</v>
      </c>
      <c r="O99" s="4">
        <f>+E99*0.04</f>
        <v>84000</v>
      </c>
      <c r="P99" s="4"/>
      <c r="Q99" s="4"/>
      <c r="R99" s="4">
        <v>0</v>
      </c>
      <c r="S99" s="4"/>
      <c r="T99" s="4"/>
      <c r="U99" s="4"/>
      <c r="V99" s="4">
        <f t="shared" si="26"/>
        <v>168000</v>
      </c>
      <c r="W99" s="5">
        <f t="shared" si="37"/>
        <v>1932000</v>
      </c>
    </row>
    <row r="100" spans="1:23" ht="24.95" customHeight="1" x14ac:dyDescent="0.25">
      <c r="A100" s="65"/>
      <c r="B100" s="2">
        <v>34</v>
      </c>
      <c r="C100" s="9" t="s">
        <v>126</v>
      </c>
      <c r="D100" s="1" t="s">
        <v>31</v>
      </c>
      <c r="E100" s="4">
        <v>781242</v>
      </c>
      <c r="F100" s="3">
        <v>30</v>
      </c>
      <c r="G100" s="3">
        <f t="shared" si="31"/>
        <v>781242</v>
      </c>
      <c r="H100" s="4">
        <v>88211</v>
      </c>
      <c r="I100" s="4">
        <v>136311</v>
      </c>
      <c r="J100" s="4"/>
      <c r="K100" s="4">
        <v>0</v>
      </c>
      <c r="L100" s="4">
        <f>+E100-G100</f>
        <v>0</v>
      </c>
      <c r="M100" s="4">
        <f t="shared" si="32"/>
        <v>1005764</v>
      </c>
      <c r="N100" s="4">
        <f>+E100*0.04</f>
        <v>31249.68</v>
      </c>
      <c r="O100" s="4">
        <f>+E100*4%</f>
        <v>31249.68</v>
      </c>
      <c r="P100" s="4"/>
      <c r="Q100" s="4"/>
      <c r="R100" s="4"/>
      <c r="S100" s="4"/>
      <c r="T100" s="4"/>
      <c r="U100" s="4"/>
      <c r="V100" s="4">
        <f t="shared" si="26"/>
        <v>62499.360000000001</v>
      </c>
      <c r="W100" s="5">
        <f t="shared" si="37"/>
        <v>943264.64</v>
      </c>
    </row>
    <row r="101" spans="1:23" ht="24.95" customHeight="1" x14ac:dyDescent="0.25">
      <c r="A101" s="65"/>
      <c r="B101" s="2">
        <v>35</v>
      </c>
      <c r="C101" s="9" t="s">
        <v>127</v>
      </c>
      <c r="D101" s="1" t="s">
        <v>31</v>
      </c>
      <c r="E101" s="4">
        <v>781242</v>
      </c>
      <c r="F101" s="3">
        <v>30</v>
      </c>
      <c r="G101" s="3">
        <f t="shared" si="31"/>
        <v>781242</v>
      </c>
      <c r="H101" s="4">
        <f>+H100</f>
        <v>88211</v>
      </c>
      <c r="I101" s="4"/>
      <c r="J101" s="4"/>
      <c r="K101" s="4"/>
      <c r="L101" s="4"/>
      <c r="M101" s="4">
        <f t="shared" si="32"/>
        <v>869453</v>
      </c>
      <c r="N101" s="4">
        <f>+E101*4%</f>
        <v>31249.68</v>
      </c>
      <c r="O101" s="4">
        <f>+E101*4%</f>
        <v>31249.68</v>
      </c>
      <c r="P101" s="4"/>
      <c r="Q101" s="4"/>
      <c r="R101" s="4"/>
      <c r="S101" s="4"/>
      <c r="T101" s="4"/>
      <c r="U101" s="4"/>
      <c r="V101" s="4">
        <f t="shared" si="26"/>
        <v>62499.360000000001</v>
      </c>
      <c r="W101" s="5">
        <f t="shared" si="37"/>
        <v>806953.64</v>
      </c>
    </row>
    <row r="102" spans="1:23" ht="24.95" customHeight="1" x14ac:dyDescent="0.25">
      <c r="A102" s="65"/>
      <c r="B102" s="2">
        <v>36</v>
      </c>
      <c r="C102" s="1" t="s">
        <v>128</v>
      </c>
      <c r="D102" s="1" t="s">
        <v>31</v>
      </c>
      <c r="E102" s="4">
        <v>15400000</v>
      </c>
      <c r="F102" s="3">
        <v>30</v>
      </c>
      <c r="G102" s="3">
        <f t="shared" si="31"/>
        <v>15400000</v>
      </c>
      <c r="H102" s="4"/>
      <c r="I102" s="4"/>
      <c r="J102" s="4"/>
      <c r="K102" s="4">
        <v>600000</v>
      </c>
      <c r="L102" s="4">
        <f>+E102-G102</f>
        <v>0</v>
      </c>
      <c r="M102" s="4">
        <f t="shared" si="32"/>
        <v>16000000</v>
      </c>
      <c r="N102" s="4">
        <v>616000</v>
      </c>
      <c r="O102" s="4">
        <f>616000+308000</f>
        <v>924000</v>
      </c>
      <c r="P102" s="4">
        <v>112700</v>
      </c>
      <c r="Q102" s="4"/>
      <c r="R102" s="4">
        <v>916000</v>
      </c>
      <c r="S102" s="4">
        <v>5000000</v>
      </c>
      <c r="T102" s="4"/>
      <c r="U102" s="4">
        <v>2314715</v>
      </c>
      <c r="V102" s="4">
        <f t="shared" si="26"/>
        <v>9883415</v>
      </c>
      <c r="W102" s="5">
        <f>+M102-V102</f>
        <v>6116585</v>
      </c>
    </row>
    <row r="103" spans="1:23" ht="24.95" customHeight="1" x14ac:dyDescent="0.25">
      <c r="A103" s="65"/>
      <c r="B103" s="2">
        <v>37</v>
      </c>
      <c r="C103" s="1" t="s">
        <v>129</v>
      </c>
      <c r="D103" s="1" t="s">
        <v>31</v>
      </c>
      <c r="E103" s="4">
        <v>5500000</v>
      </c>
      <c r="F103" s="3">
        <v>30</v>
      </c>
      <c r="G103" s="3">
        <f t="shared" si="31"/>
        <v>5500000</v>
      </c>
      <c r="H103" s="4"/>
      <c r="I103" s="4"/>
      <c r="J103" s="4"/>
      <c r="K103" s="4">
        <v>500000</v>
      </c>
      <c r="L103" s="4">
        <f>+E103-G103</f>
        <v>0</v>
      </c>
      <c r="M103" s="4">
        <f t="shared" si="32"/>
        <v>6000000</v>
      </c>
      <c r="N103" s="4">
        <f>+E103*0.04</f>
        <v>220000</v>
      </c>
      <c r="O103" s="4">
        <f>+E103*0.05</f>
        <v>275000</v>
      </c>
      <c r="P103" s="4"/>
      <c r="Q103" s="4"/>
      <c r="R103" s="4">
        <v>120000</v>
      </c>
      <c r="S103" s="4"/>
      <c r="T103" s="4"/>
      <c r="U103" s="4">
        <v>979498</v>
      </c>
      <c r="V103" s="4">
        <f t="shared" si="26"/>
        <v>1594498</v>
      </c>
      <c r="W103" s="5">
        <f>+M103-V103</f>
        <v>4405502</v>
      </c>
    </row>
    <row r="104" spans="1:23" ht="24.95" customHeight="1" x14ac:dyDescent="0.25">
      <c r="A104" s="65"/>
      <c r="B104" s="2">
        <v>38</v>
      </c>
      <c r="C104" s="1" t="s">
        <v>130</v>
      </c>
      <c r="D104" s="1" t="s">
        <v>31</v>
      </c>
      <c r="E104" s="4">
        <v>1600000</v>
      </c>
      <c r="F104" s="3">
        <v>30</v>
      </c>
      <c r="G104" s="3">
        <f t="shared" si="31"/>
        <v>1600000</v>
      </c>
      <c r="H104" s="4"/>
      <c r="I104" s="4"/>
      <c r="J104" s="4"/>
      <c r="K104" s="4"/>
      <c r="L104" s="4">
        <f>+E104-G104</f>
        <v>0</v>
      </c>
      <c r="M104" s="4">
        <f t="shared" si="32"/>
        <v>1600000</v>
      </c>
      <c r="N104" s="4">
        <f>+E104*4%</f>
        <v>64000</v>
      </c>
      <c r="O104" s="4">
        <f>+E104*4%</f>
        <v>64000</v>
      </c>
      <c r="P104" s="4"/>
      <c r="Q104" s="4"/>
      <c r="R104" s="4"/>
      <c r="S104" s="4"/>
      <c r="T104" s="4"/>
      <c r="U104" s="4"/>
      <c r="V104" s="4">
        <f t="shared" si="26"/>
        <v>128000</v>
      </c>
      <c r="W104" s="5">
        <f>+M104-V104</f>
        <v>1472000</v>
      </c>
    </row>
    <row r="105" spans="1:23" ht="24.95" customHeight="1" x14ac:dyDescent="0.25">
      <c r="A105" s="65"/>
      <c r="B105" s="2">
        <v>39</v>
      </c>
      <c r="C105" s="9" t="s">
        <v>132</v>
      </c>
      <c r="D105" s="1" t="s">
        <v>31</v>
      </c>
      <c r="E105" s="4">
        <v>4000000</v>
      </c>
      <c r="F105" s="3">
        <v>30</v>
      </c>
      <c r="G105" s="3">
        <f t="shared" si="31"/>
        <v>4000000.0000000005</v>
      </c>
      <c r="H105" s="4"/>
      <c r="I105" s="4"/>
      <c r="J105" s="4"/>
      <c r="K105" s="4"/>
      <c r="L105" s="4"/>
      <c r="M105" s="4">
        <f t="shared" si="32"/>
        <v>4000000.0000000005</v>
      </c>
      <c r="N105" s="4">
        <f>+E105*0.04</f>
        <v>160000</v>
      </c>
      <c r="O105" s="4">
        <f>+E105*0.05</f>
        <v>200000</v>
      </c>
      <c r="P105" s="4"/>
      <c r="Q105" s="4"/>
      <c r="R105" s="4">
        <v>0</v>
      </c>
      <c r="S105" s="4"/>
      <c r="T105" s="4"/>
      <c r="U105" s="4">
        <v>514771</v>
      </c>
      <c r="V105" s="4">
        <f t="shared" si="26"/>
        <v>874771</v>
      </c>
      <c r="W105" s="5">
        <f>M105-V105</f>
        <v>3125229.0000000005</v>
      </c>
    </row>
    <row r="106" spans="1:23" ht="24.95" customHeight="1" x14ac:dyDescent="0.25">
      <c r="A106" s="65"/>
      <c r="B106" s="2">
        <v>40</v>
      </c>
      <c r="C106" s="1" t="s">
        <v>135</v>
      </c>
      <c r="D106" s="1" t="s">
        <v>31</v>
      </c>
      <c r="E106" s="4">
        <v>3850220</v>
      </c>
      <c r="F106" s="3">
        <v>30</v>
      </c>
      <c r="G106" s="3">
        <f t="shared" si="31"/>
        <v>3850220</v>
      </c>
      <c r="H106" s="4"/>
      <c r="I106" s="4"/>
      <c r="J106" s="4"/>
      <c r="K106" s="4">
        <v>676390</v>
      </c>
      <c r="L106" s="4">
        <f>+E106-G106</f>
        <v>0</v>
      </c>
      <c r="M106" s="4">
        <f t="shared" si="32"/>
        <v>4526610</v>
      </c>
      <c r="N106" s="4">
        <f t="shared" ref="N106:N111" si="41">+E106*4%</f>
        <v>154008.80000000002</v>
      </c>
      <c r="O106" s="4">
        <f>+E106*5%</f>
        <v>192511</v>
      </c>
      <c r="P106" s="4"/>
      <c r="Q106" s="4"/>
      <c r="R106" s="4"/>
      <c r="S106" s="4"/>
      <c r="T106" s="4"/>
      <c r="U106" s="4"/>
      <c r="V106" s="4">
        <f t="shared" si="26"/>
        <v>346519.80000000005</v>
      </c>
      <c r="W106" s="5">
        <f>+M106-V106</f>
        <v>4180090.2</v>
      </c>
    </row>
    <row r="107" spans="1:23" ht="24.95" customHeight="1" x14ac:dyDescent="0.25">
      <c r="A107" s="65"/>
      <c r="B107" s="2">
        <v>41</v>
      </c>
      <c r="C107" s="1" t="s">
        <v>136</v>
      </c>
      <c r="D107" s="1" t="s">
        <v>31</v>
      </c>
      <c r="E107" s="4">
        <v>4500000</v>
      </c>
      <c r="F107" s="3">
        <v>29</v>
      </c>
      <c r="G107" s="3">
        <f t="shared" si="31"/>
        <v>4350000</v>
      </c>
      <c r="H107" s="4">
        <v>100005</v>
      </c>
      <c r="I107" s="4"/>
      <c r="J107" s="4"/>
      <c r="K107" s="4" t="s">
        <v>1</v>
      </c>
      <c r="L107" s="4"/>
      <c r="M107" s="4">
        <f>+G107+H107</f>
        <v>4450005</v>
      </c>
      <c r="N107" s="4">
        <f t="shared" si="41"/>
        <v>180000</v>
      </c>
      <c r="O107" s="4">
        <f>+E107*5%</f>
        <v>225000</v>
      </c>
      <c r="P107" s="4"/>
      <c r="Q107" s="4"/>
      <c r="R107" s="4"/>
      <c r="S107" s="4"/>
      <c r="T107" s="4"/>
      <c r="U107" s="4"/>
      <c r="V107" s="4">
        <f>SUM(N107:U107)</f>
        <v>405000</v>
      </c>
      <c r="W107" s="5">
        <f>+M107-V107</f>
        <v>4045005</v>
      </c>
    </row>
    <row r="108" spans="1:23" ht="24.95" customHeight="1" x14ac:dyDescent="0.25">
      <c r="A108" s="65"/>
      <c r="B108" s="2">
        <v>42</v>
      </c>
      <c r="C108" s="1" t="s">
        <v>164</v>
      </c>
      <c r="D108" s="1" t="s">
        <v>31</v>
      </c>
      <c r="E108" s="4">
        <v>781242</v>
      </c>
      <c r="F108" s="3">
        <v>30</v>
      </c>
      <c r="G108" s="3">
        <f t="shared" si="31"/>
        <v>781242</v>
      </c>
      <c r="H108" s="4"/>
      <c r="I108" s="4"/>
      <c r="J108" s="4"/>
      <c r="K108" s="4"/>
      <c r="L108" s="4"/>
      <c r="M108" s="4">
        <f>+G108+H108+J108+K108+L108+I108</f>
        <v>781242</v>
      </c>
      <c r="N108" s="4"/>
      <c r="O108" s="4"/>
      <c r="P108" s="4"/>
      <c r="Q108" s="4"/>
      <c r="R108" s="7"/>
      <c r="S108" s="4"/>
      <c r="T108" s="4"/>
      <c r="U108" s="4"/>
      <c r="V108" s="4">
        <f t="shared" ref="V108" si="42">SUM(N108:U108)</f>
        <v>0</v>
      </c>
      <c r="W108" s="5">
        <f>+M108-V108</f>
        <v>781242</v>
      </c>
    </row>
    <row r="109" spans="1:23" ht="24.95" customHeight="1" x14ac:dyDescent="0.25">
      <c r="A109" s="65"/>
      <c r="B109" s="2">
        <v>43</v>
      </c>
      <c r="C109" s="9" t="s">
        <v>138</v>
      </c>
      <c r="D109" s="1" t="s">
        <v>31</v>
      </c>
      <c r="E109" s="4">
        <v>1600000</v>
      </c>
      <c r="F109" s="3">
        <v>29</v>
      </c>
      <c r="G109" s="3">
        <f t="shared" si="31"/>
        <v>1546666.6666666667</v>
      </c>
      <c r="H109" s="4">
        <v>35557</v>
      </c>
      <c r="I109" s="4"/>
      <c r="J109" s="4">
        <v>0</v>
      </c>
      <c r="K109" s="4"/>
      <c r="L109" s="4"/>
      <c r="M109" s="4">
        <f t="shared" si="32"/>
        <v>1582223.6666666667</v>
      </c>
      <c r="N109" s="4">
        <f t="shared" si="41"/>
        <v>64000</v>
      </c>
      <c r="O109" s="4">
        <f>+E109*0.04</f>
        <v>64000</v>
      </c>
      <c r="P109" s="4"/>
      <c r="Q109" s="4">
        <v>198000</v>
      </c>
      <c r="R109" s="4">
        <v>0</v>
      </c>
      <c r="S109" s="4"/>
      <c r="T109" s="4"/>
      <c r="U109" s="4"/>
      <c r="V109" s="4">
        <f t="shared" si="26"/>
        <v>326000</v>
      </c>
      <c r="W109" s="5">
        <f>M109-V109</f>
        <v>1256223.6666666667</v>
      </c>
    </row>
    <row r="110" spans="1:23" ht="24.95" customHeight="1" x14ac:dyDescent="0.25">
      <c r="A110" s="65"/>
      <c r="B110" s="2">
        <v>44</v>
      </c>
      <c r="C110" s="9" t="s">
        <v>148</v>
      </c>
      <c r="D110" s="1" t="s">
        <v>31</v>
      </c>
      <c r="E110" s="4">
        <v>1500000</v>
      </c>
      <c r="F110" s="3">
        <v>30</v>
      </c>
      <c r="G110" s="3">
        <f t="shared" si="31"/>
        <v>1500000</v>
      </c>
      <c r="H110" s="4">
        <v>88211</v>
      </c>
      <c r="I110" s="4"/>
      <c r="J110" s="4"/>
      <c r="K110" s="4"/>
      <c r="L110" s="4"/>
      <c r="M110" s="4">
        <f t="shared" si="32"/>
        <v>1588211</v>
      </c>
      <c r="N110" s="4">
        <f>+E110*4%</f>
        <v>60000</v>
      </c>
      <c r="O110" s="4">
        <f>+E110*0.04</f>
        <v>60000</v>
      </c>
      <c r="P110" s="4"/>
      <c r="Q110" s="4">
        <v>600000</v>
      </c>
      <c r="R110" s="4">
        <v>0</v>
      </c>
      <c r="S110" s="4"/>
      <c r="T110" s="4">
        <v>0</v>
      </c>
      <c r="U110" s="4"/>
      <c r="V110" s="4">
        <f t="shared" si="26"/>
        <v>720000</v>
      </c>
      <c r="W110" s="5">
        <f>M110-V110</f>
        <v>868211</v>
      </c>
    </row>
    <row r="111" spans="1:23" ht="24.95" customHeight="1" x14ac:dyDescent="0.25">
      <c r="A111" s="65"/>
      <c r="B111" s="2">
        <v>45</v>
      </c>
      <c r="C111" s="1" t="s">
        <v>139</v>
      </c>
      <c r="D111" s="1" t="s">
        <v>31</v>
      </c>
      <c r="E111" s="4">
        <v>2300000</v>
      </c>
      <c r="F111" s="3">
        <v>30</v>
      </c>
      <c r="G111" s="3">
        <f t="shared" si="31"/>
        <v>2300000</v>
      </c>
      <c r="H111" s="4"/>
      <c r="I111" s="4"/>
      <c r="J111" s="4"/>
      <c r="K111" s="4"/>
      <c r="L111" s="4"/>
      <c r="M111" s="4">
        <f t="shared" si="32"/>
        <v>2300000</v>
      </c>
      <c r="N111" s="4">
        <f t="shared" si="41"/>
        <v>92000</v>
      </c>
      <c r="O111" s="4">
        <f>+E111*4%</f>
        <v>92000</v>
      </c>
      <c r="P111" s="4"/>
      <c r="Q111" s="4"/>
      <c r="R111" s="4">
        <v>0</v>
      </c>
      <c r="S111" s="4"/>
      <c r="T111" s="4"/>
      <c r="U111" s="4"/>
      <c r="V111" s="4">
        <f t="shared" si="26"/>
        <v>184000</v>
      </c>
      <c r="W111" s="5">
        <f t="shared" ref="W111:W115" si="43">+M111-V111</f>
        <v>2116000</v>
      </c>
    </row>
    <row r="112" spans="1:23" ht="24.95" customHeight="1" x14ac:dyDescent="0.25">
      <c r="A112" s="65"/>
      <c r="B112" s="2">
        <v>46</v>
      </c>
      <c r="C112" s="1" t="s">
        <v>140</v>
      </c>
      <c r="D112" s="1" t="s">
        <v>31</v>
      </c>
      <c r="E112" s="4">
        <v>912000</v>
      </c>
      <c r="F112" s="3">
        <v>30</v>
      </c>
      <c r="G112" s="3">
        <f t="shared" si="31"/>
        <v>912000</v>
      </c>
      <c r="H112" s="4">
        <v>88211</v>
      </c>
      <c r="I112" s="4"/>
      <c r="J112" s="4">
        <v>0</v>
      </c>
      <c r="K112" s="4"/>
      <c r="L112" s="4"/>
      <c r="M112" s="4">
        <f t="shared" si="32"/>
        <v>1000211</v>
      </c>
      <c r="N112" s="4">
        <f>+E112*0.04</f>
        <v>36480</v>
      </c>
      <c r="O112" s="4">
        <f>+E112*0.04</f>
        <v>36480</v>
      </c>
      <c r="P112" s="4"/>
      <c r="Q112" s="4"/>
      <c r="R112" s="4"/>
      <c r="S112" s="4"/>
      <c r="T112" s="4"/>
      <c r="U112" s="4"/>
      <c r="V112" s="4">
        <f>SUM(N112:U112)</f>
        <v>72960</v>
      </c>
      <c r="W112" s="5">
        <f>+M112-V112</f>
        <v>927251</v>
      </c>
    </row>
    <row r="113" spans="1:25" ht="24.95" customHeight="1" x14ac:dyDescent="0.25">
      <c r="A113" s="65"/>
      <c r="B113" s="2">
        <v>47</v>
      </c>
      <c r="C113" s="1" t="s">
        <v>141</v>
      </c>
      <c r="D113" s="1" t="s">
        <v>31</v>
      </c>
      <c r="E113" s="4">
        <v>2700000</v>
      </c>
      <c r="F113" s="3">
        <v>30</v>
      </c>
      <c r="G113" s="3">
        <f t="shared" si="31"/>
        <v>2700000</v>
      </c>
      <c r="H113" s="4"/>
      <c r="I113" s="4"/>
      <c r="J113" s="4"/>
      <c r="K113" s="4"/>
      <c r="L113" s="4"/>
      <c r="M113" s="4">
        <f t="shared" si="32"/>
        <v>2700000</v>
      </c>
      <c r="N113" s="4">
        <f>+E113*0.04</f>
        <v>108000</v>
      </c>
      <c r="O113" s="4">
        <f>+E113*0.04</f>
        <v>108000</v>
      </c>
      <c r="P113" s="4"/>
      <c r="Q113" s="4">
        <v>95000</v>
      </c>
      <c r="R113" s="4"/>
      <c r="S113" s="4"/>
      <c r="T113" s="4"/>
      <c r="U113" s="4"/>
      <c r="V113" s="4">
        <f t="shared" si="26"/>
        <v>311000</v>
      </c>
      <c r="W113" s="5">
        <f t="shared" si="43"/>
        <v>2389000</v>
      </c>
    </row>
    <row r="114" spans="1:25" ht="24.95" customHeight="1" x14ac:dyDescent="0.25">
      <c r="A114" s="65"/>
      <c r="B114" s="2">
        <v>48</v>
      </c>
      <c r="C114" s="1" t="s">
        <v>142</v>
      </c>
      <c r="D114" s="1" t="s">
        <v>31</v>
      </c>
      <c r="E114" s="4">
        <v>2000000</v>
      </c>
      <c r="F114" s="3">
        <v>30</v>
      </c>
      <c r="G114" s="3">
        <f t="shared" si="31"/>
        <v>2000000.0000000002</v>
      </c>
      <c r="H114" s="4"/>
      <c r="I114" s="4"/>
      <c r="J114" s="4"/>
      <c r="K114" s="4"/>
      <c r="L114" s="4"/>
      <c r="M114" s="4">
        <f t="shared" si="32"/>
        <v>2000000.0000000002</v>
      </c>
      <c r="N114" s="4">
        <f>+E114*4%</f>
        <v>80000</v>
      </c>
      <c r="O114" s="4">
        <f>+E114*4%</f>
        <v>80000</v>
      </c>
      <c r="P114" s="4"/>
      <c r="Q114" s="4"/>
      <c r="R114" s="4">
        <v>0</v>
      </c>
      <c r="S114" s="4"/>
      <c r="T114" s="4"/>
      <c r="U114" s="4"/>
      <c r="V114" s="4">
        <f t="shared" si="26"/>
        <v>160000</v>
      </c>
      <c r="W114" s="5">
        <f t="shared" si="43"/>
        <v>1840000.0000000002</v>
      </c>
    </row>
    <row r="115" spans="1:25" ht="17.25" customHeight="1" x14ac:dyDescent="0.25">
      <c r="A115" s="65"/>
      <c r="B115" s="2">
        <v>49</v>
      </c>
      <c r="C115" s="1" t="s">
        <v>144</v>
      </c>
      <c r="D115" s="1" t="s">
        <v>31</v>
      </c>
      <c r="E115" s="4">
        <v>1200000</v>
      </c>
      <c r="F115" s="3">
        <v>30</v>
      </c>
      <c r="G115" s="3">
        <f>+E115-J115</f>
        <v>1200000</v>
      </c>
      <c r="H115" s="4">
        <v>88211</v>
      </c>
      <c r="I115" s="4"/>
      <c r="J115" s="4"/>
      <c r="K115" s="4"/>
      <c r="L115" s="4"/>
      <c r="M115" s="4">
        <f t="shared" si="32"/>
        <v>1288211</v>
      </c>
      <c r="N115" s="4">
        <f>+E115*4%</f>
        <v>48000</v>
      </c>
      <c r="O115" s="4">
        <f>+E115*4%</f>
        <v>48000</v>
      </c>
      <c r="P115" s="4"/>
      <c r="Q115" s="4">
        <v>169000</v>
      </c>
      <c r="R115" s="4">
        <v>0</v>
      </c>
      <c r="S115" s="4"/>
      <c r="T115" s="4"/>
      <c r="U115" s="4"/>
      <c r="V115" s="4">
        <f t="shared" si="26"/>
        <v>265000</v>
      </c>
      <c r="W115" s="5">
        <f t="shared" si="43"/>
        <v>1023211</v>
      </c>
    </row>
    <row r="116" spans="1:25" x14ac:dyDescent="0.25">
      <c r="E116" s="12">
        <f>SUM(E4:E115)</f>
        <v>454901019</v>
      </c>
      <c r="F116" s="12"/>
      <c r="G116" s="12">
        <f t="shared" ref="G116:W116" si="44">SUM(G4:G115)</f>
        <v>439145397.26666671</v>
      </c>
      <c r="H116" s="12">
        <f t="shared" si="44"/>
        <v>3383094</v>
      </c>
      <c r="I116" s="12">
        <f t="shared" si="44"/>
        <v>502391</v>
      </c>
      <c r="J116" s="12">
        <f t="shared" si="44"/>
        <v>0</v>
      </c>
      <c r="K116" s="12">
        <f t="shared" si="44"/>
        <v>15446635.333333334</v>
      </c>
      <c r="L116" s="12">
        <f t="shared" si="44"/>
        <v>5836458</v>
      </c>
      <c r="M116" s="12">
        <f t="shared" si="44"/>
        <v>464313975.60000002</v>
      </c>
      <c r="N116" s="12">
        <f t="shared" si="44"/>
        <v>17762242.52</v>
      </c>
      <c r="O116" s="12">
        <f t="shared" si="44"/>
        <v>21715108.053333331</v>
      </c>
      <c r="P116" s="12">
        <f t="shared" si="44"/>
        <v>2277700</v>
      </c>
      <c r="Q116" s="12">
        <f t="shared" si="44"/>
        <v>3316389</v>
      </c>
      <c r="R116" s="12">
        <f t="shared" si="44"/>
        <v>4946423</v>
      </c>
      <c r="S116" s="12">
        <f t="shared" si="44"/>
        <v>10015000</v>
      </c>
      <c r="T116" s="12">
        <f t="shared" si="44"/>
        <v>344614</v>
      </c>
      <c r="U116" s="12">
        <f t="shared" si="44"/>
        <v>15332810</v>
      </c>
      <c r="V116" s="12">
        <f t="shared" si="44"/>
        <v>75710286.573333323</v>
      </c>
      <c r="W116" s="12">
        <f t="shared" si="44"/>
        <v>388603689.02666664</v>
      </c>
    </row>
    <row r="117" spans="1:25" x14ac:dyDescent="0.25">
      <c r="D117" s="68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66"/>
    </row>
    <row r="118" spans="1:25" x14ac:dyDescent="0.25">
      <c r="D118" s="68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T118" s="12"/>
      <c r="U118" s="12"/>
      <c r="V118" s="12"/>
      <c r="W118" s="66"/>
    </row>
    <row r="119" spans="1:25" x14ac:dyDescent="0.25">
      <c r="C119" s="72"/>
      <c r="D119" s="68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T119" s="12"/>
      <c r="U119" s="12"/>
      <c r="V119" s="12"/>
      <c r="W119" s="68"/>
    </row>
    <row r="120" spans="1:25" x14ac:dyDescent="0.25">
      <c r="C120" s="72"/>
      <c r="D120" s="68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68"/>
      <c r="X120" s="68"/>
      <c r="Y120" s="68"/>
    </row>
    <row r="121" spans="1:25" x14ac:dyDescent="0.25">
      <c r="B121" s="68"/>
      <c r="C121" s="72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12"/>
      <c r="Q121" s="74"/>
      <c r="R121" s="74"/>
      <c r="S121" s="74"/>
      <c r="T121" s="74"/>
      <c r="U121" s="74"/>
      <c r="V121" s="74"/>
      <c r="W121" s="74"/>
      <c r="X121" s="68"/>
      <c r="Y121" s="68"/>
    </row>
    <row r="122" spans="1:25" x14ac:dyDescent="0.25">
      <c r="B122" s="68"/>
      <c r="C122" s="72"/>
      <c r="D122" s="68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68"/>
      <c r="X122" s="68"/>
      <c r="Y122" s="68"/>
    </row>
    <row r="123" spans="1:25" x14ac:dyDescent="0.25">
      <c r="B123" s="68"/>
      <c r="C123" s="72"/>
      <c r="D123" s="68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68"/>
      <c r="X123" s="68"/>
      <c r="Y123" s="68"/>
    </row>
    <row r="124" spans="1:25" x14ac:dyDescent="0.25">
      <c r="B124" s="68"/>
      <c r="C124" s="72"/>
      <c r="D124" s="68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68"/>
      <c r="X124" s="68"/>
      <c r="Y124" s="68"/>
    </row>
    <row r="125" spans="1:25" x14ac:dyDescent="0.25">
      <c r="B125" s="68"/>
      <c r="C125" s="75"/>
      <c r="D125" s="75"/>
      <c r="E125" s="75"/>
      <c r="F125" s="75"/>
      <c r="G125" s="91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68"/>
      <c r="Y125" s="68"/>
    </row>
    <row r="126" spans="1:25" x14ac:dyDescent="0.25">
      <c r="B126" s="78"/>
      <c r="C126" s="92"/>
      <c r="D126" s="76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6"/>
      <c r="X126" s="68"/>
      <c r="Y126" s="68"/>
    </row>
    <row r="127" spans="1:25" x14ac:dyDescent="0.25">
      <c r="B127" s="68"/>
      <c r="C127" s="93"/>
      <c r="D127" s="68"/>
      <c r="E127" s="12"/>
      <c r="F127" s="12"/>
      <c r="G127" s="80"/>
      <c r="H127" s="12"/>
      <c r="I127" s="12"/>
      <c r="J127" s="12"/>
      <c r="K127" s="12"/>
      <c r="L127" s="12"/>
      <c r="M127" s="12"/>
      <c r="N127" s="12"/>
      <c r="O127" s="12"/>
      <c r="P127" s="81"/>
      <c r="Q127" s="81"/>
      <c r="R127" s="81"/>
      <c r="S127" s="81"/>
      <c r="T127" s="81"/>
      <c r="U127" s="12"/>
      <c r="V127" s="12"/>
      <c r="W127" s="68"/>
      <c r="X127" s="68"/>
      <c r="Y127" s="68"/>
    </row>
    <row r="128" spans="1:25" x14ac:dyDescent="0.25">
      <c r="B128" s="68"/>
      <c r="C128" s="82"/>
      <c r="D128" s="76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6"/>
      <c r="X128" s="68"/>
      <c r="Y128" s="68"/>
    </row>
    <row r="129" spans="2:25" x14ac:dyDescent="0.25">
      <c r="B129" s="76"/>
      <c r="C129" s="82"/>
      <c r="D129" s="76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6"/>
      <c r="X129" s="68"/>
      <c r="Y129" s="68"/>
    </row>
    <row r="130" spans="2:25" x14ac:dyDescent="0.25">
      <c r="B130" s="68"/>
      <c r="C130" s="82"/>
      <c r="D130" s="76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66"/>
      <c r="X130" s="68"/>
      <c r="Y130" s="68"/>
    </row>
    <row r="131" spans="2:25" x14ac:dyDescent="0.25">
      <c r="C131" s="82"/>
      <c r="D131" s="76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66"/>
      <c r="X131" s="68"/>
      <c r="Y131" s="68"/>
    </row>
    <row r="132" spans="2:25" x14ac:dyDescent="0.25">
      <c r="C132" s="82"/>
      <c r="D132" s="76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66"/>
      <c r="X132" s="68"/>
      <c r="Y132" s="68"/>
    </row>
    <row r="133" spans="2:25" x14ac:dyDescent="0.25">
      <c r="C133" s="82"/>
      <c r="D133" s="76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66"/>
      <c r="X133" s="68"/>
      <c r="Y133" s="68"/>
    </row>
    <row r="134" spans="2:25" x14ac:dyDescent="0.25">
      <c r="C134" s="82"/>
      <c r="D134" s="76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66"/>
      <c r="X134" s="68"/>
      <c r="Y134" s="68"/>
    </row>
    <row r="135" spans="2:25" x14ac:dyDescent="0.25">
      <c r="C135" s="82"/>
      <c r="D135" s="76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66"/>
      <c r="X135" s="68"/>
      <c r="Y135" s="68"/>
    </row>
    <row r="136" spans="2:25" x14ac:dyDescent="0.25">
      <c r="C136" s="72"/>
      <c r="D136" s="68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66"/>
      <c r="X136" s="68"/>
      <c r="Y136" s="68"/>
    </row>
    <row r="137" spans="2:25" x14ac:dyDescent="0.25">
      <c r="C137" s="82"/>
      <c r="D137" s="68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66"/>
      <c r="X137" s="68"/>
      <c r="Y137" s="68"/>
    </row>
    <row r="138" spans="2:25" x14ac:dyDescent="0.25">
      <c r="C138" s="82"/>
      <c r="D138" s="68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66"/>
      <c r="X138" s="68"/>
      <c r="Y138" s="68"/>
    </row>
    <row r="139" spans="2:25" x14ac:dyDescent="0.25">
      <c r="C139" s="82"/>
      <c r="D139" s="68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66"/>
      <c r="X139" s="68"/>
      <c r="Y139" s="68"/>
    </row>
    <row r="140" spans="2:25" x14ac:dyDescent="0.25">
      <c r="C140" s="82"/>
      <c r="D140" s="68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66"/>
      <c r="X140" s="68"/>
      <c r="Y140" s="68"/>
    </row>
    <row r="141" spans="2:25" x14ac:dyDescent="0.25">
      <c r="C141" s="82"/>
      <c r="D141" s="68"/>
      <c r="E141" s="12"/>
      <c r="F141" s="12"/>
      <c r="G141" s="12"/>
      <c r="H141" s="12"/>
      <c r="I141" s="12"/>
      <c r="J141" s="12"/>
      <c r="K141" s="12"/>
      <c r="L141" s="12"/>
      <c r="M141" s="12">
        <f>737717*4</f>
        <v>2950868</v>
      </c>
      <c r="N141" s="12">
        <f>737717*2</f>
        <v>1475434</v>
      </c>
      <c r="O141" s="12"/>
      <c r="P141" s="12"/>
      <c r="Q141" s="12"/>
      <c r="R141" s="12"/>
      <c r="S141" s="12"/>
      <c r="T141" s="12"/>
      <c r="U141" s="12"/>
      <c r="V141" s="12"/>
      <c r="W141" s="66"/>
      <c r="X141" s="68"/>
      <c r="Y141" s="68"/>
    </row>
    <row r="142" spans="2:25" x14ac:dyDescent="0.25">
      <c r="C142" s="82"/>
      <c r="D142" s="68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66"/>
      <c r="X142" s="68"/>
      <c r="Y142" s="68"/>
    </row>
    <row r="143" spans="2:25" x14ac:dyDescent="0.25">
      <c r="C143" s="82"/>
      <c r="D143" s="68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66"/>
      <c r="X143" s="68"/>
      <c r="Y143" s="68"/>
    </row>
    <row r="144" spans="2:25" x14ac:dyDescent="0.25">
      <c r="C144" s="82"/>
      <c r="D144" s="68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66"/>
      <c r="X144" s="68"/>
      <c r="Y144" s="68"/>
    </row>
    <row r="145" spans="2:25" x14ac:dyDescent="0.25">
      <c r="C145" s="82"/>
      <c r="D145" s="68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66"/>
      <c r="X145" s="68"/>
      <c r="Y145" s="68"/>
    </row>
    <row r="146" spans="2:25" x14ac:dyDescent="0.25">
      <c r="C146" s="82"/>
      <c r="D146" s="68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66"/>
      <c r="X146" s="68"/>
      <c r="Y146" s="68"/>
    </row>
    <row r="147" spans="2:25" x14ac:dyDescent="0.25">
      <c r="C147" s="82"/>
      <c r="D147" s="68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66"/>
      <c r="X147" s="68"/>
      <c r="Y147" s="68"/>
    </row>
    <row r="148" spans="2:25" x14ac:dyDescent="0.25">
      <c r="C148" s="72"/>
      <c r="D148" s="68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68"/>
      <c r="X148" s="68"/>
      <c r="Y148" s="68"/>
    </row>
    <row r="149" spans="2:25" x14ac:dyDescent="0.25">
      <c r="C149" s="72"/>
      <c r="D149" s="68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68"/>
      <c r="U149" s="12"/>
      <c r="V149" s="12"/>
      <c r="W149" s="68"/>
      <c r="X149" s="68"/>
      <c r="Y149" s="68"/>
    </row>
    <row r="150" spans="2:25" x14ac:dyDescent="0.25">
      <c r="B150" s="68"/>
      <c r="C150" s="72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68"/>
      <c r="Y150" s="68"/>
    </row>
    <row r="151" spans="2:25" x14ac:dyDescent="0.25">
      <c r="B151" s="68"/>
      <c r="C151" s="72"/>
      <c r="D151" s="68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6"/>
      <c r="X151" s="68"/>
      <c r="Y151" s="68"/>
    </row>
    <row r="152" spans="2:25" x14ac:dyDescent="0.25">
      <c r="B152" s="68"/>
      <c r="C152" s="82"/>
      <c r="D152" s="76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6"/>
    </row>
    <row r="153" spans="2:25" x14ac:dyDescent="0.25">
      <c r="B153" s="85"/>
      <c r="C153" s="82"/>
      <c r="D153" s="76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6"/>
    </row>
    <row r="154" spans="2:25" x14ac:dyDescent="0.25">
      <c r="C154" s="82"/>
      <c r="D154" s="76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66"/>
    </row>
    <row r="155" spans="2:25" x14ac:dyDescent="0.25">
      <c r="C155" s="82"/>
      <c r="D155" s="76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66"/>
    </row>
    <row r="156" spans="2:25" x14ac:dyDescent="0.25">
      <c r="C156" s="82"/>
      <c r="D156" s="76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66"/>
    </row>
    <row r="157" spans="2:25" x14ac:dyDescent="0.25">
      <c r="C157" s="72"/>
      <c r="D157" s="68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66"/>
    </row>
    <row r="158" spans="2:25" x14ac:dyDescent="0.25">
      <c r="C158" s="82"/>
      <c r="D158" s="68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66"/>
    </row>
    <row r="159" spans="2:25" x14ac:dyDescent="0.25">
      <c r="C159" s="72"/>
      <c r="D159" s="68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68"/>
    </row>
    <row r="160" spans="2:25" x14ac:dyDescent="0.25">
      <c r="C160" s="72"/>
      <c r="D160" s="68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66"/>
    </row>
    <row r="161" spans="2:23" x14ac:dyDescent="0.25">
      <c r="B161" s="68"/>
      <c r="C161" s="72"/>
      <c r="D161" s="68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68"/>
    </row>
    <row r="162" spans="2:23" x14ac:dyDescent="0.25">
      <c r="B162" s="68"/>
      <c r="C162" s="72"/>
      <c r="D162" s="68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68"/>
    </row>
    <row r="163" spans="2:23" x14ac:dyDescent="0.25">
      <c r="B163" s="68"/>
      <c r="C163" s="72"/>
      <c r="D163" s="68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86"/>
    </row>
    <row r="164" spans="2:23" x14ac:dyDescent="0.25">
      <c r="B164" s="68"/>
      <c r="C164" s="72"/>
      <c r="D164" s="68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87"/>
    </row>
    <row r="165" spans="2:23" x14ac:dyDescent="0.25">
      <c r="C165" s="72"/>
      <c r="D165" s="68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68"/>
    </row>
    <row r="166" spans="2:23" x14ac:dyDescent="0.25">
      <c r="C166" s="72"/>
      <c r="D166" s="68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68"/>
    </row>
    <row r="167" spans="2:23" x14ac:dyDescent="0.25">
      <c r="C167" s="72"/>
      <c r="D167" s="68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68"/>
    </row>
    <row r="168" spans="2:23" x14ac:dyDescent="0.25">
      <c r="C168" s="72"/>
      <c r="D168" s="68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68"/>
    </row>
    <row r="169" spans="2:23" x14ac:dyDescent="0.25">
      <c r="C169" s="72"/>
      <c r="D169" s="68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68"/>
    </row>
    <row r="170" spans="2:23" x14ac:dyDescent="0.25">
      <c r="C170" s="72"/>
      <c r="D170" s="68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68"/>
    </row>
    <row r="171" spans="2:23" x14ac:dyDescent="0.25">
      <c r="C171" s="72"/>
      <c r="D171" s="68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68"/>
    </row>
    <row r="172" spans="2:23" x14ac:dyDescent="0.25">
      <c r="C172" s="72"/>
      <c r="D172" s="68"/>
      <c r="E172" s="12"/>
      <c r="F172" s="12"/>
      <c r="G172" s="12"/>
      <c r="H172" s="12"/>
      <c r="I172" s="12"/>
      <c r="J172" s="12"/>
      <c r="K172" s="12"/>
      <c r="L172" s="12"/>
      <c r="M172" s="12"/>
      <c r="N172" s="12">
        <v>3003000</v>
      </c>
      <c r="O172" s="12"/>
      <c r="P172" s="12"/>
      <c r="Q172" s="12"/>
      <c r="R172" s="12"/>
      <c r="S172" s="12"/>
      <c r="T172" s="12"/>
      <c r="U172" s="12"/>
      <c r="V172" s="12"/>
      <c r="W172" s="68"/>
    </row>
    <row r="173" spans="2:23" x14ac:dyDescent="0.25">
      <c r="C173" s="82"/>
      <c r="D173" s="68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68"/>
    </row>
    <row r="174" spans="2:23" x14ac:dyDescent="0.25">
      <c r="C174" s="82"/>
      <c r="D174" s="68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68"/>
    </row>
    <row r="175" spans="2:23" x14ac:dyDescent="0.25">
      <c r="C175" s="82"/>
      <c r="D175" s="68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68"/>
    </row>
    <row r="176" spans="2:23" x14ac:dyDescent="0.25">
      <c r="C176" s="82"/>
      <c r="D176" s="68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68"/>
    </row>
    <row r="177" spans="3:23" x14ac:dyDescent="0.25">
      <c r="C177" s="72">
        <v>42614840</v>
      </c>
      <c r="D177" s="68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>
        <v>412608</v>
      </c>
      <c r="W177" s="68"/>
    </row>
    <row r="178" spans="3:23" x14ac:dyDescent="0.25">
      <c r="C178" s="72">
        <v>9675182</v>
      </c>
      <c r="D178" s="68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>
        <v>1880000</v>
      </c>
      <c r="W178" s="68"/>
    </row>
    <row r="179" spans="3:23" x14ac:dyDescent="0.25">
      <c r="C179" s="72">
        <v>17903600</v>
      </c>
      <c r="D179" s="68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68"/>
    </row>
    <row r="180" spans="3:23" x14ac:dyDescent="0.25">
      <c r="C180" s="72">
        <f>SUM(C177:C179)</f>
        <v>70193622</v>
      </c>
      <c r="D180" s="68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68"/>
    </row>
    <row r="181" spans="3:23" x14ac:dyDescent="0.25">
      <c r="C181" s="72">
        <v>400000</v>
      </c>
      <c r="D181" s="68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68"/>
    </row>
    <row r="182" spans="3:23" x14ac:dyDescent="0.25">
      <c r="C182" s="72">
        <f>+C180+C181</f>
        <v>70593622</v>
      </c>
      <c r="D182" s="68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68"/>
    </row>
    <row r="186" spans="3:23" x14ac:dyDescent="0.25">
      <c r="C186" s="13">
        <v>11000000</v>
      </c>
    </row>
    <row r="187" spans="3:23" x14ac:dyDescent="0.25">
      <c r="C187" s="13">
        <f>+C185+C186</f>
        <v>11000000</v>
      </c>
    </row>
    <row r="192" spans="3:23" x14ac:dyDescent="0.25">
      <c r="C192" s="13">
        <v>3185000</v>
      </c>
    </row>
    <row r="193" spans="3:3" x14ac:dyDescent="0.25">
      <c r="C193" s="13">
        <v>1080000</v>
      </c>
    </row>
    <row r="194" spans="3:3" x14ac:dyDescent="0.25">
      <c r="C194" s="13">
        <v>4850100</v>
      </c>
    </row>
    <row r="195" spans="3:3" x14ac:dyDescent="0.25">
      <c r="C195" s="13">
        <v>5027500</v>
      </c>
    </row>
    <row r="196" spans="3:3" x14ac:dyDescent="0.25">
      <c r="C196" s="13">
        <v>4566000</v>
      </c>
    </row>
    <row r="197" spans="3:3" x14ac:dyDescent="0.25">
      <c r="C197" s="13">
        <v>1050000</v>
      </c>
    </row>
    <row r="198" spans="3:3" x14ac:dyDescent="0.25">
      <c r="C198" s="13">
        <v>3877333</v>
      </c>
    </row>
    <row r="199" spans="3:3" x14ac:dyDescent="0.25">
      <c r="C199" s="13">
        <v>6732440</v>
      </c>
    </row>
    <row r="200" spans="3:3" x14ac:dyDescent="0.25">
      <c r="C200" s="13">
        <v>3460000</v>
      </c>
    </row>
    <row r="201" spans="3:3" x14ac:dyDescent="0.25">
      <c r="C201" s="13">
        <v>588800</v>
      </c>
    </row>
    <row r="202" spans="3:3" x14ac:dyDescent="0.25">
      <c r="C202" s="13">
        <v>1868000</v>
      </c>
    </row>
    <row r="203" spans="3:3" x14ac:dyDescent="0.25">
      <c r="C203" s="13">
        <v>10313000</v>
      </c>
    </row>
    <row r="204" spans="3:3" x14ac:dyDescent="0.25">
      <c r="C204" s="13">
        <v>3443800</v>
      </c>
    </row>
    <row r="205" spans="3:3" x14ac:dyDescent="0.25">
      <c r="C205" s="13">
        <v>8136400</v>
      </c>
    </row>
    <row r="206" spans="3:3" x14ac:dyDescent="0.25">
      <c r="C206" s="13">
        <v>9675183</v>
      </c>
    </row>
    <row r="207" spans="3:3" x14ac:dyDescent="0.25">
      <c r="C207" s="13">
        <f>SUM(C191:C206)</f>
        <v>67853556</v>
      </c>
    </row>
  </sheetData>
  <mergeCells count="7">
    <mergeCell ref="D150:W150"/>
    <mergeCell ref="A1:W1"/>
    <mergeCell ref="A2:M2"/>
    <mergeCell ref="N2:V2"/>
    <mergeCell ref="A4:A66"/>
    <mergeCell ref="A67:A115"/>
    <mergeCell ref="E149:S149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A788-C30A-400D-B590-A1D5A595596F}">
  <dimension ref="A1:Z209"/>
  <sheetViews>
    <sheetView workbookViewId="0">
      <selection activeCell="J11" sqref="J11"/>
    </sheetView>
  </sheetViews>
  <sheetFormatPr baseColWidth="10" defaultRowHeight="12" x14ac:dyDescent="0.25"/>
  <cols>
    <col min="1" max="1" width="6.7109375" style="62" customWidth="1"/>
    <col min="2" max="2" width="4.85546875" style="62" customWidth="1"/>
    <col min="3" max="3" width="32.28515625" style="13" customWidth="1"/>
    <col min="4" max="4" width="8.5703125" style="62" customWidth="1"/>
    <col min="5" max="5" width="15" style="71" customWidth="1"/>
    <col min="6" max="6" width="4.42578125" style="71" customWidth="1"/>
    <col min="7" max="7" width="15.5703125" style="71" customWidth="1"/>
    <col min="8" max="9" width="11.28515625" style="71" customWidth="1"/>
    <col min="10" max="10" width="9.5703125" style="71" customWidth="1"/>
    <col min="11" max="11" width="12.28515625" style="71" customWidth="1"/>
    <col min="12" max="12" width="12.5703125" style="71" customWidth="1"/>
    <col min="13" max="13" width="16" style="71" customWidth="1"/>
    <col min="14" max="14" width="12.28515625" style="71" customWidth="1"/>
    <col min="15" max="15" width="14.140625" style="71" customWidth="1"/>
    <col min="16" max="18" width="11.28515625" style="71" customWidth="1"/>
    <col min="19" max="19" width="12.28515625" style="71" customWidth="1"/>
    <col min="20" max="20" width="11.28515625" style="71" customWidth="1"/>
    <col min="21" max="21" width="15.7109375" style="71" customWidth="1"/>
    <col min="22" max="22" width="12.42578125" style="71" customWidth="1"/>
    <col min="23" max="23" width="18" style="62" bestFit="1" customWidth="1"/>
    <col min="24" max="24" width="11.85546875" style="62" bestFit="1" customWidth="1"/>
    <col min="25" max="243" width="11.42578125" style="62"/>
    <col min="244" max="244" width="10.5703125" style="62" customWidth="1"/>
    <col min="245" max="245" width="4.85546875" style="62" customWidth="1"/>
    <col min="246" max="246" width="32.42578125" style="62" customWidth="1"/>
    <col min="247" max="247" width="9.85546875" style="62" customWidth="1"/>
    <col min="248" max="248" width="10.140625" style="62" customWidth="1"/>
    <col min="249" max="249" width="12.28515625" style="62" customWidth="1"/>
    <col min="250" max="250" width="15.42578125" style="62" customWidth="1"/>
    <col min="251" max="251" width="11.85546875" style="62" customWidth="1"/>
    <col min="252" max="252" width="13.28515625" style="62" customWidth="1"/>
    <col min="253" max="253" width="15.28515625" style="62" customWidth="1"/>
    <col min="254" max="254" width="11.85546875" style="62" customWidth="1"/>
    <col min="255" max="255" width="6.140625" style="62" customWidth="1"/>
    <col min="256" max="256" width="11.85546875" style="62" customWidth="1"/>
    <col min="257" max="257" width="9.42578125" style="62" customWidth="1"/>
    <col min="258" max="258" width="14.7109375" style="62" customWidth="1"/>
    <col min="259" max="259" width="11.5703125" style="62" customWidth="1"/>
    <col min="260" max="260" width="0.42578125" style="62" customWidth="1"/>
    <col min="261" max="261" width="10.5703125" style="62" bestFit="1" customWidth="1"/>
    <col min="262" max="262" width="12.28515625" style="62" customWidth="1"/>
    <col min="263" max="263" width="12.5703125" style="62" customWidth="1"/>
    <col min="264" max="264" width="10.5703125" style="62" customWidth="1"/>
    <col min="265" max="265" width="10.140625" style="62" customWidth="1"/>
    <col min="266" max="266" width="8.42578125" style="62" customWidth="1"/>
    <col min="267" max="267" width="18.85546875" style="62" customWidth="1"/>
    <col min="268" max="268" width="10.28515625" style="62" customWidth="1"/>
    <col min="269" max="269" width="11.42578125" style="62"/>
    <col min="270" max="270" width="12.140625" style="62" customWidth="1"/>
    <col min="271" max="271" width="10.5703125" style="62" customWidth="1"/>
    <col min="272" max="272" width="12.42578125" style="62" customWidth="1"/>
    <col min="273" max="273" width="15.140625" style="62" customWidth="1"/>
    <col min="274" max="274" width="13.5703125" style="62" customWidth="1"/>
    <col min="275" max="275" width="13.140625" style="62" customWidth="1"/>
    <col min="276" max="276" width="15.7109375" style="62" customWidth="1"/>
    <col min="277" max="277" width="37.5703125" style="62" customWidth="1"/>
    <col min="278" max="499" width="11.42578125" style="62"/>
    <col min="500" max="500" width="10.5703125" style="62" customWidth="1"/>
    <col min="501" max="501" width="4.85546875" style="62" customWidth="1"/>
    <col min="502" max="502" width="32.42578125" style="62" customWidth="1"/>
    <col min="503" max="503" width="9.85546875" style="62" customWidth="1"/>
    <col min="504" max="504" width="10.140625" style="62" customWidth="1"/>
    <col min="505" max="505" width="12.28515625" style="62" customWidth="1"/>
    <col min="506" max="506" width="15.42578125" style="62" customWidth="1"/>
    <col min="507" max="507" width="11.85546875" style="62" customWidth="1"/>
    <col min="508" max="508" width="13.28515625" style="62" customWidth="1"/>
    <col min="509" max="509" width="15.28515625" style="62" customWidth="1"/>
    <col min="510" max="510" width="11.85546875" style="62" customWidth="1"/>
    <col min="511" max="511" width="6.140625" style="62" customWidth="1"/>
    <col min="512" max="512" width="11.85546875" style="62" customWidth="1"/>
    <col min="513" max="513" width="9.42578125" style="62" customWidth="1"/>
    <col min="514" max="514" width="14.7109375" style="62" customWidth="1"/>
    <col min="515" max="515" width="11.5703125" style="62" customWidth="1"/>
    <col min="516" max="516" width="0.42578125" style="62" customWidth="1"/>
    <col min="517" max="517" width="10.5703125" style="62" bestFit="1" customWidth="1"/>
    <col min="518" max="518" width="12.28515625" style="62" customWidth="1"/>
    <col min="519" max="519" width="12.5703125" style="62" customWidth="1"/>
    <col min="520" max="520" width="10.5703125" style="62" customWidth="1"/>
    <col min="521" max="521" width="10.140625" style="62" customWidth="1"/>
    <col min="522" max="522" width="8.42578125" style="62" customWidth="1"/>
    <col min="523" max="523" width="18.85546875" style="62" customWidth="1"/>
    <col min="524" max="524" width="10.28515625" style="62" customWidth="1"/>
    <col min="525" max="525" width="11.42578125" style="62"/>
    <col min="526" max="526" width="12.140625" style="62" customWidth="1"/>
    <col min="527" max="527" width="10.5703125" style="62" customWidth="1"/>
    <col min="528" max="528" width="12.42578125" style="62" customWidth="1"/>
    <col min="529" max="529" width="15.140625" style="62" customWidth="1"/>
    <col min="530" max="530" width="13.5703125" style="62" customWidth="1"/>
    <col min="531" max="531" width="13.140625" style="62" customWidth="1"/>
    <col min="532" max="532" width="15.7109375" style="62" customWidth="1"/>
    <col min="533" max="533" width="37.5703125" style="62" customWidth="1"/>
    <col min="534" max="755" width="11.42578125" style="62"/>
    <col min="756" max="756" width="10.5703125" style="62" customWidth="1"/>
    <col min="757" max="757" width="4.85546875" style="62" customWidth="1"/>
    <col min="758" max="758" width="32.42578125" style="62" customWidth="1"/>
    <col min="759" max="759" width="9.85546875" style="62" customWidth="1"/>
    <col min="760" max="760" width="10.140625" style="62" customWidth="1"/>
    <col min="761" max="761" width="12.28515625" style="62" customWidth="1"/>
    <col min="762" max="762" width="15.42578125" style="62" customWidth="1"/>
    <col min="763" max="763" width="11.85546875" style="62" customWidth="1"/>
    <col min="764" max="764" width="13.28515625" style="62" customWidth="1"/>
    <col min="765" max="765" width="15.28515625" style="62" customWidth="1"/>
    <col min="766" max="766" width="11.85546875" style="62" customWidth="1"/>
    <col min="767" max="767" width="6.140625" style="62" customWidth="1"/>
    <col min="768" max="768" width="11.85546875" style="62" customWidth="1"/>
    <col min="769" max="769" width="9.42578125" style="62" customWidth="1"/>
    <col min="770" max="770" width="14.7109375" style="62" customWidth="1"/>
    <col min="771" max="771" width="11.5703125" style="62" customWidth="1"/>
    <col min="772" max="772" width="0.42578125" style="62" customWidth="1"/>
    <col min="773" max="773" width="10.5703125" style="62" bestFit="1" customWidth="1"/>
    <col min="774" max="774" width="12.28515625" style="62" customWidth="1"/>
    <col min="775" max="775" width="12.5703125" style="62" customWidth="1"/>
    <col min="776" max="776" width="10.5703125" style="62" customWidth="1"/>
    <col min="777" max="777" width="10.140625" style="62" customWidth="1"/>
    <col min="778" max="778" width="8.42578125" style="62" customWidth="1"/>
    <col min="779" max="779" width="18.85546875" style="62" customWidth="1"/>
    <col min="780" max="780" width="10.28515625" style="62" customWidth="1"/>
    <col min="781" max="781" width="11.42578125" style="62"/>
    <col min="782" max="782" width="12.140625" style="62" customWidth="1"/>
    <col min="783" max="783" width="10.5703125" style="62" customWidth="1"/>
    <col min="784" max="784" width="12.42578125" style="62" customWidth="1"/>
    <col min="785" max="785" width="15.140625" style="62" customWidth="1"/>
    <col min="786" max="786" width="13.5703125" style="62" customWidth="1"/>
    <col min="787" max="787" width="13.140625" style="62" customWidth="1"/>
    <col min="788" max="788" width="15.7109375" style="62" customWidth="1"/>
    <col min="789" max="789" width="37.5703125" style="62" customWidth="1"/>
    <col min="790" max="1011" width="11.42578125" style="62"/>
    <col min="1012" max="1012" width="10.5703125" style="62" customWidth="1"/>
    <col min="1013" max="1013" width="4.85546875" style="62" customWidth="1"/>
    <col min="1014" max="1014" width="32.42578125" style="62" customWidth="1"/>
    <col min="1015" max="1015" width="9.85546875" style="62" customWidth="1"/>
    <col min="1016" max="1016" width="10.140625" style="62" customWidth="1"/>
    <col min="1017" max="1017" width="12.28515625" style="62" customWidth="1"/>
    <col min="1018" max="1018" width="15.42578125" style="62" customWidth="1"/>
    <col min="1019" max="1019" width="11.85546875" style="62" customWidth="1"/>
    <col min="1020" max="1020" width="13.28515625" style="62" customWidth="1"/>
    <col min="1021" max="1021" width="15.28515625" style="62" customWidth="1"/>
    <col min="1022" max="1022" width="11.85546875" style="62" customWidth="1"/>
    <col min="1023" max="1023" width="6.140625" style="62" customWidth="1"/>
    <col min="1024" max="1024" width="11.85546875" style="62" customWidth="1"/>
    <col min="1025" max="1025" width="9.42578125" style="62" customWidth="1"/>
    <col min="1026" max="1026" width="14.7109375" style="62" customWidth="1"/>
    <col min="1027" max="1027" width="11.5703125" style="62" customWidth="1"/>
    <col min="1028" max="1028" width="0.42578125" style="62" customWidth="1"/>
    <col min="1029" max="1029" width="10.5703125" style="62" bestFit="1" customWidth="1"/>
    <col min="1030" max="1030" width="12.28515625" style="62" customWidth="1"/>
    <col min="1031" max="1031" width="12.5703125" style="62" customWidth="1"/>
    <col min="1032" max="1032" width="10.5703125" style="62" customWidth="1"/>
    <col min="1033" max="1033" width="10.140625" style="62" customWidth="1"/>
    <col min="1034" max="1034" width="8.42578125" style="62" customWidth="1"/>
    <col min="1035" max="1035" width="18.85546875" style="62" customWidth="1"/>
    <col min="1036" max="1036" width="10.28515625" style="62" customWidth="1"/>
    <col min="1037" max="1037" width="11.42578125" style="62"/>
    <col min="1038" max="1038" width="12.140625" style="62" customWidth="1"/>
    <col min="1039" max="1039" width="10.5703125" style="62" customWidth="1"/>
    <col min="1040" max="1040" width="12.42578125" style="62" customWidth="1"/>
    <col min="1041" max="1041" width="15.140625" style="62" customWidth="1"/>
    <col min="1042" max="1042" width="13.5703125" style="62" customWidth="1"/>
    <col min="1043" max="1043" width="13.140625" style="62" customWidth="1"/>
    <col min="1044" max="1044" width="15.7109375" style="62" customWidth="1"/>
    <col min="1045" max="1045" width="37.5703125" style="62" customWidth="1"/>
    <col min="1046" max="1267" width="11.42578125" style="62"/>
    <col min="1268" max="1268" width="10.5703125" style="62" customWidth="1"/>
    <col min="1269" max="1269" width="4.85546875" style="62" customWidth="1"/>
    <col min="1270" max="1270" width="32.42578125" style="62" customWidth="1"/>
    <col min="1271" max="1271" width="9.85546875" style="62" customWidth="1"/>
    <col min="1272" max="1272" width="10.140625" style="62" customWidth="1"/>
    <col min="1273" max="1273" width="12.28515625" style="62" customWidth="1"/>
    <col min="1274" max="1274" width="15.42578125" style="62" customWidth="1"/>
    <col min="1275" max="1275" width="11.85546875" style="62" customWidth="1"/>
    <col min="1276" max="1276" width="13.28515625" style="62" customWidth="1"/>
    <col min="1277" max="1277" width="15.28515625" style="62" customWidth="1"/>
    <col min="1278" max="1278" width="11.85546875" style="62" customWidth="1"/>
    <col min="1279" max="1279" width="6.140625" style="62" customWidth="1"/>
    <col min="1280" max="1280" width="11.85546875" style="62" customWidth="1"/>
    <col min="1281" max="1281" width="9.42578125" style="62" customWidth="1"/>
    <col min="1282" max="1282" width="14.7109375" style="62" customWidth="1"/>
    <col min="1283" max="1283" width="11.5703125" style="62" customWidth="1"/>
    <col min="1284" max="1284" width="0.42578125" style="62" customWidth="1"/>
    <col min="1285" max="1285" width="10.5703125" style="62" bestFit="1" customWidth="1"/>
    <col min="1286" max="1286" width="12.28515625" style="62" customWidth="1"/>
    <col min="1287" max="1287" width="12.5703125" style="62" customWidth="1"/>
    <col min="1288" max="1288" width="10.5703125" style="62" customWidth="1"/>
    <col min="1289" max="1289" width="10.140625" style="62" customWidth="1"/>
    <col min="1290" max="1290" width="8.42578125" style="62" customWidth="1"/>
    <col min="1291" max="1291" width="18.85546875" style="62" customWidth="1"/>
    <col min="1292" max="1292" width="10.28515625" style="62" customWidth="1"/>
    <col min="1293" max="1293" width="11.42578125" style="62"/>
    <col min="1294" max="1294" width="12.140625" style="62" customWidth="1"/>
    <col min="1295" max="1295" width="10.5703125" style="62" customWidth="1"/>
    <col min="1296" max="1296" width="12.42578125" style="62" customWidth="1"/>
    <col min="1297" max="1297" width="15.140625" style="62" customWidth="1"/>
    <col min="1298" max="1298" width="13.5703125" style="62" customWidth="1"/>
    <col min="1299" max="1299" width="13.140625" style="62" customWidth="1"/>
    <col min="1300" max="1300" width="15.7109375" style="62" customWidth="1"/>
    <col min="1301" max="1301" width="37.5703125" style="62" customWidth="1"/>
    <col min="1302" max="1523" width="11.42578125" style="62"/>
    <col min="1524" max="1524" width="10.5703125" style="62" customWidth="1"/>
    <col min="1525" max="1525" width="4.85546875" style="62" customWidth="1"/>
    <col min="1526" max="1526" width="32.42578125" style="62" customWidth="1"/>
    <col min="1527" max="1527" width="9.85546875" style="62" customWidth="1"/>
    <col min="1528" max="1528" width="10.140625" style="62" customWidth="1"/>
    <col min="1529" max="1529" width="12.28515625" style="62" customWidth="1"/>
    <col min="1530" max="1530" width="15.42578125" style="62" customWidth="1"/>
    <col min="1531" max="1531" width="11.85546875" style="62" customWidth="1"/>
    <col min="1532" max="1532" width="13.28515625" style="62" customWidth="1"/>
    <col min="1533" max="1533" width="15.28515625" style="62" customWidth="1"/>
    <col min="1534" max="1534" width="11.85546875" style="62" customWidth="1"/>
    <col min="1535" max="1535" width="6.140625" style="62" customWidth="1"/>
    <col min="1536" max="1536" width="11.85546875" style="62" customWidth="1"/>
    <col min="1537" max="1537" width="9.42578125" style="62" customWidth="1"/>
    <col min="1538" max="1538" width="14.7109375" style="62" customWidth="1"/>
    <col min="1539" max="1539" width="11.5703125" style="62" customWidth="1"/>
    <col min="1540" max="1540" width="0.42578125" style="62" customWidth="1"/>
    <col min="1541" max="1541" width="10.5703125" style="62" bestFit="1" customWidth="1"/>
    <col min="1542" max="1542" width="12.28515625" style="62" customWidth="1"/>
    <col min="1543" max="1543" width="12.5703125" style="62" customWidth="1"/>
    <col min="1544" max="1544" width="10.5703125" style="62" customWidth="1"/>
    <col min="1545" max="1545" width="10.140625" style="62" customWidth="1"/>
    <col min="1546" max="1546" width="8.42578125" style="62" customWidth="1"/>
    <col min="1547" max="1547" width="18.85546875" style="62" customWidth="1"/>
    <col min="1548" max="1548" width="10.28515625" style="62" customWidth="1"/>
    <col min="1549" max="1549" width="11.42578125" style="62"/>
    <col min="1550" max="1550" width="12.140625" style="62" customWidth="1"/>
    <col min="1551" max="1551" width="10.5703125" style="62" customWidth="1"/>
    <col min="1552" max="1552" width="12.42578125" style="62" customWidth="1"/>
    <col min="1553" max="1553" width="15.140625" style="62" customWidth="1"/>
    <col min="1554" max="1554" width="13.5703125" style="62" customWidth="1"/>
    <col min="1555" max="1555" width="13.140625" style="62" customWidth="1"/>
    <col min="1556" max="1556" width="15.7109375" style="62" customWidth="1"/>
    <col min="1557" max="1557" width="37.5703125" style="62" customWidth="1"/>
    <col min="1558" max="1779" width="11.42578125" style="62"/>
    <col min="1780" max="1780" width="10.5703125" style="62" customWidth="1"/>
    <col min="1781" max="1781" width="4.85546875" style="62" customWidth="1"/>
    <col min="1782" max="1782" width="32.42578125" style="62" customWidth="1"/>
    <col min="1783" max="1783" width="9.85546875" style="62" customWidth="1"/>
    <col min="1784" max="1784" width="10.140625" style="62" customWidth="1"/>
    <col min="1785" max="1785" width="12.28515625" style="62" customWidth="1"/>
    <col min="1786" max="1786" width="15.42578125" style="62" customWidth="1"/>
    <col min="1787" max="1787" width="11.85546875" style="62" customWidth="1"/>
    <col min="1788" max="1788" width="13.28515625" style="62" customWidth="1"/>
    <col min="1789" max="1789" width="15.28515625" style="62" customWidth="1"/>
    <col min="1790" max="1790" width="11.85546875" style="62" customWidth="1"/>
    <col min="1791" max="1791" width="6.140625" style="62" customWidth="1"/>
    <col min="1792" max="1792" width="11.85546875" style="62" customWidth="1"/>
    <col min="1793" max="1793" width="9.42578125" style="62" customWidth="1"/>
    <col min="1794" max="1794" width="14.7109375" style="62" customWidth="1"/>
    <col min="1795" max="1795" width="11.5703125" style="62" customWidth="1"/>
    <col min="1796" max="1796" width="0.42578125" style="62" customWidth="1"/>
    <col min="1797" max="1797" width="10.5703125" style="62" bestFit="1" customWidth="1"/>
    <col min="1798" max="1798" width="12.28515625" style="62" customWidth="1"/>
    <col min="1799" max="1799" width="12.5703125" style="62" customWidth="1"/>
    <col min="1800" max="1800" width="10.5703125" style="62" customWidth="1"/>
    <col min="1801" max="1801" width="10.140625" style="62" customWidth="1"/>
    <col min="1802" max="1802" width="8.42578125" style="62" customWidth="1"/>
    <col min="1803" max="1803" width="18.85546875" style="62" customWidth="1"/>
    <col min="1804" max="1804" width="10.28515625" style="62" customWidth="1"/>
    <col min="1805" max="1805" width="11.42578125" style="62"/>
    <col min="1806" max="1806" width="12.140625" style="62" customWidth="1"/>
    <col min="1807" max="1807" width="10.5703125" style="62" customWidth="1"/>
    <col min="1808" max="1808" width="12.42578125" style="62" customWidth="1"/>
    <col min="1809" max="1809" width="15.140625" style="62" customWidth="1"/>
    <col min="1810" max="1810" width="13.5703125" style="62" customWidth="1"/>
    <col min="1811" max="1811" width="13.140625" style="62" customWidth="1"/>
    <col min="1812" max="1812" width="15.7109375" style="62" customWidth="1"/>
    <col min="1813" max="1813" width="37.5703125" style="62" customWidth="1"/>
    <col min="1814" max="2035" width="11.42578125" style="62"/>
    <col min="2036" max="2036" width="10.5703125" style="62" customWidth="1"/>
    <col min="2037" max="2037" width="4.85546875" style="62" customWidth="1"/>
    <col min="2038" max="2038" width="32.42578125" style="62" customWidth="1"/>
    <col min="2039" max="2039" width="9.85546875" style="62" customWidth="1"/>
    <col min="2040" max="2040" width="10.140625" style="62" customWidth="1"/>
    <col min="2041" max="2041" width="12.28515625" style="62" customWidth="1"/>
    <col min="2042" max="2042" width="15.42578125" style="62" customWidth="1"/>
    <col min="2043" max="2043" width="11.85546875" style="62" customWidth="1"/>
    <col min="2044" max="2044" width="13.28515625" style="62" customWidth="1"/>
    <col min="2045" max="2045" width="15.28515625" style="62" customWidth="1"/>
    <col min="2046" max="2046" width="11.85546875" style="62" customWidth="1"/>
    <col min="2047" max="2047" width="6.140625" style="62" customWidth="1"/>
    <col min="2048" max="2048" width="11.85546875" style="62" customWidth="1"/>
    <col min="2049" max="2049" width="9.42578125" style="62" customWidth="1"/>
    <col min="2050" max="2050" width="14.7109375" style="62" customWidth="1"/>
    <col min="2051" max="2051" width="11.5703125" style="62" customWidth="1"/>
    <col min="2052" max="2052" width="0.42578125" style="62" customWidth="1"/>
    <col min="2053" max="2053" width="10.5703125" style="62" bestFit="1" customWidth="1"/>
    <col min="2054" max="2054" width="12.28515625" style="62" customWidth="1"/>
    <col min="2055" max="2055" width="12.5703125" style="62" customWidth="1"/>
    <col min="2056" max="2056" width="10.5703125" style="62" customWidth="1"/>
    <col min="2057" max="2057" width="10.140625" style="62" customWidth="1"/>
    <col min="2058" max="2058" width="8.42578125" style="62" customWidth="1"/>
    <col min="2059" max="2059" width="18.85546875" style="62" customWidth="1"/>
    <col min="2060" max="2060" width="10.28515625" style="62" customWidth="1"/>
    <col min="2061" max="2061" width="11.42578125" style="62"/>
    <col min="2062" max="2062" width="12.140625" style="62" customWidth="1"/>
    <col min="2063" max="2063" width="10.5703125" style="62" customWidth="1"/>
    <col min="2064" max="2064" width="12.42578125" style="62" customWidth="1"/>
    <col min="2065" max="2065" width="15.140625" style="62" customWidth="1"/>
    <col min="2066" max="2066" width="13.5703125" style="62" customWidth="1"/>
    <col min="2067" max="2067" width="13.140625" style="62" customWidth="1"/>
    <col min="2068" max="2068" width="15.7109375" style="62" customWidth="1"/>
    <col min="2069" max="2069" width="37.5703125" style="62" customWidth="1"/>
    <col min="2070" max="2291" width="11.42578125" style="62"/>
    <col min="2292" max="2292" width="10.5703125" style="62" customWidth="1"/>
    <col min="2293" max="2293" width="4.85546875" style="62" customWidth="1"/>
    <col min="2294" max="2294" width="32.42578125" style="62" customWidth="1"/>
    <col min="2295" max="2295" width="9.85546875" style="62" customWidth="1"/>
    <col min="2296" max="2296" width="10.140625" style="62" customWidth="1"/>
    <col min="2297" max="2297" width="12.28515625" style="62" customWidth="1"/>
    <col min="2298" max="2298" width="15.42578125" style="62" customWidth="1"/>
    <col min="2299" max="2299" width="11.85546875" style="62" customWidth="1"/>
    <col min="2300" max="2300" width="13.28515625" style="62" customWidth="1"/>
    <col min="2301" max="2301" width="15.28515625" style="62" customWidth="1"/>
    <col min="2302" max="2302" width="11.85546875" style="62" customWidth="1"/>
    <col min="2303" max="2303" width="6.140625" style="62" customWidth="1"/>
    <col min="2304" max="2304" width="11.85546875" style="62" customWidth="1"/>
    <col min="2305" max="2305" width="9.42578125" style="62" customWidth="1"/>
    <col min="2306" max="2306" width="14.7109375" style="62" customWidth="1"/>
    <col min="2307" max="2307" width="11.5703125" style="62" customWidth="1"/>
    <col min="2308" max="2308" width="0.42578125" style="62" customWidth="1"/>
    <col min="2309" max="2309" width="10.5703125" style="62" bestFit="1" customWidth="1"/>
    <col min="2310" max="2310" width="12.28515625" style="62" customWidth="1"/>
    <col min="2311" max="2311" width="12.5703125" style="62" customWidth="1"/>
    <col min="2312" max="2312" width="10.5703125" style="62" customWidth="1"/>
    <col min="2313" max="2313" width="10.140625" style="62" customWidth="1"/>
    <col min="2314" max="2314" width="8.42578125" style="62" customWidth="1"/>
    <col min="2315" max="2315" width="18.85546875" style="62" customWidth="1"/>
    <col min="2316" max="2316" width="10.28515625" style="62" customWidth="1"/>
    <col min="2317" max="2317" width="11.42578125" style="62"/>
    <col min="2318" max="2318" width="12.140625" style="62" customWidth="1"/>
    <col min="2319" max="2319" width="10.5703125" style="62" customWidth="1"/>
    <col min="2320" max="2320" width="12.42578125" style="62" customWidth="1"/>
    <col min="2321" max="2321" width="15.140625" style="62" customWidth="1"/>
    <col min="2322" max="2322" width="13.5703125" style="62" customWidth="1"/>
    <col min="2323" max="2323" width="13.140625" style="62" customWidth="1"/>
    <col min="2324" max="2324" width="15.7109375" style="62" customWidth="1"/>
    <col min="2325" max="2325" width="37.5703125" style="62" customWidth="1"/>
    <col min="2326" max="2547" width="11.42578125" style="62"/>
    <col min="2548" max="2548" width="10.5703125" style="62" customWidth="1"/>
    <col min="2549" max="2549" width="4.85546875" style="62" customWidth="1"/>
    <col min="2550" max="2550" width="32.42578125" style="62" customWidth="1"/>
    <col min="2551" max="2551" width="9.85546875" style="62" customWidth="1"/>
    <col min="2552" max="2552" width="10.140625" style="62" customWidth="1"/>
    <col min="2553" max="2553" width="12.28515625" style="62" customWidth="1"/>
    <col min="2554" max="2554" width="15.42578125" style="62" customWidth="1"/>
    <col min="2555" max="2555" width="11.85546875" style="62" customWidth="1"/>
    <col min="2556" max="2556" width="13.28515625" style="62" customWidth="1"/>
    <col min="2557" max="2557" width="15.28515625" style="62" customWidth="1"/>
    <col min="2558" max="2558" width="11.85546875" style="62" customWidth="1"/>
    <col min="2559" max="2559" width="6.140625" style="62" customWidth="1"/>
    <col min="2560" max="2560" width="11.85546875" style="62" customWidth="1"/>
    <col min="2561" max="2561" width="9.42578125" style="62" customWidth="1"/>
    <col min="2562" max="2562" width="14.7109375" style="62" customWidth="1"/>
    <col min="2563" max="2563" width="11.5703125" style="62" customWidth="1"/>
    <col min="2564" max="2564" width="0.42578125" style="62" customWidth="1"/>
    <col min="2565" max="2565" width="10.5703125" style="62" bestFit="1" customWidth="1"/>
    <col min="2566" max="2566" width="12.28515625" style="62" customWidth="1"/>
    <col min="2567" max="2567" width="12.5703125" style="62" customWidth="1"/>
    <col min="2568" max="2568" width="10.5703125" style="62" customWidth="1"/>
    <col min="2569" max="2569" width="10.140625" style="62" customWidth="1"/>
    <col min="2570" max="2570" width="8.42578125" style="62" customWidth="1"/>
    <col min="2571" max="2571" width="18.85546875" style="62" customWidth="1"/>
    <col min="2572" max="2572" width="10.28515625" style="62" customWidth="1"/>
    <col min="2573" max="2573" width="11.42578125" style="62"/>
    <col min="2574" max="2574" width="12.140625" style="62" customWidth="1"/>
    <col min="2575" max="2575" width="10.5703125" style="62" customWidth="1"/>
    <col min="2576" max="2576" width="12.42578125" style="62" customWidth="1"/>
    <col min="2577" max="2577" width="15.140625" style="62" customWidth="1"/>
    <col min="2578" max="2578" width="13.5703125" style="62" customWidth="1"/>
    <col min="2579" max="2579" width="13.140625" style="62" customWidth="1"/>
    <col min="2580" max="2580" width="15.7109375" style="62" customWidth="1"/>
    <col min="2581" max="2581" width="37.5703125" style="62" customWidth="1"/>
    <col min="2582" max="2803" width="11.42578125" style="62"/>
    <col min="2804" max="2804" width="10.5703125" style="62" customWidth="1"/>
    <col min="2805" max="2805" width="4.85546875" style="62" customWidth="1"/>
    <col min="2806" max="2806" width="32.42578125" style="62" customWidth="1"/>
    <col min="2807" max="2807" width="9.85546875" style="62" customWidth="1"/>
    <col min="2808" max="2808" width="10.140625" style="62" customWidth="1"/>
    <col min="2809" max="2809" width="12.28515625" style="62" customWidth="1"/>
    <col min="2810" max="2810" width="15.42578125" style="62" customWidth="1"/>
    <col min="2811" max="2811" width="11.85546875" style="62" customWidth="1"/>
    <col min="2812" max="2812" width="13.28515625" style="62" customWidth="1"/>
    <col min="2813" max="2813" width="15.28515625" style="62" customWidth="1"/>
    <col min="2814" max="2814" width="11.85546875" style="62" customWidth="1"/>
    <col min="2815" max="2815" width="6.140625" style="62" customWidth="1"/>
    <col min="2816" max="2816" width="11.85546875" style="62" customWidth="1"/>
    <col min="2817" max="2817" width="9.42578125" style="62" customWidth="1"/>
    <col min="2818" max="2818" width="14.7109375" style="62" customWidth="1"/>
    <col min="2819" max="2819" width="11.5703125" style="62" customWidth="1"/>
    <col min="2820" max="2820" width="0.42578125" style="62" customWidth="1"/>
    <col min="2821" max="2821" width="10.5703125" style="62" bestFit="1" customWidth="1"/>
    <col min="2822" max="2822" width="12.28515625" style="62" customWidth="1"/>
    <col min="2823" max="2823" width="12.5703125" style="62" customWidth="1"/>
    <col min="2824" max="2824" width="10.5703125" style="62" customWidth="1"/>
    <col min="2825" max="2825" width="10.140625" style="62" customWidth="1"/>
    <col min="2826" max="2826" width="8.42578125" style="62" customWidth="1"/>
    <col min="2827" max="2827" width="18.85546875" style="62" customWidth="1"/>
    <col min="2828" max="2828" width="10.28515625" style="62" customWidth="1"/>
    <col min="2829" max="2829" width="11.42578125" style="62"/>
    <col min="2830" max="2830" width="12.140625" style="62" customWidth="1"/>
    <col min="2831" max="2831" width="10.5703125" style="62" customWidth="1"/>
    <col min="2832" max="2832" width="12.42578125" style="62" customWidth="1"/>
    <col min="2833" max="2833" width="15.140625" style="62" customWidth="1"/>
    <col min="2834" max="2834" width="13.5703125" style="62" customWidth="1"/>
    <col min="2835" max="2835" width="13.140625" style="62" customWidth="1"/>
    <col min="2836" max="2836" width="15.7109375" style="62" customWidth="1"/>
    <col min="2837" max="2837" width="37.5703125" style="62" customWidth="1"/>
    <col min="2838" max="3059" width="11.42578125" style="62"/>
    <col min="3060" max="3060" width="10.5703125" style="62" customWidth="1"/>
    <col min="3061" max="3061" width="4.85546875" style="62" customWidth="1"/>
    <col min="3062" max="3062" width="32.42578125" style="62" customWidth="1"/>
    <col min="3063" max="3063" width="9.85546875" style="62" customWidth="1"/>
    <col min="3064" max="3064" width="10.140625" style="62" customWidth="1"/>
    <col min="3065" max="3065" width="12.28515625" style="62" customWidth="1"/>
    <col min="3066" max="3066" width="15.42578125" style="62" customWidth="1"/>
    <col min="3067" max="3067" width="11.85546875" style="62" customWidth="1"/>
    <col min="3068" max="3068" width="13.28515625" style="62" customWidth="1"/>
    <col min="3069" max="3069" width="15.28515625" style="62" customWidth="1"/>
    <col min="3070" max="3070" width="11.85546875" style="62" customWidth="1"/>
    <col min="3071" max="3071" width="6.140625" style="62" customWidth="1"/>
    <col min="3072" max="3072" width="11.85546875" style="62" customWidth="1"/>
    <col min="3073" max="3073" width="9.42578125" style="62" customWidth="1"/>
    <col min="3074" max="3074" width="14.7109375" style="62" customWidth="1"/>
    <col min="3075" max="3075" width="11.5703125" style="62" customWidth="1"/>
    <col min="3076" max="3076" width="0.42578125" style="62" customWidth="1"/>
    <col min="3077" max="3077" width="10.5703125" style="62" bestFit="1" customWidth="1"/>
    <col min="3078" max="3078" width="12.28515625" style="62" customWidth="1"/>
    <col min="3079" max="3079" width="12.5703125" style="62" customWidth="1"/>
    <col min="3080" max="3080" width="10.5703125" style="62" customWidth="1"/>
    <col min="3081" max="3081" width="10.140625" style="62" customWidth="1"/>
    <col min="3082" max="3082" width="8.42578125" style="62" customWidth="1"/>
    <col min="3083" max="3083" width="18.85546875" style="62" customWidth="1"/>
    <col min="3084" max="3084" width="10.28515625" style="62" customWidth="1"/>
    <col min="3085" max="3085" width="11.42578125" style="62"/>
    <col min="3086" max="3086" width="12.140625" style="62" customWidth="1"/>
    <col min="3087" max="3087" width="10.5703125" style="62" customWidth="1"/>
    <col min="3088" max="3088" width="12.42578125" style="62" customWidth="1"/>
    <col min="3089" max="3089" width="15.140625" style="62" customWidth="1"/>
    <col min="3090" max="3090" width="13.5703125" style="62" customWidth="1"/>
    <col min="3091" max="3091" width="13.140625" style="62" customWidth="1"/>
    <col min="3092" max="3092" width="15.7109375" style="62" customWidth="1"/>
    <col min="3093" max="3093" width="37.5703125" style="62" customWidth="1"/>
    <col min="3094" max="3315" width="11.42578125" style="62"/>
    <col min="3316" max="3316" width="10.5703125" style="62" customWidth="1"/>
    <col min="3317" max="3317" width="4.85546875" style="62" customWidth="1"/>
    <col min="3318" max="3318" width="32.42578125" style="62" customWidth="1"/>
    <col min="3319" max="3319" width="9.85546875" style="62" customWidth="1"/>
    <col min="3320" max="3320" width="10.140625" style="62" customWidth="1"/>
    <col min="3321" max="3321" width="12.28515625" style="62" customWidth="1"/>
    <col min="3322" max="3322" width="15.42578125" style="62" customWidth="1"/>
    <col min="3323" max="3323" width="11.85546875" style="62" customWidth="1"/>
    <col min="3324" max="3324" width="13.28515625" style="62" customWidth="1"/>
    <col min="3325" max="3325" width="15.28515625" style="62" customWidth="1"/>
    <col min="3326" max="3326" width="11.85546875" style="62" customWidth="1"/>
    <col min="3327" max="3327" width="6.140625" style="62" customWidth="1"/>
    <col min="3328" max="3328" width="11.85546875" style="62" customWidth="1"/>
    <col min="3329" max="3329" width="9.42578125" style="62" customWidth="1"/>
    <col min="3330" max="3330" width="14.7109375" style="62" customWidth="1"/>
    <col min="3331" max="3331" width="11.5703125" style="62" customWidth="1"/>
    <col min="3332" max="3332" width="0.42578125" style="62" customWidth="1"/>
    <col min="3333" max="3333" width="10.5703125" style="62" bestFit="1" customWidth="1"/>
    <col min="3334" max="3334" width="12.28515625" style="62" customWidth="1"/>
    <col min="3335" max="3335" width="12.5703125" style="62" customWidth="1"/>
    <col min="3336" max="3336" width="10.5703125" style="62" customWidth="1"/>
    <col min="3337" max="3337" width="10.140625" style="62" customWidth="1"/>
    <col min="3338" max="3338" width="8.42578125" style="62" customWidth="1"/>
    <col min="3339" max="3339" width="18.85546875" style="62" customWidth="1"/>
    <col min="3340" max="3340" width="10.28515625" style="62" customWidth="1"/>
    <col min="3341" max="3341" width="11.42578125" style="62"/>
    <col min="3342" max="3342" width="12.140625" style="62" customWidth="1"/>
    <col min="3343" max="3343" width="10.5703125" style="62" customWidth="1"/>
    <col min="3344" max="3344" width="12.42578125" style="62" customWidth="1"/>
    <col min="3345" max="3345" width="15.140625" style="62" customWidth="1"/>
    <col min="3346" max="3346" width="13.5703125" style="62" customWidth="1"/>
    <col min="3347" max="3347" width="13.140625" style="62" customWidth="1"/>
    <col min="3348" max="3348" width="15.7109375" style="62" customWidth="1"/>
    <col min="3349" max="3349" width="37.5703125" style="62" customWidth="1"/>
    <col min="3350" max="3571" width="11.42578125" style="62"/>
    <col min="3572" max="3572" width="10.5703125" style="62" customWidth="1"/>
    <col min="3573" max="3573" width="4.85546875" style="62" customWidth="1"/>
    <col min="3574" max="3574" width="32.42578125" style="62" customWidth="1"/>
    <col min="3575" max="3575" width="9.85546875" style="62" customWidth="1"/>
    <col min="3576" max="3576" width="10.140625" style="62" customWidth="1"/>
    <col min="3577" max="3577" width="12.28515625" style="62" customWidth="1"/>
    <col min="3578" max="3578" width="15.42578125" style="62" customWidth="1"/>
    <col min="3579" max="3579" width="11.85546875" style="62" customWidth="1"/>
    <col min="3580" max="3580" width="13.28515625" style="62" customWidth="1"/>
    <col min="3581" max="3581" width="15.28515625" style="62" customWidth="1"/>
    <col min="3582" max="3582" width="11.85546875" style="62" customWidth="1"/>
    <col min="3583" max="3583" width="6.140625" style="62" customWidth="1"/>
    <col min="3584" max="3584" width="11.85546875" style="62" customWidth="1"/>
    <col min="3585" max="3585" width="9.42578125" style="62" customWidth="1"/>
    <col min="3586" max="3586" width="14.7109375" style="62" customWidth="1"/>
    <col min="3587" max="3587" width="11.5703125" style="62" customWidth="1"/>
    <col min="3588" max="3588" width="0.42578125" style="62" customWidth="1"/>
    <col min="3589" max="3589" width="10.5703125" style="62" bestFit="1" customWidth="1"/>
    <col min="3590" max="3590" width="12.28515625" style="62" customWidth="1"/>
    <col min="3591" max="3591" width="12.5703125" style="62" customWidth="1"/>
    <col min="3592" max="3592" width="10.5703125" style="62" customWidth="1"/>
    <col min="3593" max="3593" width="10.140625" style="62" customWidth="1"/>
    <col min="3594" max="3594" width="8.42578125" style="62" customWidth="1"/>
    <col min="3595" max="3595" width="18.85546875" style="62" customWidth="1"/>
    <col min="3596" max="3596" width="10.28515625" style="62" customWidth="1"/>
    <col min="3597" max="3597" width="11.42578125" style="62"/>
    <col min="3598" max="3598" width="12.140625" style="62" customWidth="1"/>
    <col min="3599" max="3599" width="10.5703125" style="62" customWidth="1"/>
    <col min="3600" max="3600" width="12.42578125" style="62" customWidth="1"/>
    <col min="3601" max="3601" width="15.140625" style="62" customWidth="1"/>
    <col min="3602" max="3602" width="13.5703125" style="62" customWidth="1"/>
    <col min="3603" max="3603" width="13.140625" style="62" customWidth="1"/>
    <col min="3604" max="3604" width="15.7109375" style="62" customWidth="1"/>
    <col min="3605" max="3605" width="37.5703125" style="62" customWidth="1"/>
    <col min="3606" max="3827" width="11.42578125" style="62"/>
    <col min="3828" max="3828" width="10.5703125" style="62" customWidth="1"/>
    <col min="3829" max="3829" width="4.85546875" style="62" customWidth="1"/>
    <col min="3830" max="3830" width="32.42578125" style="62" customWidth="1"/>
    <col min="3831" max="3831" width="9.85546875" style="62" customWidth="1"/>
    <col min="3832" max="3832" width="10.140625" style="62" customWidth="1"/>
    <col min="3833" max="3833" width="12.28515625" style="62" customWidth="1"/>
    <col min="3834" max="3834" width="15.42578125" style="62" customWidth="1"/>
    <col min="3835" max="3835" width="11.85546875" style="62" customWidth="1"/>
    <col min="3836" max="3836" width="13.28515625" style="62" customWidth="1"/>
    <col min="3837" max="3837" width="15.28515625" style="62" customWidth="1"/>
    <col min="3838" max="3838" width="11.85546875" style="62" customWidth="1"/>
    <col min="3839" max="3839" width="6.140625" style="62" customWidth="1"/>
    <col min="3840" max="3840" width="11.85546875" style="62" customWidth="1"/>
    <col min="3841" max="3841" width="9.42578125" style="62" customWidth="1"/>
    <col min="3842" max="3842" width="14.7109375" style="62" customWidth="1"/>
    <col min="3843" max="3843" width="11.5703125" style="62" customWidth="1"/>
    <col min="3844" max="3844" width="0.42578125" style="62" customWidth="1"/>
    <col min="3845" max="3845" width="10.5703125" style="62" bestFit="1" customWidth="1"/>
    <col min="3846" max="3846" width="12.28515625" style="62" customWidth="1"/>
    <col min="3847" max="3847" width="12.5703125" style="62" customWidth="1"/>
    <col min="3848" max="3848" width="10.5703125" style="62" customWidth="1"/>
    <col min="3849" max="3849" width="10.140625" style="62" customWidth="1"/>
    <col min="3850" max="3850" width="8.42578125" style="62" customWidth="1"/>
    <col min="3851" max="3851" width="18.85546875" style="62" customWidth="1"/>
    <col min="3852" max="3852" width="10.28515625" style="62" customWidth="1"/>
    <col min="3853" max="3853" width="11.42578125" style="62"/>
    <col min="3854" max="3854" width="12.140625" style="62" customWidth="1"/>
    <col min="3855" max="3855" width="10.5703125" style="62" customWidth="1"/>
    <col min="3856" max="3856" width="12.42578125" style="62" customWidth="1"/>
    <col min="3857" max="3857" width="15.140625" style="62" customWidth="1"/>
    <col min="3858" max="3858" width="13.5703125" style="62" customWidth="1"/>
    <col min="3859" max="3859" width="13.140625" style="62" customWidth="1"/>
    <col min="3860" max="3860" width="15.7109375" style="62" customWidth="1"/>
    <col min="3861" max="3861" width="37.5703125" style="62" customWidth="1"/>
    <col min="3862" max="4083" width="11.42578125" style="62"/>
    <col min="4084" max="4084" width="10.5703125" style="62" customWidth="1"/>
    <col min="4085" max="4085" width="4.85546875" style="62" customWidth="1"/>
    <col min="4086" max="4086" width="32.42578125" style="62" customWidth="1"/>
    <col min="4087" max="4087" width="9.85546875" style="62" customWidth="1"/>
    <col min="4088" max="4088" width="10.140625" style="62" customWidth="1"/>
    <col min="4089" max="4089" width="12.28515625" style="62" customWidth="1"/>
    <col min="4090" max="4090" width="15.42578125" style="62" customWidth="1"/>
    <col min="4091" max="4091" width="11.85546875" style="62" customWidth="1"/>
    <col min="4092" max="4092" width="13.28515625" style="62" customWidth="1"/>
    <col min="4093" max="4093" width="15.28515625" style="62" customWidth="1"/>
    <col min="4094" max="4094" width="11.85546875" style="62" customWidth="1"/>
    <col min="4095" max="4095" width="6.140625" style="62" customWidth="1"/>
    <col min="4096" max="4096" width="11.85546875" style="62" customWidth="1"/>
    <col min="4097" max="4097" width="9.42578125" style="62" customWidth="1"/>
    <col min="4098" max="4098" width="14.7109375" style="62" customWidth="1"/>
    <col min="4099" max="4099" width="11.5703125" style="62" customWidth="1"/>
    <col min="4100" max="4100" width="0.42578125" style="62" customWidth="1"/>
    <col min="4101" max="4101" width="10.5703125" style="62" bestFit="1" customWidth="1"/>
    <col min="4102" max="4102" width="12.28515625" style="62" customWidth="1"/>
    <col min="4103" max="4103" width="12.5703125" style="62" customWidth="1"/>
    <col min="4104" max="4104" width="10.5703125" style="62" customWidth="1"/>
    <col min="4105" max="4105" width="10.140625" style="62" customWidth="1"/>
    <col min="4106" max="4106" width="8.42578125" style="62" customWidth="1"/>
    <col min="4107" max="4107" width="18.85546875" style="62" customWidth="1"/>
    <col min="4108" max="4108" width="10.28515625" style="62" customWidth="1"/>
    <col min="4109" max="4109" width="11.42578125" style="62"/>
    <col min="4110" max="4110" width="12.140625" style="62" customWidth="1"/>
    <col min="4111" max="4111" width="10.5703125" style="62" customWidth="1"/>
    <col min="4112" max="4112" width="12.42578125" style="62" customWidth="1"/>
    <col min="4113" max="4113" width="15.140625" style="62" customWidth="1"/>
    <col min="4114" max="4114" width="13.5703125" style="62" customWidth="1"/>
    <col min="4115" max="4115" width="13.140625" style="62" customWidth="1"/>
    <col min="4116" max="4116" width="15.7109375" style="62" customWidth="1"/>
    <col min="4117" max="4117" width="37.5703125" style="62" customWidth="1"/>
    <col min="4118" max="4339" width="11.42578125" style="62"/>
    <col min="4340" max="4340" width="10.5703125" style="62" customWidth="1"/>
    <col min="4341" max="4341" width="4.85546875" style="62" customWidth="1"/>
    <col min="4342" max="4342" width="32.42578125" style="62" customWidth="1"/>
    <col min="4343" max="4343" width="9.85546875" style="62" customWidth="1"/>
    <col min="4344" max="4344" width="10.140625" style="62" customWidth="1"/>
    <col min="4345" max="4345" width="12.28515625" style="62" customWidth="1"/>
    <col min="4346" max="4346" width="15.42578125" style="62" customWidth="1"/>
    <col min="4347" max="4347" width="11.85546875" style="62" customWidth="1"/>
    <col min="4348" max="4348" width="13.28515625" style="62" customWidth="1"/>
    <col min="4349" max="4349" width="15.28515625" style="62" customWidth="1"/>
    <col min="4350" max="4350" width="11.85546875" style="62" customWidth="1"/>
    <col min="4351" max="4351" width="6.140625" style="62" customWidth="1"/>
    <col min="4352" max="4352" width="11.85546875" style="62" customWidth="1"/>
    <col min="4353" max="4353" width="9.42578125" style="62" customWidth="1"/>
    <col min="4354" max="4354" width="14.7109375" style="62" customWidth="1"/>
    <col min="4355" max="4355" width="11.5703125" style="62" customWidth="1"/>
    <col min="4356" max="4356" width="0.42578125" style="62" customWidth="1"/>
    <col min="4357" max="4357" width="10.5703125" style="62" bestFit="1" customWidth="1"/>
    <col min="4358" max="4358" width="12.28515625" style="62" customWidth="1"/>
    <col min="4359" max="4359" width="12.5703125" style="62" customWidth="1"/>
    <col min="4360" max="4360" width="10.5703125" style="62" customWidth="1"/>
    <col min="4361" max="4361" width="10.140625" style="62" customWidth="1"/>
    <col min="4362" max="4362" width="8.42578125" style="62" customWidth="1"/>
    <col min="4363" max="4363" width="18.85546875" style="62" customWidth="1"/>
    <col min="4364" max="4364" width="10.28515625" style="62" customWidth="1"/>
    <col min="4365" max="4365" width="11.42578125" style="62"/>
    <col min="4366" max="4366" width="12.140625" style="62" customWidth="1"/>
    <col min="4367" max="4367" width="10.5703125" style="62" customWidth="1"/>
    <col min="4368" max="4368" width="12.42578125" style="62" customWidth="1"/>
    <col min="4369" max="4369" width="15.140625" style="62" customWidth="1"/>
    <col min="4370" max="4370" width="13.5703125" style="62" customWidth="1"/>
    <col min="4371" max="4371" width="13.140625" style="62" customWidth="1"/>
    <col min="4372" max="4372" width="15.7109375" style="62" customWidth="1"/>
    <col min="4373" max="4373" width="37.5703125" style="62" customWidth="1"/>
    <col min="4374" max="4595" width="11.42578125" style="62"/>
    <col min="4596" max="4596" width="10.5703125" style="62" customWidth="1"/>
    <col min="4597" max="4597" width="4.85546875" style="62" customWidth="1"/>
    <col min="4598" max="4598" width="32.42578125" style="62" customWidth="1"/>
    <col min="4599" max="4599" width="9.85546875" style="62" customWidth="1"/>
    <col min="4600" max="4600" width="10.140625" style="62" customWidth="1"/>
    <col min="4601" max="4601" width="12.28515625" style="62" customWidth="1"/>
    <col min="4602" max="4602" width="15.42578125" style="62" customWidth="1"/>
    <col min="4603" max="4603" width="11.85546875" style="62" customWidth="1"/>
    <col min="4604" max="4604" width="13.28515625" style="62" customWidth="1"/>
    <col min="4605" max="4605" width="15.28515625" style="62" customWidth="1"/>
    <col min="4606" max="4606" width="11.85546875" style="62" customWidth="1"/>
    <col min="4607" max="4607" width="6.140625" style="62" customWidth="1"/>
    <col min="4608" max="4608" width="11.85546875" style="62" customWidth="1"/>
    <col min="4609" max="4609" width="9.42578125" style="62" customWidth="1"/>
    <col min="4610" max="4610" width="14.7109375" style="62" customWidth="1"/>
    <col min="4611" max="4611" width="11.5703125" style="62" customWidth="1"/>
    <col min="4612" max="4612" width="0.42578125" style="62" customWidth="1"/>
    <col min="4613" max="4613" width="10.5703125" style="62" bestFit="1" customWidth="1"/>
    <col min="4614" max="4614" width="12.28515625" style="62" customWidth="1"/>
    <col min="4615" max="4615" width="12.5703125" style="62" customWidth="1"/>
    <col min="4616" max="4616" width="10.5703125" style="62" customWidth="1"/>
    <col min="4617" max="4617" width="10.140625" style="62" customWidth="1"/>
    <col min="4618" max="4618" width="8.42578125" style="62" customWidth="1"/>
    <col min="4619" max="4619" width="18.85546875" style="62" customWidth="1"/>
    <col min="4620" max="4620" width="10.28515625" style="62" customWidth="1"/>
    <col min="4621" max="4621" width="11.42578125" style="62"/>
    <col min="4622" max="4622" width="12.140625" style="62" customWidth="1"/>
    <col min="4623" max="4623" width="10.5703125" style="62" customWidth="1"/>
    <col min="4624" max="4624" width="12.42578125" style="62" customWidth="1"/>
    <col min="4625" max="4625" width="15.140625" style="62" customWidth="1"/>
    <col min="4626" max="4626" width="13.5703125" style="62" customWidth="1"/>
    <col min="4627" max="4627" width="13.140625" style="62" customWidth="1"/>
    <col min="4628" max="4628" width="15.7109375" style="62" customWidth="1"/>
    <col min="4629" max="4629" width="37.5703125" style="62" customWidth="1"/>
    <col min="4630" max="4851" width="11.42578125" style="62"/>
    <col min="4852" max="4852" width="10.5703125" style="62" customWidth="1"/>
    <col min="4853" max="4853" width="4.85546875" style="62" customWidth="1"/>
    <col min="4854" max="4854" width="32.42578125" style="62" customWidth="1"/>
    <col min="4855" max="4855" width="9.85546875" style="62" customWidth="1"/>
    <col min="4856" max="4856" width="10.140625" style="62" customWidth="1"/>
    <col min="4857" max="4857" width="12.28515625" style="62" customWidth="1"/>
    <col min="4858" max="4858" width="15.42578125" style="62" customWidth="1"/>
    <col min="4859" max="4859" width="11.85546875" style="62" customWidth="1"/>
    <col min="4860" max="4860" width="13.28515625" style="62" customWidth="1"/>
    <col min="4861" max="4861" width="15.28515625" style="62" customWidth="1"/>
    <col min="4862" max="4862" width="11.85546875" style="62" customWidth="1"/>
    <col min="4863" max="4863" width="6.140625" style="62" customWidth="1"/>
    <col min="4864" max="4864" width="11.85546875" style="62" customWidth="1"/>
    <col min="4865" max="4865" width="9.42578125" style="62" customWidth="1"/>
    <col min="4866" max="4866" width="14.7109375" style="62" customWidth="1"/>
    <col min="4867" max="4867" width="11.5703125" style="62" customWidth="1"/>
    <col min="4868" max="4868" width="0.42578125" style="62" customWidth="1"/>
    <col min="4869" max="4869" width="10.5703125" style="62" bestFit="1" customWidth="1"/>
    <col min="4870" max="4870" width="12.28515625" style="62" customWidth="1"/>
    <col min="4871" max="4871" width="12.5703125" style="62" customWidth="1"/>
    <col min="4872" max="4872" width="10.5703125" style="62" customWidth="1"/>
    <col min="4873" max="4873" width="10.140625" style="62" customWidth="1"/>
    <col min="4874" max="4874" width="8.42578125" style="62" customWidth="1"/>
    <col min="4875" max="4875" width="18.85546875" style="62" customWidth="1"/>
    <col min="4876" max="4876" width="10.28515625" style="62" customWidth="1"/>
    <col min="4877" max="4877" width="11.42578125" style="62"/>
    <col min="4878" max="4878" width="12.140625" style="62" customWidth="1"/>
    <col min="4879" max="4879" width="10.5703125" style="62" customWidth="1"/>
    <col min="4880" max="4880" width="12.42578125" style="62" customWidth="1"/>
    <col min="4881" max="4881" width="15.140625" style="62" customWidth="1"/>
    <col min="4882" max="4882" width="13.5703125" style="62" customWidth="1"/>
    <col min="4883" max="4883" width="13.140625" style="62" customWidth="1"/>
    <col min="4884" max="4884" width="15.7109375" style="62" customWidth="1"/>
    <col min="4885" max="4885" width="37.5703125" style="62" customWidth="1"/>
    <col min="4886" max="5107" width="11.42578125" style="62"/>
    <col min="5108" max="5108" width="10.5703125" style="62" customWidth="1"/>
    <col min="5109" max="5109" width="4.85546875" style="62" customWidth="1"/>
    <col min="5110" max="5110" width="32.42578125" style="62" customWidth="1"/>
    <col min="5111" max="5111" width="9.85546875" style="62" customWidth="1"/>
    <col min="5112" max="5112" width="10.140625" style="62" customWidth="1"/>
    <col min="5113" max="5113" width="12.28515625" style="62" customWidth="1"/>
    <col min="5114" max="5114" width="15.42578125" style="62" customWidth="1"/>
    <col min="5115" max="5115" width="11.85546875" style="62" customWidth="1"/>
    <col min="5116" max="5116" width="13.28515625" style="62" customWidth="1"/>
    <col min="5117" max="5117" width="15.28515625" style="62" customWidth="1"/>
    <col min="5118" max="5118" width="11.85546875" style="62" customWidth="1"/>
    <col min="5119" max="5119" width="6.140625" style="62" customWidth="1"/>
    <col min="5120" max="5120" width="11.85546875" style="62" customWidth="1"/>
    <col min="5121" max="5121" width="9.42578125" style="62" customWidth="1"/>
    <col min="5122" max="5122" width="14.7109375" style="62" customWidth="1"/>
    <col min="5123" max="5123" width="11.5703125" style="62" customWidth="1"/>
    <col min="5124" max="5124" width="0.42578125" style="62" customWidth="1"/>
    <col min="5125" max="5125" width="10.5703125" style="62" bestFit="1" customWidth="1"/>
    <col min="5126" max="5126" width="12.28515625" style="62" customWidth="1"/>
    <col min="5127" max="5127" width="12.5703125" style="62" customWidth="1"/>
    <col min="5128" max="5128" width="10.5703125" style="62" customWidth="1"/>
    <col min="5129" max="5129" width="10.140625" style="62" customWidth="1"/>
    <col min="5130" max="5130" width="8.42578125" style="62" customWidth="1"/>
    <col min="5131" max="5131" width="18.85546875" style="62" customWidth="1"/>
    <col min="5132" max="5132" width="10.28515625" style="62" customWidth="1"/>
    <col min="5133" max="5133" width="11.42578125" style="62"/>
    <col min="5134" max="5134" width="12.140625" style="62" customWidth="1"/>
    <col min="5135" max="5135" width="10.5703125" style="62" customWidth="1"/>
    <col min="5136" max="5136" width="12.42578125" style="62" customWidth="1"/>
    <col min="5137" max="5137" width="15.140625" style="62" customWidth="1"/>
    <col min="5138" max="5138" width="13.5703125" style="62" customWidth="1"/>
    <col min="5139" max="5139" width="13.140625" style="62" customWidth="1"/>
    <col min="5140" max="5140" width="15.7109375" style="62" customWidth="1"/>
    <col min="5141" max="5141" width="37.5703125" style="62" customWidth="1"/>
    <col min="5142" max="5363" width="11.42578125" style="62"/>
    <col min="5364" max="5364" width="10.5703125" style="62" customWidth="1"/>
    <col min="5365" max="5365" width="4.85546875" style="62" customWidth="1"/>
    <col min="5366" max="5366" width="32.42578125" style="62" customWidth="1"/>
    <col min="5367" max="5367" width="9.85546875" style="62" customWidth="1"/>
    <col min="5368" max="5368" width="10.140625" style="62" customWidth="1"/>
    <col min="5369" max="5369" width="12.28515625" style="62" customWidth="1"/>
    <col min="5370" max="5370" width="15.42578125" style="62" customWidth="1"/>
    <col min="5371" max="5371" width="11.85546875" style="62" customWidth="1"/>
    <col min="5372" max="5372" width="13.28515625" style="62" customWidth="1"/>
    <col min="5373" max="5373" width="15.28515625" style="62" customWidth="1"/>
    <col min="5374" max="5374" width="11.85546875" style="62" customWidth="1"/>
    <col min="5375" max="5375" width="6.140625" style="62" customWidth="1"/>
    <col min="5376" max="5376" width="11.85546875" style="62" customWidth="1"/>
    <col min="5377" max="5377" width="9.42578125" style="62" customWidth="1"/>
    <col min="5378" max="5378" width="14.7109375" style="62" customWidth="1"/>
    <col min="5379" max="5379" width="11.5703125" style="62" customWidth="1"/>
    <col min="5380" max="5380" width="0.42578125" style="62" customWidth="1"/>
    <col min="5381" max="5381" width="10.5703125" style="62" bestFit="1" customWidth="1"/>
    <col min="5382" max="5382" width="12.28515625" style="62" customWidth="1"/>
    <col min="5383" max="5383" width="12.5703125" style="62" customWidth="1"/>
    <col min="5384" max="5384" width="10.5703125" style="62" customWidth="1"/>
    <col min="5385" max="5385" width="10.140625" style="62" customWidth="1"/>
    <col min="5386" max="5386" width="8.42578125" style="62" customWidth="1"/>
    <col min="5387" max="5387" width="18.85546875" style="62" customWidth="1"/>
    <col min="5388" max="5388" width="10.28515625" style="62" customWidth="1"/>
    <col min="5389" max="5389" width="11.42578125" style="62"/>
    <col min="5390" max="5390" width="12.140625" style="62" customWidth="1"/>
    <col min="5391" max="5391" width="10.5703125" style="62" customWidth="1"/>
    <col min="5392" max="5392" width="12.42578125" style="62" customWidth="1"/>
    <col min="5393" max="5393" width="15.140625" style="62" customWidth="1"/>
    <col min="5394" max="5394" width="13.5703125" style="62" customWidth="1"/>
    <col min="5395" max="5395" width="13.140625" style="62" customWidth="1"/>
    <col min="5396" max="5396" width="15.7109375" style="62" customWidth="1"/>
    <col min="5397" max="5397" width="37.5703125" style="62" customWidth="1"/>
    <col min="5398" max="5619" width="11.42578125" style="62"/>
    <col min="5620" max="5620" width="10.5703125" style="62" customWidth="1"/>
    <col min="5621" max="5621" width="4.85546875" style="62" customWidth="1"/>
    <col min="5622" max="5622" width="32.42578125" style="62" customWidth="1"/>
    <col min="5623" max="5623" width="9.85546875" style="62" customWidth="1"/>
    <col min="5624" max="5624" width="10.140625" style="62" customWidth="1"/>
    <col min="5625" max="5625" width="12.28515625" style="62" customWidth="1"/>
    <col min="5626" max="5626" width="15.42578125" style="62" customWidth="1"/>
    <col min="5627" max="5627" width="11.85546875" style="62" customWidth="1"/>
    <col min="5628" max="5628" width="13.28515625" style="62" customWidth="1"/>
    <col min="5629" max="5629" width="15.28515625" style="62" customWidth="1"/>
    <col min="5630" max="5630" width="11.85546875" style="62" customWidth="1"/>
    <col min="5631" max="5631" width="6.140625" style="62" customWidth="1"/>
    <col min="5632" max="5632" width="11.85546875" style="62" customWidth="1"/>
    <col min="5633" max="5633" width="9.42578125" style="62" customWidth="1"/>
    <col min="5634" max="5634" width="14.7109375" style="62" customWidth="1"/>
    <col min="5635" max="5635" width="11.5703125" style="62" customWidth="1"/>
    <col min="5636" max="5636" width="0.42578125" style="62" customWidth="1"/>
    <col min="5637" max="5637" width="10.5703125" style="62" bestFit="1" customWidth="1"/>
    <col min="5638" max="5638" width="12.28515625" style="62" customWidth="1"/>
    <col min="5639" max="5639" width="12.5703125" style="62" customWidth="1"/>
    <col min="5640" max="5640" width="10.5703125" style="62" customWidth="1"/>
    <col min="5641" max="5641" width="10.140625" style="62" customWidth="1"/>
    <col min="5642" max="5642" width="8.42578125" style="62" customWidth="1"/>
    <col min="5643" max="5643" width="18.85546875" style="62" customWidth="1"/>
    <col min="5644" max="5644" width="10.28515625" style="62" customWidth="1"/>
    <col min="5645" max="5645" width="11.42578125" style="62"/>
    <col min="5646" max="5646" width="12.140625" style="62" customWidth="1"/>
    <col min="5647" max="5647" width="10.5703125" style="62" customWidth="1"/>
    <col min="5648" max="5648" width="12.42578125" style="62" customWidth="1"/>
    <col min="5649" max="5649" width="15.140625" style="62" customWidth="1"/>
    <col min="5650" max="5650" width="13.5703125" style="62" customWidth="1"/>
    <col min="5651" max="5651" width="13.140625" style="62" customWidth="1"/>
    <col min="5652" max="5652" width="15.7109375" style="62" customWidth="1"/>
    <col min="5653" max="5653" width="37.5703125" style="62" customWidth="1"/>
    <col min="5654" max="5875" width="11.42578125" style="62"/>
    <col min="5876" max="5876" width="10.5703125" style="62" customWidth="1"/>
    <col min="5877" max="5877" width="4.85546875" style="62" customWidth="1"/>
    <col min="5878" max="5878" width="32.42578125" style="62" customWidth="1"/>
    <col min="5879" max="5879" width="9.85546875" style="62" customWidth="1"/>
    <col min="5880" max="5880" width="10.140625" style="62" customWidth="1"/>
    <col min="5881" max="5881" width="12.28515625" style="62" customWidth="1"/>
    <col min="5882" max="5882" width="15.42578125" style="62" customWidth="1"/>
    <col min="5883" max="5883" width="11.85546875" style="62" customWidth="1"/>
    <col min="5884" max="5884" width="13.28515625" style="62" customWidth="1"/>
    <col min="5885" max="5885" width="15.28515625" style="62" customWidth="1"/>
    <col min="5886" max="5886" width="11.85546875" style="62" customWidth="1"/>
    <col min="5887" max="5887" width="6.140625" style="62" customWidth="1"/>
    <col min="5888" max="5888" width="11.85546875" style="62" customWidth="1"/>
    <col min="5889" max="5889" width="9.42578125" style="62" customWidth="1"/>
    <col min="5890" max="5890" width="14.7109375" style="62" customWidth="1"/>
    <col min="5891" max="5891" width="11.5703125" style="62" customWidth="1"/>
    <col min="5892" max="5892" width="0.42578125" style="62" customWidth="1"/>
    <col min="5893" max="5893" width="10.5703125" style="62" bestFit="1" customWidth="1"/>
    <col min="5894" max="5894" width="12.28515625" style="62" customWidth="1"/>
    <col min="5895" max="5895" width="12.5703125" style="62" customWidth="1"/>
    <col min="5896" max="5896" width="10.5703125" style="62" customWidth="1"/>
    <col min="5897" max="5897" width="10.140625" style="62" customWidth="1"/>
    <col min="5898" max="5898" width="8.42578125" style="62" customWidth="1"/>
    <col min="5899" max="5899" width="18.85546875" style="62" customWidth="1"/>
    <col min="5900" max="5900" width="10.28515625" style="62" customWidth="1"/>
    <col min="5901" max="5901" width="11.42578125" style="62"/>
    <col min="5902" max="5902" width="12.140625" style="62" customWidth="1"/>
    <col min="5903" max="5903" width="10.5703125" style="62" customWidth="1"/>
    <col min="5904" max="5904" width="12.42578125" style="62" customWidth="1"/>
    <col min="5905" max="5905" width="15.140625" style="62" customWidth="1"/>
    <col min="5906" max="5906" width="13.5703125" style="62" customWidth="1"/>
    <col min="5907" max="5907" width="13.140625" style="62" customWidth="1"/>
    <col min="5908" max="5908" width="15.7109375" style="62" customWidth="1"/>
    <col min="5909" max="5909" width="37.5703125" style="62" customWidth="1"/>
    <col min="5910" max="6131" width="11.42578125" style="62"/>
    <col min="6132" max="6132" width="10.5703125" style="62" customWidth="1"/>
    <col min="6133" max="6133" width="4.85546875" style="62" customWidth="1"/>
    <col min="6134" max="6134" width="32.42578125" style="62" customWidth="1"/>
    <col min="6135" max="6135" width="9.85546875" style="62" customWidth="1"/>
    <col min="6136" max="6136" width="10.140625" style="62" customWidth="1"/>
    <col min="6137" max="6137" width="12.28515625" style="62" customWidth="1"/>
    <col min="6138" max="6138" width="15.42578125" style="62" customWidth="1"/>
    <col min="6139" max="6139" width="11.85546875" style="62" customWidth="1"/>
    <col min="6140" max="6140" width="13.28515625" style="62" customWidth="1"/>
    <col min="6141" max="6141" width="15.28515625" style="62" customWidth="1"/>
    <col min="6142" max="6142" width="11.85546875" style="62" customWidth="1"/>
    <col min="6143" max="6143" width="6.140625" style="62" customWidth="1"/>
    <col min="6144" max="6144" width="11.85546875" style="62" customWidth="1"/>
    <col min="6145" max="6145" width="9.42578125" style="62" customWidth="1"/>
    <col min="6146" max="6146" width="14.7109375" style="62" customWidth="1"/>
    <col min="6147" max="6147" width="11.5703125" style="62" customWidth="1"/>
    <col min="6148" max="6148" width="0.42578125" style="62" customWidth="1"/>
    <col min="6149" max="6149" width="10.5703125" style="62" bestFit="1" customWidth="1"/>
    <col min="6150" max="6150" width="12.28515625" style="62" customWidth="1"/>
    <col min="6151" max="6151" width="12.5703125" style="62" customWidth="1"/>
    <col min="6152" max="6152" width="10.5703125" style="62" customWidth="1"/>
    <col min="6153" max="6153" width="10.140625" style="62" customWidth="1"/>
    <col min="6154" max="6154" width="8.42578125" style="62" customWidth="1"/>
    <col min="6155" max="6155" width="18.85546875" style="62" customWidth="1"/>
    <col min="6156" max="6156" width="10.28515625" style="62" customWidth="1"/>
    <col min="6157" max="6157" width="11.42578125" style="62"/>
    <col min="6158" max="6158" width="12.140625" style="62" customWidth="1"/>
    <col min="6159" max="6159" width="10.5703125" style="62" customWidth="1"/>
    <col min="6160" max="6160" width="12.42578125" style="62" customWidth="1"/>
    <col min="6161" max="6161" width="15.140625" style="62" customWidth="1"/>
    <col min="6162" max="6162" width="13.5703125" style="62" customWidth="1"/>
    <col min="6163" max="6163" width="13.140625" style="62" customWidth="1"/>
    <col min="6164" max="6164" width="15.7109375" style="62" customWidth="1"/>
    <col min="6165" max="6165" width="37.5703125" style="62" customWidth="1"/>
    <col min="6166" max="6387" width="11.42578125" style="62"/>
    <col min="6388" max="6388" width="10.5703125" style="62" customWidth="1"/>
    <col min="6389" max="6389" width="4.85546875" style="62" customWidth="1"/>
    <col min="6390" max="6390" width="32.42578125" style="62" customWidth="1"/>
    <col min="6391" max="6391" width="9.85546875" style="62" customWidth="1"/>
    <col min="6392" max="6392" width="10.140625" style="62" customWidth="1"/>
    <col min="6393" max="6393" width="12.28515625" style="62" customWidth="1"/>
    <col min="6394" max="6394" width="15.42578125" style="62" customWidth="1"/>
    <col min="6395" max="6395" width="11.85546875" style="62" customWidth="1"/>
    <col min="6396" max="6396" width="13.28515625" style="62" customWidth="1"/>
    <col min="6397" max="6397" width="15.28515625" style="62" customWidth="1"/>
    <col min="6398" max="6398" width="11.85546875" style="62" customWidth="1"/>
    <col min="6399" max="6399" width="6.140625" style="62" customWidth="1"/>
    <col min="6400" max="6400" width="11.85546875" style="62" customWidth="1"/>
    <col min="6401" max="6401" width="9.42578125" style="62" customWidth="1"/>
    <col min="6402" max="6402" width="14.7109375" style="62" customWidth="1"/>
    <col min="6403" max="6403" width="11.5703125" style="62" customWidth="1"/>
    <col min="6404" max="6404" width="0.42578125" style="62" customWidth="1"/>
    <col min="6405" max="6405" width="10.5703125" style="62" bestFit="1" customWidth="1"/>
    <col min="6406" max="6406" width="12.28515625" style="62" customWidth="1"/>
    <col min="6407" max="6407" width="12.5703125" style="62" customWidth="1"/>
    <col min="6408" max="6408" width="10.5703125" style="62" customWidth="1"/>
    <col min="6409" max="6409" width="10.140625" style="62" customWidth="1"/>
    <col min="6410" max="6410" width="8.42578125" style="62" customWidth="1"/>
    <col min="6411" max="6411" width="18.85546875" style="62" customWidth="1"/>
    <col min="6412" max="6412" width="10.28515625" style="62" customWidth="1"/>
    <col min="6413" max="6413" width="11.42578125" style="62"/>
    <col min="6414" max="6414" width="12.140625" style="62" customWidth="1"/>
    <col min="6415" max="6415" width="10.5703125" style="62" customWidth="1"/>
    <col min="6416" max="6416" width="12.42578125" style="62" customWidth="1"/>
    <col min="6417" max="6417" width="15.140625" style="62" customWidth="1"/>
    <col min="6418" max="6418" width="13.5703125" style="62" customWidth="1"/>
    <col min="6419" max="6419" width="13.140625" style="62" customWidth="1"/>
    <col min="6420" max="6420" width="15.7109375" style="62" customWidth="1"/>
    <col min="6421" max="6421" width="37.5703125" style="62" customWidth="1"/>
    <col min="6422" max="6643" width="11.42578125" style="62"/>
    <col min="6644" max="6644" width="10.5703125" style="62" customWidth="1"/>
    <col min="6645" max="6645" width="4.85546875" style="62" customWidth="1"/>
    <col min="6646" max="6646" width="32.42578125" style="62" customWidth="1"/>
    <col min="6647" max="6647" width="9.85546875" style="62" customWidth="1"/>
    <col min="6648" max="6648" width="10.140625" style="62" customWidth="1"/>
    <col min="6649" max="6649" width="12.28515625" style="62" customWidth="1"/>
    <col min="6650" max="6650" width="15.42578125" style="62" customWidth="1"/>
    <col min="6651" max="6651" width="11.85546875" style="62" customWidth="1"/>
    <col min="6652" max="6652" width="13.28515625" style="62" customWidth="1"/>
    <col min="6653" max="6653" width="15.28515625" style="62" customWidth="1"/>
    <col min="6654" max="6654" width="11.85546875" style="62" customWidth="1"/>
    <col min="6655" max="6655" width="6.140625" style="62" customWidth="1"/>
    <col min="6656" max="6656" width="11.85546875" style="62" customWidth="1"/>
    <col min="6657" max="6657" width="9.42578125" style="62" customWidth="1"/>
    <col min="6658" max="6658" width="14.7109375" style="62" customWidth="1"/>
    <col min="6659" max="6659" width="11.5703125" style="62" customWidth="1"/>
    <col min="6660" max="6660" width="0.42578125" style="62" customWidth="1"/>
    <col min="6661" max="6661" width="10.5703125" style="62" bestFit="1" customWidth="1"/>
    <col min="6662" max="6662" width="12.28515625" style="62" customWidth="1"/>
    <col min="6663" max="6663" width="12.5703125" style="62" customWidth="1"/>
    <col min="6664" max="6664" width="10.5703125" style="62" customWidth="1"/>
    <col min="6665" max="6665" width="10.140625" style="62" customWidth="1"/>
    <col min="6666" max="6666" width="8.42578125" style="62" customWidth="1"/>
    <col min="6667" max="6667" width="18.85546875" style="62" customWidth="1"/>
    <col min="6668" max="6668" width="10.28515625" style="62" customWidth="1"/>
    <col min="6669" max="6669" width="11.42578125" style="62"/>
    <col min="6670" max="6670" width="12.140625" style="62" customWidth="1"/>
    <col min="6671" max="6671" width="10.5703125" style="62" customWidth="1"/>
    <col min="6672" max="6672" width="12.42578125" style="62" customWidth="1"/>
    <col min="6673" max="6673" width="15.140625" style="62" customWidth="1"/>
    <col min="6674" max="6674" width="13.5703125" style="62" customWidth="1"/>
    <col min="6675" max="6675" width="13.140625" style="62" customWidth="1"/>
    <col min="6676" max="6676" width="15.7109375" style="62" customWidth="1"/>
    <col min="6677" max="6677" width="37.5703125" style="62" customWidth="1"/>
    <col min="6678" max="6899" width="11.42578125" style="62"/>
    <col min="6900" max="6900" width="10.5703125" style="62" customWidth="1"/>
    <col min="6901" max="6901" width="4.85546875" style="62" customWidth="1"/>
    <col min="6902" max="6902" width="32.42578125" style="62" customWidth="1"/>
    <col min="6903" max="6903" width="9.85546875" style="62" customWidth="1"/>
    <col min="6904" max="6904" width="10.140625" style="62" customWidth="1"/>
    <col min="6905" max="6905" width="12.28515625" style="62" customWidth="1"/>
    <col min="6906" max="6906" width="15.42578125" style="62" customWidth="1"/>
    <col min="6907" max="6907" width="11.85546875" style="62" customWidth="1"/>
    <col min="6908" max="6908" width="13.28515625" style="62" customWidth="1"/>
    <col min="6909" max="6909" width="15.28515625" style="62" customWidth="1"/>
    <col min="6910" max="6910" width="11.85546875" style="62" customWidth="1"/>
    <col min="6911" max="6911" width="6.140625" style="62" customWidth="1"/>
    <col min="6912" max="6912" width="11.85546875" style="62" customWidth="1"/>
    <col min="6913" max="6913" width="9.42578125" style="62" customWidth="1"/>
    <col min="6914" max="6914" width="14.7109375" style="62" customWidth="1"/>
    <col min="6915" max="6915" width="11.5703125" style="62" customWidth="1"/>
    <col min="6916" max="6916" width="0.42578125" style="62" customWidth="1"/>
    <col min="6917" max="6917" width="10.5703125" style="62" bestFit="1" customWidth="1"/>
    <col min="6918" max="6918" width="12.28515625" style="62" customWidth="1"/>
    <col min="6919" max="6919" width="12.5703125" style="62" customWidth="1"/>
    <col min="6920" max="6920" width="10.5703125" style="62" customWidth="1"/>
    <col min="6921" max="6921" width="10.140625" style="62" customWidth="1"/>
    <col min="6922" max="6922" width="8.42578125" style="62" customWidth="1"/>
    <col min="6923" max="6923" width="18.85546875" style="62" customWidth="1"/>
    <col min="6924" max="6924" width="10.28515625" style="62" customWidth="1"/>
    <col min="6925" max="6925" width="11.42578125" style="62"/>
    <col min="6926" max="6926" width="12.140625" style="62" customWidth="1"/>
    <col min="6927" max="6927" width="10.5703125" style="62" customWidth="1"/>
    <col min="6928" max="6928" width="12.42578125" style="62" customWidth="1"/>
    <col min="6929" max="6929" width="15.140625" style="62" customWidth="1"/>
    <col min="6930" max="6930" width="13.5703125" style="62" customWidth="1"/>
    <col min="6931" max="6931" width="13.140625" style="62" customWidth="1"/>
    <col min="6932" max="6932" width="15.7109375" style="62" customWidth="1"/>
    <col min="6933" max="6933" width="37.5703125" style="62" customWidth="1"/>
    <col min="6934" max="7155" width="11.42578125" style="62"/>
    <col min="7156" max="7156" width="10.5703125" style="62" customWidth="1"/>
    <col min="7157" max="7157" width="4.85546875" style="62" customWidth="1"/>
    <col min="7158" max="7158" width="32.42578125" style="62" customWidth="1"/>
    <col min="7159" max="7159" width="9.85546875" style="62" customWidth="1"/>
    <col min="7160" max="7160" width="10.140625" style="62" customWidth="1"/>
    <col min="7161" max="7161" width="12.28515625" style="62" customWidth="1"/>
    <col min="7162" max="7162" width="15.42578125" style="62" customWidth="1"/>
    <col min="7163" max="7163" width="11.85546875" style="62" customWidth="1"/>
    <col min="7164" max="7164" width="13.28515625" style="62" customWidth="1"/>
    <col min="7165" max="7165" width="15.28515625" style="62" customWidth="1"/>
    <col min="7166" max="7166" width="11.85546875" style="62" customWidth="1"/>
    <col min="7167" max="7167" width="6.140625" style="62" customWidth="1"/>
    <col min="7168" max="7168" width="11.85546875" style="62" customWidth="1"/>
    <col min="7169" max="7169" width="9.42578125" style="62" customWidth="1"/>
    <col min="7170" max="7170" width="14.7109375" style="62" customWidth="1"/>
    <col min="7171" max="7171" width="11.5703125" style="62" customWidth="1"/>
    <col min="7172" max="7172" width="0.42578125" style="62" customWidth="1"/>
    <col min="7173" max="7173" width="10.5703125" style="62" bestFit="1" customWidth="1"/>
    <col min="7174" max="7174" width="12.28515625" style="62" customWidth="1"/>
    <col min="7175" max="7175" width="12.5703125" style="62" customWidth="1"/>
    <col min="7176" max="7176" width="10.5703125" style="62" customWidth="1"/>
    <col min="7177" max="7177" width="10.140625" style="62" customWidth="1"/>
    <col min="7178" max="7178" width="8.42578125" style="62" customWidth="1"/>
    <col min="7179" max="7179" width="18.85546875" style="62" customWidth="1"/>
    <col min="7180" max="7180" width="10.28515625" style="62" customWidth="1"/>
    <col min="7181" max="7181" width="11.42578125" style="62"/>
    <col min="7182" max="7182" width="12.140625" style="62" customWidth="1"/>
    <col min="7183" max="7183" width="10.5703125" style="62" customWidth="1"/>
    <col min="7184" max="7184" width="12.42578125" style="62" customWidth="1"/>
    <col min="7185" max="7185" width="15.140625" style="62" customWidth="1"/>
    <col min="7186" max="7186" width="13.5703125" style="62" customWidth="1"/>
    <col min="7187" max="7187" width="13.140625" style="62" customWidth="1"/>
    <col min="7188" max="7188" width="15.7109375" style="62" customWidth="1"/>
    <col min="7189" max="7189" width="37.5703125" style="62" customWidth="1"/>
    <col min="7190" max="7411" width="11.42578125" style="62"/>
    <col min="7412" max="7412" width="10.5703125" style="62" customWidth="1"/>
    <col min="7413" max="7413" width="4.85546875" style="62" customWidth="1"/>
    <col min="7414" max="7414" width="32.42578125" style="62" customWidth="1"/>
    <col min="7415" max="7415" width="9.85546875" style="62" customWidth="1"/>
    <col min="7416" max="7416" width="10.140625" style="62" customWidth="1"/>
    <col min="7417" max="7417" width="12.28515625" style="62" customWidth="1"/>
    <col min="7418" max="7418" width="15.42578125" style="62" customWidth="1"/>
    <col min="7419" max="7419" width="11.85546875" style="62" customWidth="1"/>
    <col min="7420" max="7420" width="13.28515625" style="62" customWidth="1"/>
    <col min="7421" max="7421" width="15.28515625" style="62" customWidth="1"/>
    <col min="7422" max="7422" width="11.85546875" style="62" customWidth="1"/>
    <col min="7423" max="7423" width="6.140625" style="62" customWidth="1"/>
    <col min="7424" max="7424" width="11.85546875" style="62" customWidth="1"/>
    <col min="7425" max="7425" width="9.42578125" style="62" customWidth="1"/>
    <col min="7426" max="7426" width="14.7109375" style="62" customWidth="1"/>
    <col min="7427" max="7427" width="11.5703125" style="62" customWidth="1"/>
    <col min="7428" max="7428" width="0.42578125" style="62" customWidth="1"/>
    <col min="7429" max="7429" width="10.5703125" style="62" bestFit="1" customWidth="1"/>
    <col min="7430" max="7430" width="12.28515625" style="62" customWidth="1"/>
    <col min="7431" max="7431" width="12.5703125" style="62" customWidth="1"/>
    <col min="7432" max="7432" width="10.5703125" style="62" customWidth="1"/>
    <col min="7433" max="7433" width="10.140625" style="62" customWidth="1"/>
    <col min="7434" max="7434" width="8.42578125" style="62" customWidth="1"/>
    <col min="7435" max="7435" width="18.85546875" style="62" customWidth="1"/>
    <col min="7436" max="7436" width="10.28515625" style="62" customWidth="1"/>
    <col min="7437" max="7437" width="11.42578125" style="62"/>
    <col min="7438" max="7438" width="12.140625" style="62" customWidth="1"/>
    <col min="7439" max="7439" width="10.5703125" style="62" customWidth="1"/>
    <col min="7440" max="7440" width="12.42578125" style="62" customWidth="1"/>
    <col min="7441" max="7441" width="15.140625" style="62" customWidth="1"/>
    <col min="7442" max="7442" width="13.5703125" style="62" customWidth="1"/>
    <col min="7443" max="7443" width="13.140625" style="62" customWidth="1"/>
    <col min="7444" max="7444" width="15.7109375" style="62" customWidth="1"/>
    <col min="7445" max="7445" width="37.5703125" style="62" customWidth="1"/>
    <col min="7446" max="7667" width="11.42578125" style="62"/>
    <col min="7668" max="7668" width="10.5703125" style="62" customWidth="1"/>
    <col min="7669" max="7669" width="4.85546875" style="62" customWidth="1"/>
    <col min="7670" max="7670" width="32.42578125" style="62" customWidth="1"/>
    <col min="7671" max="7671" width="9.85546875" style="62" customWidth="1"/>
    <col min="7672" max="7672" width="10.140625" style="62" customWidth="1"/>
    <col min="7673" max="7673" width="12.28515625" style="62" customWidth="1"/>
    <col min="7674" max="7674" width="15.42578125" style="62" customWidth="1"/>
    <col min="7675" max="7675" width="11.85546875" style="62" customWidth="1"/>
    <col min="7676" max="7676" width="13.28515625" style="62" customWidth="1"/>
    <col min="7677" max="7677" width="15.28515625" style="62" customWidth="1"/>
    <col min="7678" max="7678" width="11.85546875" style="62" customWidth="1"/>
    <col min="7679" max="7679" width="6.140625" style="62" customWidth="1"/>
    <col min="7680" max="7680" width="11.85546875" style="62" customWidth="1"/>
    <col min="7681" max="7681" width="9.42578125" style="62" customWidth="1"/>
    <col min="7682" max="7682" width="14.7109375" style="62" customWidth="1"/>
    <col min="7683" max="7683" width="11.5703125" style="62" customWidth="1"/>
    <col min="7684" max="7684" width="0.42578125" style="62" customWidth="1"/>
    <col min="7685" max="7685" width="10.5703125" style="62" bestFit="1" customWidth="1"/>
    <col min="7686" max="7686" width="12.28515625" style="62" customWidth="1"/>
    <col min="7687" max="7687" width="12.5703125" style="62" customWidth="1"/>
    <col min="7688" max="7688" width="10.5703125" style="62" customWidth="1"/>
    <col min="7689" max="7689" width="10.140625" style="62" customWidth="1"/>
    <col min="7690" max="7690" width="8.42578125" style="62" customWidth="1"/>
    <col min="7691" max="7691" width="18.85546875" style="62" customWidth="1"/>
    <col min="7692" max="7692" width="10.28515625" style="62" customWidth="1"/>
    <col min="7693" max="7693" width="11.42578125" style="62"/>
    <col min="7694" max="7694" width="12.140625" style="62" customWidth="1"/>
    <col min="7695" max="7695" width="10.5703125" style="62" customWidth="1"/>
    <col min="7696" max="7696" width="12.42578125" style="62" customWidth="1"/>
    <col min="7697" max="7697" width="15.140625" style="62" customWidth="1"/>
    <col min="7698" max="7698" width="13.5703125" style="62" customWidth="1"/>
    <col min="7699" max="7699" width="13.140625" style="62" customWidth="1"/>
    <col min="7700" max="7700" width="15.7109375" style="62" customWidth="1"/>
    <col min="7701" max="7701" width="37.5703125" style="62" customWidth="1"/>
    <col min="7702" max="7923" width="11.42578125" style="62"/>
    <col min="7924" max="7924" width="10.5703125" style="62" customWidth="1"/>
    <col min="7925" max="7925" width="4.85546875" style="62" customWidth="1"/>
    <col min="7926" max="7926" width="32.42578125" style="62" customWidth="1"/>
    <col min="7927" max="7927" width="9.85546875" style="62" customWidth="1"/>
    <col min="7928" max="7928" width="10.140625" style="62" customWidth="1"/>
    <col min="7929" max="7929" width="12.28515625" style="62" customWidth="1"/>
    <col min="7930" max="7930" width="15.42578125" style="62" customWidth="1"/>
    <col min="7931" max="7931" width="11.85546875" style="62" customWidth="1"/>
    <col min="7932" max="7932" width="13.28515625" style="62" customWidth="1"/>
    <col min="7933" max="7933" width="15.28515625" style="62" customWidth="1"/>
    <col min="7934" max="7934" width="11.85546875" style="62" customWidth="1"/>
    <col min="7935" max="7935" width="6.140625" style="62" customWidth="1"/>
    <col min="7936" max="7936" width="11.85546875" style="62" customWidth="1"/>
    <col min="7937" max="7937" width="9.42578125" style="62" customWidth="1"/>
    <col min="7938" max="7938" width="14.7109375" style="62" customWidth="1"/>
    <col min="7939" max="7939" width="11.5703125" style="62" customWidth="1"/>
    <col min="7940" max="7940" width="0.42578125" style="62" customWidth="1"/>
    <col min="7941" max="7941" width="10.5703125" style="62" bestFit="1" customWidth="1"/>
    <col min="7942" max="7942" width="12.28515625" style="62" customWidth="1"/>
    <col min="7943" max="7943" width="12.5703125" style="62" customWidth="1"/>
    <col min="7944" max="7944" width="10.5703125" style="62" customWidth="1"/>
    <col min="7945" max="7945" width="10.140625" style="62" customWidth="1"/>
    <col min="7946" max="7946" width="8.42578125" style="62" customWidth="1"/>
    <col min="7947" max="7947" width="18.85546875" style="62" customWidth="1"/>
    <col min="7948" max="7948" width="10.28515625" style="62" customWidth="1"/>
    <col min="7949" max="7949" width="11.42578125" style="62"/>
    <col min="7950" max="7950" width="12.140625" style="62" customWidth="1"/>
    <col min="7951" max="7951" width="10.5703125" style="62" customWidth="1"/>
    <col min="7952" max="7952" width="12.42578125" style="62" customWidth="1"/>
    <col min="7953" max="7953" width="15.140625" style="62" customWidth="1"/>
    <col min="7954" max="7954" width="13.5703125" style="62" customWidth="1"/>
    <col min="7955" max="7955" width="13.140625" style="62" customWidth="1"/>
    <col min="7956" max="7956" width="15.7109375" style="62" customWidth="1"/>
    <col min="7957" max="7957" width="37.5703125" style="62" customWidth="1"/>
    <col min="7958" max="8179" width="11.42578125" style="62"/>
    <col min="8180" max="8180" width="10.5703125" style="62" customWidth="1"/>
    <col min="8181" max="8181" width="4.85546875" style="62" customWidth="1"/>
    <col min="8182" max="8182" width="32.42578125" style="62" customWidth="1"/>
    <col min="8183" max="8183" width="9.85546875" style="62" customWidth="1"/>
    <col min="8184" max="8184" width="10.140625" style="62" customWidth="1"/>
    <col min="8185" max="8185" width="12.28515625" style="62" customWidth="1"/>
    <col min="8186" max="8186" width="15.42578125" style="62" customWidth="1"/>
    <col min="8187" max="8187" width="11.85546875" style="62" customWidth="1"/>
    <col min="8188" max="8188" width="13.28515625" style="62" customWidth="1"/>
    <col min="8189" max="8189" width="15.28515625" style="62" customWidth="1"/>
    <col min="8190" max="8190" width="11.85546875" style="62" customWidth="1"/>
    <col min="8191" max="8191" width="6.140625" style="62" customWidth="1"/>
    <col min="8192" max="8192" width="11.85546875" style="62" customWidth="1"/>
    <col min="8193" max="8193" width="9.42578125" style="62" customWidth="1"/>
    <col min="8194" max="8194" width="14.7109375" style="62" customWidth="1"/>
    <col min="8195" max="8195" width="11.5703125" style="62" customWidth="1"/>
    <col min="8196" max="8196" width="0.42578125" style="62" customWidth="1"/>
    <col min="8197" max="8197" width="10.5703125" style="62" bestFit="1" customWidth="1"/>
    <col min="8198" max="8198" width="12.28515625" style="62" customWidth="1"/>
    <col min="8199" max="8199" width="12.5703125" style="62" customWidth="1"/>
    <col min="8200" max="8200" width="10.5703125" style="62" customWidth="1"/>
    <col min="8201" max="8201" width="10.140625" style="62" customWidth="1"/>
    <col min="8202" max="8202" width="8.42578125" style="62" customWidth="1"/>
    <col min="8203" max="8203" width="18.85546875" style="62" customWidth="1"/>
    <col min="8204" max="8204" width="10.28515625" style="62" customWidth="1"/>
    <col min="8205" max="8205" width="11.42578125" style="62"/>
    <col min="8206" max="8206" width="12.140625" style="62" customWidth="1"/>
    <col min="8207" max="8207" width="10.5703125" style="62" customWidth="1"/>
    <col min="8208" max="8208" width="12.42578125" style="62" customWidth="1"/>
    <col min="8209" max="8209" width="15.140625" style="62" customWidth="1"/>
    <col min="8210" max="8210" width="13.5703125" style="62" customWidth="1"/>
    <col min="8211" max="8211" width="13.140625" style="62" customWidth="1"/>
    <col min="8212" max="8212" width="15.7109375" style="62" customWidth="1"/>
    <col min="8213" max="8213" width="37.5703125" style="62" customWidth="1"/>
    <col min="8214" max="8435" width="11.42578125" style="62"/>
    <col min="8436" max="8436" width="10.5703125" style="62" customWidth="1"/>
    <col min="8437" max="8437" width="4.85546875" style="62" customWidth="1"/>
    <col min="8438" max="8438" width="32.42578125" style="62" customWidth="1"/>
    <col min="8439" max="8439" width="9.85546875" style="62" customWidth="1"/>
    <col min="8440" max="8440" width="10.140625" style="62" customWidth="1"/>
    <col min="8441" max="8441" width="12.28515625" style="62" customWidth="1"/>
    <col min="8442" max="8442" width="15.42578125" style="62" customWidth="1"/>
    <col min="8443" max="8443" width="11.85546875" style="62" customWidth="1"/>
    <col min="8444" max="8444" width="13.28515625" style="62" customWidth="1"/>
    <col min="8445" max="8445" width="15.28515625" style="62" customWidth="1"/>
    <col min="8446" max="8446" width="11.85546875" style="62" customWidth="1"/>
    <col min="8447" max="8447" width="6.140625" style="62" customWidth="1"/>
    <col min="8448" max="8448" width="11.85546875" style="62" customWidth="1"/>
    <col min="8449" max="8449" width="9.42578125" style="62" customWidth="1"/>
    <col min="8450" max="8450" width="14.7109375" style="62" customWidth="1"/>
    <col min="8451" max="8451" width="11.5703125" style="62" customWidth="1"/>
    <col min="8452" max="8452" width="0.42578125" style="62" customWidth="1"/>
    <col min="8453" max="8453" width="10.5703125" style="62" bestFit="1" customWidth="1"/>
    <col min="8454" max="8454" width="12.28515625" style="62" customWidth="1"/>
    <col min="8455" max="8455" width="12.5703125" style="62" customWidth="1"/>
    <col min="8456" max="8456" width="10.5703125" style="62" customWidth="1"/>
    <col min="8457" max="8457" width="10.140625" style="62" customWidth="1"/>
    <col min="8458" max="8458" width="8.42578125" style="62" customWidth="1"/>
    <col min="8459" max="8459" width="18.85546875" style="62" customWidth="1"/>
    <col min="8460" max="8460" width="10.28515625" style="62" customWidth="1"/>
    <col min="8461" max="8461" width="11.42578125" style="62"/>
    <col min="8462" max="8462" width="12.140625" style="62" customWidth="1"/>
    <col min="8463" max="8463" width="10.5703125" style="62" customWidth="1"/>
    <col min="8464" max="8464" width="12.42578125" style="62" customWidth="1"/>
    <col min="8465" max="8465" width="15.140625" style="62" customWidth="1"/>
    <col min="8466" max="8466" width="13.5703125" style="62" customWidth="1"/>
    <col min="8467" max="8467" width="13.140625" style="62" customWidth="1"/>
    <col min="8468" max="8468" width="15.7109375" style="62" customWidth="1"/>
    <col min="8469" max="8469" width="37.5703125" style="62" customWidth="1"/>
    <col min="8470" max="8691" width="11.42578125" style="62"/>
    <col min="8692" max="8692" width="10.5703125" style="62" customWidth="1"/>
    <col min="8693" max="8693" width="4.85546875" style="62" customWidth="1"/>
    <col min="8694" max="8694" width="32.42578125" style="62" customWidth="1"/>
    <col min="8695" max="8695" width="9.85546875" style="62" customWidth="1"/>
    <col min="8696" max="8696" width="10.140625" style="62" customWidth="1"/>
    <col min="8697" max="8697" width="12.28515625" style="62" customWidth="1"/>
    <col min="8698" max="8698" width="15.42578125" style="62" customWidth="1"/>
    <col min="8699" max="8699" width="11.85546875" style="62" customWidth="1"/>
    <col min="8700" max="8700" width="13.28515625" style="62" customWidth="1"/>
    <col min="8701" max="8701" width="15.28515625" style="62" customWidth="1"/>
    <col min="8702" max="8702" width="11.85546875" style="62" customWidth="1"/>
    <col min="8703" max="8703" width="6.140625" style="62" customWidth="1"/>
    <col min="8704" max="8704" width="11.85546875" style="62" customWidth="1"/>
    <col min="8705" max="8705" width="9.42578125" style="62" customWidth="1"/>
    <col min="8706" max="8706" width="14.7109375" style="62" customWidth="1"/>
    <col min="8707" max="8707" width="11.5703125" style="62" customWidth="1"/>
    <col min="8708" max="8708" width="0.42578125" style="62" customWidth="1"/>
    <col min="8709" max="8709" width="10.5703125" style="62" bestFit="1" customWidth="1"/>
    <col min="8710" max="8710" width="12.28515625" style="62" customWidth="1"/>
    <col min="8711" max="8711" width="12.5703125" style="62" customWidth="1"/>
    <col min="8712" max="8712" width="10.5703125" style="62" customWidth="1"/>
    <col min="8713" max="8713" width="10.140625" style="62" customWidth="1"/>
    <col min="8714" max="8714" width="8.42578125" style="62" customWidth="1"/>
    <col min="8715" max="8715" width="18.85546875" style="62" customWidth="1"/>
    <col min="8716" max="8716" width="10.28515625" style="62" customWidth="1"/>
    <col min="8717" max="8717" width="11.42578125" style="62"/>
    <col min="8718" max="8718" width="12.140625" style="62" customWidth="1"/>
    <col min="8719" max="8719" width="10.5703125" style="62" customWidth="1"/>
    <col min="8720" max="8720" width="12.42578125" style="62" customWidth="1"/>
    <col min="8721" max="8721" width="15.140625" style="62" customWidth="1"/>
    <col min="8722" max="8722" width="13.5703125" style="62" customWidth="1"/>
    <col min="8723" max="8723" width="13.140625" style="62" customWidth="1"/>
    <col min="8724" max="8724" width="15.7109375" style="62" customWidth="1"/>
    <col min="8725" max="8725" width="37.5703125" style="62" customWidth="1"/>
    <col min="8726" max="8947" width="11.42578125" style="62"/>
    <col min="8948" max="8948" width="10.5703125" style="62" customWidth="1"/>
    <col min="8949" max="8949" width="4.85546875" style="62" customWidth="1"/>
    <col min="8950" max="8950" width="32.42578125" style="62" customWidth="1"/>
    <col min="8951" max="8951" width="9.85546875" style="62" customWidth="1"/>
    <col min="8952" max="8952" width="10.140625" style="62" customWidth="1"/>
    <col min="8953" max="8953" width="12.28515625" style="62" customWidth="1"/>
    <col min="8954" max="8954" width="15.42578125" style="62" customWidth="1"/>
    <col min="8955" max="8955" width="11.85546875" style="62" customWidth="1"/>
    <col min="8956" max="8956" width="13.28515625" style="62" customWidth="1"/>
    <col min="8957" max="8957" width="15.28515625" style="62" customWidth="1"/>
    <col min="8958" max="8958" width="11.85546875" style="62" customWidth="1"/>
    <col min="8959" max="8959" width="6.140625" style="62" customWidth="1"/>
    <col min="8960" max="8960" width="11.85546875" style="62" customWidth="1"/>
    <col min="8961" max="8961" width="9.42578125" style="62" customWidth="1"/>
    <col min="8962" max="8962" width="14.7109375" style="62" customWidth="1"/>
    <col min="8963" max="8963" width="11.5703125" style="62" customWidth="1"/>
    <col min="8964" max="8964" width="0.42578125" style="62" customWidth="1"/>
    <col min="8965" max="8965" width="10.5703125" style="62" bestFit="1" customWidth="1"/>
    <col min="8966" max="8966" width="12.28515625" style="62" customWidth="1"/>
    <col min="8967" max="8967" width="12.5703125" style="62" customWidth="1"/>
    <col min="8968" max="8968" width="10.5703125" style="62" customWidth="1"/>
    <col min="8969" max="8969" width="10.140625" style="62" customWidth="1"/>
    <col min="8970" max="8970" width="8.42578125" style="62" customWidth="1"/>
    <col min="8971" max="8971" width="18.85546875" style="62" customWidth="1"/>
    <col min="8972" max="8972" width="10.28515625" style="62" customWidth="1"/>
    <col min="8973" max="8973" width="11.42578125" style="62"/>
    <col min="8974" max="8974" width="12.140625" style="62" customWidth="1"/>
    <col min="8975" max="8975" width="10.5703125" style="62" customWidth="1"/>
    <col min="8976" max="8976" width="12.42578125" style="62" customWidth="1"/>
    <col min="8977" max="8977" width="15.140625" style="62" customWidth="1"/>
    <col min="8978" max="8978" width="13.5703125" style="62" customWidth="1"/>
    <col min="8979" max="8979" width="13.140625" style="62" customWidth="1"/>
    <col min="8980" max="8980" width="15.7109375" style="62" customWidth="1"/>
    <col min="8981" max="8981" width="37.5703125" style="62" customWidth="1"/>
    <col min="8982" max="9203" width="11.42578125" style="62"/>
    <col min="9204" max="9204" width="10.5703125" style="62" customWidth="1"/>
    <col min="9205" max="9205" width="4.85546875" style="62" customWidth="1"/>
    <col min="9206" max="9206" width="32.42578125" style="62" customWidth="1"/>
    <col min="9207" max="9207" width="9.85546875" style="62" customWidth="1"/>
    <col min="9208" max="9208" width="10.140625" style="62" customWidth="1"/>
    <col min="9209" max="9209" width="12.28515625" style="62" customWidth="1"/>
    <col min="9210" max="9210" width="15.42578125" style="62" customWidth="1"/>
    <col min="9211" max="9211" width="11.85546875" style="62" customWidth="1"/>
    <col min="9212" max="9212" width="13.28515625" style="62" customWidth="1"/>
    <col min="9213" max="9213" width="15.28515625" style="62" customWidth="1"/>
    <col min="9214" max="9214" width="11.85546875" style="62" customWidth="1"/>
    <col min="9215" max="9215" width="6.140625" style="62" customWidth="1"/>
    <col min="9216" max="9216" width="11.85546875" style="62" customWidth="1"/>
    <col min="9217" max="9217" width="9.42578125" style="62" customWidth="1"/>
    <col min="9218" max="9218" width="14.7109375" style="62" customWidth="1"/>
    <col min="9219" max="9219" width="11.5703125" style="62" customWidth="1"/>
    <col min="9220" max="9220" width="0.42578125" style="62" customWidth="1"/>
    <col min="9221" max="9221" width="10.5703125" style="62" bestFit="1" customWidth="1"/>
    <col min="9222" max="9222" width="12.28515625" style="62" customWidth="1"/>
    <col min="9223" max="9223" width="12.5703125" style="62" customWidth="1"/>
    <col min="9224" max="9224" width="10.5703125" style="62" customWidth="1"/>
    <col min="9225" max="9225" width="10.140625" style="62" customWidth="1"/>
    <col min="9226" max="9226" width="8.42578125" style="62" customWidth="1"/>
    <col min="9227" max="9227" width="18.85546875" style="62" customWidth="1"/>
    <col min="9228" max="9228" width="10.28515625" style="62" customWidth="1"/>
    <col min="9229" max="9229" width="11.42578125" style="62"/>
    <col min="9230" max="9230" width="12.140625" style="62" customWidth="1"/>
    <col min="9231" max="9231" width="10.5703125" style="62" customWidth="1"/>
    <col min="9232" max="9232" width="12.42578125" style="62" customWidth="1"/>
    <col min="9233" max="9233" width="15.140625" style="62" customWidth="1"/>
    <col min="9234" max="9234" width="13.5703125" style="62" customWidth="1"/>
    <col min="9235" max="9235" width="13.140625" style="62" customWidth="1"/>
    <col min="9236" max="9236" width="15.7109375" style="62" customWidth="1"/>
    <col min="9237" max="9237" width="37.5703125" style="62" customWidth="1"/>
    <col min="9238" max="9459" width="11.42578125" style="62"/>
    <col min="9460" max="9460" width="10.5703125" style="62" customWidth="1"/>
    <col min="9461" max="9461" width="4.85546875" style="62" customWidth="1"/>
    <col min="9462" max="9462" width="32.42578125" style="62" customWidth="1"/>
    <col min="9463" max="9463" width="9.85546875" style="62" customWidth="1"/>
    <col min="9464" max="9464" width="10.140625" style="62" customWidth="1"/>
    <col min="9465" max="9465" width="12.28515625" style="62" customWidth="1"/>
    <col min="9466" max="9466" width="15.42578125" style="62" customWidth="1"/>
    <col min="9467" max="9467" width="11.85546875" style="62" customWidth="1"/>
    <col min="9468" max="9468" width="13.28515625" style="62" customWidth="1"/>
    <col min="9469" max="9469" width="15.28515625" style="62" customWidth="1"/>
    <col min="9470" max="9470" width="11.85546875" style="62" customWidth="1"/>
    <col min="9471" max="9471" width="6.140625" style="62" customWidth="1"/>
    <col min="9472" max="9472" width="11.85546875" style="62" customWidth="1"/>
    <col min="9473" max="9473" width="9.42578125" style="62" customWidth="1"/>
    <col min="9474" max="9474" width="14.7109375" style="62" customWidth="1"/>
    <col min="9475" max="9475" width="11.5703125" style="62" customWidth="1"/>
    <col min="9476" max="9476" width="0.42578125" style="62" customWidth="1"/>
    <col min="9477" max="9477" width="10.5703125" style="62" bestFit="1" customWidth="1"/>
    <col min="9478" max="9478" width="12.28515625" style="62" customWidth="1"/>
    <col min="9479" max="9479" width="12.5703125" style="62" customWidth="1"/>
    <col min="9480" max="9480" width="10.5703125" style="62" customWidth="1"/>
    <col min="9481" max="9481" width="10.140625" style="62" customWidth="1"/>
    <col min="9482" max="9482" width="8.42578125" style="62" customWidth="1"/>
    <col min="9483" max="9483" width="18.85546875" style="62" customWidth="1"/>
    <col min="9484" max="9484" width="10.28515625" style="62" customWidth="1"/>
    <col min="9485" max="9485" width="11.42578125" style="62"/>
    <col min="9486" max="9486" width="12.140625" style="62" customWidth="1"/>
    <col min="9487" max="9487" width="10.5703125" style="62" customWidth="1"/>
    <col min="9488" max="9488" width="12.42578125" style="62" customWidth="1"/>
    <col min="9489" max="9489" width="15.140625" style="62" customWidth="1"/>
    <col min="9490" max="9490" width="13.5703125" style="62" customWidth="1"/>
    <col min="9491" max="9491" width="13.140625" style="62" customWidth="1"/>
    <col min="9492" max="9492" width="15.7109375" style="62" customWidth="1"/>
    <col min="9493" max="9493" width="37.5703125" style="62" customWidth="1"/>
    <col min="9494" max="9715" width="11.42578125" style="62"/>
    <col min="9716" max="9716" width="10.5703125" style="62" customWidth="1"/>
    <col min="9717" max="9717" width="4.85546875" style="62" customWidth="1"/>
    <col min="9718" max="9718" width="32.42578125" style="62" customWidth="1"/>
    <col min="9719" max="9719" width="9.85546875" style="62" customWidth="1"/>
    <col min="9720" max="9720" width="10.140625" style="62" customWidth="1"/>
    <col min="9721" max="9721" width="12.28515625" style="62" customWidth="1"/>
    <col min="9722" max="9722" width="15.42578125" style="62" customWidth="1"/>
    <col min="9723" max="9723" width="11.85546875" style="62" customWidth="1"/>
    <col min="9724" max="9724" width="13.28515625" style="62" customWidth="1"/>
    <col min="9725" max="9725" width="15.28515625" style="62" customWidth="1"/>
    <col min="9726" max="9726" width="11.85546875" style="62" customWidth="1"/>
    <col min="9727" max="9727" width="6.140625" style="62" customWidth="1"/>
    <col min="9728" max="9728" width="11.85546875" style="62" customWidth="1"/>
    <col min="9729" max="9729" width="9.42578125" style="62" customWidth="1"/>
    <col min="9730" max="9730" width="14.7109375" style="62" customWidth="1"/>
    <col min="9731" max="9731" width="11.5703125" style="62" customWidth="1"/>
    <col min="9732" max="9732" width="0.42578125" style="62" customWidth="1"/>
    <col min="9733" max="9733" width="10.5703125" style="62" bestFit="1" customWidth="1"/>
    <col min="9734" max="9734" width="12.28515625" style="62" customWidth="1"/>
    <col min="9735" max="9735" width="12.5703125" style="62" customWidth="1"/>
    <col min="9736" max="9736" width="10.5703125" style="62" customWidth="1"/>
    <col min="9737" max="9737" width="10.140625" style="62" customWidth="1"/>
    <col min="9738" max="9738" width="8.42578125" style="62" customWidth="1"/>
    <col min="9739" max="9739" width="18.85546875" style="62" customWidth="1"/>
    <col min="9740" max="9740" width="10.28515625" style="62" customWidth="1"/>
    <col min="9741" max="9741" width="11.42578125" style="62"/>
    <col min="9742" max="9742" width="12.140625" style="62" customWidth="1"/>
    <col min="9743" max="9743" width="10.5703125" style="62" customWidth="1"/>
    <col min="9744" max="9744" width="12.42578125" style="62" customWidth="1"/>
    <col min="9745" max="9745" width="15.140625" style="62" customWidth="1"/>
    <col min="9746" max="9746" width="13.5703125" style="62" customWidth="1"/>
    <col min="9747" max="9747" width="13.140625" style="62" customWidth="1"/>
    <col min="9748" max="9748" width="15.7109375" style="62" customWidth="1"/>
    <col min="9749" max="9749" width="37.5703125" style="62" customWidth="1"/>
    <col min="9750" max="9971" width="11.42578125" style="62"/>
    <col min="9972" max="9972" width="10.5703125" style="62" customWidth="1"/>
    <col min="9973" max="9973" width="4.85546875" style="62" customWidth="1"/>
    <col min="9974" max="9974" width="32.42578125" style="62" customWidth="1"/>
    <col min="9975" max="9975" width="9.85546875" style="62" customWidth="1"/>
    <col min="9976" max="9976" width="10.140625" style="62" customWidth="1"/>
    <col min="9977" max="9977" width="12.28515625" style="62" customWidth="1"/>
    <col min="9978" max="9978" width="15.42578125" style="62" customWidth="1"/>
    <col min="9979" max="9979" width="11.85546875" style="62" customWidth="1"/>
    <col min="9980" max="9980" width="13.28515625" style="62" customWidth="1"/>
    <col min="9981" max="9981" width="15.28515625" style="62" customWidth="1"/>
    <col min="9982" max="9982" width="11.85546875" style="62" customWidth="1"/>
    <col min="9983" max="9983" width="6.140625" style="62" customWidth="1"/>
    <col min="9984" max="9984" width="11.85546875" style="62" customWidth="1"/>
    <col min="9985" max="9985" width="9.42578125" style="62" customWidth="1"/>
    <col min="9986" max="9986" width="14.7109375" style="62" customWidth="1"/>
    <col min="9987" max="9987" width="11.5703125" style="62" customWidth="1"/>
    <col min="9988" max="9988" width="0.42578125" style="62" customWidth="1"/>
    <col min="9989" max="9989" width="10.5703125" style="62" bestFit="1" customWidth="1"/>
    <col min="9990" max="9990" width="12.28515625" style="62" customWidth="1"/>
    <col min="9991" max="9991" width="12.5703125" style="62" customWidth="1"/>
    <col min="9992" max="9992" width="10.5703125" style="62" customWidth="1"/>
    <col min="9993" max="9993" width="10.140625" style="62" customWidth="1"/>
    <col min="9994" max="9994" width="8.42578125" style="62" customWidth="1"/>
    <col min="9995" max="9995" width="18.85546875" style="62" customWidth="1"/>
    <col min="9996" max="9996" width="10.28515625" style="62" customWidth="1"/>
    <col min="9997" max="9997" width="11.42578125" style="62"/>
    <col min="9998" max="9998" width="12.140625" style="62" customWidth="1"/>
    <col min="9999" max="9999" width="10.5703125" style="62" customWidth="1"/>
    <col min="10000" max="10000" width="12.42578125" style="62" customWidth="1"/>
    <col min="10001" max="10001" width="15.140625" style="62" customWidth="1"/>
    <col min="10002" max="10002" width="13.5703125" style="62" customWidth="1"/>
    <col min="10003" max="10003" width="13.140625" style="62" customWidth="1"/>
    <col min="10004" max="10004" width="15.7109375" style="62" customWidth="1"/>
    <col min="10005" max="10005" width="37.5703125" style="62" customWidth="1"/>
    <col min="10006" max="10227" width="11.42578125" style="62"/>
    <col min="10228" max="10228" width="10.5703125" style="62" customWidth="1"/>
    <col min="10229" max="10229" width="4.85546875" style="62" customWidth="1"/>
    <col min="10230" max="10230" width="32.42578125" style="62" customWidth="1"/>
    <col min="10231" max="10231" width="9.85546875" style="62" customWidth="1"/>
    <col min="10232" max="10232" width="10.140625" style="62" customWidth="1"/>
    <col min="10233" max="10233" width="12.28515625" style="62" customWidth="1"/>
    <col min="10234" max="10234" width="15.42578125" style="62" customWidth="1"/>
    <col min="10235" max="10235" width="11.85546875" style="62" customWidth="1"/>
    <col min="10236" max="10236" width="13.28515625" style="62" customWidth="1"/>
    <col min="10237" max="10237" width="15.28515625" style="62" customWidth="1"/>
    <col min="10238" max="10238" width="11.85546875" style="62" customWidth="1"/>
    <col min="10239" max="10239" width="6.140625" style="62" customWidth="1"/>
    <col min="10240" max="10240" width="11.85546875" style="62" customWidth="1"/>
    <col min="10241" max="10241" width="9.42578125" style="62" customWidth="1"/>
    <col min="10242" max="10242" width="14.7109375" style="62" customWidth="1"/>
    <col min="10243" max="10243" width="11.5703125" style="62" customWidth="1"/>
    <col min="10244" max="10244" width="0.42578125" style="62" customWidth="1"/>
    <col min="10245" max="10245" width="10.5703125" style="62" bestFit="1" customWidth="1"/>
    <col min="10246" max="10246" width="12.28515625" style="62" customWidth="1"/>
    <col min="10247" max="10247" width="12.5703125" style="62" customWidth="1"/>
    <col min="10248" max="10248" width="10.5703125" style="62" customWidth="1"/>
    <col min="10249" max="10249" width="10.140625" style="62" customWidth="1"/>
    <col min="10250" max="10250" width="8.42578125" style="62" customWidth="1"/>
    <col min="10251" max="10251" width="18.85546875" style="62" customWidth="1"/>
    <col min="10252" max="10252" width="10.28515625" style="62" customWidth="1"/>
    <col min="10253" max="10253" width="11.42578125" style="62"/>
    <col min="10254" max="10254" width="12.140625" style="62" customWidth="1"/>
    <col min="10255" max="10255" width="10.5703125" style="62" customWidth="1"/>
    <col min="10256" max="10256" width="12.42578125" style="62" customWidth="1"/>
    <col min="10257" max="10257" width="15.140625" style="62" customWidth="1"/>
    <col min="10258" max="10258" width="13.5703125" style="62" customWidth="1"/>
    <col min="10259" max="10259" width="13.140625" style="62" customWidth="1"/>
    <col min="10260" max="10260" width="15.7109375" style="62" customWidth="1"/>
    <col min="10261" max="10261" width="37.5703125" style="62" customWidth="1"/>
    <col min="10262" max="10483" width="11.42578125" style="62"/>
    <col min="10484" max="10484" width="10.5703125" style="62" customWidth="1"/>
    <col min="10485" max="10485" width="4.85546875" style="62" customWidth="1"/>
    <col min="10486" max="10486" width="32.42578125" style="62" customWidth="1"/>
    <col min="10487" max="10487" width="9.85546875" style="62" customWidth="1"/>
    <col min="10488" max="10488" width="10.140625" style="62" customWidth="1"/>
    <col min="10489" max="10489" width="12.28515625" style="62" customWidth="1"/>
    <col min="10490" max="10490" width="15.42578125" style="62" customWidth="1"/>
    <col min="10491" max="10491" width="11.85546875" style="62" customWidth="1"/>
    <col min="10492" max="10492" width="13.28515625" style="62" customWidth="1"/>
    <col min="10493" max="10493" width="15.28515625" style="62" customWidth="1"/>
    <col min="10494" max="10494" width="11.85546875" style="62" customWidth="1"/>
    <col min="10495" max="10495" width="6.140625" style="62" customWidth="1"/>
    <col min="10496" max="10496" width="11.85546875" style="62" customWidth="1"/>
    <col min="10497" max="10497" width="9.42578125" style="62" customWidth="1"/>
    <col min="10498" max="10498" width="14.7109375" style="62" customWidth="1"/>
    <col min="10499" max="10499" width="11.5703125" style="62" customWidth="1"/>
    <col min="10500" max="10500" width="0.42578125" style="62" customWidth="1"/>
    <col min="10501" max="10501" width="10.5703125" style="62" bestFit="1" customWidth="1"/>
    <col min="10502" max="10502" width="12.28515625" style="62" customWidth="1"/>
    <col min="10503" max="10503" width="12.5703125" style="62" customWidth="1"/>
    <col min="10504" max="10504" width="10.5703125" style="62" customWidth="1"/>
    <col min="10505" max="10505" width="10.140625" style="62" customWidth="1"/>
    <col min="10506" max="10506" width="8.42578125" style="62" customWidth="1"/>
    <col min="10507" max="10507" width="18.85546875" style="62" customWidth="1"/>
    <col min="10508" max="10508" width="10.28515625" style="62" customWidth="1"/>
    <col min="10509" max="10509" width="11.42578125" style="62"/>
    <col min="10510" max="10510" width="12.140625" style="62" customWidth="1"/>
    <col min="10511" max="10511" width="10.5703125" style="62" customWidth="1"/>
    <col min="10512" max="10512" width="12.42578125" style="62" customWidth="1"/>
    <col min="10513" max="10513" width="15.140625" style="62" customWidth="1"/>
    <col min="10514" max="10514" width="13.5703125" style="62" customWidth="1"/>
    <col min="10515" max="10515" width="13.140625" style="62" customWidth="1"/>
    <col min="10516" max="10516" width="15.7109375" style="62" customWidth="1"/>
    <col min="10517" max="10517" width="37.5703125" style="62" customWidth="1"/>
    <col min="10518" max="10739" width="11.42578125" style="62"/>
    <col min="10740" max="10740" width="10.5703125" style="62" customWidth="1"/>
    <col min="10741" max="10741" width="4.85546875" style="62" customWidth="1"/>
    <col min="10742" max="10742" width="32.42578125" style="62" customWidth="1"/>
    <col min="10743" max="10743" width="9.85546875" style="62" customWidth="1"/>
    <col min="10744" max="10744" width="10.140625" style="62" customWidth="1"/>
    <col min="10745" max="10745" width="12.28515625" style="62" customWidth="1"/>
    <col min="10746" max="10746" width="15.42578125" style="62" customWidth="1"/>
    <col min="10747" max="10747" width="11.85546875" style="62" customWidth="1"/>
    <col min="10748" max="10748" width="13.28515625" style="62" customWidth="1"/>
    <col min="10749" max="10749" width="15.28515625" style="62" customWidth="1"/>
    <col min="10750" max="10750" width="11.85546875" style="62" customWidth="1"/>
    <col min="10751" max="10751" width="6.140625" style="62" customWidth="1"/>
    <col min="10752" max="10752" width="11.85546875" style="62" customWidth="1"/>
    <col min="10753" max="10753" width="9.42578125" style="62" customWidth="1"/>
    <col min="10754" max="10754" width="14.7109375" style="62" customWidth="1"/>
    <col min="10755" max="10755" width="11.5703125" style="62" customWidth="1"/>
    <col min="10756" max="10756" width="0.42578125" style="62" customWidth="1"/>
    <col min="10757" max="10757" width="10.5703125" style="62" bestFit="1" customWidth="1"/>
    <col min="10758" max="10758" width="12.28515625" style="62" customWidth="1"/>
    <col min="10759" max="10759" width="12.5703125" style="62" customWidth="1"/>
    <col min="10760" max="10760" width="10.5703125" style="62" customWidth="1"/>
    <col min="10761" max="10761" width="10.140625" style="62" customWidth="1"/>
    <col min="10762" max="10762" width="8.42578125" style="62" customWidth="1"/>
    <col min="10763" max="10763" width="18.85546875" style="62" customWidth="1"/>
    <col min="10764" max="10764" width="10.28515625" style="62" customWidth="1"/>
    <col min="10765" max="10765" width="11.42578125" style="62"/>
    <col min="10766" max="10766" width="12.140625" style="62" customWidth="1"/>
    <col min="10767" max="10767" width="10.5703125" style="62" customWidth="1"/>
    <col min="10768" max="10768" width="12.42578125" style="62" customWidth="1"/>
    <col min="10769" max="10769" width="15.140625" style="62" customWidth="1"/>
    <col min="10770" max="10770" width="13.5703125" style="62" customWidth="1"/>
    <col min="10771" max="10771" width="13.140625" style="62" customWidth="1"/>
    <col min="10772" max="10772" width="15.7109375" style="62" customWidth="1"/>
    <col min="10773" max="10773" width="37.5703125" style="62" customWidth="1"/>
    <col min="10774" max="10995" width="11.42578125" style="62"/>
    <col min="10996" max="10996" width="10.5703125" style="62" customWidth="1"/>
    <col min="10997" max="10997" width="4.85546875" style="62" customWidth="1"/>
    <col min="10998" max="10998" width="32.42578125" style="62" customWidth="1"/>
    <col min="10999" max="10999" width="9.85546875" style="62" customWidth="1"/>
    <col min="11000" max="11000" width="10.140625" style="62" customWidth="1"/>
    <col min="11001" max="11001" width="12.28515625" style="62" customWidth="1"/>
    <col min="11002" max="11002" width="15.42578125" style="62" customWidth="1"/>
    <col min="11003" max="11003" width="11.85546875" style="62" customWidth="1"/>
    <col min="11004" max="11004" width="13.28515625" style="62" customWidth="1"/>
    <col min="11005" max="11005" width="15.28515625" style="62" customWidth="1"/>
    <col min="11006" max="11006" width="11.85546875" style="62" customWidth="1"/>
    <col min="11007" max="11007" width="6.140625" style="62" customWidth="1"/>
    <col min="11008" max="11008" width="11.85546875" style="62" customWidth="1"/>
    <col min="11009" max="11009" width="9.42578125" style="62" customWidth="1"/>
    <col min="11010" max="11010" width="14.7109375" style="62" customWidth="1"/>
    <col min="11011" max="11011" width="11.5703125" style="62" customWidth="1"/>
    <col min="11012" max="11012" width="0.42578125" style="62" customWidth="1"/>
    <col min="11013" max="11013" width="10.5703125" style="62" bestFit="1" customWidth="1"/>
    <col min="11014" max="11014" width="12.28515625" style="62" customWidth="1"/>
    <col min="11015" max="11015" width="12.5703125" style="62" customWidth="1"/>
    <col min="11016" max="11016" width="10.5703125" style="62" customWidth="1"/>
    <col min="11017" max="11017" width="10.140625" style="62" customWidth="1"/>
    <col min="11018" max="11018" width="8.42578125" style="62" customWidth="1"/>
    <col min="11019" max="11019" width="18.85546875" style="62" customWidth="1"/>
    <col min="11020" max="11020" width="10.28515625" style="62" customWidth="1"/>
    <col min="11021" max="11021" width="11.42578125" style="62"/>
    <col min="11022" max="11022" width="12.140625" style="62" customWidth="1"/>
    <col min="11023" max="11023" width="10.5703125" style="62" customWidth="1"/>
    <col min="11024" max="11024" width="12.42578125" style="62" customWidth="1"/>
    <col min="11025" max="11025" width="15.140625" style="62" customWidth="1"/>
    <col min="11026" max="11026" width="13.5703125" style="62" customWidth="1"/>
    <col min="11027" max="11027" width="13.140625" style="62" customWidth="1"/>
    <col min="11028" max="11028" width="15.7109375" style="62" customWidth="1"/>
    <col min="11029" max="11029" width="37.5703125" style="62" customWidth="1"/>
    <col min="11030" max="11251" width="11.42578125" style="62"/>
    <col min="11252" max="11252" width="10.5703125" style="62" customWidth="1"/>
    <col min="11253" max="11253" width="4.85546875" style="62" customWidth="1"/>
    <col min="11254" max="11254" width="32.42578125" style="62" customWidth="1"/>
    <col min="11255" max="11255" width="9.85546875" style="62" customWidth="1"/>
    <col min="11256" max="11256" width="10.140625" style="62" customWidth="1"/>
    <col min="11257" max="11257" width="12.28515625" style="62" customWidth="1"/>
    <col min="11258" max="11258" width="15.42578125" style="62" customWidth="1"/>
    <col min="11259" max="11259" width="11.85546875" style="62" customWidth="1"/>
    <col min="11260" max="11260" width="13.28515625" style="62" customWidth="1"/>
    <col min="11261" max="11261" width="15.28515625" style="62" customWidth="1"/>
    <col min="11262" max="11262" width="11.85546875" style="62" customWidth="1"/>
    <col min="11263" max="11263" width="6.140625" style="62" customWidth="1"/>
    <col min="11264" max="11264" width="11.85546875" style="62" customWidth="1"/>
    <col min="11265" max="11265" width="9.42578125" style="62" customWidth="1"/>
    <col min="11266" max="11266" width="14.7109375" style="62" customWidth="1"/>
    <col min="11267" max="11267" width="11.5703125" style="62" customWidth="1"/>
    <col min="11268" max="11268" width="0.42578125" style="62" customWidth="1"/>
    <col min="11269" max="11269" width="10.5703125" style="62" bestFit="1" customWidth="1"/>
    <col min="11270" max="11270" width="12.28515625" style="62" customWidth="1"/>
    <col min="11271" max="11271" width="12.5703125" style="62" customWidth="1"/>
    <col min="11272" max="11272" width="10.5703125" style="62" customWidth="1"/>
    <col min="11273" max="11273" width="10.140625" style="62" customWidth="1"/>
    <col min="11274" max="11274" width="8.42578125" style="62" customWidth="1"/>
    <col min="11275" max="11275" width="18.85546875" style="62" customWidth="1"/>
    <col min="11276" max="11276" width="10.28515625" style="62" customWidth="1"/>
    <col min="11277" max="11277" width="11.42578125" style="62"/>
    <col min="11278" max="11278" width="12.140625" style="62" customWidth="1"/>
    <col min="11279" max="11279" width="10.5703125" style="62" customWidth="1"/>
    <col min="11280" max="11280" width="12.42578125" style="62" customWidth="1"/>
    <col min="11281" max="11281" width="15.140625" style="62" customWidth="1"/>
    <col min="11282" max="11282" width="13.5703125" style="62" customWidth="1"/>
    <col min="11283" max="11283" width="13.140625" style="62" customWidth="1"/>
    <col min="11284" max="11284" width="15.7109375" style="62" customWidth="1"/>
    <col min="11285" max="11285" width="37.5703125" style="62" customWidth="1"/>
    <col min="11286" max="11507" width="11.42578125" style="62"/>
    <col min="11508" max="11508" width="10.5703125" style="62" customWidth="1"/>
    <col min="11509" max="11509" width="4.85546875" style="62" customWidth="1"/>
    <col min="11510" max="11510" width="32.42578125" style="62" customWidth="1"/>
    <col min="11511" max="11511" width="9.85546875" style="62" customWidth="1"/>
    <col min="11512" max="11512" width="10.140625" style="62" customWidth="1"/>
    <col min="11513" max="11513" width="12.28515625" style="62" customWidth="1"/>
    <col min="11514" max="11514" width="15.42578125" style="62" customWidth="1"/>
    <col min="11515" max="11515" width="11.85546875" style="62" customWidth="1"/>
    <col min="11516" max="11516" width="13.28515625" style="62" customWidth="1"/>
    <col min="11517" max="11517" width="15.28515625" style="62" customWidth="1"/>
    <col min="11518" max="11518" width="11.85546875" style="62" customWidth="1"/>
    <col min="11519" max="11519" width="6.140625" style="62" customWidth="1"/>
    <col min="11520" max="11520" width="11.85546875" style="62" customWidth="1"/>
    <col min="11521" max="11521" width="9.42578125" style="62" customWidth="1"/>
    <col min="11522" max="11522" width="14.7109375" style="62" customWidth="1"/>
    <col min="11523" max="11523" width="11.5703125" style="62" customWidth="1"/>
    <col min="11524" max="11524" width="0.42578125" style="62" customWidth="1"/>
    <col min="11525" max="11525" width="10.5703125" style="62" bestFit="1" customWidth="1"/>
    <col min="11526" max="11526" width="12.28515625" style="62" customWidth="1"/>
    <col min="11527" max="11527" width="12.5703125" style="62" customWidth="1"/>
    <col min="11528" max="11528" width="10.5703125" style="62" customWidth="1"/>
    <col min="11529" max="11529" width="10.140625" style="62" customWidth="1"/>
    <col min="11530" max="11530" width="8.42578125" style="62" customWidth="1"/>
    <col min="11531" max="11531" width="18.85546875" style="62" customWidth="1"/>
    <col min="11532" max="11532" width="10.28515625" style="62" customWidth="1"/>
    <col min="11533" max="11533" width="11.42578125" style="62"/>
    <col min="11534" max="11534" width="12.140625" style="62" customWidth="1"/>
    <col min="11535" max="11535" width="10.5703125" style="62" customWidth="1"/>
    <col min="11536" max="11536" width="12.42578125" style="62" customWidth="1"/>
    <col min="11537" max="11537" width="15.140625" style="62" customWidth="1"/>
    <col min="11538" max="11538" width="13.5703125" style="62" customWidth="1"/>
    <col min="11539" max="11539" width="13.140625" style="62" customWidth="1"/>
    <col min="11540" max="11540" width="15.7109375" style="62" customWidth="1"/>
    <col min="11541" max="11541" width="37.5703125" style="62" customWidth="1"/>
    <col min="11542" max="11763" width="11.42578125" style="62"/>
    <col min="11764" max="11764" width="10.5703125" style="62" customWidth="1"/>
    <col min="11765" max="11765" width="4.85546875" style="62" customWidth="1"/>
    <col min="11766" max="11766" width="32.42578125" style="62" customWidth="1"/>
    <col min="11767" max="11767" width="9.85546875" style="62" customWidth="1"/>
    <col min="11768" max="11768" width="10.140625" style="62" customWidth="1"/>
    <col min="11769" max="11769" width="12.28515625" style="62" customWidth="1"/>
    <col min="11770" max="11770" width="15.42578125" style="62" customWidth="1"/>
    <col min="11771" max="11771" width="11.85546875" style="62" customWidth="1"/>
    <col min="11772" max="11772" width="13.28515625" style="62" customWidth="1"/>
    <col min="11773" max="11773" width="15.28515625" style="62" customWidth="1"/>
    <col min="11774" max="11774" width="11.85546875" style="62" customWidth="1"/>
    <col min="11775" max="11775" width="6.140625" style="62" customWidth="1"/>
    <col min="11776" max="11776" width="11.85546875" style="62" customWidth="1"/>
    <col min="11777" max="11777" width="9.42578125" style="62" customWidth="1"/>
    <col min="11778" max="11778" width="14.7109375" style="62" customWidth="1"/>
    <col min="11779" max="11779" width="11.5703125" style="62" customWidth="1"/>
    <col min="11780" max="11780" width="0.42578125" style="62" customWidth="1"/>
    <col min="11781" max="11781" width="10.5703125" style="62" bestFit="1" customWidth="1"/>
    <col min="11782" max="11782" width="12.28515625" style="62" customWidth="1"/>
    <col min="11783" max="11783" width="12.5703125" style="62" customWidth="1"/>
    <col min="11784" max="11784" width="10.5703125" style="62" customWidth="1"/>
    <col min="11785" max="11785" width="10.140625" style="62" customWidth="1"/>
    <col min="11786" max="11786" width="8.42578125" style="62" customWidth="1"/>
    <col min="11787" max="11787" width="18.85546875" style="62" customWidth="1"/>
    <col min="11788" max="11788" width="10.28515625" style="62" customWidth="1"/>
    <col min="11789" max="11789" width="11.42578125" style="62"/>
    <col min="11790" max="11790" width="12.140625" style="62" customWidth="1"/>
    <col min="11791" max="11791" width="10.5703125" style="62" customWidth="1"/>
    <col min="11792" max="11792" width="12.42578125" style="62" customWidth="1"/>
    <col min="11793" max="11793" width="15.140625" style="62" customWidth="1"/>
    <col min="11794" max="11794" width="13.5703125" style="62" customWidth="1"/>
    <col min="11795" max="11795" width="13.140625" style="62" customWidth="1"/>
    <col min="11796" max="11796" width="15.7109375" style="62" customWidth="1"/>
    <col min="11797" max="11797" width="37.5703125" style="62" customWidth="1"/>
    <col min="11798" max="12019" width="11.42578125" style="62"/>
    <col min="12020" max="12020" width="10.5703125" style="62" customWidth="1"/>
    <col min="12021" max="12021" width="4.85546875" style="62" customWidth="1"/>
    <col min="12022" max="12022" width="32.42578125" style="62" customWidth="1"/>
    <col min="12023" max="12023" width="9.85546875" style="62" customWidth="1"/>
    <col min="12024" max="12024" width="10.140625" style="62" customWidth="1"/>
    <col min="12025" max="12025" width="12.28515625" style="62" customWidth="1"/>
    <col min="12026" max="12026" width="15.42578125" style="62" customWidth="1"/>
    <col min="12027" max="12027" width="11.85546875" style="62" customWidth="1"/>
    <col min="12028" max="12028" width="13.28515625" style="62" customWidth="1"/>
    <col min="12029" max="12029" width="15.28515625" style="62" customWidth="1"/>
    <col min="12030" max="12030" width="11.85546875" style="62" customWidth="1"/>
    <col min="12031" max="12031" width="6.140625" style="62" customWidth="1"/>
    <col min="12032" max="12032" width="11.85546875" style="62" customWidth="1"/>
    <col min="12033" max="12033" width="9.42578125" style="62" customWidth="1"/>
    <col min="12034" max="12034" width="14.7109375" style="62" customWidth="1"/>
    <col min="12035" max="12035" width="11.5703125" style="62" customWidth="1"/>
    <col min="12036" max="12036" width="0.42578125" style="62" customWidth="1"/>
    <col min="12037" max="12037" width="10.5703125" style="62" bestFit="1" customWidth="1"/>
    <col min="12038" max="12038" width="12.28515625" style="62" customWidth="1"/>
    <col min="12039" max="12039" width="12.5703125" style="62" customWidth="1"/>
    <col min="12040" max="12040" width="10.5703125" style="62" customWidth="1"/>
    <col min="12041" max="12041" width="10.140625" style="62" customWidth="1"/>
    <col min="12042" max="12042" width="8.42578125" style="62" customWidth="1"/>
    <col min="12043" max="12043" width="18.85546875" style="62" customWidth="1"/>
    <col min="12044" max="12044" width="10.28515625" style="62" customWidth="1"/>
    <col min="12045" max="12045" width="11.42578125" style="62"/>
    <col min="12046" max="12046" width="12.140625" style="62" customWidth="1"/>
    <col min="12047" max="12047" width="10.5703125" style="62" customWidth="1"/>
    <col min="12048" max="12048" width="12.42578125" style="62" customWidth="1"/>
    <col min="12049" max="12049" width="15.140625" style="62" customWidth="1"/>
    <col min="12050" max="12050" width="13.5703125" style="62" customWidth="1"/>
    <col min="12051" max="12051" width="13.140625" style="62" customWidth="1"/>
    <col min="12052" max="12052" width="15.7109375" style="62" customWidth="1"/>
    <col min="12053" max="12053" width="37.5703125" style="62" customWidth="1"/>
    <col min="12054" max="12275" width="11.42578125" style="62"/>
    <col min="12276" max="12276" width="10.5703125" style="62" customWidth="1"/>
    <col min="12277" max="12277" width="4.85546875" style="62" customWidth="1"/>
    <col min="12278" max="12278" width="32.42578125" style="62" customWidth="1"/>
    <col min="12279" max="12279" width="9.85546875" style="62" customWidth="1"/>
    <col min="12280" max="12280" width="10.140625" style="62" customWidth="1"/>
    <col min="12281" max="12281" width="12.28515625" style="62" customWidth="1"/>
    <col min="12282" max="12282" width="15.42578125" style="62" customWidth="1"/>
    <col min="12283" max="12283" width="11.85546875" style="62" customWidth="1"/>
    <col min="12284" max="12284" width="13.28515625" style="62" customWidth="1"/>
    <col min="12285" max="12285" width="15.28515625" style="62" customWidth="1"/>
    <col min="12286" max="12286" width="11.85546875" style="62" customWidth="1"/>
    <col min="12287" max="12287" width="6.140625" style="62" customWidth="1"/>
    <col min="12288" max="12288" width="11.85546875" style="62" customWidth="1"/>
    <col min="12289" max="12289" width="9.42578125" style="62" customWidth="1"/>
    <col min="12290" max="12290" width="14.7109375" style="62" customWidth="1"/>
    <col min="12291" max="12291" width="11.5703125" style="62" customWidth="1"/>
    <col min="12292" max="12292" width="0.42578125" style="62" customWidth="1"/>
    <col min="12293" max="12293" width="10.5703125" style="62" bestFit="1" customWidth="1"/>
    <col min="12294" max="12294" width="12.28515625" style="62" customWidth="1"/>
    <col min="12295" max="12295" width="12.5703125" style="62" customWidth="1"/>
    <col min="12296" max="12296" width="10.5703125" style="62" customWidth="1"/>
    <col min="12297" max="12297" width="10.140625" style="62" customWidth="1"/>
    <col min="12298" max="12298" width="8.42578125" style="62" customWidth="1"/>
    <col min="12299" max="12299" width="18.85546875" style="62" customWidth="1"/>
    <col min="12300" max="12300" width="10.28515625" style="62" customWidth="1"/>
    <col min="12301" max="12301" width="11.42578125" style="62"/>
    <col min="12302" max="12302" width="12.140625" style="62" customWidth="1"/>
    <col min="12303" max="12303" width="10.5703125" style="62" customWidth="1"/>
    <col min="12304" max="12304" width="12.42578125" style="62" customWidth="1"/>
    <col min="12305" max="12305" width="15.140625" style="62" customWidth="1"/>
    <col min="12306" max="12306" width="13.5703125" style="62" customWidth="1"/>
    <col min="12307" max="12307" width="13.140625" style="62" customWidth="1"/>
    <col min="12308" max="12308" width="15.7109375" style="62" customWidth="1"/>
    <col min="12309" max="12309" width="37.5703125" style="62" customWidth="1"/>
    <col min="12310" max="12531" width="11.42578125" style="62"/>
    <col min="12532" max="12532" width="10.5703125" style="62" customWidth="1"/>
    <col min="12533" max="12533" width="4.85546875" style="62" customWidth="1"/>
    <col min="12534" max="12534" width="32.42578125" style="62" customWidth="1"/>
    <col min="12535" max="12535" width="9.85546875" style="62" customWidth="1"/>
    <col min="12536" max="12536" width="10.140625" style="62" customWidth="1"/>
    <col min="12537" max="12537" width="12.28515625" style="62" customWidth="1"/>
    <col min="12538" max="12538" width="15.42578125" style="62" customWidth="1"/>
    <col min="12539" max="12539" width="11.85546875" style="62" customWidth="1"/>
    <col min="12540" max="12540" width="13.28515625" style="62" customWidth="1"/>
    <col min="12541" max="12541" width="15.28515625" style="62" customWidth="1"/>
    <col min="12542" max="12542" width="11.85546875" style="62" customWidth="1"/>
    <col min="12543" max="12543" width="6.140625" style="62" customWidth="1"/>
    <col min="12544" max="12544" width="11.85546875" style="62" customWidth="1"/>
    <col min="12545" max="12545" width="9.42578125" style="62" customWidth="1"/>
    <col min="12546" max="12546" width="14.7109375" style="62" customWidth="1"/>
    <col min="12547" max="12547" width="11.5703125" style="62" customWidth="1"/>
    <col min="12548" max="12548" width="0.42578125" style="62" customWidth="1"/>
    <col min="12549" max="12549" width="10.5703125" style="62" bestFit="1" customWidth="1"/>
    <col min="12550" max="12550" width="12.28515625" style="62" customWidth="1"/>
    <col min="12551" max="12551" width="12.5703125" style="62" customWidth="1"/>
    <col min="12552" max="12552" width="10.5703125" style="62" customWidth="1"/>
    <col min="12553" max="12553" width="10.140625" style="62" customWidth="1"/>
    <col min="12554" max="12554" width="8.42578125" style="62" customWidth="1"/>
    <col min="12555" max="12555" width="18.85546875" style="62" customWidth="1"/>
    <col min="12556" max="12556" width="10.28515625" style="62" customWidth="1"/>
    <col min="12557" max="12557" width="11.42578125" style="62"/>
    <col min="12558" max="12558" width="12.140625" style="62" customWidth="1"/>
    <col min="12559" max="12559" width="10.5703125" style="62" customWidth="1"/>
    <col min="12560" max="12560" width="12.42578125" style="62" customWidth="1"/>
    <col min="12561" max="12561" width="15.140625" style="62" customWidth="1"/>
    <col min="12562" max="12562" width="13.5703125" style="62" customWidth="1"/>
    <col min="12563" max="12563" width="13.140625" style="62" customWidth="1"/>
    <col min="12564" max="12564" width="15.7109375" style="62" customWidth="1"/>
    <col min="12565" max="12565" width="37.5703125" style="62" customWidth="1"/>
    <col min="12566" max="12787" width="11.42578125" style="62"/>
    <col min="12788" max="12788" width="10.5703125" style="62" customWidth="1"/>
    <col min="12789" max="12789" width="4.85546875" style="62" customWidth="1"/>
    <col min="12790" max="12790" width="32.42578125" style="62" customWidth="1"/>
    <col min="12791" max="12791" width="9.85546875" style="62" customWidth="1"/>
    <col min="12792" max="12792" width="10.140625" style="62" customWidth="1"/>
    <col min="12793" max="12793" width="12.28515625" style="62" customWidth="1"/>
    <col min="12794" max="12794" width="15.42578125" style="62" customWidth="1"/>
    <col min="12795" max="12795" width="11.85546875" style="62" customWidth="1"/>
    <col min="12796" max="12796" width="13.28515625" style="62" customWidth="1"/>
    <col min="12797" max="12797" width="15.28515625" style="62" customWidth="1"/>
    <col min="12798" max="12798" width="11.85546875" style="62" customWidth="1"/>
    <col min="12799" max="12799" width="6.140625" style="62" customWidth="1"/>
    <col min="12800" max="12800" width="11.85546875" style="62" customWidth="1"/>
    <col min="12801" max="12801" width="9.42578125" style="62" customWidth="1"/>
    <col min="12802" max="12802" width="14.7109375" style="62" customWidth="1"/>
    <col min="12803" max="12803" width="11.5703125" style="62" customWidth="1"/>
    <col min="12804" max="12804" width="0.42578125" style="62" customWidth="1"/>
    <col min="12805" max="12805" width="10.5703125" style="62" bestFit="1" customWidth="1"/>
    <col min="12806" max="12806" width="12.28515625" style="62" customWidth="1"/>
    <col min="12807" max="12807" width="12.5703125" style="62" customWidth="1"/>
    <col min="12808" max="12808" width="10.5703125" style="62" customWidth="1"/>
    <col min="12809" max="12809" width="10.140625" style="62" customWidth="1"/>
    <col min="12810" max="12810" width="8.42578125" style="62" customWidth="1"/>
    <col min="12811" max="12811" width="18.85546875" style="62" customWidth="1"/>
    <col min="12812" max="12812" width="10.28515625" style="62" customWidth="1"/>
    <col min="12813" max="12813" width="11.42578125" style="62"/>
    <col min="12814" max="12814" width="12.140625" style="62" customWidth="1"/>
    <col min="12815" max="12815" width="10.5703125" style="62" customWidth="1"/>
    <col min="12816" max="12816" width="12.42578125" style="62" customWidth="1"/>
    <col min="12817" max="12817" width="15.140625" style="62" customWidth="1"/>
    <col min="12818" max="12818" width="13.5703125" style="62" customWidth="1"/>
    <col min="12819" max="12819" width="13.140625" style="62" customWidth="1"/>
    <col min="12820" max="12820" width="15.7109375" style="62" customWidth="1"/>
    <col min="12821" max="12821" width="37.5703125" style="62" customWidth="1"/>
    <col min="12822" max="13043" width="11.42578125" style="62"/>
    <col min="13044" max="13044" width="10.5703125" style="62" customWidth="1"/>
    <col min="13045" max="13045" width="4.85546875" style="62" customWidth="1"/>
    <col min="13046" max="13046" width="32.42578125" style="62" customWidth="1"/>
    <col min="13047" max="13047" width="9.85546875" style="62" customWidth="1"/>
    <col min="13048" max="13048" width="10.140625" style="62" customWidth="1"/>
    <col min="13049" max="13049" width="12.28515625" style="62" customWidth="1"/>
    <col min="13050" max="13050" width="15.42578125" style="62" customWidth="1"/>
    <col min="13051" max="13051" width="11.85546875" style="62" customWidth="1"/>
    <col min="13052" max="13052" width="13.28515625" style="62" customWidth="1"/>
    <col min="13053" max="13053" width="15.28515625" style="62" customWidth="1"/>
    <col min="13054" max="13054" width="11.85546875" style="62" customWidth="1"/>
    <col min="13055" max="13055" width="6.140625" style="62" customWidth="1"/>
    <col min="13056" max="13056" width="11.85546875" style="62" customWidth="1"/>
    <col min="13057" max="13057" width="9.42578125" style="62" customWidth="1"/>
    <col min="13058" max="13058" width="14.7109375" style="62" customWidth="1"/>
    <col min="13059" max="13059" width="11.5703125" style="62" customWidth="1"/>
    <col min="13060" max="13060" width="0.42578125" style="62" customWidth="1"/>
    <col min="13061" max="13061" width="10.5703125" style="62" bestFit="1" customWidth="1"/>
    <col min="13062" max="13062" width="12.28515625" style="62" customWidth="1"/>
    <col min="13063" max="13063" width="12.5703125" style="62" customWidth="1"/>
    <col min="13064" max="13064" width="10.5703125" style="62" customWidth="1"/>
    <col min="13065" max="13065" width="10.140625" style="62" customWidth="1"/>
    <col min="13066" max="13066" width="8.42578125" style="62" customWidth="1"/>
    <col min="13067" max="13067" width="18.85546875" style="62" customWidth="1"/>
    <col min="13068" max="13068" width="10.28515625" style="62" customWidth="1"/>
    <col min="13069" max="13069" width="11.42578125" style="62"/>
    <col min="13070" max="13070" width="12.140625" style="62" customWidth="1"/>
    <col min="13071" max="13071" width="10.5703125" style="62" customWidth="1"/>
    <col min="13072" max="13072" width="12.42578125" style="62" customWidth="1"/>
    <col min="13073" max="13073" width="15.140625" style="62" customWidth="1"/>
    <col min="13074" max="13074" width="13.5703125" style="62" customWidth="1"/>
    <col min="13075" max="13075" width="13.140625" style="62" customWidth="1"/>
    <col min="13076" max="13076" width="15.7109375" style="62" customWidth="1"/>
    <col min="13077" max="13077" width="37.5703125" style="62" customWidth="1"/>
    <col min="13078" max="13299" width="11.42578125" style="62"/>
    <col min="13300" max="13300" width="10.5703125" style="62" customWidth="1"/>
    <col min="13301" max="13301" width="4.85546875" style="62" customWidth="1"/>
    <col min="13302" max="13302" width="32.42578125" style="62" customWidth="1"/>
    <col min="13303" max="13303" width="9.85546875" style="62" customWidth="1"/>
    <col min="13304" max="13304" width="10.140625" style="62" customWidth="1"/>
    <col min="13305" max="13305" width="12.28515625" style="62" customWidth="1"/>
    <col min="13306" max="13306" width="15.42578125" style="62" customWidth="1"/>
    <col min="13307" max="13307" width="11.85546875" style="62" customWidth="1"/>
    <col min="13308" max="13308" width="13.28515625" style="62" customWidth="1"/>
    <col min="13309" max="13309" width="15.28515625" style="62" customWidth="1"/>
    <col min="13310" max="13310" width="11.85546875" style="62" customWidth="1"/>
    <col min="13311" max="13311" width="6.140625" style="62" customWidth="1"/>
    <col min="13312" max="13312" width="11.85546875" style="62" customWidth="1"/>
    <col min="13313" max="13313" width="9.42578125" style="62" customWidth="1"/>
    <col min="13314" max="13314" width="14.7109375" style="62" customWidth="1"/>
    <col min="13315" max="13315" width="11.5703125" style="62" customWidth="1"/>
    <col min="13316" max="13316" width="0.42578125" style="62" customWidth="1"/>
    <col min="13317" max="13317" width="10.5703125" style="62" bestFit="1" customWidth="1"/>
    <col min="13318" max="13318" width="12.28515625" style="62" customWidth="1"/>
    <col min="13319" max="13319" width="12.5703125" style="62" customWidth="1"/>
    <col min="13320" max="13320" width="10.5703125" style="62" customWidth="1"/>
    <col min="13321" max="13321" width="10.140625" style="62" customWidth="1"/>
    <col min="13322" max="13322" width="8.42578125" style="62" customWidth="1"/>
    <col min="13323" max="13323" width="18.85546875" style="62" customWidth="1"/>
    <col min="13324" max="13324" width="10.28515625" style="62" customWidth="1"/>
    <col min="13325" max="13325" width="11.42578125" style="62"/>
    <col min="13326" max="13326" width="12.140625" style="62" customWidth="1"/>
    <col min="13327" max="13327" width="10.5703125" style="62" customWidth="1"/>
    <col min="13328" max="13328" width="12.42578125" style="62" customWidth="1"/>
    <col min="13329" max="13329" width="15.140625" style="62" customWidth="1"/>
    <col min="13330" max="13330" width="13.5703125" style="62" customWidth="1"/>
    <col min="13331" max="13331" width="13.140625" style="62" customWidth="1"/>
    <col min="13332" max="13332" width="15.7109375" style="62" customWidth="1"/>
    <col min="13333" max="13333" width="37.5703125" style="62" customWidth="1"/>
    <col min="13334" max="13555" width="11.42578125" style="62"/>
    <col min="13556" max="13556" width="10.5703125" style="62" customWidth="1"/>
    <col min="13557" max="13557" width="4.85546875" style="62" customWidth="1"/>
    <col min="13558" max="13558" width="32.42578125" style="62" customWidth="1"/>
    <col min="13559" max="13559" width="9.85546875" style="62" customWidth="1"/>
    <col min="13560" max="13560" width="10.140625" style="62" customWidth="1"/>
    <col min="13561" max="13561" width="12.28515625" style="62" customWidth="1"/>
    <col min="13562" max="13562" width="15.42578125" style="62" customWidth="1"/>
    <col min="13563" max="13563" width="11.85546875" style="62" customWidth="1"/>
    <col min="13564" max="13564" width="13.28515625" style="62" customWidth="1"/>
    <col min="13565" max="13565" width="15.28515625" style="62" customWidth="1"/>
    <col min="13566" max="13566" width="11.85546875" style="62" customWidth="1"/>
    <col min="13567" max="13567" width="6.140625" style="62" customWidth="1"/>
    <col min="13568" max="13568" width="11.85546875" style="62" customWidth="1"/>
    <col min="13569" max="13569" width="9.42578125" style="62" customWidth="1"/>
    <col min="13570" max="13570" width="14.7109375" style="62" customWidth="1"/>
    <col min="13571" max="13571" width="11.5703125" style="62" customWidth="1"/>
    <col min="13572" max="13572" width="0.42578125" style="62" customWidth="1"/>
    <col min="13573" max="13573" width="10.5703125" style="62" bestFit="1" customWidth="1"/>
    <col min="13574" max="13574" width="12.28515625" style="62" customWidth="1"/>
    <col min="13575" max="13575" width="12.5703125" style="62" customWidth="1"/>
    <col min="13576" max="13576" width="10.5703125" style="62" customWidth="1"/>
    <col min="13577" max="13577" width="10.140625" style="62" customWidth="1"/>
    <col min="13578" max="13578" width="8.42578125" style="62" customWidth="1"/>
    <col min="13579" max="13579" width="18.85546875" style="62" customWidth="1"/>
    <col min="13580" max="13580" width="10.28515625" style="62" customWidth="1"/>
    <col min="13581" max="13581" width="11.42578125" style="62"/>
    <col min="13582" max="13582" width="12.140625" style="62" customWidth="1"/>
    <col min="13583" max="13583" width="10.5703125" style="62" customWidth="1"/>
    <col min="13584" max="13584" width="12.42578125" style="62" customWidth="1"/>
    <col min="13585" max="13585" width="15.140625" style="62" customWidth="1"/>
    <col min="13586" max="13586" width="13.5703125" style="62" customWidth="1"/>
    <col min="13587" max="13587" width="13.140625" style="62" customWidth="1"/>
    <col min="13588" max="13588" width="15.7109375" style="62" customWidth="1"/>
    <col min="13589" max="13589" width="37.5703125" style="62" customWidth="1"/>
    <col min="13590" max="13811" width="11.42578125" style="62"/>
    <col min="13812" max="13812" width="10.5703125" style="62" customWidth="1"/>
    <col min="13813" max="13813" width="4.85546875" style="62" customWidth="1"/>
    <col min="13814" max="13814" width="32.42578125" style="62" customWidth="1"/>
    <col min="13815" max="13815" width="9.85546875" style="62" customWidth="1"/>
    <col min="13816" max="13816" width="10.140625" style="62" customWidth="1"/>
    <col min="13817" max="13817" width="12.28515625" style="62" customWidth="1"/>
    <col min="13818" max="13818" width="15.42578125" style="62" customWidth="1"/>
    <col min="13819" max="13819" width="11.85546875" style="62" customWidth="1"/>
    <col min="13820" max="13820" width="13.28515625" style="62" customWidth="1"/>
    <col min="13821" max="13821" width="15.28515625" style="62" customWidth="1"/>
    <col min="13822" max="13822" width="11.85546875" style="62" customWidth="1"/>
    <col min="13823" max="13823" width="6.140625" style="62" customWidth="1"/>
    <col min="13824" max="13824" width="11.85546875" style="62" customWidth="1"/>
    <col min="13825" max="13825" width="9.42578125" style="62" customWidth="1"/>
    <col min="13826" max="13826" width="14.7109375" style="62" customWidth="1"/>
    <col min="13827" max="13827" width="11.5703125" style="62" customWidth="1"/>
    <col min="13828" max="13828" width="0.42578125" style="62" customWidth="1"/>
    <col min="13829" max="13829" width="10.5703125" style="62" bestFit="1" customWidth="1"/>
    <col min="13830" max="13830" width="12.28515625" style="62" customWidth="1"/>
    <col min="13831" max="13831" width="12.5703125" style="62" customWidth="1"/>
    <col min="13832" max="13832" width="10.5703125" style="62" customWidth="1"/>
    <col min="13833" max="13833" width="10.140625" style="62" customWidth="1"/>
    <col min="13834" max="13834" width="8.42578125" style="62" customWidth="1"/>
    <col min="13835" max="13835" width="18.85546875" style="62" customWidth="1"/>
    <col min="13836" max="13836" width="10.28515625" style="62" customWidth="1"/>
    <col min="13837" max="13837" width="11.42578125" style="62"/>
    <col min="13838" max="13838" width="12.140625" style="62" customWidth="1"/>
    <col min="13839" max="13839" width="10.5703125" style="62" customWidth="1"/>
    <col min="13840" max="13840" width="12.42578125" style="62" customWidth="1"/>
    <col min="13841" max="13841" width="15.140625" style="62" customWidth="1"/>
    <col min="13842" max="13842" width="13.5703125" style="62" customWidth="1"/>
    <col min="13843" max="13843" width="13.140625" style="62" customWidth="1"/>
    <col min="13844" max="13844" width="15.7109375" style="62" customWidth="1"/>
    <col min="13845" max="13845" width="37.5703125" style="62" customWidth="1"/>
    <col min="13846" max="14067" width="11.42578125" style="62"/>
    <col min="14068" max="14068" width="10.5703125" style="62" customWidth="1"/>
    <col min="14069" max="14069" width="4.85546875" style="62" customWidth="1"/>
    <col min="14070" max="14070" width="32.42578125" style="62" customWidth="1"/>
    <col min="14071" max="14071" width="9.85546875" style="62" customWidth="1"/>
    <col min="14072" max="14072" width="10.140625" style="62" customWidth="1"/>
    <col min="14073" max="14073" width="12.28515625" style="62" customWidth="1"/>
    <col min="14074" max="14074" width="15.42578125" style="62" customWidth="1"/>
    <col min="14075" max="14075" width="11.85546875" style="62" customWidth="1"/>
    <col min="14076" max="14076" width="13.28515625" style="62" customWidth="1"/>
    <col min="14077" max="14077" width="15.28515625" style="62" customWidth="1"/>
    <col min="14078" max="14078" width="11.85546875" style="62" customWidth="1"/>
    <col min="14079" max="14079" width="6.140625" style="62" customWidth="1"/>
    <col min="14080" max="14080" width="11.85546875" style="62" customWidth="1"/>
    <col min="14081" max="14081" width="9.42578125" style="62" customWidth="1"/>
    <col min="14082" max="14082" width="14.7109375" style="62" customWidth="1"/>
    <col min="14083" max="14083" width="11.5703125" style="62" customWidth="1"/>
    <col min="14084" max="14084" width="0.42578125" style="62" customWidth="1"/>
    <col min="14085" max="14085" width="10.5703125" style="62" bestFit="1" customWidth="1"/>
    <col min="14086" max="14086" width="12.28515625" style="62" customWidth="1"/>
    <col min="14087" max="14087" width="12.5703125" style="62" customWidth="1"/>
    <col min="14088" max="14088" width="10.5703125" style="62" customWidth="1"/>
    <col min="14089" max="14089" width="10.140625" style="62" customWidth="1"/>
    <col min="14090" max="14090" width="8.42578125" style="62" customWidth="1"/>
    <col min="14091" max="14091" width="18.85546875" style="62" customWidth="1"/>
    <col min="14092" max="14092" width="10.28515625" style="62" customWidth="1"/>
    <col min="14093" max="14093" width="11.42578125" style="62"/>
    <col min="14094" max="14094" width="12.140625" style="62" customWidth="1"/>
    <col min="14095" max="14095" width="10.5703125" style="62" customWidth="1"/>
    <col min="14096" max="14096" width="12.42578125" style="62" customWidth="1"/>
    <col min="14097" max="14097" width="15.140625" style="62" customWidth="1"/>
    <col min="14098" max="14098" width="13.5703125" style="62" customWidth="1"/>
    <col min="14099" max="14099" width="13.140625" style="62" customWidth="1"/>
    <col min="14100" max="14100" width="15.7109375" style="62" customWidth="1"/>
    <col min="14101" max="14101" width="37.5703125" style="62" customWidth="1"/>
    <col min="14102" max="14323" width="11.42578125" style="62"/>
    <col min="14324" max="14324" width="10.5703125" style="62" customWidth="1"/>
    <col min="14325" max="14325" width="4.85546875" style="62" customWidth="1"/>
    <col min="14326" max="14326" width="32.42578125" style="62" customWidth="1"/>
    <col min="14327" max="14327" width="9.85546875" style="62" customWidth="1"/>
    <col min="14328" max="14328" width="10.140625" style="62" customWidth="1"/>
    <col min="14329" max="14329" width="12.28515625" style="62" customWidth="1"/>
    <col min="14330" max="14330" width="15.42578125" style="62" customWidth="1"/>
    <col min="14331" max="14331" width="11.85546875" style="62" customWidth="1"/>
    <col min="14332" max="14332" width="13.28515625" style="62" customWidth="1"/>
    <col min="14333" max="14333" width="15.28515625" style="62" customWidth="1"/>
    <col min="14334" max="14334" width="11.85546875" style="62" customWidth="1"/>
    <col min="14335" max="14335" width="6.140625" style="62" customWidth="1"/>
    <col min="14336" max="14336" width="11.85546875" style="62" customWidth="1"/>
    <col min="14337" max="14337" width="9.42578125" style="62" customWidth="1"/>
    <col min="14338" max="14338" width="14.7109375" style="62" customWidth="1"/>
    <col min="14339" max="14339" width="11.5703125" style="62" customWidth="1"/>
    <col min="14340" max="14340" width="0.42578125" style="62" customWidth="1"/>
    <col min="14341" max="14341" width="10.5703125" style="62" bestFit="1" customWidth="1"/>
    <col min="14342" max="14342" width="12.28515625" style="62" customWidth="1"/>
    <col min="14343" max="14343" width="12.5703125" style="62" customWidth="1"/>
    <col min="14344" max="14344" width="10.5703125" style="62" customWidth="1"/>
    <col min="14345" max="14345" width="10.140625" style="62" customWidth="1"/>
    <col min="14346" max="14346" width="8.42578125" style="62" customWidth="1"/>
    <col min="14347" max="14347" width="18.85546875" style="62" customWidth="1"/>
    <col min="14348" max="14348" width="10.28515625" style="62" customWidth="1"/>
    <col min="14349" max="14349" width="11.42578125" style="62"/>
    <col min="14350" max="14350" width="12.140625" style="62" customWidth="1"/>
    <col min="14351" max="14351" width="10.5703125" style="62" customWidth="1"/>
    <col min="14352" max="14352" width="12.42578125" style="62" customWidth="1"/>
    <col min="14353" max="14353" width="15.140625" style="62" customWidth="1"/>
    <col min="14354" max="14354" width="13.5703125" style="62" customWidth="1"/>
    <col min="14355" max="14355" width="13.140625" style="62" customWidth="1"/>
    <col min="14356" max="14356" width="15.7109375" style="62" customWidth="1"/>
    <col min="14357" max="14357" width="37.5703125" style="62" customWidth="1"/>
    <col min="14358" max="14579" width="11.42578125" style="62"/>
    <col min="14580" max="14580" width="10.5703125" style="62" customWidth="1"/>
    <col min="14581" max="14581" width="4.85546875" style="62" customWidth="1"/>
    <col min="14582" max="14582" width="32.42578125" style="62" customWidth="1"/>
    <col min="14583" max="14583" width="9.85546875" style="62" customWidth="1"/>
    <col min="14584" max="14584" width="10.140625" style="62" customWidth="1"/>
    <col min="14585" max="14585" width="12.28515625" style="62" customWidth="1"/>
    <col min="14586" max="14586" width="15.42578125" style="62" customWidth="1"/>
    <col min="14587" max="14587" width="11.85546875" style="62" customWidth="1"/>
    <col min="14588" max="14588" width="13.28515625" style="62" customWidth="1"/>
    <col min="14589" max="14589" width="15.28515625" style="62" customWidth="1"/>
    <col min="14590" max="14590" width="11.85546875" style="62" customWidth="1"/>
    <col min="14591" max="14591" width="6.140625" style="62" customWidth="1"/>
    <col min="14592" max="14592" width="11.85546875" style="62" customWidth="1"/>
    <col min="14593" max="14593" width="9.42578125" style="62" customWidth="1"/>
    <col min="14594" max="14594" width="14.7109375" style="62" customWidth="1"/>
    <col min="14595" max="14595" width="11.5703125" style="62" customWidth="1"/>
    <col min="14596" max="14596" width="0.42578125" style="62" customWidth="1"/>
    <col min="14597" max="14597" width="10.5703125" style="62" bestFit="1" customWidth="1"/>
    <col min="14598" max="14598" width="12.28515625" style="62" customWidth="1"/>
    <col min="14599" max="14599" width="12.5703125" style="62" customWidth="1"/>
    <col min="14600" max="14600" width="10.5703125" style="62" customWidth="1"/>
    <col min="14601" max="14601" width="10.140625" style="62" customWidth="1"/>
    <col min="14602" max="14602" width="8.42578125" style="62" customWidth="1"/>
    <col min="14603" max="14603" width="18.85546875" style="62" customWidth="1"/>
    <col min="14604" max="14604" width="10.28515625" style="62" customWidth="1"/>
    <col min="14605" max="14605" width="11.42578125" style="62"/>
    <col min="14606" max="14606" width="12.140625" style="62" customWidth="1"/>
    <col min="14607" max="14607" width="10.5703125" style="62" customWidth="1"/>
    <col min="14608" max="14608" width="12.42578125" style="62" customWidth="1"/>
    <col min="14609" max="14609" width="15.140625" style="62" customWidth="1"/>
    <col min="14610" max="14610" width="13.5703125" style="62" customWidth="1"/>
    <col min="14611" max="14611" width="13.140625" style="62" customWidth="1"/>
    <col min="14612" max="14612" width="15.7109375" style="62" customWidth="1"/>
    <col min="14613" max="14613" width="37.5703125" style="62" customWidth="1"/>
    <col min="14614" max="14835" width="11.42578125" style="62"/>
    <col min="14836" max="14836" width="10.5703125" style="62" customWidth="1"/>
    <col min="14837" max="14837" width="4.85546875" style="62" customWidth="1"/>
    <col min="14838" max="14838" width="32.42578125" style="62" customWidth="1"/>
    <col min="14839" max="14839" width="9.85546875" style="62" customWidth="1"/>
    <col min="14840" max="14840" width="10.140625" style="62" customWidth="1"/>
    <col min="14841" max="14841" width="12.28515625" style="62" customWidth="1"/>
    <col min="14842" max="14842" width="15.42578125" style="62" customWidth="1"/>
    <col min="14843" max="14843" width="11.85546875" style="62" customWidth="1"/>
    <col min="14844" max="14844" width="13.28515625" style="62" customWidth="1"/>
    <col min="14845" max="14845" width="15.28515625" style="62" customWidth="1"/>
    <col min="14846" max="14846" width="11.85546875" style="62" customWidth="1"/>
    <col min="14847" max="14847" width="6.140625" style="62" customWidth="1"/>
    <col min="14848" max="14848" width="11.85546875" style="62" customWidth="1"/>
    <col min="14849" max="14849" width="9.42578125" style="62" customWidth="1"/>
    <col min="14850" max="14850" width="14.7109375" style="62" customWidth="1"/>
    <col min="14851" max="14851" width="11.5703125" style="62" customWidth="1"/>
    <col min="14852" max="14852" width="0.42578125" style="62" customWidth="1"/>
    <col min="14853" max="14853" width="10.5703125" style="62" bestFit="1" customWidth="1"/>
    <col min="14854" max="14854" width="12.28515625" style="62" customWidth="1"/>
    <col min="14855" max="14855" width="12.5703125" style="62" customWidth="1"/>
    <col min="14856" max="14856" width="10.5703125" style="62" customWidth="1"/>
    <col min="14857" max="14857" width="10.140625" style="62" customWidth="1"/>
    <col min="14858" max="14858" width="8.42578125" style="62" customWidth="1"/>
    <col min="14859" max="14859" width="18.85546875" style="62" customWidth="1"/>
    <col min="14860" max="14860" width="10.28515625" style="62" customWidth="1"/>
    <col min="14861" max="14861" width="11.42578125" style="62"/>
    <col min="14862" max="14862" width="12.140625" style="62" customWidth="1"/>
    <col min="14863" max="14863" width="10.5703125" style="62" customWidth="1"/>
    <col min="14864" max="14864" width="12.42578125" style="62" customWidth="1"/>
    <col min="14865" max="14865" width="15.140625" style="62" customWidth="1"/>
    <col min="14866" max="14866" width="13.5703125" style="62" customWidth="1"/>
    <col min="14867" max="14867" width="13.140625" style="62" customWidth="1"/>
    <col min="14868" max="14868" width="15.7109375" style="62" customWidth="1"/>
    <col min="14869" max="14869" width="37.5703125" style="62" customWidth="1"/>
    <col min="14870" max="15091" width="11.42578125" style="62"/>
    <col min="15092" max="15092" width="10.5703125" style="62" customWidth="1"/>
    <col min="15093" max="15093" width="4.85546875" style="62" customWidth="1"/>
    <col min="15094" max="15094" width="32.42578125" style="62" customWidth="1"/>
    <col min="15095" max="15095" width="9.85546875" style="62" customWidth="1"/>
    <col min="15096" max="15096" width="10.140625" style="62" customWidth="1"/>
    <col min="15097" max="15097" width="12.28515625" style="62" customWidth="1"/>
    <col min="15098" max="15098" width="15.42578125" style="62" customWidth="1"/>
    <col min="15099" max="15099" width="11.85546875" style="62" customWidth="1"/>
    <col min="15100" max="15100" width="13.28515625" style="62" customWidth="1"/>
    <col min="15101" max="15101" width="15.28515625" style="62" customWidth="1"/>
    <col min="15102" max="15102" width="11.85546875" style="62" customWidth="1"/>
    <col min="15103" max="15103" width="6.140625" style="62" customWidth="1"/>
    <col min="15104" max="15104" width="11.85546875" style="62" customWidth="1"/>
    <col min="15105" max="15105" width="9.42578125" style="62" customWidth="1"/>
    <col min="15106" max="15106" width="14.7109375" style="62" customWidth="1"/>
    <col min="15107" max="15107" width="11.5703125" style="62" customWidth="1"/>
    <col min="15108" max="15108" width="0.42578125" style="62" customWidth="1"/>
    <col min="15109" max="15109" width="10.5703125" style="62" bestFit="1" customWidth="1"/>
    <col min="15110" max="15110" width="12.28515625" style="62" customWidth="1"/>
    <col min="15111" max="15111" width="12.5703125" style="62" customWidth="1"/>
    <col min="15112" max="15112" width="10.5703125" style="62" customWidth="1"/>
    <col min="15113" max="15113" width="10.140625" style="62" customWidth="1"/>
    <col min="15114" max="15114" width="8.42578125" style="62" customWidth="1"/>
    <col min="15115" max="15115" width="18.85546875" style="62" customWidth="1"/>
    <col min="15116" max="15116" width="10.28515625" style="62" customWidth="1"/>
    <col min="15117" max="15117" width="11.42578125" style="62"/>
    <col min="15118" max="15118" width="12.140625" style="62" customWidth="1"/>
    <col min="15119" max="15119" width="10.5703125" style="62" customWidth="1"/>
    <col min="15120" max="15120" width="12.42578125" style="62" customWidth="1"/>
    <col min="15121" max="15121" width="15.140625" style="62" customWidth="1"/>
    <col min="15122" max="15122" width="13.5703125" style="62" customWidth="1"/>
    <col min="15123" max="15123" width="13.140625" style="62" customWidth="1"/>
    <col min="15124" max="15124" width="15.7109375" style="62" customWidth="1"/>
    <col min="15125" max="15125" width="37.5703125" style="62" customWidth="1"/>
    <col min="15126" max="15347" width="11.42578125" style="62"/>
    <col min="15348" max="15348" width="10.5703125" style="62" customWidth="1"/>
    <col min="15349" max="15349" width="4.85546875" style="62" customWidth="1"/>
    <col min="15350" max="15350" width="32.42578125" style="62" customWidth="1"/>
    <col min="15351" max="15351" width="9.85546875" style="62" customWidth="1"/>
    <col min="15352" max="15352" width="10.140625" style="62" customWidth="1"/>
    <col min="15353" max="15353" width="12.28515625" style="62" customWidth="1"/>
    <col min="15354" max="15354" width="15.42578125" style="62" customWidth="1"/>
    <col min="15355" max="15355" width="11.85546875" style="62" customWidth="1"/>
    <col min="15356" max="15356" width="13.28515625" style="62" customWidth="1"/>
    <col min="15357" max="15357" width="15.28515625" style="62" customWidth="1"/>
    <col min="15358" max="15358" width="11.85546875" style="62" customWidth="1"/>
    <col min="15359" max="15359" width="6.140625" style="62" customWidth="1"/>
    <col min="15360" max="15360" width="11.85546875" style="62" customWidth="1"/>
    <col min="15361" max="15361" width="9.42578125" style="62" customWidth="1"/>
    <col min="15362" max="15362" width="14.7109375" style="62" customWidth="1"/>
    <col min="15363" max="15363" width="11.5703125" style="62" customWidth="1"/>
    <col min="15364" max="15364" width="0.42578125" style="62" customWidth="1"/>
    <col min="15365" max="15365" width="10.5703125" style="62" bestFit="1" customWidth="1"/>
    <col min="15366" max="15366" width="12.28515625" style="62" customWidth="1"/>
    <col min="15367" max="15367" width="12.5703125" style="62" customWidth="1"/>
    <col min="15368" max="15368" width="10.5703125" style="62" customWidth="1"/>
    <col min="15369" max="15369" width="10.140625" style="62" customWidth="1"/>
    <col min="15370" max="15370" width="8.42578125" style="62" customWidth="1"/>
    <col min="15371" max="15371" width="18.85546875" style="62" customWidth="1"/>
    <col min="15372" max="15372" width="10.28515625" style="62" customWidth="1"/>
    <col min="15373" max="15373" width="11.42578125" style="62"/>
    <col min="15374" max="15374" width="12.140625" style="62" customWidth="1"/>
    <col min="15375" max="15375" width="10.5703125" style="62" customWidth="1"/>
    <col min="15376" max="15376" width="12.42578125" style="62" customWidth="1"/>
    <col min="15377" max="15377" width="15.140625" style="62" customWidth="1"/>
    <col min="15378" max="15378" width="13.5703125" style="62" customWidth="1"/>
    <col min="15379" max="15379" width="13.140625" style="62" customWidth="1"/>
    <col min="15380" max="15380" width="15.7109375" style="62" customWidth="1"/>
    <col min="15381" max="15381" width="37.5703125" style="62" customWidth="1"/>
    <col min="15382" max="15603" width="11.42578125" style="62"/>
    <col min="15604" max="15604" width="10.5703125" style="62" customWidth="1"/>
    <col min="15605" max="15605" width="4.85546875" style="62" customWidth="1"/>
    <col min="15606" max="15606" width="32.42578125" style="62" customWidth="1"/>
    <col min="15607" max="15607" width="9.85546875" style="62" customWidth="1"/>
    <col min="15608" max="15608" width="10.140625" style="62" customWidth="1"/>
    <col min="15609" max="15609" width="12.28515625" style="62" customWidth="1"/>
    <col min="15610" max="15610" width="15.42578125" style="62" customWidth="1"/>
    <col min="15611" max="15611" width="11.85546875" style="62" customWidth="1"/>
    <col min="15612" max="15612" width="13.28515625" style="62" customWidth="1"/>
    <col min="15613" max="15613" width="15.28515625" style="62" customWidth="1"/>
    <col min="15614" max="15614" width="11.85546875" style="62" customWidth="1"/>
    <col min="15615" max="15615" width="6.140625" style="62" customWidth="1"/>
    <col min="15616" max="15616" width="11.85546875" style="62" customWidth="1"/>
    <col min="15617" max="15617" width="9.42578125" style="62" customWidth="1"/>
    <col min="15618" max="15618" width="14.7109375" style="62" customWidth="1"/>
    <col min="15619" max="15619" width="11.5703125" style="62" customWidth="1"/>
    <col min="15620" max="15620" width="0.42578125" style="62" customWidth="1"/>
    <col min="15621" max="15621" width="10.5703125" style="62" bestFit="1" customWidth="1"/>
    <col min="15622" max="15622" width="12.28515625" style="62" customWidth="1"/>
    <col min="15623" max="15623" width="12.5703125" style="62" customWidth="1"/>
    <col min="15624" max="15624" width="10.5703125" style="62" customWidth="1"/>
    <col min="15625" max="15625" width="10.140625" style="62" customWidth="1"/>
    <col min="15626" max="15626" width="8.42578125" style="62" customWidth="1"/>
    <col min="15627" max="15627" width="18.85546875" style="62" customWidth="1"/>
    <col min="15628" max="15628" width="10.28515625" style="62" customWidth="1"/>
    <col min="15629" max="15629" width="11.42578125" style="62"/>
    <col min="15630" max="15630" width="12.140625" style="62" customWidth="1"/>
    <col min="15631" max="15631" width="10.5703125" style="62" customWidth="1"/>
    <col min="15632" max="15632" width="12.42578125" style="62" customWidth="1"/>
    <col min="15633" max="15633" width="15.140625" style="62" customWidth="1"/>
    <col min="15634" max="15634" width="13.5703125" style="62" customWidth="1"/>
    <col min="15635" max="15635" width="13.140625" style="62" customWidth="1"/>
    <col min="15636" max="15636" width="15.7109375" style="62" customWidth="1"/>
    <col min="15637" max="15637" width="37.5703125" style="62" customWidth="1"/>
    <col min="15638" max="15859" width="11.42578125" style="62"/>
    <col min="15860" max="15860" width="10.5703125" style="62" customWidth="1"/>
    <col min="15861" max="15861" width="4.85546875" style="62" customWidth="1"/>
    <col min="15862" max="15862" width="32.42578125" style="62" customWidth="1"/>
    <col min="15863" max="15863" width="9.85546875" style="62" customWidth="1"/>
    <col min="15864" max="15864" width="10.140625" style="62" customWidth="1"/>
    <col min="15865" max="15865" width="12.28515625" style="62" customWidth="1"/>
    <col min="15866" max="15866" width="15.42578125" style="62" customWidth="1"/>
    <col min="15867" max="15867" width="11.85546875" style="62" customWidth="1"/>
    <col min="15868" max="15868" width="13.28515625" style="62" customWidth="1"/>
    <col min="15869" max="15869" width="15.28515625" style="62" customWidth="1"/>
    <col min="15870" max="15870" width="11.85546875" style="62" customWidth="1"/>
    <col min="15871" max="15871" width="6.140625" style="62" customWidth="1"/>
    <col min="15872" max="15872" width="11.85546875" style="62" customWidth="1"/>
    <col min="15873" max="15873" width="9.42578125" style="62" customWidth="1"/>
    <col min="15874" max="15874" width="14.7109375" style="62" customWidth="1"/>
    <col min="15875" max="15875" width="11.5703125" style="62" customWidth="1"/>
    <col min="15876" max="15876" width="0.42578125" style="62" customWidth="1"/>
    <col min="15877" max="15877" width="10.5703125" style="62" bestFit="1" customWidth="1"/>
    <col min="15878" max="15878" width="12.28515625" style="62" customWidth="1"/>
    <col min="15879" max="15879" width="12.5703125" style="62" customWidth="1"/>
    <col min="15880" max="15880" width="10.5703125" style="62" customWidth="1"/>
    <col min="15881" max="15881" width="10.140625" style="62" customWidth="1"/>
    <col min="15882" max="15882" width="8.42578125" style="62" customWidth="1"/>
    <col min="15883" max="15883" width="18.85546875" style="62" customWidth="1"/>
    <col min="15884" max="15884" width="10.28515625" style="62" customWidth="1"/>
    <col min="15885" max="15885" width="11.42578125" style="62"/>
    <col min="15886" max="15886" width="12.140625" style="62" customWidth="1"/>
    <col min="15887" max="15887" width="10.5703125" style="62" customWidth="1"/>
    <col min="15888" max="15888" width="12.42578125" style="62" customWidth="1"/>
    <col min="15889" max="15889" width="15.140625" style="62" customWidth="1"/>
    <col min="15890" max="15890" width="13.5703125" style="62" customWidth="1"/>
    <col min="15891" max="15891" width="13.140625" style="62" customWidth="1"/>
    <col min="15892" max="15892" width="15.7109375" style="62" customWidth="1"/>
    <col min="15893" max="15893" width="37.5703125" style="62" customWidth="1"/>
    <col min="15894" max="16115" width="11.42578125" style="62"/>
    <col min="16116" max="16116" width="10.5703125" style="62" customWidth="1"/>
    <col min="16117" max="16117" width="4.85546875" style="62" customWidth="1"/>
    <col min="16118" max="16118" width="32.42578125" style="62" customWidth="1"/>
    <col min="16119" max="16119" width="9.85546875" style="62" customWidth="1"/>
    <col min="16120" max="16120" width="10.140625" style="62" customWidth="1"/>
    <col min="16121" max="16121" width="12.28515625" style="62" customWidth="1"/>
    <col min="16122" max="16122" width="15.42578125" style="62" customWidth="1"/>
    <col min="16123" max="16123" width="11.85546875" style="62" customWidth="1"/>
    <col min="16124" max="16124" width="13.28515625" style="62" customWidth="1"/>
    <col min="16125" max="16125" width="15.28515625" style="62" customWidth="1"/>
    <col min="16126" max="16126" width="11.85546875" style="62" customWidth="1"/>
    <col min="16127" max="16127" width="6.140625" style="62" customWidth="1"/>
    <col min="16128" max="16128" width="11.85546875" style="62" customWidth="1"/>
    <col min="16129" max="16129" width="9.42578125" style="62" customWidth="1"/>
    <col min="16130" max="16130" width="14.7109375" style="62" customWidth="1"/>
    <col min="16131" max="16131" width="11.5703125" style="62" customWidth="1"/>
    <col min="16132" max="16132" width="0.42578125" style="62" customWidth="1"/>
    <col min="16133" max="16133" width="10.5703125" style="62" bestFit="1" customWidth="1"/>
    <col min="16134" max="16134" width="12.28515625" style="62" customWidth="1"/>
    <col min="16135" max="16135" width="12.5703125" style="62" customWidth="1"/>
    <col min="16136" max="16136" width="10.5703125" style="62" customWidth="1"/>
    <col min="16137" max="16137" width="10.140625" style="62" customWidth="1"/>
    <col min="16138" max="16138" width="8.42578125" style="62" customWidth="1"/>
    <col min="16139" max="16139" width="18.85546875" style="62" customWidth="1"/>
    <col min="16140" max="16140" width="10.28515625" style="62" customWidth="1"/>
    <col min="16141" max="16141" width="11.42578125" style="62"/>
    <col min="16142" max="16142" width="12.140625" style="62" customWidth="1"/>
    <col min="16143" max="16143" width="10.5703125" style="62" customWidth="1"/>
    <col min="16144" max="16144" width="12.42578125" style="62" customWidth="1"/>
    <col min="16145" max="16145" width="15.140625" style="62" customWidth="1"/>
    <col min="16146" max="16146" width="13.5703125" style="62" customWidth="1"/>
    <col min="16147" max="16147" width="13.140625" style="62" customWidth="1"/>
    <col min="16148" max="16148" width="15.7109375" style="62" customWidth="1"/>
    <col min="16149" max="16149" width="37.5703125" style="62" customWidth="1"/>
    <col min="16150" max="16384" width="11.42578125" style="62"/>
  </cols>
  <sheetData>
    <row r="1" spans="1:23" ht="15" customHeight="1" x14ac:dyDescent="0.25">
      <c r="A1" s="100" t="s">
        <v>171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1"/>
    </row>
    <row r="2" spans="1:23" ht="15" customHeight="1" x14ac:dyDescent="0.25">
      <c r="A2" s="94" t="s">
        <v>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5"/>
      <c r="N2" s="96" t="s">
        <v>3</v>
      </c>
      <c r="O2" s="97"/>
      <c r="P2" s="97"/>
      <c r="Q2" s="97"/>
      <c r="R2" s="97"/>
      <c r="S2" s="97"/>
      <c r="T2" s="97"/>
      <c r="U2" s="97"/>
      <c r="V2" s="98"/>
      <c r="W2" s="99"/>
    </row>
    <row r="3" spans="1:23" ht="24.95" customHeight="1" x14ac:dyDescent="0.25">
      <c r="B3" s="2" t="s">
        <v>4</v>
      </c>
      <c r="C3" s="2" t="s">
        <v>5</v>
      </c>
      <c r="D3" s="2" t="s">
        <v>6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172</v>
      </c>
      <c r="J3" s="3" t="s">
        <v>173</v>
      </c>
      <c r="K3" s="3" t="s">
        <v>14</v>
      </c>
      <c r="L3" s="3" t="s">
        <v>174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159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2" t="s">
        <v>27</v>
      </c>
    </row>
    <row r="4" spans="1:23" s="13" customFormat="1" ht="24.95" customHeight="1" x14ac:dyDescent="0.25">
      <c r="A4" s="65" t="s">
        <v>29</v>
      </c>
      <c r="B4" s="2">
        <v>1</v>
      </c>
      <c r="C4" s="1" t="s">
        <v>147</v>
      </c>
      <c r="D4" s="1" t="s">
        <v>31</v>
      </c>
      <c r="E4" s="3">
        <v>4500000</v>
      </c>
      <c r="F4" s="3">
        <v>30</v>
      </c>
      <c r="G4" s="3">
        <f>+E4/30*F4</f>
        <v>4500000</v>
      </c>
      <c r="H4" s="3"/>
      <c r="I4" s="3"/>
      <c r="J4" s="3"/>
      <c r="K4" s="3"/>
      <c r="L4" s="3"/>
      <c r="M4" s="3">
        <f>+G4+L4+K4+J4+I4+H4</f>
        <v>4500000</v>
      </c>
      <c r="N4" s="3">
        <f>+E4*0.04</f>
        <v>180000</v>
      </c>
      <c r="O4" s="3">
        <f>+E4*0.05</f>
        <v>225000</v>
      </c>
      <c r="P4" s="3"/>
      <c r="Q4" s="3"/>
      <c r="R4" s="3"/>
      <c r="S4" s="3"/>
      <c r="T4" s="3"/>
      <c r="U4" s="3"/>
      <c r="V4" s="4">
        <f>SUM(N4:U4)</f>
        <v>405000</v>
      </c>
      <c r="W4" s="5">
        <f>+M4-V4</f>
        <v>4095000</v>
      </c>
    </row>
    <row r="5" spans="1:23" ht="24.95" customHeight="1" x14ac:dyDescent="0.25">
      <c r="A5" s="65"/>
      <c r="B5" s="2">
        <v>2</v>
      </c>
      <c r="C5" s="1" t="s">
        <v>30</v>
      </c>
      <c r="D5" s="1" t="s">
        <v>31</v>
      </c>
      <c r="E5" s="4">
        <v>5000000</v>
      </c>
      <c r="F5" s="3">
        <v>30</v>
      </c>
      <c r="G5" s="3">
        <f>+E5/30*F5</f>
        <v>5000000</v>
      </c>
      <c r="H5" s="4"/>
      <c r="I5" s="4"/>
      <c r="J5" s="4">
        <v>113282</v>
      </c>
      <c r="K5" s="4">
        <v>500000</v>
      </c>
      <c r="L5" s="4">
        <v>1359375</v>
      </c>
      <c r="M5" s="4">
        <f>+G5+H5+J5+K5+L5+I5</f>
        <v>6972657</v>
      </c>
      <c r="N5" s="4">
        <f>+(G5+L5)*4%</f>
        <v>254375</v>
      </c>
      <c r="O5" s="4">
        <f>+(G5+L5)*5%</f>
        <v>317968.75</v>
      </c>
      <c r="P5" s="4"/>
      <c r="Q5" s="4"/>
      <c r="R5" s="4">
        <v>30672</v>
      </c>
      <c r="S5" s="4"/>
      <c r="T5" s="4"/>
      <c r="U5" s="4"/>
      <c r="V5" s="4">
        <f t="shared" ref="V5:V11" si="0">SUM(N5:U5)</f>
        <v>603015.75</v>
      </c>
      <c r="W5" s="5">
        <f>+M5-V5</f>
        <v>6369641.25</v>
      </c>
    </row>
    <row r="6" spans="1:23" ht="24.95" customHeight="1" x14ac:dyDescent="0.25">
      <c r="A6" s="65"/>
      <c r="B6" s="2">
        <v>3</v>
      </c>
      <c r="C6" s="1" t="s">
        <v>33</v>
      </c>
      <c r="D6" s="1" t="s">
        <v>31</v>
      </c>
      <c r="E6" s="4">
        <v>6000000</v>
      </c>
      <c r="F6" s="3">
        <v>30</v>
      </c>
      <c r="G6" s="3">
        <f t="shared" ref="G6:G85" si="1">+E6/30*F6</f>
        <v>6000000</v>
      </c>
      <c r="H6" s="4"/>
      <c r="I6" s="4"/>
      <c r="J6" s="4"/>
      <c r="K6" s="4">
        <v>600000</v>
      </c>
      <c r="L6" s="4"/>
      <c r="M6" s="4">
        <f t="shared" ref="M6:M85" si="2">+G6+H6+J6+K6+L6+I6</f>
        <v>6600000</v>
      </c>
      <c r="N6" s="4">
        <f>E6*4%</f>
        <v>240000</v>
      </c>
      <c r="O6" s="4">
        <f>E6*5%</f>
        <v>300000</v>
      </c>
      <c r="P6" s="4"/>
      <c r="Q6" s="4"/>
      <c r="R6" s="4">
        <v>102000</v>
      </c>
      <c r="S6" s="4"/>
      <c r="T6" s="4"/>
      <c r="U6" s="4">
        <v>1212777</v>
      </c>
      <c r="V6" s="4">
        <f t="shared" si="0"/>
        <v>1854777</v>
      </c>
      <c r="W6" s="5">
        <f t="shared" ref="W6:W7" si="3">+M6-V6</f>
        <v>4745223</v>
      </c>
    </row>
    <row r="7" spans="1:23" ht="24.95" customHeight="1" x14ac:dyDescent="0.25">
      <c r="A7" s="65"/>
      <c r="B7" s="2">
        <v>4</v>
      </c>
      <c r="C7" s="1" t="s">
        <v>34</v>
      </c>
      <c r="D7" s="1" t="s">
        <v>31</v>
      </c>
      <c r="E7" s="4">
        <v>6000000</v>
      </c>
      <c r="F7" s="3">
        <v>30</v>
      </c>
      <c r="G7" s="3">
        <f>+E7-L7</f>
        <v>3200000</v>
      </c>
      <c r="H7" s="4"/>
      <c r="I7" s="4">
        <v>1400000</v>
      </c>
      <c r="J7" s="4"/>
      <c r="K7" s="4"/>
      <c r="L7" s="4">
        <v>2800000</v>
      </c>
      <c r="M7" s="4">
        <f t="shared" si="2"/>
        <v>7400000</v>
      </c>
      <c r="N7" s="4">
        <f>+M7*4%</f>
        <v>296000</v>
      </c>
      <c r="O7" s="4">
        <f>+M7*5%</f>
        <v>370000</v>
      </c>
      <c r="P7" s="4"/>
      <c r="Q7" s="4"/>
      <c r="R7" s="7">
        <v>98000</v>
      </c>
      <c r="S7" s="4"/>
      <c r="T7" s="4"/>
      <c r="U7" s="4">
        <v>726520</v>
      </c>
      <c r="V7" s="4">
        <f t="shared" si="0"/>
        <v>1490520</v>
      </c>
      <c r="W7" s="5">
        <f t="shared" si="3"/>
        <v>5909480</v>
      </c>
    </row>
    <row r="8" spans="1:23" ht="24.95" customHeight="1" x14ac:dyDescent="0.25">
      <c r="A8" s="65"/>
      <c r="B8" s="2">
        <v>5</v>
      </c>
      <c r="C8" s="1" t="s">
        <v>35</v>
      </c>
      <c r="D8" s="1" t="s">
        <v>31</v>
      </c>
      <c r="E8" s="4">
        <v>5000000</v>
      </c>
      <c r="F8" s="3">
        <v>30</v>
      </c>
      <c r="G8" s="3">
        <f t="shared" si="1"/>
        <v>5000000</v>
      </c>
      <c r="H8" s="4"/>
      <c r="I8" s="4"/>
      <c r="J8" s="4"/>
      <c r="K8" s="4"/>
      <c r="L8" s="4"/>
      <c r="M8" s="4">
        <f t="shared" si="2"/>
        <v>5000000</v>
      </c>
      <c r="N8" s="4">
        <f t="shared" ref="N8:N17" si="4">+E8*4%</f>
        <v>200000</v>
      </c>
      <c r="O8" s="4">
        <f t="shared" ref="O8:O15" si="5">+E8*5%</f>
        <v>250000</v>
      </c>
      <c r="P8" s="4"/>
      <c r="Q8" s="4"/>
      <c r="R8" s="7">
        <v>21409</v>
      </c>
      <c r="S8" s="4">
        <v>500000</v>
      </c>
      <c r="T8" s="4">
        <v>111000</v>
      </c>
      <c r="U8" s="4"/>
      <c r="V8" s="4">
        <f t="shared" si="0"/>
        <v>1082409</v>
      </c>
      <c r="W8" s="5">
        <f>+M8-V8</f>
        <v>3917591</v>
      </c>
    </row>
    <row r="9" spans="1:23" ht="24.95" customHeight="1" x14ac:dyDescent="0.25">
      <c r="A9" s="65"/>
      <c r="B9" s="2">
        <v>6</v>
      </c>
      <c r="C9" s="1" t="s">
        <v>175</v>
      </c>
      <c r="D9" s="1" t="s">
        <v>31</v>
      </c>
      <c r="E9" s="4">
        <v>4750000</v>
      </c>
      <c r="F9" s="3">
        <v>32</v>
      </c>
      <c r="G9" s="3">
        <f t="shared" si="1"/>
        <v>5066666.666666667</v>
      </c>
      <c r="H9" s="4"/>
      <c r="I9" s="4"/>
      <c r="J9" s="4"/>
      <c r="K9" s="4"/>
      <c r="L9" s="4"/>
      <c r="M9" s="4">
        <f t="shared" si="2"/>
        <v>5066666.666666667</v>
      </c>
      <c r="N9" s="4">
        <f>+G9*4%</f>
        <v>202666.66666666669</v>
      </c>
      <c r="O9" s="4">
        <f>+G9*5%</f>
        <v>253333.33333333337</v>
      </c>
      <c r="P9" s="4"/>
      <c r="Q9" s="4"/>
      <c r="R9" s="7">
        <v>87000</v>
      </c>
      <c r="S9" s="4"/>
      <c r="T9" s="4"/>
      <c r="U9" s="4"/>
      <c r="V9" s="4">
        <f t="shared" ref="V9" si="6">SUM(N9:U9)</f>
        <v>543000</v>
      </c>
      <c r="W9" s="5">
        <f>+M9-V9</f>
        <v>4523666.666666667</v>
      </c>
    </row>
    <row r="10" spans="1:23" ht="24.95" customHeight="1" x14ac:dyDescent="0.25">
      <c r="A10" s="65"/>
      <c r="B10" s="2">
        <v>7</v>
      </c>
      <c r="C10" s="1" t="s">
        <v>36</v>
      </c>
      <c r="D10" s="1" t="s">
        <v>31</v>
      </c>
      <c r="E10" s="4">
        <v>5300000</v>
      </c>
      <c r="F10" s="3">
        <v>30</v>
      </c>
      <c r="G10" s="3">
        <f t="shared" si="1"/>
        <v>5300000</v>
      </c>
      <c r="H10" s="4"/>
      <c r="I10" s="4"/>
      <c r="J10" s="4"/>
      <c r="K10" s="4">
        <v>2012670</v>
      </c>
      <c r="L10" s="4"/>
      <c r="M10" s="4">
        <f t="shared" si="2"/>
        <v>7312670</v>
      </c>
      <c r="N10" s="4">
        <f t="shared" si="4"/>
        <v>212000</v>
      </c>
      <c r="O10" s="4">
        <f t="shared" si="5"/>
        <v>265000</v>
      </c>
      <c r="P10" s="4"/>
      <c r="Q10" s="4"/>
      <c r="R10" s="4">
        <v>50000</v>
      </c>
      <c r="S10" s="4">
        <v>700000</v>
      </c>
      <c r="T10" s="4"/>
      <c r="U10" s="4"/>
      <c r="V10" s="4">
        <f t="shared" si="0"/>
        <v>1227000</v>
      </c>
      <c r="W10" s="5">
        <f>+M10-V10</f>
        <v>6085670</v>
      </c>
    </row>
    <row r="11" spans="1:23" ht="24.95" customHeight="1" x14ac:dyDescent="0.25">
      <c r="A11" s="65"/>
      <c r="B11" s="2">
        <v>8</v>
      </c>
      <c r="C11" s="1" t="s">
        <v>37</v>
      </c>
      <c r="D11" s="1" t="s">
        <v>31</v>
      </c>
      <c r="E11" s="4">
        <v>5200000</v>
      </c>
      <c r="F11" s="3">
        <v>30</v>
      </c>
      <c r="G11" s="3">
        <f>+E11-L11</f>
        <v>5200000</v>
      </c>
      <c r="H11" s="4">
        <v>89000</v>
      </c>
      <c r="I11" s="4"/>
      <c r="J11" s="4"/>
      <c r="K11" s="4"/>
      <c r="L11" s="4"/>
      <c r="M11" s="4">
        <f t="shared" si="2"/>
        <v>5289000</v>
      </c>
      <c r="N11" s="4">
        <f>+E11*4%</f>
        <v>208000</v>
      </c>
      <c r="O11" s="4">
        <f>+E11*5%</f>
        <v>260000</v>
      </c>
      <c r="P11" s="4"/>
      <c r="Q11" s="4"/>
      <c r="R11" s="4">
        <v>0</v>
      </c>
      <c r="S11" s="4"/>
      <c r="T11" s="4"/>
      <c r="U11" s="4">
        <f>945750+420786</f>
        <v>1366536</v>
      </c>
      <c r="V11" s="4">
        <f t="shared" si="0"/>
        <v>1834536</v>
      </c>
      <c r="W11" s="5">
        <f>M11-V11</f>
        <v>3454464</v>
      </c>
    </row>
    <row r="12" spans="1:23" ht="24.95" customHeight="1" x14ac:dyDescent="0.25">
      <c r="A12" s="65"/>
      <c r="B12" s="2">
        <v>9</v>
      </c>
      <c r="C12" s="1" t="s">
        <v>39</v>
      </c>
      <c r="D12" s="1" t="s">
        <v>31</v>
      </c>
      <c r="E12" s="4">
        <v>5184000</v>
      </c>
      <c r="F12" s="3">
        <v>30</v>
      </c>
      <c r="G12" s="3">
        <f t="shared" si="1"/>
        <v>5184000</v>
      </c>
      <c r="H12" s="4"/>
      <c r="I12" s="4"/>
      <c r="J12" s="4"/>
      <c r="K12" s="4"/>
      <c r="L12" s="4"/>
      <c r="M12" s="4">
        <f t="shared" si="2"/>
        <v>5184000</v>
      </c>
      <c r="N12" s="4">
        <f>+G12*4%</f>
        <v>207360</v>
      </c>
      <c r="O12" s="4">
        <f>+G12*5%</f>
        <v>259200</v>
      </c>
      <c r="P12" s="4"/>
      <c r="Q12" s="4"/>
      <c r="R12" s="4">
        <v>78000</v>
      </c>
      <c r="S12" s="4"/>
      <c r="T12" s="4"/>
      <c r="U12" s="4"/>
      <c r="V12" s="4">
        <f t="shared" ref="V12:V68" si="7">SUM(N12:U12)</f>
        <v>544560</v>
      </c>
      <c r="W12" s="5">
        <f>M12-V12</f>
        <v>4639440</v>
      </c>
    </row>
    <row r="13" spans="1:23" ht="24.95" customHeight="1" x14ac:dyDescent="0.25">
      <c r="A13" s="65"/>
      <c r="B13" s="2">
        <v>10</v>
      </c>
      <c r="C13" s="1" t="s">
        <v>160</v>
      </c>
      <c r="D13" s="1" t="s">
        <v>45</v>
      </c>
      <c r="E13" s="4">
        <v>3700000</v>
      </c>
      <c r="F13" s="3">
        <v>30</v>
      </c>
      <c r="G13" s="3">
        <f t="shared" si="1"/>
        <v>3700000</v>
      </c>
      <c r="H13" s="4"/>
      <c r="I13" s="4"/>
      <c r="J13" s="4"/>
      <c r="K13" s="4"/>
      <c r="L13" s="4"/>
      <c r="M13" s="4">
        <f t="shared" si="2"/>
        <v>3700000</v>
      </c>
      <c r="N13" s="4">
        <f>+G13*4%</f>
        <v>148000</v>
      </c>
      <c r="O13" s="4">
        <f>+G13*5%</f>
        <v>185000</v>
      </c>
      <c r="P13" s="4"/>
      <c r="Q13" s="4"/>
      <c r="R13" s="4"/>
      <c r="S13" s="4"/>
      <c r="T13" s="4"/>
      <c r="U13" s="4"/>
      <c r="V13" s="4">
        <f t="shared" ref="V13:V14" si="8">SUM(N13:U13)</f>
        <v>333000</v>
      </c>
      <c r="W13" s="5">
        <f>M13-V13</f>
        <v>3367000</v>
      </c>
    </row>
    <row r="14" spans="1:23" ht="24.95" customHeight="1" x14ac:dyDescent="0.25">
      <c r="A14" s="65"/>
      <c r="B14" s="2">
        <v>11</v>
      </c>
      <c r="C14" s="1" t="s">
        <v>166</v>
      </c>
      <c r="D14" s="1" t="s">
        <v>45</v>
      </c>
      <c r="E14" s="4">
        <v>4000000</v>
      </c>
      <c r="F14" s="3">
        <v>30</v>
      </c>
      <c r="G14" s="3">
        <f t="shared" si="1"/>
        <v>4000000.0000000005</v>
      </c>
      <c r="H14" s="4"/>
      <c r="I14" s="4"/>
      <c r="J14" s="4"/>
      <c r="K14" s="4"/>
      <c r="L14" s="4"/>
      <c r="M14" s="4">
        <f t="shared" si="2"/>
        <v>4000000.0000000005</v>
      </c>
      <c r="N14" s="4">
        <f>+G14*4%</f>
        <v>160000.00000000003</v>
      </c>
      <c r="O14" s="4">
        <f>+G14*5%</f>
        <v>200000.00000000003</v>
      </c>
      <c r="P14" s="4"/>
      <c r="Q14" s="4"/>
      <c r="R14" s="4"/>
      <c r="S14" s="4"/>
      <c r="T14" s="4"/>
      <c r="U14" s="4"/>
      <c r="V14" s="4">
        <f t="shared" si="8"/>
        <v>360000.00000000006</v>
      </c>
      <c r="W14" s="5">
        <f>M14-V14</f>
        <v>3640000.0000000005</v>
      </c>
    </row>
    <row r="15" spans="1:23" ht="24.95" customHeight="1" x14ac:dyDescent="0.25">
      <c r="A15" s="65"/>
      <c r="B15" s="2">
        <v>12</v>
      </c>
      <c r="C15" s="1" t="s">
        <v>40</v>
      </c>
      <c r="D15" s="1" t="s">
        <v>31</v>
      </c>
      <c r="E15" s="4">
        <v>5725000</v>
      </c>
      <c r="F15" s="3">
        <v>30</v>
      </c>
      <c r="G15" s="3">
        <f>+E15-L15</f>
        <v>4961667</v>
      </c>
      <c r="H15" s="4"/>
      <c r="I15" s="4"/>
      <c r="J15" s="4"/>
      <c r="K15" s="4"/>
      <c r="L15" s="4">
        <v>763333</v>
      </c>
      <c r="M15" s="4">
        <f t="shared" si="2"/>
        <v>5725000</v>
      </c>
      <c r="N15" s="4">
        <f>+E15*4%</f>
        <v>229000</v>
      </c>
      <c r="O15" s="4">
        <f t="shared" si="5"/>
        <v>286250</v>
      </c>
      <c r="P15" s="4"/>
      <c r="Q15" s="4"/>
      <c r="R15" s="4">
        <v>0</v>
      </c>
      <c r="S15" s="4"/>
      <c r="T15" s="4"/>
      <c r="U15" s="4"/>
      <c r="V15" s="4">
        <f t="shared" si="7"/>
        <v>515250</v>
      </c>
      <c r="W15" s="5">
        <f t="shared" ref="W15:W27" si="9">+M15-V15</f>
        <v>5209750</v>
      </c>
    </row>
    <row r="16" spans="1:23" ht="24.95" customHeight="1" x14ac:dyDescent="0.25">
      <c r="A16" s="65"/>
      <c r="B16" s="2">
        <v>13</v>
      </c>
      <c r="C16" s="1" t="s">
        <v>41</v>
      </c>
      <c r="D16" s="1" t="s">
        <v>31</v>
      </c>
      <c r="E16" s="4">
        <v>4500000</v>
      </c>
      <c r="F16" s="3">
        <v>30</v>
      </c>
      <c r="G16" s="3">
        <f>+E16-J16</f>
        <v>4500000</v>
      </c>
      <c r="H16" s="4"/>
      <c r="I16" s="4"/>
      <c r="J16" s="4"/>
      <c r="K16" s="4"/>
      <c r="L16" s="4"/>
      <c r="M16" s="4">
        <f t="shared" si="2"/>
        <v>4500000</v>
      </c>
      <c r="N16" s="4">
        <f t="shared" si="4"/>
        <v>180000</v>
      </c>
      <c r="O16" s="4">
        <f>+G16*5%</f>
        <v>225000</v>
      </c>
      <c r="P16" s="4"/>
      <c r="Q16" s="4"/>
      <c r="R16" s="7">
        <v>0</v>
      </c>
      <c r="S16" s="4"/>
      <c r="T16" s="4"/>
      <c r="U16" s="4"/>
      <c r="V16" s="4">
        <f t="shared" si="7"/>
        <v>405000</v>
      </c>
      <c r="W16" s="5">
        <f t="shared" si="9"/>
        <v>4095000</v>
      </c>
    </row>
    <row r="17" spans="1:23" ht="24.95" customHeight="1" x14ac:dyDescent="0.25">
      <c r="A17" s="65"/>
      <c r="B17" s="2">
        <v>14</v>
      </c>
      <c r="C17" s="1" t="s">
        <v>93</v>
      </c>
      <c r="D17" s="1" t="s">
        <v>31</v>
      </c>
      <c r="E17" s="4">
        <v>4500000</v>
      </c>
      <c r="F17" s="3">
        <v>30</v>
      </c>
      <c r="G17" s="3">
        <f t="shared" ref="G17:G18" si="10">+E17/30*F17</f>
        <v>4500000</v>
      </c>
      <c r="H17" s="4"/>
      <c r="I17" s="4"/>
      <c r="J17" s="4"/>
      <c r="K17" s="4"/>
      <c r="L17" s="4"/>
      <c r="M17" s="4">
        <f t="shared" si="2"/>
        <v>4500000</v>
      </c>
      <c r="N17" s="4">
        <f t="shared" si="4"/>
        <v>180000</v>
      </c>
      <c r="O17" s="4">
        <f>+E17*5%</f>
        <v>225000</v>
      </c>
      <c r="P17" s="4"/>
      <c r="Q17" s="4"/>
      <c r="R17" s="4">
        <v>0</v>
      </c>
      <c r="S17" s="4"/>
      <c r="T17" s="4"/>
      <c r="U17" s="4">
        <v>774624</v>
      </c>
      <c r="V17" s="4">
        <f t="shared" ref="V17:V18" si="11">SUM(N17:U17)</f>
        <v>1179624</v>
      </c>
      <c r="W17" s="5">
        <f t="shared" si="9"/>
        <v>3320376</v>
      </c>
    </row>
    <row r="18" spans="1:23" ht="24.95" customHeight="1" x14ac:dyDescent="0.25">
      <c r="A18" s="65"/>
      <c r="B18" s="2">
        <v>15</v>
      </c>
      <c r="C18" s="1" t="s">
        <v>167</v>
      </c>
      <c r="D18" s="1" t="s">
        <v>31</v>
      </c>
      <c r="E18" s="4">
        <v>5500000</v>
      </c>
      <c r="F18" s="3">
        <v>30</v>
      </c>
      <c r="G18" s="3">
        <f t="shared" si="10"/>
        <v>5500000</v>
      </c>
      <c r="H18" s="4"/>
      <c r="I18" s="4"/>
      <c r="J18" s="4"/>
      <c r="K18" s="4"/>
      <c r="L18" s="4"/>
      <c r="M18" s="4">
        <f t="shared" si="2"/>
        <v>5500000</v>
      </c>
      <c r="N18" s="4">
        <f>+G18*4%</f>
        <v>220000</v>
      </c>
      <c r="O18" s="4">
        <f>+G18*5%</f>
        <v>275000</v>
      </c>
      <c r="P18" s="4"/>
      <c r="Q18" s="4"/>
      <c r="R18" s="4">
        <v>21000</v>
      </c>
      <c r="S18" s="4"/>
      <c r="T18" s="4"/>
      <c r="U18" s="4"/>
      <c r="V18" s="4">
        <f t="shared" si="11"/>
        <v>516000</v>
      </c>
      <c r="W18" s="5">
        <f t="shared" si="9"/>
        <v>4984000</v>
      </c>
    </row>
    <row r="19" spans="1:23" ht="24.95" customHeight="1" x14ac:dyDescent="0.25">
      <c r="A19" s="65"/>
      <c r="B19" s="2">
        <v>16</v>
      </c>
      <c r="C19" s="9" t="s">
        <v>42</v>
      </c>
      <c r="D19" s="1" t="s">
        <v>31</v>
      </c>
      <c r="E19" s="4">
        <v>4800000</v>
      </c>
      <c r="F19" s="3">
        <v>30</v>
      </c>
      <c r="G19" s="3">
        <f t="shared" si="1"/>
        <v>4800000</v>
      </c>
      <c r="H19" s="4"/>
      <c r="I19" s="4"/>
      <c r="J19" s="4"/>
      <c r="K19" s="4"/>
      <c r="L19" s="4"/>
      <c r="M19" s="4">
        <f t="shared" si="2"/>
        <v>4800000</v>
      </c>
      <c r="N19" s="4">
        <f>+G19*4%</f>
        <v>192000</v>
      </c>
      <c r="O19" s="4">
        <f>+G19*5%</f>
        <v>240000</v>
      </c>
      <c r="P19" s="4"/>
      <c r="Q19" s="4"/>
      <c r="R19" s="4">
        <v>0</v>
      </c>
      <c r="S19" s="4"/>
      <c r="T19" s="4"/>
      <c r="U19" s="4"/>
      <c r="V19" s="4">
        <f t="shared" si="7"/>
        <v>432000</v>
      </c>
      <c r="W19" s="5">
        <f t="shared" si="9"/>
        <v>4368000</v>
      </c>
    </row>
    <row r="20" spans="1:23" ht="24.95" customHeight="1" x14ac:dyDescent="0.25">
      <c r="A20" s="65"/>
      <c r="B20" s="2">
        <v>17</v>
      </c>
      <c r="C20" s="9" t="s">
        <v>161</v>
      </c>
      <c r="D20" s="1" t="s">
        <v>31</v>
      </c>
      <c r="E20" s="4">
        <v>4600000</v>
      </c>
      <c r="F20" s="3">
        <v>30</v>
      </c>
      <c r="G20" s="3">
        <f>+E20-L20</f>
        <v>3680000</v>
      </c>
      <c r="H20" s="4"/>
      <c r="I20" s="4"/>
      <c r="J20" s="4"/>
      <c r="K20" s="4"/>
      <c r="L20" s="4">
        <v>920000</v>
      </c>
      <c r="M20" s="4">
        <f t="shared" si="2"/>
        <v>4600000</v>
      </c>
      <c r="N20" s="4">
        <f>+E20*4%</f>
        <v>184000</v>
      </c>
      <c r="O20" s="4">
        <f>+E20*0.05</f>
        <v>230000</v>
      </c>
      <c r="P20" s="4"/>
      <c r="Q20" s="4"/>
      <c r="R20" s="4">
        <v>24000</v>
      </c>
      <c r="S20" s="4"/>
      <c r="T20" s="4"/>
      <c r="U20" s="4"/>
      <c r="V20" s="4">
        <f t="shared" ref="V20" si="12">SUM(N20:U20)</f>
        <v>438000</v>
      </c>
      <c r="W20" s="5">
        <f t="shared" si="9"/>
        <v>4162000</v>
      </c>
    </row>
    <row r="21" spans="1:23" ht="24.95" customHeight="1" x14ac:dyDescent="0.25">
      <c r="A21" s="65"/>
      <c r="B21" s="2">
        <v>18</v>
      </c>
      <c r="C21" s="9" t="s">
        <v>43</v>
      </c>
      <c r="D21" s="1" t="s">
        <v>31</v>
      </c>
      <c r="E21" s="4">
        <v>5200000</v>
      </c>
      <c r="F21" s="3">
        <v>30</v>
      </c>
      <c r="G21" s="3">
        <f t="shared" si="1"/>
        <v>5200000</v>
      </c>
      <c r="H21" s="4"/>
      <c r="I21" s="4"/>
      <c r="J21" s="4"/>
      <c r="K21" s="4">
        <v>0</v>
      </c>
      <c r="L21" s="4"/>
      <c r="M21" s="4">
        <f>+G21+H21+J21+K21+L21+I21</f>
        <v>5200000</v>
      </c>
      <c r="N21" s="4">
        <f>+E21*4%</f>
        <v>208000</v>
      </c>
      <c r="O21" s="4">
        <f>+E21*5%</f>
        <v>260000</v>
      </c>
      <c r="P21" s="4"/>
      <c r="Q21" s="4"/>
      <c r="R21" s="4">
        <v>81000</v>
      </c>
      <c r="S21" s="4"/>
      <c r="T21" s="4"/>
      <c r="U21" s="4">
        <v>519248</v>
      </c>
      <c r="V21" s="4">
        <f t="shared" si="7"/>
        <v>1068248</v>
      </c>
      <c r="W21" s="5">
        <f t="shared" si="9"/>
        <v>4131752</v>
      </c>
    </row>
    <row r="22" spans="1:23" ht="24.95" customHeight="1" x14ac:dyDescent="0.25">
      <c r="A22" s="65"/>
      <c r="B22" s="2">
        <v>19</v>
      </c>
      <c r="C22" s="9" t="s">
        <v>44</v>
      </c>
      <c r="D22" s="1" t="s">
        <v>31</v>
      </c>
      <c r="E22" s="4">
        <v>4400000</v>
      </c>
      <c r="F22" s="3">
        <v>30</v>
      </c>
      <c r="G22" s="3">
        <f t="shared" si="1"/>
        <v>4400000</v>
      </c>
      <c r="H22" s="4"/>
      <c r="I22" s="4"/>
      <c r="J22" s="4"/>
      <c r="K22" s="4"/>
      <c r="L22" s="4">
        <f>+E22-G22</f>
        <v>0</v>
      </c>
      <c r="M22" s="4">
        <f t="shared" si="2"/>
        <v>4400000</v>
      </c>
      <c r="N22" s="4">
        <f>+E22*0.04</f>
        <v>176000</v>
      </c>
      <c r="O22" s="4">
        <f>+E22*0.05</f>
        <v>220000</v>
      </c>
      <c r="P22" s="4"/>
      <c r="Q22" s="4"/>
      <c r="R22" s="4"/>
      <c r="S22" s="4"/>
      <c r="T22" s="4"/>
      <c r="U22" s="4"/>
      <c r="V22" s="4">
        <f t="shared" si="7"/>
        <v>396000</v>
      </c>
      <c r="W22" s="5">
        <f t="shared" si="9"/>
        <v>4004000</v>
      </c>
    </row>
    <row r="23" spans="1:23" ht="24.95" customHeight="1" x14ac:dyDescent="0.25">
      <c r="A23" s="65"/>
      <c r="B23" s="2">
        <v>20</v>
      </c>
      <c r="C23" s="9" t="s">
        <v>46</v>
      </c>
      <c r="D23" s="1" t="s">
        <v>31</v>
      </c>
      <c r="E23" s="4">
        <v>5500000</v>
      </c>
      <c r="F23" s="3">
        <v>30</v>
      </c>
      <c r="G23" s="3">
        <f>+E23-J23</f>
        <v>5500000</v>
      </c>
      <c r="H23" s="4"/>
      <c r="I23" s="4"/>
      <c r="J23" s="4"/>
      <c r="K23" s="4"/>
      <c r="L23" s="4"/>
      <c r="M23" s="4">
        <f t="shared" si="2"/>
        <v>5500000</v>
      </c>
      <c r="N23" s="4">
        <f>+E23*0.04</f>
        <v>220000</v>
      </c>
      <c r="O23" s="4">
        <f>+E23*0.05</f>
        <v>275000</v>
      </c>
      <c r="P23" s="4"/>
      <c r="Q23" s="4"/>
      <c r="R23" s="4">
        <v>83397</v>
      </c>
      <c r="S23" s="4"/>
      <c r="T23" s="4"/>
      <c r="U23" s="4"/>
      <c r="V23" s="4">
        <f t="shared" si="7"/>
        <v>578397</v>
      </c>
      <c r="W23" s="5">
        <f t="shared" si="9"/>
        <v>4921603</v>
      </c>
    </row>
    <row r="24" spans="1:23" ht="24.95" customHeight="1" x14ac:dyDescent="0.25">
      <c r="A24" s="65"/>
      <c r="B24" s="2">
        <v>21</v>
      </c>
      <c r="C24" s="9" t="s">
        <v>162</v>
      </c>
      <c r="D24" s="1" t="s">
        <v>31</v>
      </c>
      <c r="E24" s="4">
        <v>5000000</v>
      </c>
      <c r="F24" s="3">
        <v>30</v>
      </c>
      <c r="G24" s="3">
        <f t="shared" si="1"/>
        <v>5000000</v>
      </c>
      <c r="H24" s="4"/>
      <c r="I24" s="4"/>
      <c r="J24" s="4"/>
      <c r="K24" s="4"/>
      <c r="L24" s="4"/>
      <c r="M24" s="4">
        <f t="shared" si="2"/>
        <v>5000000</v>
      </c>
      <c r="N24" s="4">
        <f>+G24*4%</f>
        <v>200000</v>
      </c>
      <c r="O24" s="4">
        <f>+G24*0.05</f>
        <v>250000</v>
      </c>
      <c r="P24" s="4"/>
      <c r="Q24" s="4"/>
      <c r="R24" s="4">
        <v>78000</v>
      </c>
      <c r="S24" s="4"/>
      <c r="T24" s="4"/>
      <c r="U24" s="4"/>
      <c r="V24" s="4">
        <f t="shared" si="7"/>
        <v>528000</v>
      </c>
      <c r="W24" s="5">
        <f t="shared" si="9"/>
        <v>4472000</v>
      </c>
    </row>
    <row r="25" spans="1:23" ht="24.95" customHeight="1" x14ac:dyDescent="0.25">
      <c r="A25" s="65"/>
      <c r="B25" s="2">
        <v>22</v>
      </c>
      <c r="C25" s="1" t="s">
        <v>150</v>
      </c>
      <c r="D25" s="1" t="s">
        <v>31</v>
      </c>
      <c r="E25" s="4">
        <v>7000000</v>
      </c>
      <c r="F25" s="3">
        <v>30</v>
      </c>
      <c r="G25" s="3">
        <f>+E25/30*F25</f>
        <v>7000000</v>
      </c>
      <c r="H25" s="4"/>
      <c r="I25" s="4"/>
      <c r="J25" s="4"/>
      <c r="K25" s="4"/>
      <c r="L25" s="4"/>
      <c r="M25" s="4">
        <f>+G25+H25+J25+K25+L25+I25</f>
        <v>7000000</v>
      </c>
      <c r="N25" s="4">
        <f>G25*4%</f>
        <v>280000</v>
      </c>
      <c r="O25" s="4">
        <f>+G25*5%</f>
        <v>350000</v>
      </c>
      <c r="P25" s="4"/>
      <c r="Q25" s="4">
        <v>147000</v>
      </c>
      <c r="R25" s="4">
        <v>209509</v>
      </c>
      <c r="S25" s="4"/>
      <c r="T25" s="4"/>
      <c r="U25" s="4"/>
      <c r="V25" s="4">
        <f>SUM(N25:U25)</f>
        <v>986509</v>
      </c>
      <c r="W25" s="5">
        <f>M25-V25</f>
        <v>6013491</v>
      </c>
    </row>
    <row r="26" spans="1:23" ht="24.95" customHeight="1" x14ac:dyDescent="0.25">
      <c r="A26" s="65"/>
      <c r="B26" s="2">
        <v>23</v>
      </c>
      <c r="C26" s="9" t="s">
        <v>47</v>
      </c>
      <c r="D26" s="1" t="s">
        <v>31</v>
      </c>
      <c r="E26" s="4">
        <v>5200000</v>
      </c>
      <c r="F26" s="3">
        <v>30</v>
      </c>
      <c r="G26" s="3">
        <f t="shared" si="1"/>
        <v>5200000</v>
      </c>
      <c r="H26" s="4"/>
      <c r="I26" s="4"/>
      <c r="J26" s="4"/>
      <c r="K26" s="4"/>
      <c r="L26" s="4">
        <v>0</v>
      </c>
      <c r="M26" s="4">
        <f t="shared" si="2"/>
        <v>5200000</v>
      </c>
      <c r="N26" s="4">
        <f>+E26*4%</f>
        <v>208000</v>
      </c>
      <c r="O26" s="4">
        <f>+E26*5%</f>
        <v>260000</v>
      </c>
      <c r="P26" s="4"/>
      <c r="Q26" s="4"/>
      <c r="R26" s="4">
        <v>46204</v>
      </c>
      <c r="S26" s="4"/>
      <c r="T26" s="4"/>
      <c r="U26" s="4"/>
      <c r="V26" s="4">
        <f t="shared" si="7"/>
        <v>514204</v>
      </c>
      <c r="W26" s="5">
        <f t="shared" si="9"/>
        <v>4685796</v>
      </c>
    </row>
    <row r="27" spans="1:23" ht="24.95" customHeight="1" x14ac:dyDescent="0.25">
      <c r="A27" s="65"/>
      <c r="B27" s="2">
        <v>24</v>
      </c>
      <c r="C27" s="1" t="s">
        <v>48</v>
      </c>
      <c r="D27" s="1" t="s">
        <v>31</v>
      </c>
      <c r="E27" s="4">
        <v>5500000</v>
      </c>
      <c r="F27" s="3">
        <v>30</v>
      </c>
      <c r="G27" s="3">
        <f t="shared" si="1"/>
        <v>5500000</v>
      </c>
      <c r="H27" s="4"/>
      <c r="I27" s="4"/>
      <c r="J27" s="4"/>
      <c r="K27" s="4">
        <v>450000</v>
      </c>
      <c r="L27" s="4"/>
      <c r="M27" s="4">
        <f t="shared" si="2"/>
        <v>5950000</v>
      </c>
      <c r="N27" s="4">
        <f>+E27*4%</f>
        <v>220000</v>
      </c>
      <c r="O27" s="4">
        <f>+E27*5%</f>
        <v>275000</v>
      </c>
      <c r="P27" s="4"/>
      <c r="Q27" s="4"/>
      <c r="R27" s="7">
        <v>150521</v>
      </c>
      <c r="S27" s="4">
        <v>1365000</v>
      </c>
      <c r="T27" s="4"/>
      <c r="U27" s="4"/>
      <c r="V27" s="4">
        <f t="shared" si="7"/>
        <v>2010521</v>
      </c>
      <c r="W27" s="5">
        <f t="shared" si="9"/>
        <v>3939479</v>
      </c>
    </row>
    <row r="28" spans="1:23" ht="24.95" customHeight="1" x14ac:dyDescent="0.25">
      <c r="A28" s="65"/>
      <c r="B28" s="2">
        <v>25</v>
      </c>
      <c r="C28" s="1" t="s">
        <v>49</v>
      </c>
      <c r="D28" s="1" t="s">
        <v>31</v>
      </c>
      <c r="E28" s="4">
        <v>5350000</v>
      </c>
      <c r="F28" s="3">
        <v>30</v>
      </c>
      <c r="G28" s="3">
        <f t="shared" si="1"/>
        <v>5350000</v>
      </c>
      <c r="H28" s="4"/>
      <c r="I28" s="4"/>
      <c r="J28" s="4"/>
      <c r="K28" s="4">
        <v>1000000</v>
      </c>
      <c r="L28" s="4"/>
      <c r="M28" s="4">
        <f t="shared" si="2"/>
        <v>6350000</v>
      </c>
      <c r="N28" s="4">
        <f>+E28*4%</f>
        <v>214000</v>
      </c>
      <c r="O28" s="4">
        <f>+E28*0.05</f>
        <v>267500</v>
      </c>
      <c r="P28" s="4"/>
      <c r="Q28" s="4"/>
      <c r="R28" s="7">
        <v>96000</v>
      </c>
      <c r="S28" s="4"/>
      <c r="T28" s="4"/>
      <c r="U28" s="4">
        <v>810005</v>
      </c>
      <c r="V28" s="4">
        <f t="shared" si="7"/>
        <v>1387505</v>
      </c>
      <c r="W28" s="5">
        <f t="shared" ref="W28:W34" si="13">M28-V28</f>
        <v>4962495</v>
      </c>
    </row>
    <row r="29" spans="1:23" ht="24.95" customHeight="1" x14ac:dyDescent="0.25">
      <c r="A29" s="65"/>
      <c r="B29" s="2">
        <v>26</v>
      </c>
      <c r="C29" s="1" t="s">
        <v>168</v>
      </c>
      <c r="D29" s="1" t="s">
        <v>31</v>
      </c>
      <c r="E29" s="4">
        <v>5000000</v>
      </c>
      <c r="F29" s="3">
        <v>30</v>
      </c>
      <c r="G29" s="3">
        <f t="shared" si="1"/>
        <v>5000000</v>
      </c>
      <c r="H29" s="4"/>
      <c r="I29" s="4"/>
      <c r="J29" s="4"/>
      <c r="K29" s="4"/>
      <c r="L29" s="4"/>
      <c r="M29" s="4">
        <f t="shared" si="2"/>
        <v>5000000</v>
      </c>
      <c r="N29" s="4">
        <f>+G29*4%</f>
        <v>200000</v>
      </c>
      <c r="O29" s="4">
        <f>+G29*5%</f>
        <v>250000</v>
      </c>
      <c r="P29" s="4"/>
      <c r="Q29" s="4"/>
      <c r="R29" s="7">
        <v>78000</v>
      </c>
      <c r="S29" s="4"/>
      <c r="T29" s="4"/>
      <c r="U29" s="4"/>
      <c r="V29" s="4">
        <f t="shared" ref="V29" si="14">SUM(N29:U29)</f>
        <v>528000</v>
      </c>
      <c r="W29" s="5">
        <f t="shared" si="13"/>
        <v>4472000</v>
      </c>
    </row>
    <row r="30" spans="1:23" ht="24.95" customHeight="1" x14ac:dyDescent="0.25">
      <c r="A30" s="65"/>
      <c r="B30" s="2">
        <v>27</v>
      </c>
      <c r="C30" s="1" t="s">
        <v>176</v>
      </c>
      <c r="D30" s="1" t="s">
        <v>31</v>
      </c>
      <c r="E30" s="4">
        <v>7000000</v>
      </c>
      <c r="F30" s="3">
        <v>12</v>
      </c>
      <c r="G30" s="3">
        <f t="shared" si="1"/>
        <v>2800000</v>
      </c>
      <c r="H30" s="4">
        <v>155563</v>
      </c>
      <c r="I30" s="4"/>
      <c r="J30" s="4">
        <v>252778</v>
      </c>
      <c r="K30" s="4"/>
      <c r="L30" s="4"/>
      <c r="M30" s="4">
        <f t="shared" si="2"/>
        <v>3208341</v>
      </c>
      <c r="N30" s="4">
        <v>118222</v>
      </c>
      <c r="O30" s="4">
        <v>118222</v>
      </c>
      <c r="P30" s="4"/>
      <c r="Q30" s="4"/>
      <c r="R30" s="7"/>
      <c r="S30" s="4"/>
      <c r="T30" s="4"/>
      <c r="U30" s="4"/>
      <c r="V30" s="4">
        <f t="shared" ref="V30" si="15">SUM(N30:U30)</f>
        <v>236444</v>
      </c>
      <c r="W30" s="5">
        <f t="shared" si="13"/>
        <v>2971897</v>
      </c>
    </row>
    <row r="31" spans="1:23" ht="24.95" customHeight="1" x14ac:dyDescent="0.25">
      <c r="A31" s="65"/>
      <c r="B31" s="2">
        <v>28</v>
      </c>
      <c r="C31" s="1" t="s">
        <v>50</v>
      </c>
      <c r="D31" s="1" t="s">
        <v>31</v>
      </c>
      <c r="E31" s="4">
        <v>7000000</v>
      </c>
      <c r="F31" s="3">
        <v>30</v>
      </c>
      <c r="G31" s="3">
        <f>+E31-L31</f>
        <v>7000000</v>
      </c>
      <c r="H31" s="4"/>
      <c r="I31" s="4"/>
      <c r="J31" s="4"/>
      <c r="K31" s="4"/>
      <c r="L31" s="4"/>
      <c r="M31" s="4">
        <f t="shared" si="2"/>
        <v>7000000</v>
      </c>
      <c r="N31" s="4">
        <f>+E31*4%</f>
        <v>280000</v>
      </c>
      <c r="O31" s="4">
        <f>+E31*0.05</f>
        <v>350000</v>
      </c>
      <c r="P31" s="4"/>
      <c r="Q31" s="4"/>
      <c r="R31" s="7">
        <v>128000</v>
      </c>
      <c r="S31" s="4"/>
      <c r="T31" s="4"/>
      <c r="U31" s="4"/>
      <c r="V31" s="4">
        <f t="shared" si="7"/>
        <v>758000</v>
      </c>
      <c r="W31" s="5">
        <f t="shared" si="13"/>
        <v>6242000</v>
      </c>
    </row>
    <row r="32" spans="1:23" ht="24.95" customHeight="1" x14ac:dyDescent="0.25">
      <c r="A32" s="65"/>
      <c r="B32" s="2">
        <v>29</v>
      </c>
      <c r="C32" s="1" t="s">
        <v>51</v>
      </c>
      <c r="D32" s="1" t="s">
        <v>31</v>
      </c>
      <c r="E32" s="4">
        <v>7314000</v>
      </c>
      <c r="F32" s="3">
        <v>30</v>
      </c>
      <c r="G32" s="3">
        <f t="shared" si="1"/>
        <v>7314000</v>
      </c>
      <c r="H32" s="4"/>
      <c r="I32" s="4"/>
      <c r="J32" s="4"/>
      <c r="K32" s="4">
        <v>1400000</v>
      </c>
      <c r="L32" s="10"/>
      <c r="M32" s="4">
        <f t="shared" si="2"/>
        <v>8714000</v>
      </c>
      <c r="N32" s="4">
        <f>+E32*4%</f>
        <v>292560</v>
      </c>
      <c r="O32" s="4">
        <f>+E32*5%</f>
        <v>365700</v>
      </c>
      <c r="P32" s="4"/>
      <c r="Q32" s="4"/>
      <c r="R32" s="7">
        <v>162000</v>
      </c>
      <c r="S32" s="4">
        <v>1300000</v>
      </c>
      <c r="T32" s="4"/>
      <c r="U32" s="4"/>
      <c r="V32" s="4">
        <f t="shared" si="7"/>
        <v>2120260</v>
      </c>
      <c r="W32" s="5">
        <f t="shared" si="13"/>
        <v>6593740</v>
      </c>
    </row>
    <row r="33" spans="1:24" ht="24.95" customHeight="1" x14ac:dyDescent="0.25">
      <c r="A33" s="65"/>
      <c r="B33" s="2">
        <v>30</v>
      </c>
      <c r="C33" s="1" t="s">
        <v>177</v>
      </c>
      <c r="D33" s="1" t="s">
        <v>31</v>
      </c>
      <c r="E33" s="4">
        <v>5500000</v>
      </c>
      <c r="F33" s="3">
        <v>32</v>
      </c>
      <c r="G33" s="3">
        <f t="shared" si="1"/>
        <v>5866666.666666667</v>
      </c>
      <c r="H33" s="4"/>
      <c r="I33" s="4"/>
      <c r="J33" s="4"/>
      <c r="K33" s="4"/>
      <c r="L33" s="10"/>
      <c r="M33" s="4">
        <f t="shared" si="2"/>
        <v>5866666.666666667</v>
      </c>
      <c r="N33" s="4">
        <f>+G33*4%</f>
        <v>234666.66666666669</v>
      </c>
      <c r="O33" s="4">
        <f>+G33*5%</f>
        <v>293333.33333333337</v>
      </c>
      <c r="P33" s="4"/>
      <c r="Q33" s="4"/>
      <c r="R33" s="7">
        <v>196000</v>
      </c>
      <c r="S33" s="4"/>
      <c r="T33" s="4"/>
      <c r="U33" s="4"/>
      <c r="V33" s="4">
        <f t="shared" ref="V33" si="16">SUM(N33:U33)</f>
        <v>724000</v>
      </c>
      <c r="W33" s="5">
        <f t="shared" si="13"/>
        <v>5142666.666666667</v>
      </c>
    </row>
    <row r="34" spans="1:24" ht="24.95" customHeight="1" x14ac:dyDescent="0.25">
      <c r="A34" s="65"/>
      <c r="B34" s="2">
        <v>31</v>
      </c>
      <c r="C34" s="9" t="s">
        <v>151</v>
      </c>
      <c r="D34" s="1" t="s">
        <v>31</v>
      </c>
      <c r="E34" s="4">
        <v>4000000</v>
      </c>
      <c r="F34" s="3">
        <v>30</v>
      </c>
      <c r="G34" s="3">
        <f>+E34/30*F34</f>
        <v>4000000.0000000005</v>
      </c>
      <c r="H34" s="4"/>
      <c r="I34" s="4"/>
      <c r="J34" s="4"/>
      <c r="K34" s="4"/>
      <c r="L34" s="4"/>
      <c r="M34" s="4">
        <f>+G34+H34+J34+K34+L34+I34</f>
        <v>4000000.0000000005</v>
      </c>
      <c r="N34" s="4">
        <f>+G34*4%</f>
        <v>160000.00000000003</v>
      </c>
      <c r="O34" s="4">
        <f>+G34*5%</f>
        <v>200000.00000000003</v>
      </c>
      <c r="P34" s="4"/>
      <c r="Q34" s="4"/>
      <c r="R34" s="4"/>
      <c r="S34" s="4"/>
      <c r="T34" s="4"/>
      <c r="U34" s="4"/>
      <c r="V34" s="4">
        <f>SUM(N34:U34)</f>
        <v>360000.00000000006</v>
      </c>
      <c r="W34" s="5">
        <f t="shared" si="13"/>
        <v>3640000.0000000005</v>
      </c>
    </row>
    <row r="35" spans="1:24" ht="24.95" customHeight="1" x14ac:dyDescent="0.25">
      <c r="A35" s="65"/>
      <c r="B35" s="2">
        <v>32</v>
      </c>
      <c r="C35" s="1" t="s">
        <v>52</v>
      </c>
      <c r="D35" s="1" t="s">
        <v>31</v>
      </c>
      <c r="E35" s="4">
        <v>4000000</v>
      </c>
      <c r="F35" s="3">
        <v>30</v>
      </c>
      <c r="G35" s="3">
        <f t="shared" si="1"/>
        <v>4000000.0000000005</v>
      </c>
      <c r="H35" s="4"/>
      <c r="I35" s="4"/>
      <c r="J35" s="4"/>
      <c r="K35" s="4">
        <v>360000</v>
      </c>
      <c r="L35" s="4"/>
      <c r="M35" s="4">
        <f t="shared" si="2"/>
        <v>4360000</v>
      </c>
      <c r="N35" s="4">
        <f>E35*4/100</f>
        <v>160000</v>
      </c>
      <c r="O35" s="4">
        <f>+G35*5%</f>
        <v>200000.00000000003</v>
      </c>
      <c r="P35" s="4"/>
      <c r="Q35" s="4"/>
      <c r="R35" s="4"/>
      <c r="S35" s="4"/>
      <c r="T35" s="4"/>
      <c r="U35" s="4"/>
      <c r="V35" s="4">
        <f t="shared" si="7"/>
        <v>360000</v>
      </c>
      <c r="W35" s="5">
        <f t="shared" ref="W35:W40" si="17">+M35-V35</f>
        <v>4000000</v>
      </c>
    </row>
    <row r="36" spans="1:24" ht="24.95" customHeight="1" x14ac:dyDescent="0.25">
      <c r="A36" s="65"/>
      <c r="B36" s="2">
        <v>33</v>
      </c>
      <c r="C36" s="1" t="s">
        <v>152</v>
      </c>
      <c r="D36" s="1" t="s">
        <v>31</v>
      </c>
      <c r="E36" s="4">
        <v>4500000</v>
      </c>
      <c r="F36" s="3">
        <v>4</v>
      </c>
      <c r="G36" s="3">
        <f>+E36/30*F36</f>
        <v>600000</v>
      </c>
      <c r="H36" s="4">
        <f>100005*26</f>
        <v>2600130</v>
      </c>
      <c r="I36" s="4"/>
      <c r="J36" s="4"/>
      <c r="K36" s="4"/>
      <c r="L36" s="4"/>
      <c r="M36" s="4">
        <f t="shared" si="2"/>
        <v>3200130</v>
      </c>
      <c r="N36" s="4">
        <f>M36*4/100</f>
        <v>128005.2</v>
      </c>
      <c r="O36" s="4">
        <f>+M36*0.05</f>
        <v>160006.5</v>
      </c>
      <c r="P36" s="4"/>
      <c r="Q36" s="4"/>
      <c r="R36" s="7"/>
      <c r="S36" s="4"/>
      <c r="T36" s="4"/>
      <c r="U36" s="4"/>
      <c r="V36" s="4">
        <f>SUM(N36:U36)</f>
        <v>288011.7</v>
      </c>
      <c r="W36" s="5">
        <f t="shared" si="17"/>
        <v>2912118.3</v>
      </c>
    </row>
    <row r="37" spans="1:24" ht="24.95" customHeight="1" x14ac:dyDescent="0.25">
      <c r="A37" s="65"/>
      <c r="B37" s="2">
        <v>34</v>
      </c>
      <c r="C37" s="1" t="s">
        <v>53</v>
      </c>
      <c r="D37" s="1" t="s">
        <v>31</v>
      </c>
      <c r="E37" s="4">
        <v>5300000</v>
      </c>
      <c r="F37" s="3">
        <v>30</v>
      </c>
      <c r="G37" s="3">
        <f t="shared" si="1"/>
        <v>5300000</v>
      </c>
      <c r="H37" s="4"/>
      <c r="I37" s="4"/>
      <c r="J37" s="4"/>
      <c r="K37" s="4">
        <v>1621317</v>
      </c>
      <c r="L37" s="4"/>
      <c r="M37" s="4">
        <f t="shared" si="2"/>
        <v>6921317</v>
      </c>
      <c r="N37" s="4">
        <f t="shared" ref="N37:N65" si="18">E37*4/100</f>
        <v>212000</v>
      </c>
      <c r="O37" s="4">
        <f t="shared" ref="O37:O65" si="19">+E37*0.05</f>
        <v>265000</v>
      </c>
      <c r="P37" s="4"/>
      <c r="Q37" s="4"/>
      <c r="R37" s="7">
        <v>100000</v>
      </c>
      <c r="S37" s="4">
        <v>2000000</v>
      </c>
      <c r="T37" s="4"/>
      <c r="U37" s="4">
        <f>884747</f>
        <v>884747</v>
      </c>
      <c r="V37" s="4">
        <f t="shared" si="7"/>
        <v>3461747</v>
      </c>
      <c r="W37" s="5">
        <f t="shared" si="17"/>
        <v>3459570</v>
      </c>
    </row>
    <row r="38" spans="1:24" ht="24.95" customHeight="1" x14ac:dyDescent="0.25">
      <c r="A38" s="65"/>
      <c r="B38" s="2">
        <v>35</v>
      </c>
      <c r="C38" s="1" t="s">
        <v>54</v>
      </c>
      <c r="D38" s="1" t="s">
        <v>31</v>
      </c>
      <c r="E38" s="4">
        <v>4800000</v>
      </c>
      <c r="F38" s="3">
        <v>30</v>
      </c>
      <c r="G38" s="3">
        <f t="shared" si="1"/>
        <v>4800000</v>
      </c>
      <c r="H38" s="4"/>
      <c r="I38" s="4"/>
      <c r="J38" s="4"/>
      <c r="K38" s="4">
        <v>92925</v>
      </c>
      <c r="L38" s="4"/>
      <c r="M38" s="4">
        <f t="shared" si="2"/>
        <v>4892925</v>
      </c>
      <c r="N38" s="4">
        <f t="shared" si="18"/>
        <v>192000</v>
      </c>
      <c r="O38" s="4">
        <f t="shared" si="19"/>
        <v>240000</v>
      </c>
      <c r="P38" s="4"/>
      <c r="Q38" s="4"/>
      <c r="R38" s="7">
        <v>0</v>
      </c>
      <c r="S38" s="4"/>
      <c r="T38" s="4"/>
      <c r="U38" s="4"/>
      <c r="V38" s="4">
        <f t="shared" si="7"/>
        <v>432000</v>
      </c>
      <c r="W38" s="5">
        <f t="shared" si="17"/>
        <v>4460925</v>
      </c>
    </row>
    <row r="39" spans="1:24" ht="24.95" customHeight="1" x14ac:dyDescent="0.25">
      <c r="A39" s="65"/>
      <c r="B39" s="2">
        <v>36</v>
      </c>
      <c r="C39" s="1" t="s">
        <v>55</v>
      </c>
      <c r="D39" s="1" t="s">
        <v>31</v>
      </c>
      <c r="E39" s="4">
        <v>5500000</v>
      </c>
      <c r="F39" s="3">
        <v>30</v>
      </c>
      <c r="G39" s="3">
        <f t="shared" si="1"/>
        <v>5500000</v>
      </c>
      <c r="H39" s="4"/>
      <c r="I39" s="4"/>
      <c r="J39" s="4"/>
      <c r="K39" s="4"/>
      <c r="L39" s="4"/>
      <c r="M39" s="4">
        <f t="shared" si="2"/>
        <v>5500000</v>
      </c>
      <c r="N39" s="4">
        <f t="shared" si="18"/>
        <v>220000</v>
      </c>
      <c r="O39" s="4">
        <f t="shared" si="19"/>
        <v>275000</v>
      </c>
      <c r="P39" s="4"/>
      <c r="Q39" s="4"/>
      <c r="R39" s="4">
        <v>5022</v>
      </c>
      <c r="S39" s="4"/>
      <c r="T39" s="4"/>
      <c r="U39" s="4"/>
      <c r="V39" s="4">
        <f t="shared" si="7"/>
        <v>500022</v>
      </c>
      <c r="W39" s="5">
        <f t="shared" si="17"/>
        <v>4999978</v>
      </c>
    </row>
    <row r="40" spans="1:24" ht="24.95" customHeight="1" x14ac:dyDescent="0.25">
      <c r="A40" s="65"/>
      <c r="B40" s="2">
        <v>37</v>
      </c>
      <c r="C40" s="1" t="s">
        <v>56</v>
      </c>
      <c r="D40" s="1" t="s">
        <v>31</v>
      </c>
      <c r="E40" s="4">
        <v>5500000</v>
      </c>
      <c r="F40" s="3">
        <v>30</v>
      </c>
      <c r="G40" s="3">
        <f t="shared" si="1"/>
        <v>5500000</v>
      </c>
      <c r="H40" s="4"/>
      <c r="I40" s="4"/>
      <c r="J40" s="4"/>
      <c r="K40" s="4"/>
      <c r="L40" s="4"/>
      <c r="M40" s="4">
        <f t="shared" si="2"/>
        <v>5500000</v>
      </c>
      <c r="N40" s="4">
        <f t="shared" si="18"/>
        <v>220000</v>
      </c>
      <c r="O40" s="4">
        <f t="shared" si="19"/>
        <v>275000</v>
      </c>
      <c r="P40" s="4"/>
      <c r="Q40" s="4"/>
      <c r="R40" s="7">
        <v>116000</v>
      </c>
      <c r="S40" s="4"/>
      <c r="T40" s="4"/>
      <c r="U40" s="4"/>
      <c r="V40" s="4">
        <f t="shared" si="7"/>
        <v>611000</v>
      </c>
      <c r="W40" s="5">
        <f t="shared" si="17"/>
        <v>4889000</v>
      </c>
    </row>
    <row r="41" spans="1:24" ht="24.95" customHeight="1" x14ac:dyDescent="0.25">
      <c r="A41" s="65"/>
      <c r="B41" s="2">
        <v>38</v>
      </c>
      <c r="C41" s="1" t="s">
        <v>112</v>
      </c>
      <c r="D41" s="1" t="s">
        <v>31</v>
      </c>
      <c r="E41" s="4">
        <v>4300000</v>
      </c>
      <c r="F41" s="3">
        <v>30</v>
      </c>
      <c r="G41" s="3">
        <f t="shared" si="1"/>
        <v>4300000</v>
      </c>
      <c r="H41" s="4"/>
      <c r="I41" s="4"/>
      <c r="J41" s="4"/>
      <c r="K41" s="4"/>
      <c r="L41" s="4">
        <f>+E41-G41</f>
        <v>0</v>
      </c>
      <c r="M41" s="4">
        <f t="shared" si="2"/>
        <v>4300000</v>
      </c>
      <c r="N41" s="4">
        <f>+E41*4%</f>
        <v>172000</v>
      </c>
      <c r="O41" s="4">
        <f>+E41*5%</f>
        <v>215000</v>
      </c>
      <c r="P41" s="4"/>
      <c r="Q41" s="4"/>
      <c r="R41" s="7">
        <v>0</v>
      </c>
      <c r="S41" s="4"/>
      <c r="T41" s="4">
        <v>0</v>
      </c>
      <c r="U41" s="4"/>
      <c r="V41" s="4">
        <f t="shared" ref="V41" si="20">SUM(N41:U41)</f>
        <v>387000</v>
      </c>
      <c r="W41" s="5">
        <f>+M41-V41</f>
        <v>3913000</v>
      </c>
      <c r="X41" s="67"/>
    </row>
    <row r="42" spans="1:24" ht="24.95" customHeight="1" x14ac:dyDescent="0.25">
      <c r="A42" s="65"/>
      <c r="B42" s="2">
        <v>39</v>
      </c>
      <c r="C42" s="1" t="s">
        <v>59</v>
      </c>
      <c r="D42" s="1" t="s">
        <v>31</v>
      </c>
      <c r="E42" s="4">
        <v>6600000</v>
      </c>
      <c r="F42" s="3">
        <v>30</v>
      </c>
      <c r="G42" s="3">
        <f t="shared" si="1"/>
        <v>6600000</v>
      </c>
      <c r="H42" s="4"/>
      <c r="I42" s="4"/>
      <c r="J42" s="4"/>
      <c r="K42" s="4"/>
      <c r="L42" s="10"/>
      <c r="M42" s="4">
        <f t="shared" si="2"/>
        <v>6600000</v>
      </c>
      <c r="N42" s="4">
        <f t="shared" si="18"/>
        <v>264000</v>
      </c>
      <c r="O42" s="4">
        <f t="shared" si="19"/>
        <v>330000</v>
      </c>
      <c r="P42" s="4"/>
      <c r="Q42" s="4"/>
      <c r="R42" s="7">
        <v>86000</v>
      </c>
      <c r="S42" s="4"/>
      <c r="T42" s="4"/>
      <c r="U42" s="4"/>
      <c r="V42" s="4">
        <f t="shared" si="7"/>
        <v>680000</v>
      </c>
      <c r="W42" s="5">
        <f>M42-V42</f>
        <v>5920000</v>
      </c>
    </row>
    <row r="43" spans="1:24" ht="24.95" customHeight="1" x14ac:dyDescent="0.25">
      <c r="A43" s="65"/>
      <c r="B43" s="2">
        <v>40</v>
      </c>
      <c r="C43" s="1" t="s">
        <v>113</v>
      </c>
      <c r="D43" s="1" t="s">
        <v>31</v>
      </c>
      <c r="E43" s="4">
        <v>4770000</v>
      </c>
      <c r="F43" s="3">
        <v>30</v>
      </c>
      <c r="G43" s="3">
        <f t="shared" si="1"/>
        <v>4770000</v>
      </c>
      <c r="H43" s="4"/>
      <c r="I43" s="4"/>
      <c r="J43" s="4"/>
      <c r="K43" s="4">
        <v>160000</v>
      </c>
      <c r="L43" s="4">
        <f>+E43-G43</f>
        <v>0</v>
      </c>
      <c r="M43" s="4">
        <f t="shared" si="2"/>
        <v>4930000</v>
      </c>
      <c r="N43" s="4">
        <f t="shared" ref="N43" si="21">+E43*4%</f>
        <v>190800</v>
      </c>
      <c r="O43" s="4">
        <f>+E43*5%</f>
        <v>238500</v>
      </c>
      <c r="P43" s="4"/>
      <c r="Q43" s="4"/>
      <c r="R43" s="7">
        <v>0</v>
      </c>
      <c r="S43" s="4"/>
      <c r="T43" s="4"/>
      <c r="U43" s="4"/>
      <c r="V43" s="4">
        <f t="shared" ref="V43" si="22">SUM(N43:U43)</f>
        <v>429300</v>
      </c>
      <c r="W43" s="5">
        <f t="shared" ref="W43" si="23">+M43-V43</f>
        <v>4500700</v>
      </c>
    </row>
    <row r="44" spans="1:24" ht="24.95" customHeight="1" x14ac:dyDescent="0.25">
      <c r="A44" s="65"/>
      <c r="B44" s="2">
        <v>41</v>
      </c>
      <c r="C44" s="1" t="s">
        <v>60</v>
      </c>
      <c r="D44" s="1" t="s">
        <v>31</v>
      </c>
      <c r="E44" s="4">
        <v>7000000</v>
      </c>
      <c r="F44" s="3">
        <v>30</v>
      </c>
      <c r="G44" s="3">
        <f t="shared" si="1"/>
        <v>7000000</v>
      </c>
      <c r="H44" s="4"/>
      <c r="I44" s="4"/>
      <c r="J44" s="4"/>
      <c r="K44" s="4"/>
      <c r="L44" s="11"/>
      <c r="M44" s="4">
        <f t="shared" si="2"/>
        <v>7000000</v>
      </c>
      <c r="N44" s="4">
        <f t="shared" si="18"/>
        <v>280000</v>
      </c>
      <c r="O44" s="4">
        <f t="shared" si="19"/>
        <v>350000</v>
      </c>
      <c r="P44" s="4"/>
      <c r="Q44" s="4"/>
      <c r="R44" s="7">
        <v>86000</v>
      </c>
      <c r="S44" s="4"/>
      <c r="T44" s="4"/>
      <c r="U44" s="4"/>
      <c r="V44" s="4">
        <f t="shared" si="7"/>
        <v>716000</v>
      </c>
      <c r="W44" s="5">
        <f>M44-V44</f>
        <v>6284000</v>
      </c>
    </row>
    <row r="45" spans="1:24" ht="24.95" customHeight="1" x14ac:dyDescent="0.25">
      <c r="A45" s="65"/>
      <c r="B45" s="2">
        <v>42</v>
      </c>
      <c r="C45" s="1" t="s">
        <v>62</v>
      </c>
      <c r="D45" s="1" t="s">
        <v>31</v>
      </c>
      <c r="E45" s="4">
        <v>5088000</v>
      </c>
      <c r="F45" s="3">
        <v>30</v>
      </c>
      <c r="G45" s="3">
        <f t="shared" si="1"/>
        <v>5088000</v>
      </c>
      <c r="H45" s="4"/>
      <c r="I45" s="4"/>
      <c r="J45" s="4"/>
      <c r="K45" s="4"/>
      <c r="L45" s="4"/>
      <c r="M45" s="4">
        <f t="shared" si="2"/>
        <v>5088000</v>
      </c>
      <c r="N45" s="4">
        <f>E45*4/100</f>
        <v>203520</v>
      </c>
      <c r="O45" s="4">
        <f>+E45*0.05</f>
        <v>254400</v>
      </c>
      <c r="P45" s="4"/>
      <c r="Q45" s="4"/>
      <c r="R45" s="4">
        <v>0</v>
      </c>
      <c r="S45" s="4">
        <f>1150000</f>
        <v>1150000</v>
      </c>
      <c r="T45" s="4"/>
      <c r="U45" s="4">
        <f>209579</f>
        <v>209579</v>
      </c>
      <c r="V45" s="4">
        <f t="shared" si="7"/>
        <v>1817499</v>
      </c>
      <c r="W45" s="5">
        <f>M45-V45</f>
        <v>3270501</v>
      </c>
    </row>
    <row r="46" spans="1:24" ht="24.95" customHeight="1" x14ac:dyDescent="0.25">
      <c r="A46" s="65"/>
      <c r="B46" s="2">
        <v>43</v>
      </c>
      <c r="C46" s="1" t="s">
        <v>63</v>
      </c>
      <c r="D46" s="1" t="s">
        <v>31</v>
      </c>
      <c r="E46" s="4">
        <v>4540000</v>
      </c>
      <c r="F46" s="3">
        <v>30</v>
      </c>
      <c r="G46" s="3">
        <f t="shared" si="1"/>
        <v>4540000</v>
      </c>
      <c r="H46" s="4"/>
      <c r="I46" s="4"/>
      <c r="J46" s="4"/>
      <c r="K46" s="4"/>
      <c r="L46" s="4"/>
      <c r="M46" s="4">
        <f t="shared" si="2"/>
        <v>4540000</v>
      </c>
      <c r="N46" s="4">
        <f t="shared" si="18"/>
        <v>181600</v>
      </c>
      <c r="O46" s="4">
        <f t="shared" si="19"/>
        <v>227000</v>
      </c>
      <c r="P46" s="4"/>
      <c r="Q46" s="4">
        <v>270000</v>
      </c>
      <c r="R46" s="7">
        <v>0</v>
      </c>
      <c r="S46" s="4"/>
      <c r="T46" s="4"/>
      <c r="U46" s="4">
        <v>407106</v>
      </c>
      <c r="V46" s="4">
        <f t="shared" si="7"/>
        <v>1085706</v>
      </c>
      <c r="W46" s="5">
        <f>M46-V46</f>
        <v>3454294</v>
      </c>
    </row>
    <row r="47" spans="1:24" ht="24.95" customHeight="1" x14ac:dyDescent="0.25">
      <c r="A47" s="65"/>
      <c r="B47" s="2">
        <v>44</v>
      </c>
      <c r="C47" s="1" t="s">
        <v>64</v>
      </c>
      <c r="D47" s="1" t="s">
        <v>31</v>
      </c>
      <c r="E47" s="4">
        <v>3500000</v>
      </c>
      <c r="F47" s="3">
        <v>30</v>
      </c>
      <c r="G47" s="3">
        <f>+E47-L47</f>
        <v>3500000</v>
      </c>
      <c r="H47" s="4"/>
      <c r="I47" s="4"/>
      <c r="J47" s="4"/>
      <c r="K47" s="4"/>
      <c r="L47" s="4"/>
      <c r="M47" s="4">
        <f t="shared" si="2"/>
        <v>3500000</v>
      </c>
      <c r="N47" s="4">
        <f t="shared" si="18"/>
        <v>140000</v>
      </c>
      <c r="O47" s="4">
        <f t="shared" si="19"/>
        <v>175000</v>
      </c>
      <c r="P47" s="4"/>
      <c r="Q47" s="4"/>
      <c r="R47" s="4">
        <v>0</v>
      </c>
      <c r="S47" s="4"/>
      <c r="T47" s="4"/>
      <c r="U47" s="4">
        <v>257196</v>
      </c>
      <c r="V47" s="4">
        <f t="shared" si="7"/>
        <v>572196</v>
      </c>
      <c r="W47" s="5">
        <f>+M47-V47</f>
        <v>2927804</v>
      </c>
    </row>
    <row r="48" spans="1:24" ht="24.95" customHeight="1" x14ac:dyDescent="0.25">
      <c r="A48" s="65"/>
      <c r="B48" s="2">
        <v>45</v>
      </c>
      <c r="C48" s="1" t="s">
        <v>65</v>
      </c>
      <c r="D48" s="1" t="s">
        <v>31</v>
      </c>
      <c r="E48" s="4">
        <v>4500000</v>
      </c>
      <c r="F48" s="3">
        <v>30</v>
      </c>
      <c r="G48" s="3">
        <f t="shared" si="1"/>
        <v>4500000</v>
      </c>
      <c r="H48" s="4"/>
      <c r="I48" s="4"/>
      <c r="J48" s="4"/>
      <c r="K48" s="4"/>
      <c r="L48" s="4"/>
      <c r="M48" s="4">
        <f t="shared" si="2"/>
        <v>4500000</v>
      </c>
      <c r="N48" s="4">
        <f t="shared" si="18"/>
        <v>180000</v>
      </c>
      <c r="O48" s="4">
        <f t="shared" si="19"/>
        <v>225000</v>
      </c>
      <c r="P48" s="4"/>
      <c r="Q48" s="4"/>
      <c r="R48" s="4">
        <v>0</v>
      </c>
      <c r="S48" s="4"/>
      <c r="T48" s="4"/>
      <c r="U48" s="4"/>
      <c r="V48" s="4">
        <f t="shared" si="7"/>
        <v>405000</v>
      </c>
      <c r="W48" s="5">
        <f>+M48-V48</f>
        <v>4095000</v>
      </c>
    </row>
    <row r="49" spans="1:26" ht="24.95" customHeight="1" x14ac:dyDescent="0.25">
      <c r="A49" s="65"/>
      <c r="B49" s="2">
        <v>46</v>
      </c>
      <c r="C49" s="1" t="s">
        <v>66</v>
      </c>
      <c r="D49" s="1" t="s">
        <v>31</v>
      </c>
      <c r="E49" s="4">
        <v>6360000</v>
      </c>
      <c r="F49" s="3">
        <v>30</v>
      </c>
      <c r="G49" s="3">
        <f>+E49-L49</f>
        <v>6360000</v>
      </c>
      <c r="H49" s="4"/>
      <c r="I49" s="4"/>
      <c r="J49" s="4"/>
      <c r="K49" s="4"/>
      <c r="L49" s="4"/>
      <c r="M49" s="4">
        <f t="shared" si="2"/>
        <v>6360000</v>
      </c>
      <c r="N49" s="4">
        <f t="shared" si="18"/>
        <v>254400</v>
      </c>
      <c r="O49" s="4">
        <f t="shared" si="19"/>
        <v>318000</v>
      </c>
      <c r="P49" s="4"/>
      <c r="Q49" s="4"/>
      <c r="R49" s="4">
        <v>208000</v>
      </c>
      <c r="S49" s="4"/>
      <c r="T49" s="4">
        <v>122614</v>
      </c>
      <c r="U49" s="4"/>
      <c r="V49" s="4">
        <f t="shared" si="7"/>
        <v>903014</v>
      </c>
      <c r="W49" s="5">
        <f>+M49-V49</f>
        <v>5456986</v>
      </c>
    </row>
    <row r="50" spans="1:26" ht="24.95" customHeight="1" x14ac:dyDescent="0.25">
      <c r="A50" s="65"/>
      <c r="B50" s="2">
        <v>47</v>
      </c>
      <c r="C50" s="1" t="s">
        <v>153</v>
      </c>
      <c r="D50" s="1" t="s">
        <v>31</v>
      </c>
      <c r="E50" s="4">
        <v>3500000</v>
      </c>
      <c r="F50" s="3">
        <v>30</v>
      </c>
      <c r="G50" s="3">
        <f>+E50/30*F50</f>
        <v>3500000</v>
      </c>
      <c r="H50" s="4"/>
      <c r="I50" s="4"/>
      <c r="J50" s="4"/>
      <c r="K50" s="4"/>
      <c r="L50" s="4"/>
      <c r="M50" s="4">
        <f>+G50+H50+J50+K50+L50+I50</f>
        <v>3500000</v>
      </c>
      <c r="N50" s="4">
        <f>G50*4/100</f>
        <v>140000</v>
      </c>
      <c r="O50" s="4">
        <f>+G50*0.05</f>
        <v>175000</v>
      </c>
      <c r="P50" s="4"/>
      <c r="Q50" s="4"/>
      <c r="R50" s="4">
        <v>0</v>
      </c>
      <c r="S50" s="4"/>
      <c r="T50" s="4">
        <v>0</v>
      </c>
      <c r="U50" s="4"/>
      <c r="V50" s="4">
        <f t="shared" ref="V50" si="24">SUM(N50:U50)</f>
        <v>315000</v>
      </c>
      <c r="W50" s="5">
        <f>+M50-V50</f>
        <v>3185000</v>
      </c>
    </row>
    <row r="51" spans="1:26" ht="24.95" customHeight="1" x14ac:dyDescent="0.25">
      <c r="A51" s="65"/>
      <c r="B51" s="2">
        <v>48</v>
      </c>
      <c r="C51" s="1" t="s">
        <v>67</v>
      </c>
      <c r="D51" s="1" t="s">
        <v>31</v>
      </c>
      <c r="E51" s="4">
        <v>4770000</v>
      </c>
      <c r="F51" s="3">
        <v>30</v>
      </c>
      <c r="G51" s="3">
        <f t="shared" si="1"/>
        <v>4770000</v>
      </c>
      <c r="H51" s="4"/>
      <c r="I51" s="4"/>
      <c r="J51" s="4"/>
      <c r="K51" s="4">
        <v>500000</v>
      </c>
      <c r="L51" s="4"/>
      <c r="M51" s="4">
        <f t="shared" si="2"/>
        <v>5270000</v>
      </c>
      <c r="N51" s="4">
        <f t="shared" si="18"/>
        <v>190800</v>
      </c>
      <c r="O51" s="4">
        <f t="shared" si="19"/>
        <v>238500</v>
      </c>
      <c r="P51" s="4"/>
      <c r="Q51" s="4"/>
      <c r="R51" s="4">
        <v>22000</v>
      </c>
      <c r="S51" s="4"/>
      <c r="T51" s="4"/>
      <c r="U51" s="4">
        <v>551399</v>
      </c>
      <c r="V51" s="4">
        <f t="shared" si="7"/>
        <v>1002699</v>
      </c>
      <c r="W51" s="5">
        <f>+M51-V51</f>
        <v>4267301</v>
      </c>
    </row>
    <row r="52" spans="1:26" ht="24.95" customHeight="1" x14ac:dyDescent="0.25">
      <c r="A52" s="65"/>
      <c r="B52" s="2">
        <v>49</v>
      </c>
      <c r="C52" s="1" t="s">
        <v>69</v>
      </c>
      <c r="D52" s="1" t="s">
        <v>31</v>
      </c>
      <c r="E52" s="4">
        <v>6000000</v>
      </c>
      <c r="F52" s="3">
        <v>30</v>
      </c>
      <c r="G52" s="3">
        <f>+E52-L52</f>
        <v>6000000</v>
      </c>
      <c r="H52" s="4"/>
      <c r="I52" s="4"/>
      <c r="J52" s="4"/>
      <c r="K52" s="4"/>
      <c r="L52" s="4"/>
      <c r="M52" s="4">
        <f t="shared" si="2"/>
        <v>6000000</v>
      </c>
      <c r="N52" s="4">
        <f t="shared" si="18"/>
        <v>240000</v>
      </c>
      <c r="O52" s="4">
        <f t="shared" si="19"/>
        <v>300000</v>
      </c>
      <c r="P52" s="4">
        <v>0</v>
      </c>
      <c r="Q52" s="4"/>
      <c r="R52" s="4">
        <v>0</v>
      </c>
      <c r="S52" s="4"/>
      <c r="T52" s="4"/>
      <c r="U52" s="4"/>
      <c r="V52" s="4">
        <f t="shared" si="7"/>
        <v>540000</v>
      </c>
      <c r="W52" s="5">
        <f>M52-V52</f>
        <v>5460000</v>
      </c>
      <c r="Z52" s="62">
        <v>321831000</v>
      </c>
    </row>
    <row r="53" spans="1:26" ht="24.95" customHeight="1" x14ac:dyDescent="0.25">
      <c r="A53" s="65"/>
      <c r="B53" s="2">
        <v>50</v>
      </c>
      <c r="C53" s="1" t="s">
        <v>70</v>
      </c>
      <c r="D53" s="1" t="s">
        <v>31</v>
      </c>
      <c r="E53" s="4">
        <v>6420000</v>
      </c>
      <c r="F53" s="3">
        <v>30</v>
      </c>
      <c r="G53" s="3">
        <f t="shared" si="1"/>
        <v>6420000</v>
      </c>
      <c r="H53" s="4"/>
      <c r="I53" s="4"/>
      <c r="J53" s="4"/>
      <c r="K53" s="4"/>
      <c r="L53" s="4"/>
      <c r="M53" s="4">
        <f t="shared" si="2"/>
        <v>6420000</v>
      </c>
      <c r="N53" s="4">
        <f t="shared" si="18"/>
        <v>256800</v>
      </c>
      <c r="O53" s="4">
        <f t="shared" si="19"/>
        <v>321000</v>
      </c>
      <c r="P53" s="4"/>
      <c r="Q53" s="4"/>
      <c r="R53" s="4">
        <v>231000</v>
      </c>
      <c r="S53" s="4"/>
      <c r="T53" s="4"/>
      <c r="U53" s="4"/>
      <c r="V53" s="4">
        <f t="shared" si="7"/>
        <v>808800</v>
      </c>
      <c r="W53" s="5">
        <f>+M53-V53</f>
        <v>5611200</v>
      </c>
      <c r="Z53" s="62">
        <f>+Z52/2</f>
        <v>160915500</v>
      </c>
    </row>
    <row r="54" spans="1:26" ht="24.95" customHeight="1" x14ac:dyDescent="0.25">
      <c r="A54" s="65"/>
      <c r="B54" s="2">
        <v>51</v>
      </c>
      <c r="C54" s="9" t="s">
        <v>169</v>
      </c>
      <c r="D54" s="1" t="s">
        <v>31</v>
      </c>
      <c r="E54" s="4">
        <v>7700000</v>
      </c>
      <c r="F54" s="3">
        <v>30</v>
      </c>
      <c r="G54" s="3">
        <f t="shared" si="1"/>
        <v>7700000</v>
      </c>
      <c r="H54" s="4"/>
      <c r="I54" s="4"/>
      <c r="J54" s="4"/>
      <c r="K54" s="4">
        <f>+(800000/30)*F54</f>
        <v>800000</v>
      </c>
      <c r="L54" s="11"/>
      <c r="M54" s="4">
        <f>+G54+H54+J54+K54+L54+I54</f>
        <v>8500000</v>
      </c>
      <c r="N54" s="4">
        <f>G54*4/100</f>
        <v>308000</v>
      </c>
      <c r="O54" s="4">
        <f>+G54*0.05</f>
        <v>385000</v>
      </c>
      <c r="P54" s="4">
        <v>2165000</v>
      </c>
      <c r="Q54" s="4"/>
      <c r="R54" s="4">
        <v>182000</v>
      </c>
      <c r="S54" s="4"/>
      <c r="T54" s="4"/>
      <c r="U54" s="4"/>
      <c r="V54" s="4">
        <f t="shared" ref="V54" si="25">SUM(N54:U54)</f>
        <v>3040000</v>
      </c>
      <c r="W54" s="5">
        <f>M54-V54</f>
        <v>5460000</v>
      </c>
    </row>
    <row r="55" spans="1:26" ht="24.95" customHeight="1" x14ac:dyDescent="0.25">
      <c r="A55" s="65"/>
      <c r="B55" s="2">
        <v>52</v>
      </c>
      <c r="C55" s="9" t="s">
        <v>72</v>
      </c>
      <c r="D55" s="1" t="s">
        <v>31</v>
      </c>
      <c r="E55" s="4">
        <v>7000000</v>
      </c>
      <c r="F55" s="3">
        <v>30</v>
      </c>
      <c r="G55" s="3">
        <f>+E55-L55</f>
        <v>7000000</v>
      </c>
      <c r="H55" s="4"/>
      <c r="I55" s="4"/>
      <c r="J55" s="4">
        <v>0</v>
      </c>
      <c r="K55" s="4"/>
      <c r="L55" s="4"/>
      <c r="M55" s="4">
        <f t="shared" si="2"/>
        <v>7000000</v>
      </c>
      <c r="N55" s="4">
        <f t="shared" si="18"/>
        <v>280000</v>
      </c>
      <c r="O55" s="4">
        <f t="shared" si="19"/>
        <v>350000</v>
      </c>
      <c r="P55" s="4"/>
      <c r="Q55" s="4"/>
      <c r="R55" s="4">
        <v>208000</v>
      </c>
      <c r="S55" s="4"/>
      <c r="T55" s="4"/>
      <c r="U55" s="4"/>
      <c r="V55" s="4">
        <f t="shared" si="7"/>
        <v>838000</v>
      </c>
      <c r="W55" s="5">
        <f>M55-V55</f>
        <v>6162000</v>
      </c>
    </row>
    <row r="56" spans="1:26" ht="24.95" customHeight="1" x14ac:dyDescent="0.25">
      <c r="A56" s="65"/>
      <c r="B56" s="2">
        <v>53</v>
      </c>
      <c r="C56" s="1" t="s">
        <v>73</v>
      </c>
      <c r="D56" s="1" t="s">
        <v>31</v>
      </c>
      <c r="E56" s="4">
        <v>5350000</v>
      </c>
      <c r="F56" s="3">
        <v>30</v>
      </c>
      <c r="G56" s="3">
        <f t="shared" si="1"/>
        <v>5350000</v>
      </c>
      <c r="H56" s="4"/>
      <c r="I56" s="4"/>
      <c r="J56" s="4"/>
      <c r="K56" s="4"/>
      <c r="L56" s="4"/>
      <c r="M56" s="4">
        <f t="shared" si="2"/>
        <v>5350000</v>
      </c>
      <c r="N56" s="4">
        <f t="shared" si="18"/>
        <v>214000</v>
      </c>
      <c r="O56" s="4">
        <f t="shared" si="19"/>
        <v>267500</v>
      </c>
      <c r="P56" s="4"/>
      <c r="Q56" s="4"/>
      <c r="R56" s="4">
        <v>95000</v>
      </c>
      <c r="S56" s="4"/>
      <c r="T56" s="4"/>
      <c r="U56" s="4"/>
      <c r="V56" s="4">
        <f t="shared" si="7"/>
        <v>576500</v>
      </c>
      <c r="W56" s="5">
        <f t="shared" ref="W56:W63" si="26">+M56-V56</f>
        <v>4773500</v>
      </c>
    </row>
    <row r="57" spans="1:26" ht="24.95" customHeight="1" x14ac:dyDescent="0.25">
      <c r="A57" s="65"/>
      <c r="B57" s="2">
        <v>54</v>
      </c>
      <c r="C57" s="1" t="s">
        <v>74</v>
      </c>
      <c r="D57" s="2" t="s">
        <v>31</v>
      </c>
      <c r="E57" s="4">
        <v>4500000</v>
      </c>
      <c r="F57" s="3">
        <v>30</v>
      </c>
      <c r="G57" s="3">
        <f>+E57-L57</f>
        <v>4500000</v>
      </c>
      <c r="H57" s="4"/>
      <c r="I57" s="4"/>
      <c r="J57" s="4"/>
      <c r="K57" s="4"/>
      <c r="L57" s="4"/>
      <c r="M57" s="4">
        <f t="shared" si="2"/>
        <v>4500000</v>
      </c>
      <c r="N57" s="4">
        <f t="shared" si="18"/>
        <v>180000</v>
      </c>
      <c r="O57" s="4">
        <f t="shared" si="19"/>
        <v>225000</v>
      </c>
      <c r="P57" s="4"/>
      <c r="Q57" s="4"/>
      <c r="R57" s="4">
        <v>0</v>
      </c>
      <c r="S57" s="4"/>
      <c r="T57" s="4"/>
      <c r="U57" s="4"/>
      <c r="V57" s="4">
        <f t="shared" si="7"/>
        <v>405000</v>
      </c>
      <c r="W57" s="5">
        <f t="shared" si="26"/>
        <v>4095000</v>
      </c>
    </row>
    <row r="58" spans="1:26" ht="24.95" customHeight="1" x14ac:dyDescent="0.25">
      <c r="A58" s="65"/>
      <c r="B58" s="2">
        <v>55</v>
      </c>
      <c r="C58" s="1" t="s">
        <v>75</v>
      </c>
      <c r="D58" s="1" t="s">
        <v>31</v>
      </c>
      <c r="E58" s="4">
        <v>4770000</v>
      </c>
      <c r="F58" s="3">
        <v>30</v>
      </c>
      <c r="G58" s="3">
        <f t="shared" si="1"/>
        <v>4770000</v>
      </c>
      <c r="H58" s="4"/>
      <c r="I58" s="4"/>
      <c r="J58" s="4"/>
      <c r="K58" s="4"/>
      <c r="L58" s="4">
        <v>2544000</v>
      </c>
      <c r="M58" s="4">
        <f t="shared" si="2"/>
        <v>7314000</v>
      </c>
      <c r="N58" s="4">
        <f>M58*4/100</f>
        <v>292560</v>
      </c>
      <c r="O58" s="4">
        <f>+M58*0.05</f>
        <v>365700</v>
      </c>
      <c r="P58" s="4"/>
      <c r="Q58" s="4"/>
      <c r="R58" s="4">
        <v>0</v>
      </c>
      <c r="S58" s="4"/>
      <c r="T58" s="4"/>
      <c r="U58" s="4">
        <v>317224</v>
      </c>
      <c r="V58" s="4">
        <f t="shared" si="7"/>
        <v>975484</v>
      </c>
      <c r="W58" s="5">
        <f t="shared" si="26"/>
        <v>6338516</v>
      </c>
    </row>
    <row r="59" spans="1:26" ht="24.95" customHeight="1" x14ac:dyDescent="0.25">
      <c r="A59" s="65"/>
      <c r="B59" s="2">
        <v>56</v>
      </c>
      <c r="C59" s="1" t="s">
        <v>163</v>
      </c>
      <c r="D59" s="1" t="s">
        <v>31</v>
      </c>
      <c r="E59" s="4">
        <v>6800000</v>
      </c>
      <c r="F59" s="3">
        <v>30</v>
      </c>
      <c r="G59" s="3">
        <f t="shared" si="1"/>
        <v>6800000</v>
      </c>
      <c r="H59" s="4"/>
      <c r="I59" s="4"/>
      <c r="J59" s="4"/>
      <c r="K59" s="4"/>
      <c r="L59" s="4"/>
      <c r="M59" s="4">
        <f t="shared" si="2"/>
        <v>6800000</v>
      </c>
      <c r="N59" s="4">
        <f>+G59*4%</f>
        <v>272000</v>
      </c>
      <c r="O59" s="4">
        <f>+G59*0.05</f>
        <v>340000</v>
      </c>
      <c r="P59" s="4"/>
      <c r="Q59" s="4"/>
      <c r="R59" s="4">
        <v>115000</v>
      </c>
      <c r="S59" s="4"/>
      <c r="T59" s="4"/>
      <c r="U59" s="4"/>
      <c r="V59" s="4">
        <f t="shared" ref="V59" si="27">SUM(N59:U59)</f>
        <v>727000</v>
      </c>
      <c r="W59" s="5">
        <f t="shared" si="26"/>
        <v>6073000</v>
      </c>
    </row>
    <row r="60" spans="1:26" ht="24.95" customHeight="1" x14ac:dyDescent="0.25">
      <c r="A60" s="65"/>
      <c r="B60" s="2">
        <v>57</v>
      </c>
      <c r="C60" s="1" t="s">
        <v>76</v>
      </c>
      <c r="D60" s="1" t="s">
        <v>31</v>
      </c>
      <c r="E60" s="4">
        <v>5200000</v>
      </c>
      <c r="F60" s="3">
        <v>30</v>
      </c>
      <c r="G60" s="3">
        <f>+E60-L60</f>
        <v>4333333</v>
      </c>
      <c r="H60" s="4"/>
      <c r="I60" s="4"/>
      <c r="J60" s="4"/>
      <c r="K60" s="4"/>
      <c r="L60" s="4">
        <v>866667</v>
      </c>
      <c r="M60" s="4">
        <f t="shared" si="2"/>
        <v>5200000</v>
      </c>
      <c r="N60" s="4">
        <f>E60*4/100</f>
        <v>208000</v>
      </c>
      <c r="O60" s="4">
        <f>+E60*0.05</f>
        <v>260000</v>
      </c>
      <c r="P60" s="4"/>
      <c r="Q60" s="4"/>
      <c r="R60" s="4">
        <v>55000</v>
      </c>
      <c r="S60" s="4"/>
      <c r="T60" s="4"/>
      <c r="U60" s="4">
        <v>1198791</v>
      </c>
      <c r="V60" s="4">
        <f t="shared" si="7"/>
        <v>1721791</v>
      </c>
      <c r="W60" s="5">
        <f t="shared" si="26"/>
        <v>3478209</v>
      </c>
    </row>
    <row r="61" spans="1:26" ht="24.95" customHeight="1" x14ac:dyDescent="0.25">
      <c r="A61" s="65"/>
      <c r="B61" s="2">
        <v>58</v>
      </c>
      <c r="C61" s="1" t="s">
        <v>77</v>
      </c>
      <c r="D61" s="1" t="s">
        <v>31</v>
      </c>
      <c r="E61" s="4">
        <v>4400000</v>
      </c>
      <c r="F61" s="3">
        <v>30</v>
      </c>
      <c r="G61" s="3">
        <f>+E61-L61</f>
        <v>4400000</v>
      </c>
      <c r="H61" s="4"/>
      <c r="I61" s="4"/>
      <c r="J61" s="4"/>
      <c r="K61" s="4"/>
      <c r="L61" s="4"/>
      <c r="M61" s="4">
        <f t="shared" si="2"/>
        <v>4400000</v>
      </c>
      <c r="N61" s="4">
        <f>E61*4/100</f>
        <v>176000</v>
      </c>
      <c r="O61" s="4">
        <f>+E61*0.05</f>
        <v>220000</v>
      </c>
      <c r="P61" s="4"/>
      <c r="Q61" s="4"/>
      <c r="R61" s="4">
        <v>0</v>
      </c>
      <c r="S61" s="4"/>
      <c r="T61" s="4"/>
      <c r="U61" s="4">
        <v>141077</v>
      </c>
      <c r="V61" s="4">
        <f t="shared" si="7"/>
        <v>537077</v>
      </c>
      <c r="W61" s="5">
        <f t="shared" si="26"/>
        <v>3862923</v>
      </c>
    </row>
    <row r="62" spans="1:26" ht="24.95" customHeight="1" x14ac:dyDescent="0.25">
      <c r="A62" s="65"/>
      <c r="B62" s="2">
        <v>59</v>
      </c>
      <c r="C62" s="1" t="s">
        <v>78</v>
      </c>
      <c r="D62" s="1" t="s">
        <v>31</v>
      </c>
      <c r="E62" s="4">
        <v>6000000</v>
      </c>
      <c r="F62" s="3">
        <v>30</v>
      </c>
      <c r="G62" s="3">
        <f t="shared" si="1"/>
        <v>6000000</v>
      </c>
      <c r="H62" s="4"/>
      <c r="I62" s="4"/>
      <c r="J62" s="4"/>
      <c r="K62" s="4">
        <v>400000</v>
      </c>
      <c r="L62" s="4"/>
      <c r="M62" s="4">
        <f t="shared" si="2"/>
        <v>6400000</v>
      </c>
      <c r="N62" s="4">
        <f>E62*4/100</f>
        <v>240000</v>
      </c>
      <c r="O62" s="4">
        <f>+E62*0.05</f>
        <v>300000</v>
      </c>
      <c r="P62" s="4"/>
      <c r="Q62" s="4"/>
      <c r="R62" s="4">
        <v>97000</v>
      </c>
      <c r="S62" s="4"/>
      <c r="T62" s="4"/>
      <c r="U62" s="4"/>
      <c r="V62" s="4">
        <f t="shared" si="7"/>
        <v>637000</v>
      </c>
      <c r="W62" s="5">
        <f t="shared" si="26"/>
        <v>5763000</v>
      </c>
    </row>
    <row r="63" spans="1:26" ht="24.95" customHeight="1" x14ac:dyDescent="0.25">
      <c r="A63" s="65"/>
      <c r="B63" s="2">
        <v>60</v>
      </c>
      <c r="C63" s="1" t="s">
        <v>154</v>
      </c>
      <c r="D63" s="1" t="s">
        <v>31</v>
      </c>
      <c r="E63" s="4">
        <v>4000000</v>
      </c>
      <c r="F63" s="3">
        <v>30</v>
      </c>
      <c r="G63" s="3">
        <f t="shared" si="1"/>
        <v>4000000.0000000005</v>
      </c>
      <c r="H63" s="4"/>
      <c r="I63" s="4"/>
      <c r="J63" s="4"/>
      <c r="K63" s="4"/>
      <c r="L63" s="4"/>
      <c r="M63" s="4">
        <f t="shared" si="2"/>
        <v>4000000.0000000005</v>
      </c>
      <c r="N63" s="4">
        <f>G63*4/100</f>
        <v>160000.00000000003</v>
      </c>
      <c r="O63" s="4">
        <f>+G63*0.05</f>
        <v>200000.00000000003</v>
      </c>
      <c r="P63" s="4"/>
      <c r="Q63" s="4"/>
      <c r="R63" s="4"/>
      <c r="S63" s="4"/>
      <c r="T63" s="4"/>
      <c r="U63" s="4"/>
      <c r="V63" s="4">
        <f t="shared" ref="V63" si="28">SUM(N63:U63)</f>
        <v>360000.00000000006</v>
      </c>
      <c r="W63" s="5">
        <f t="shared" si="26"/>
        <v>3640000.0000000005</v>
      </c>
    </row>
    <row r="64" spans="1:26" ht="24.95" customHeight="1" x14ac:dyDescent="0.25">
      <c r="A64" s="65"/>
      <c r="B64" s="2">
        <v>61</v>
      </c>
      <c r="C64" s="1" t="s">
        <v>178</v>
      </c>
      <c r="D64" s="1" t="s">
        <v>31</v>
      </c>
      <c r="E64" s="4">
        <v>5500000</v>
      </c>
      <c r="F64" s="3">
        <v>19</v>
      </c>
      <c r="G64" s="3">
        <f t="shared" si="1"/>
        <v>3483333.3333333335</v>
      </c>
      <c r="H64" s="4"/>
      <c r="I64" s="4"/>
      <c r="J64" s="4">
        <v>290278</v>
      </c>
      <c r="K64" s="4"/>
      <c r="L64" s="4">
        <v>0</v>
      </c>
      <c r="M64" s="4">
        <f t="shared" si="2"/>
        <v>3773611.3333333335</v>
      </c>
      <c r="N64" s="4">
        <f>G64*4/100</f>
        <v>139333.33333333334</v>
      </c>
      <c r="O64" s="4">
        <f>+G64*0.05</f>
        <v>174166.66666666669</v>
      </c>
      <c r="P64" s="4"/>
      <c r="Q64" s="4"/>
      <c r="R64" s="4"/>
      <c r="S64" s="4"/>
      <c r="T64" s="4"/>
      <c r="U64" s="4"/>
      <c r="V64" s="4">
        <f t="shared" si="7"/>
        <v>313500</v>
      </c>
      <c r="W64" s="5">
        <f>M64-V64</f>
        <v>3460111.3333333335</v>
      </c>
    </row>
    <row r="65" spans="1:23" ht="24.95" customHeight="1" x14ac:dyDescent="0.25">
      <c r="A65" s="65"/>
      <c r="B65" s="2">
        <v>62</v>
      </c>
      <c r="C65" s="1" t="s">
        <v>80</v>
      </c>
      <c r="D65" s="1" t="s">
        <v>31</v>
      </c>
      <c r="E65" s="4">
        <v>6000000</v>
      </c>
      <c r="F65" s="3">
        <v>30</v>
      </c>
      <c r="G65" s="3">
        <f t="shared" si="1"/>
        <v>6000000</v>
      </c>
      <c r="H65" s="4"/>
      <c r="I65" s="4"/>
      <c r="J65" s="4"/>
      <c r="K65" s="4">
        <v>400000</v>
      </c>
      <c r="L65" s="4"/>
      <c r="M65" s="4">
        <f t="shared" si="2"/>
        <v>6400000</v>
      </c>
      <c r="N65" s="4">
        <f t="shared" si="18"/>
        <v>240000</v>
      </c>
      <c r="O65" s="4">
        <f t="shared" si="19"/>
        <v>300000</v>
      </c>
      <c r="P65" s="4"/>
      <c r="Q65" s="4"/>
      <c r="R65" s="4">
        <v>120000</v>
      </c>
      <c r="S65" s="4"/>
      <c r="T65" s="4"/>
      <c r="U65" s="4"/>
      <c r="V65" s="4">
        <f t="shared" si="7"/>
        <v>660000</v>
      </c>
      <c r="W65" s="5">
        <f>M65-V65</f>
        <v>5740000</v>
      </c>
    </row>
    <row r="66" spans="1:23" ht="24.95" customHeight="1" x14ac:dyDescent="0.25">
      <c r="A66" s="65"/>
      <c r="B66" s="2">
        <v>63</v>
      </c>
      <c r="C66" s="1" t="s">
        <v>81</v>
      </c>
      <c r="D66" s="1" t="s">
        <v>31</v>
      </c>
      <c r="E66" s="4">
        <v>4800000</v>
      </c>
      <c r="F66" s="3">
        <v>30</v>
      </c>
      <c r="G66" s="3">
        <f>+E66-L66</f>
        <v>4800000</v>
      </c>
      <c r="H66" s="4"/>
      <c r="I66" s="4"/>
      <c r="J66" s="4"/>
      <c r="K66" s="4"/>
      <c r="L66" s="4"/>
      <c r="M66" s="4">
        <f t="shared" si="2"/>
        <v>4800000</v>
      </c>
      <c r="N66" s="4">
        <f>+E66*4%</f>
        <v>192000</v>
      </c>
      <c r="O66" s="4">
        <f>+E66*5%</f>
        <v>240000</v>
      </c>
      <c r="P66" s="4"/>
      <c r="Q66" s="4"/>
      <c r="R66" s="4">
        <v>0</v>
      </c>
      <c r="S66" s="4"/>
      <c r="T66" s="4"/>
      <c r="U66" s="4"/>
      <c r="V66" s="4">
        <f t="shared" si="7"/>
        <v>432000</v>
      </c>
      <c r="W66" s="5">
        <f>+M66-V66</f>
        <v>4368000</v>
      </c>
    </row>
    <row r="67" spans="1:23" ht="24.95" customHeight="1" x14ac:dyDescent="0.25">
      <c r="A67" s="65"/>
      <c r="B67" s="2">
        <v>64</v>
      </c>
      <c r="C67" s="1" t="s">
        <v>155</v>
      </c>
      <c r="D67" s="1" t="s">
        <v>31</v>
      </c>
      <c r="E67" s="4">
        <v>4500000</v>
      </c>
      <c r="F67" s="3">
        <v>30</v>
      </c>
      <c r="G67" s="3">
        <f t="shared" si="1"/>
        <v>4500000</v>
      </c>
      <c r="H67" s="4"/>
      <c r="I67" s="4"/>
      <c r="J67" s="4"/>
      <c r="K67" s="4"/>
      <c r="L67" s="4"/>
      <c r="M67" s="4">
        <f t="shared" si="2"/>
        <v>4500000</v>
      </c>
      <c r="N67" s="4">
        <f>+G67*4%</f>
        <v>180000</v>
      </c>
      <c r="O67" s="4">
        <f>+G67*5%</f>
        <v>225000</v>
      </c>
      <c r="P67" s="4"/>
      <c r="Q67" s="4"/>
      <c r="R67" s="4"/>
      <c r="S67" s="4"/>
      <c r="T67" s="4"/>
      <c r="U67" s="4"/>
      <c r="V67" s="4">
        <f t="shared" ref="V67" si="29">SUM(N67:U67)</f>
        <v>405000</v>
      </c>
      <c r="W67" s="5">
        <f>+M67-V67</f>
        <v>4095000</v>
      </c>
    </row>
    <row r="68" spans="1:23" ht="24.95" customHeight="1" x14ac:dyDescent="0.25">
      <c r="A68" s="65"/>
      <c r="B68" s="2">
        <v>65</v>
      </c>
      <c r="C68" s="1" t="s">
        <v>82</v>
      </c>
      <c r="D68" s="1" t="s">
        <v>31</v>
      </c>
      <c r="E68" s="4">
        <v>6500000</v>
      </c>
      <c r="F68" s="3">
        <v>30</v>
      </c>
      <c r="G68" s="3">
        <f t="shared" si="1"/>
        <v>6500000</v>
      </c>
      <c r="H68" s="4"/>
      <c r="I68" s="4"/>
      <c r="J68" s="4"/>
      <c r="K68" s="4"/>
      <c r="L68" s="4"/>
      <c r="M68" s="4">
        <f t="shared" si="2"/>
        <v>6500000</v>
      </c>
      <c r="N68" s="4">
        <f>+E68*0.04</f>
        <v>260000</v>
      </c>
      <c r="O68" s="4">
        <f>+E68*0.05</f>
        <v>325000</v>
      </c>
      <c r="P68" s="4"/>
      <c r="Q68" s="4">
        <v>147000</v>
      </c>
      <c r="R68" s="4">
        <v>207372</v>
      </c>
      <c r="S68" s="4"/>
      <c r="T68" s="4"/>
      <c r="U68" s="4"/>
      <c r="V68" s="4">
        <f t="shared" si="7"/>
        <v>939372</v>
      </c>
      <c r="W68" s="5">
        <f>M68-V68</f>
        <v>5560628</v>
      </c>
    </row>
    <row r="69" spans="1:23" ht="24.95" customHeight="1" x14ac:dyDescent="0.25">
      <c r="A69" s="65" t="s">
        <v>83</v>
      </c>
      <c r="B69" s="2">
        <v>1</v>
      </c>
      <c r="C69" s="1" t="s">
        <v>84</v>
      </c>
      <c r="D69" s="1" t="s">
        <v>31</v>
      </c>
      <c r="E69" s="4">
        <v>912000</v>
      </c>
      <c r="F69" s="3">
        <v>30</v>
      </c>
      <c r="G69" s="3">
        <f t="shared" si="1"/>
        <v>912000</v>
      </c>
      <c r="H69" s="4">
        <v>88211</v>
      </c>
      <c r="I69" s="4"/>
      <c r="J69" s="4"/>
      <c r="K69" s="4"/>
      <c r="L69" s="4"/>
      <c r="M69" s="4">
        <f t="shared" si="2"/>
        <v>1000211</v>
      </c>
      <c r="N69" s="4">
        <f>+E69*0.04</f>
        <v>36480</v>
      </c>
      <c r="O69" s="4">
        <f>+E69*0.04</f>
        <v>36480</v>
      </c>
      <c r="P69" s="4"/>
      <c r="Q69" s="4"/>
      <c r="R69" s="4"/>
      <c r="S69" s="4"/>
      <c r="T69" s="4"/>
      <c r="U69" s="4"/>
      <c r="V69" s="4">
        <f>SUM(N69:U69)</f>
        <v>72960</v>
      </c>
      <c r="W69" s="5">
        <f>M69-V69</f>
        <v>927251</v>
      </c>
    </row>
    <row r="70" spans="1:23" ht="24.95" customHeight="1" x14ac:dyDescent="0.25">
      <c r="A70" s="65"/>
      <c r="B70" s="2">
        <v>2</v>
      </c>
      <c r="C70" s="1" t="s">
        <v>85</v>
      </c>
      <c r="D70" s="1" t="s">
        <v>31</v>
      </c>
      <c r="E70" s="4">
        <v>3000000</v>
      </c>
      <c r="F70" s="3">
        <v>30</v>
      </c>
      <c r="G70" s="3">
        <f t="shared" si="1"/>
        <v>3000000</v>
      </c>
      <c r="H70" s="4"/>
      <c r="I70" s="4"/>
      <c r="J70" s="4"/>
      <c r="K70" s="4"/>
      <c r="L70" s="4">
        <f>+E70-G70</f>
        <v>0</v>
      </c>
      <c r="M70" s="4">
        <f t="shared" si="2"/>
        <v>3000000</v>
      </c>
      <c r="N70" s="4">
        <f>+E70*0.04</f>
        <v>120000</v>
      </c>
      <c r="O70" s="4">
        <f>+E70*0.04</f>
        <v>120000</v>
      </c>
      <c r="P70" s="4"/>
      <c r="Q70" s="4"/>
      <c r="R70" s="4"/>
      <c r="S70" s="4"/>
      <c r="T70" s="4"/>
      <c r="U70" s="4"/>
      <c r="V70" s="4">
        <f t="shared" ref="V70:V117" si="30">SUM(N70:U70)</f>
        <v>240000</v>
      </c>
      <c r="W70" s="5">
        <f>M70-V70</f>
        <v>2760000</v>
      </c>
    </row>
    <row r="71" spans="1:23" ht="24.95" customHeight="1" x14ac:dyDescent="0.25">
      <c r="A71" s="65"/>
      <c r="B71" s="2">
        <v>3</v>
      </c>
      <c r="C71" s="9" t="s">
        <v>86</v>
      </c>
      <c r="D71" s="1" t="s">
        <v>31</v>
      </c>
      <c r="E71" s="4">
        <v>2500000</v>
      </c>
      <c r="F71" s="3">
        <v>30</v>
      </c>
      <c r="G71" s="3">
        <f t="shared" si="1"/>
        <v>2500000</v>
      </c>
      <c r="H71" s="4"/>
      <c r="I71" s="4"/>
      <c r="J71" s="4">
        <v>0</v>
      </c>
      <c r="K71" s="4"/>
      <c r="L71" s="4"/>
      <c r="M71" s="4">
        <f t="shared" si="2"/>
        <v>2500000</v>
      </c>
      <c r="N71" s="4">
        <f>+E71*4%</f>
        <v>100000</v>
      </c>
      <c r="O71" s="4">
        <f>+E71*4%</f>
        <v>100000</v>
      </c>
      <c r="P71" s="4"/>
      <c r="Q71" s="4"/>
      <c r="R71" s="4"/>
      <c r="S71" s="4"/>
      <c r="T71" s="4"/>
      <c r="U71" s="4"/>
      <c r="V71" s="4">
        <f t="shared" si="30"/>
        <v>200000</v>
      </c>
      <c r="W71" s="5">
        <f>M71-V71</f>
        <v>2300000</v>
      </c>
    </row>
    <row r="72" spans="1:23" ht="24.95" customHeight="1" x14ac:dyDescent="0.25">
      <c r="A72" s="65"/>
      <c r="B72" s="2">
        <v>4</v>
      </c>
      <c r="C72" s="1" t="s">
        <v>87</v>
      </c>
      <c r="D72" s="1" t="s">
        <v>31</v>
      </c>
      <c r="E72" s="4">
        <v>3000000</v>
      </c>
      <c r="F72" s="3">
        <v>30</v>
      </c>
      <c r="G72" s="3">
        <f t="shared" si="1"/>
        <v>3000000</v>
      </c>
      <c r="H72" s="4">
        <v>0</v>
      </c>
      <c r="I72" s="4"/>
      <c r="J72" s="4"/>
      <c r="K72" s="4"/>
      <c r="L72" s="4"/>
      <c r="M72" s="4">
        <f t="shared" si="2"/>
        <v>3000000</v>
      </c>
      <c r="N72" s="4">
        <f>+E72*4%</f>
        <v>120000</v>
      </c>
      <c r="O72" s="4">
        <f>+E72*4%</f>
        <v>120000</v>
      </c>
      <c r="P72" s="4"/>
      <c r="Q72" s="4">
        <v>1380000</v>
      </c>
      <c r="R72" s="7"/>
      <c r="S72" s="4"/>
      <c r="T72" s="4"/>
      <c r="U72" s="4"/>
      <c r="V72" s="4">
        <f t="shared" si="30"/>
        <v>1620000</v>
      </c>
      <c r="W72" s="5">
        <f t="shared" ref="W72:W82" si="31">+M72-V72</f>
        <v>1380000</v>
      </c>
    </row>
    <row r="73" spans="1:23" ht="24.95" customHeight="1" x14ac:dyDescent="0.25">
      <c r="A73" s="65"/>
      <c r="B73" s="2">
        <v>5</v>
      </c>
      <c r="C73" s="1" t="s">
        <v>156</v>
      </c>
      <c r="D73" s="1" t="s">
        <v>31</v>
      </c>
      <c r="E73" s="4">
        <v>781242</v>
      </c>
      <c r="F73" s="3">
        <v>30</v>
      </c>
      <c r="G73" s="3">
        <f t="shared" si="1"/>
        <v>781242</v>
      </c>
      <c r="H73" s="4"/>
      <c r="I73" s="4"/>
      <c r="J73" s="4"/>
      <c r="K73" s="4"/>
      <c r="L73" s="4"/>
      <c r="M73" s="4">
        <f t="shared" si="2"/>
        <v>781242</v>
      </c>
      <c r="N73" s="4">
        <v>0</v>
      </c>
      <c r="O73" s="4">
        <v>0</v>
      </c>
      <c r="P73" s="4"/>
      <c r="Q73" s="4"/>
      <c r="R73" s="7"/>
      <c r="S73" s="4"/>
      <c r="T73" s="4"/>
      <c r="U73" s="4"/>
      <c r="V73" s="4">
        <f t="shared" ref="V73" si="32">SUM(N73:U73)</f>
        <v>0</v>
      </c>
      <c r="W73" s="5">
        <f t="shared" si="31"/>
        <v>781242</v>
      </c>
    </row>
    <row r="74" spans="1:23" ht="24.95" customHeight="1" x14ac:dyDescent="0.25">
      <c r="A74" s="65"/>
      <c r="B74" s="2">
        <v>6</v>
      </c>
      <c r="C74" s="1" t="s">
        <v>89</v>
      </c>
      <c r="D74" s="1" t="s">
        <v>31</v>
      </c>
      <c r="E74" s="4">
        <v>2200000</v>
      </c>
      <c r="F74" s="3">
        <v>30</v>
      </c>
      <c r="G74" s="3">
        <f>+E74-L74</f>
        <v>2200000</v>
      </c>
      <c r="H74" s="4"/>
      <c r="I74" s="4"/>
      <c r="J74" s="4"/>
      <c r="K74" s="4"/>
      <c r="L74" s="4"/>
      <c r="M74" s="4">
        <f t="shared" si="2"/>
        <v>2200000</v>
      </c>
      <c r="N74" s="4">
        <f>+E74*4%</f>
        <v>88000</v>
      </c>
      <c r="O74" s="4">
        <f>+E74*4%</f>
        <v>88000</v>
      </c>
      <c r="P74" s="4">
        <v>10000</v>
      </c>
      <c r="Q74" s="4"/>
      <c r="R74" s="7"/>
      <c r="S74" s="4"/>
      <c r="T74" s="4"/>
      <c r="U74" s="4"/>
      <c r="V74" s="4">
        <f t="shared" si="30"/>
        <v>186000</v>
      </c>
      <c r="W74" s="5">
        <f t="shared" si="31"/>
        <v>2014000</v>
      </c>
    </row>
    <row r="75" spans="1:23" ht="24.95" customHeight="1" x14ac:dyDescent="0.25">
      <c r="A75" s="65"/>
      <c r="B75" s="2">
        <v>7</v>
      </c>
      <c r="C75" s="1" t="s">
        <v>90</v>
      </c>
      <c r="D75" s="1" t="s">
        <v>31</v>
      </c>
      <c r="E75" s="4">
        <v>1800000</v>
      </c>
      <c r="F75" s="3">
        <v>30</v>
      </c>
      <c r="G75" s="3">
        <f>+E75-L75</f>
        <v>1800000</v>
      </c>
      <c r="H75" s="4">
        <v>0</v>
      </c>
      <c r="I75" s="4"/>
      <c r="J75" s="4"/>
      <c r="K75" s="4"/>
      <c r="L75" s="4"/>
      <c r="M75" s="4">
        <f t="shared" si="2"/>
        <v>1800000</v>
      </c>
      <c r="N75" s="4">
        <f>+E75*4%</f>
        <v>72000</v>
      </c>
      <c r="O75" s="4">
        <f>+E75*4%</f>
        <v>72000</v>
      </c>
      <c r="P75" s="4"/>
      <c r="Q75" s="4"/>
      <c r="R75" s="4">
        <v>0</v>
      </c>
      <c r="S75" s="4"/>
      <c r="T75" s="4"/>
      <c r="U75" s="4">
        <v>252510</v>
      </c>
      <c r="V75" s="4">
        <f t="shared" si="30"/>
        <v>396510</v>
      </c>
      <c r="W75" s="5">
        <f t="shared" si="31"/>
        <v>1403490</v>
      </c>
    </row>
    <row r="76" spans="1:23" ht="24.95" customHeight="1" x14ac:dyDescent="0.25">
      <c r="A76" s="65"/>
      <c r="B76" s="2">
        <v>8</v>
      </c>
      <c r="C76" s="1" t="s">
        <v>91</v>
      </c>
      <c r="D76" s="1" t="s">
        <v>31</v>
      </c>
      <c r="E76" s="4">
        <v>781242</v>
      </c>
      <c r="F76" s="3">
        <v>30</v>
      </c>
      <c r="G76" s="3">
        <f t="shared" si="1"/>
        <v>781242</v>
      </c>
      <c r="H76" s="4">
        <v>88211</v>
      </c>
      <c r="I76" s="4"/>
      <c r="J76" s="4"/>
      <c r="K76" s="4"/>
      <c r="L76" s="4"/>
      <c r="M76" s="4">
        <f t="shared" si="2"/>
        <v>869453</v>
      </c>
      <c r="N76" s="4">
        <v>31250</v>
      </c>
      <c r="O76" s="4">
        <v>31250</v>
      </c>
      <c r="P76" s="4"/>
      <c r="Q76" s="4"/>
      <c r="R76" s="7"/>
      <c r="S76" s="4"/>
      <c r="T76" s="4"/>
      <c r="U76" s="4"/>
      <c r="V76" s="4">
        <f t="shared" si="30"/>
        <v>62500</v>
      </c>
      <c r="W76" s="5">
        <f t="shared" si="31"/>
        <v>806953</v>
      </c>
    </row>
    <row r="77" spans="1:23" ht="24.95" customHeight="1" x14ac:dyDescent="0.25">
      <c r="A77" s="65"/>
      <c r="B77" s="2">
        <v>9</v>
      </c>
      <c r="C77" s="1" t="s">
        <v>92</v>
      </c>
      <c r="D77" s="1" t="s">
        <v>31</v>
      </c>
      <c r="E77" s="4">
        <v>3000000</v>
      </c>
      <c r="F77" s="3">
        <v>30</v>
      </c>
      <c r="G77" s="3">
        <f>+E77-L77</f>
        <v>3000000</v>
      </c>
      <c r="H77" s="4"/>
      <c r="I77" s="4"/>
      <c r="J77" s="4"/>
      <c r="K77" s="4"/>
      <c r="L77" s="4"/>
      <c r="M77" s="4">
        <f t="shared" si="2"/>
        <v>3000000</v>
      </c>
      <c r="N77" s="4">
        <f t="shared" ref="N77:N82" si="33">+E77*4%</f>
        <v>120000</v>
      </c>
      <c r="O77" s="4">
        <f>+E77*4%</f>
        <v>120000</v>
      </c>
      <c r="P77" s="4"/>
      <c r="Q77" s="4"/>
      <c r="R77" s="4"/>
      <c r="S77" s="4"/>
      <c r="T77" s="4"/>
      <c r="U77" s="4"/>
      <c r="V77" s="4">
        <f t="shared" si="30"/>
        <v>240000</v>
      </c>
      <c r="W77" s="5">
        <f t="shared" si="31"/>
        <v>2760000</v>
      </c>
    </row>
    <row r="78" spans="1:23" ht="24.95" customHeight="1" x14ac:dyDescent="0.25">
      <c r="A78" s="65"/>
      <c r="B78" s="2">
        <v>10</v>
      </c>
      <c r="C78" s="1" t="s">
        <v>94</v>
      </c>
      <c r="D78" s="1" t="s">
        <v>31</v>
      </c>
      <c r="E78" s="4">
        <v>2500000</v>
      </c>
      <c r="F78" s="3">
        <v>30</v>
      </c>
      <c r="G78" s="3">
        <f>+E78-L78</f>
        <v>1833333</v>
      </c>
      <c r="H78" s="4"/>
      <c r="I78" s="4"/>
      <c r="J78" s="4"/>
      <c r="K78" s="4">
        <v>700000</v>
      </c>
      <c r="L78" s="4">
        <v>666667</v>
      </c>
      <c r="M78" s="4">
        <f t="shared" si="2"/>
        <v>3200000</v>
      </c>
      <c r="N78" s="4">
        <f t="shared" si="33"/>
        <v>100000</v>
      </c>
      <c r="O78" s="4">
        <f>+E78*4%</f>
        <v>100000</v>
      </c>
      <c r="P78" s="4"/>
      <c r="Q78" s="4"/>
      <c r="R78" s="4">
        <v>0</v>
      </c>
      <c r="S78" s="4"/>
      <c r="T78" s="4"/>
      <c r="U78" s="4">
        <f>200210+224445</f>
        <v>424655</v>
      </c>
      <c r="V78" s="4">
        <f t="shared" si="30"/>
        <v>624655</v>
      </c>
      <c r="W78" s="5">
        <f t="shared" si="31"/>
        <v>2575345</v>
      </c>
    </row>
    <row r="79" spans="1:23" ht="24.95" customHeight="1" x14ac:dyDescent="0.25">
      <c r="A79" s="65"/>
      <c r="B79" s="2">
        <v>11</v>
      </c>
      <c r="C79" s="1" t="s">
        <v>95</v>
      </c>
      <c r="D79" s="1" t="s">
        <v>31</v>
      </c>
      <c r="E79" s="4">
        <v>4000000</v>
      </c>
      <c r="F79" s="3">
        <v>30</v>
      </c>
      <c r="G79" s="3">
        <f t="shared" si="1"/>
        <v>4000000.0000000005</v>
      </c>
      <c r="H79" s="4"/>
      <c r="I79" s="4"/>
      <c r="J79" s="4"/>
      <c r="K79" s="4"/>
      <c r="L79" s="4"/>
      <c r="M79" s="4">
        <f t="shared" si="2"/>
        <v>4000000.0000000005</v>
      </c>
      <c r="N79" s="4">
        <f t="shared" si="33"/>
        <v>160000</v>
      </c>
      <c r="O79" s="4">
        <f>+E79*5%</f>
        <v>200000</v>
      </c>
      <c r="P79" s="4">
        <v>0</v>
      </c>
      <c r="Q79" s="4"/>
      <c r="R79" s="4">
        <v>0</v>
      </c>
      <c r="S79" s="4"/>
      <c r="T79" s="4"/>
      <c r="U79" s="4">
        <v>422966</v>
      </c>
      <c r="V79" s="4">
        <f t="shared" si="30"/>
        <v>782966</v>
      </c>
      <c r="W79" s="5">
        <f t="shared" si="31"/>
        <v>3217034.0000000005</v>
      </c>
    </row>
    <row r="80" spans="1:23" ht="24.95" customHeight="1" x14ac:dyDescent="0.25">
      <c r="A80" s="65"/>
      <c r="B80" s="2">
        <v>12</v>
      </c>
      <c r="C80" s="1" t="s">
        <v>96</v>
      </c>
      <c r="D80" s="1" t="s">
        <v>31</v>
      </c>
      <c r="E80" s="4">
        <v>1500000</v>
      </c>
      <c r="F80" s="3">
        <v>30</v>
      </c>
      <c r="G80" s="3">
        <f>+E80-J80</f>
        <v>1500000</v>
      </c>
      <c r="H80" s="4">
        <v>88211</v>
      </c>
      <c r="I80" s="4"/>
      <c r="J80" s="4"/>
      <c r="K80" s="4"/>
      <c r="L80" s="4"/>
      <c r="M80" s="4">
        <f t="shared" si="2"/>
        <v>1588211</v>
      </c>
      <c r="N80" s="4">
        <f>+E80*4%</f>
        <v>60000</v>
      </c>
      <c r="O80" s="4">
        <f>+E80*4%</f>
        <v>60000</v>
      </c>
      <c r="P80" s="4"/>
      <c r="Q80" s="4"/>
      <c r="R80" s="4">
        <v>0</v>
      </c>
      <c r="S80" s="4"/>
      <c r="T80" s="4"/>
      <c r="U80" s="4"/>
      <c r="V80" s="4">
        <f t="shared" si="30"/>
        <v>120000</v>
      </c>
      <c r="W80" s="5">
        <f t="shared" si="31"/>
        <v>1468211</v>
      </c>
    </row>
    <row r="81" spans="1:23" ht="24.95" customHeight="1" x14ac:dyDescent="0.25">
      <c r="A81" s="65"/>
      <c r="B81" s="2">
        <v>13</v>
      </c>
      <c r="C81" s="1" t="s">
        <v>97</v>
      </c>
      <c r="D81" s="1" t="s">
        <v>31</v>
      </c>
      <c r="E81" s="4">
        <v>3000000</v>
      </c>
      <c r="F81" s="3">
        <v>30</v>
      </c>
      <c r="G81" s="3">
        <f t="shared" si="1"/>
        <v>3000000</v>
      </c>
      <c r="H81" s="4"/>
      <c r="I81" s="4"/>
      <c r="J81" s="4"/>
      <c r="K81" s="4">
        <v>200000</v>
      </c>
      <c r="L81" s="4"/>
      <c r="M81" s="4">
        <f t="shared" si="2"/>
        <v>3200000</v>
      </c>
      <c r="N81" s="4">
        <f t="shared" si="33"/>
        <v>120000</v>
      </c>
      <c r="O81" s="4">
        <f>+E81*0.04</f>
        <v>120000</v>
      </c>
      <c r="P81" s="4"/>
      <c r="Q81" s="4"/>
      <c r="R81" s="4">
        <v>0</v>
      </c>
      <c r="S81" s="4"/>
      <c r="T81" s="4"/>
      <c r="U81" s="4"/>
      <c r="V81" s="4">
        <f t="shared" si="30"/>
        <v>240000</v>
      </c>
      <c r="W81" s="5">
        <f t="shared" si="31"/>
        <v>2960000</v>
      </c>
    </row>
    <row r="82" spans="1:23" ht="24.95" customHeight="1" x14ac:dyDescent="0.25">
      <c r="A82" s="65"/>
      <c r="B82" s="2">
        <v>14</v>
      </c>
      <c r="C82" s="1" t="s">
        <v>98</v>
      </c>
      <c r="D82" s="1" t="s">
        <v>31</v>
      </c>
      <c r="E82" s="4">
        <v>2000000</v>
      </c>
      <c r="F82" s="3">
        <v>30</v>
      </c>
      <c r="G82" s="3">
        <f t="shared" si="1"/>
        <v>2000000.0000000002</v>
      </c>
      <c r="H82" s="4"/>
      <c r="I82" s="4"/>
      <c r="J82" s="4"/>
      <c r="K82" s="4"/>
      <c r="L82" s="4"/>
      <c r="M82" s="4">
        <f t="shared" si="2"/>
        <v>2000000.0000000002</v>
      </c>
      <c r="N82" s="4">
        <f t="shared" si="33"/>
        <v>80000</v>
      </c>
      <c r="O82" s="4">
        <f>+E82*4%</f>
        <v>80000</v>
      </c>
      <c r="P82" s="4"/>
      <c r="Q82" s="4"/>
      <c r="R82" s="4">
        <v>0</v>
      </c>
      <c r="S82" s="4"/>
      <c r="T82" s="4"/>
      <c r="U82" s="4"/>
      <c r="V82" s="4">
        <f t="shared" si="30"/>
        <v>160000</v>
      </c>
      <c r="W82" s="5">
        <f t="shared" si="31"/>
        <v>1840000.0000000002</v>
      </c>
    </row>
    <row r="83" spans="1:23" ht="24.95" customHeight="1" x14ac:dyDescent="0.25">
      <c r="A83" s="65"/>
      <c r="B83" s="2">
        <v>15</v>
      </c>
      <c r="C83" s="9" t="s">
        <v>99</v>
      </c>
      <c r="D83" s="1" t="s">
        <v>31</v>
      </c>
      <c r="E83" s="4">
        <v>4500000</v>
      </c>
      <c r="F83" s="3">
        <v>30</v>
      </c>
      <c r="G83" s="3">
        <f t="shared" si="1"/>
        <v>4500000</v>
      </c>
      <c r="H83" s="4"/>
      <c r="I83" s="4">
        <v>1218750</v>
      </c>
      <c r="K83" s="4"/>
      <c r="L83" s="4"/>
      <c r="M83" s="4">
        <f>+G83+H83+I83+K83+L83</f>
        <v>5718750</v>
      </c>
      <c r="N83" s="4">
        <f>+M83*4%</f>
        <v>228750</v>
      </c>
      <c r="O83" s="4">
        <f>+M83*5%</f>
        <v>285937.5</v>
      </c>
      <c r="P83" s="4"/>
      <c r="Q83" s="4"/>
      <c r="R83" s="4">
        <v>0</v>
      </c>
      <c r="S83" s="4"/>
      <c r="T83" s="4"/>
      <c r="U83" s="4"/>
      <c r="V83" s="4">
        <f t="shared" si="30"/>
        <v>514687.5</v>
      </c>
      <c r="W83" s="5">
        <f t="shared" ref="W83:W92" si="34">M83-V83</f>
        <v>5204062.5</v>
      </c>
    </row>
    <row r="84" spans="1:23" ht="24.95" customHeight="1" x14ac:dyDescent="0.25">
      <c r="A84" s="65"/>
      <c r="B84" s="2">
        <v>16</v>
      </c>
      <c r="C84" s="1" t="s">
        <v>101</v>
      </c>
      <c r="D84" s="1" t="s">
        <v>31</v>
      </c>
      <c r="E84" s="4">
        <v>1000000</v>
      </c>
      <c r="F84" s="3">
        <v>30</v>
      </c>
      <c r="G84" s="3">
        <f t="shared" si="1"/>
        <v>1000000.0000000001</v>
      </c>
      <c r="H84" s="4">
        <v>88211</v>
      </c>
      <c r="I84" s="4"/>
      <c r="J84" s="4"/>
      <c r="K84" s="4"/>
      <c r="L84" s="4"/>
      <c r="M84" s="4">
        <f t="shared" si="2"/>
        <v>1088211</v>
      </c>
      <c r="N84" s="4">
        <f>+E84*4%</f>
        <v>40000</v>
      </c>
      <c r="O84" s="4">
        <f>+E84*4%</f>
        <v>40000</v>
      </c>
      <c r="P84" s="4"/>
      <c r="Q84" s="4"/>
      <c r="R84" s="4"/>
      <c r="S84" s="4"/>
      <c r="T84" s="4"/>
      <c r="U84" s="4"/>
      <c r="V84" s="4">
        <f t="shared" si="30"/>
        <v>80000</v>
      </c>
      <c r="W84" s="5">
        <f t="shared" si="34"/>
        <v>1008211</v>
      </c>
    </row>
    <row r="85" spans="1:23" ht="24.95" customHeight="1" x14ac:dyDescent="0.25">
      <c r="A85" s="65"/>
      <c r="B85" s="2">
        <v>17</v>
      </c>
      <c r="C85" s="1" t="s">
        <v>170</v>
      </c>
      <c r="D85" s="1" t="s">
        <v>31</v>
      </c>
      <c r="E85" s="4">
        <v>390621</v>
      </c>
      <c r="F85" s="3">
        <v>30</v>
      </c>
      <c r="G85" s="3">
        <f t="shared" si="1"/>
        <v>390621</v>
      </c>
      <c r="H85" s="4"/>
      <c r="I85" s="4"/>
      <c r="J85" s="4"/>
      <c r="K85" s="4"/>
      <c r="L85" s="4"/>
      <c r="M85" s="4">
        <f t="shared" si="2"/>
        <v>390621</v>
      </c>
      <c r="N85" s="4"/>
      <c r="O85" s="4"/>
      <c r="P85" s="4"/>
      <c r="Q85" s="4"/>
      <c r="R85" s="4"/>
      <c r="S85" s="4"/>
      <c r="T85" s="4"/>
      <c r="U85" s="4"/>
      <c r="V85" s="4"/>
      <c r="W85" s="5">
        <f t="shared" si="34"/>
        <v>390621</v>
      </c>
    </row>
    <row r="86" spans="1:23" ht="24.95" customHeight="1" x14ac:dyDescent="0.25">
      <c r="A86" s="65"/>
      <c r="B86" s="2">
        <v>18</v>
      </c>
      <c r="C86" s="1" t="s">
        <v>103</v>
      </c>
      <c r="D86" s="1" t="s">
        <v>31</v>
      </c>
      <c r="E86" s="4">
        <v>4800000</v>
      </c>
      <c r="F86" s="3">
        <v>30</v>
      </c>
      <c r="G86" s="3">
        <f t="shared" ref="G86:G116" si="35">+E86/30*F86</f>
        <v>4800000</v>
      </c>
      <c r="H86" s="4"/>
      <c r="I86" s="4"/>
      <c r="J86" s="4"/>
      <c r="K86" s="4"/>
      <c r="L86" s="4"/>
      <c r="M86" s="4">
        <f t="shared" ref="M86:M117" si="36">+G86+H86+J86+K86+L86+I86</f>
        <v>4800000</v>
      </c>
      <c r="N86" s="4">
        <f>+E86*0.04</f>
        <v>192000</v>
      </c>
      <c r="O86" s="4">
        <f>+E86*0.05</f>
        <v>240000</v>
      </c>
      <c r="P86" s="4"/>
      <c r="Q86" s="4"/>
      <c r="R86" s="4">
        <v>31000</v>
      </c>
      <c r="S86" s="4"/>
      <c r="T86" s="4"/>
      <c r="U86" s="4"/>
      <c r="V86" s="4">
        <f t="shared" si="30"/>
        <v>463000</v>
      </c>
      <c r="W86" s="5">
        <f t="shared" si="34"/>
        <v>4337000</v>
      </c>
    </row>
    <row r="87" spans="1:23" ht="24.95" customHeight="1" x14ac:dyDescent="0.25">
      <c r="A87" s="65"/>
      <c r="B87" s="2">
        <v>19</v>
      </c>
      <c r="C87" s="1" t="s">
        <v>104</v>
      </c>
      <c r="D87" s="1" t="s">
        <v>31</v>
      </c>
      <c r="E87" s="4">
        <v>2500000</v>
      </c>
      <c r="F87" s="3">
        <v>30</v>
      </c>
      <c r="G87" s="3">
        <f t="shared" si="35"/>
        <v>2500000</v>
      </c>
      <c r="H87" s="4"/>
      <c r="I87" s="4"/>
      <c r="J87" s="4"/>
      <c r="K87" s="4"/>
      <c r="L87" s="4"/>
      <c r="M87" s="4">
        <f t="shared" si="36"/>
        <v>2500000</v>
      </c>
      <c r="N87" s="4">
        <f>+E87*4%</f>
        <v>100000</v>
      </c>
      <c r="O87" s="4">
        <f>+E87*4%</f>
        <v>100000</v>
      </c>
      <c r="P87" s="4"/>
      <c r="Q87" s="4"/>
      <c r="R87" s="4"/>
      <c r="S87" s="4"/>
      <c r="T87" s="4"/>
      <c r="U87" s="4"/>
      <c r="V87" s="4">
        <f t="shared" si="30"/>
        <v>200000</v>
      </c>
      <c r="W87" s="5">
        <f t="shared" si="34"/>
        <v>2300000</v>
      </c>
    </row>
    <row r="88" spans="1:23" ht="24.95" customHeight="1" x14ac:dyDescent="0.25">
      <c r="A88" s="65"/>
      <c r="B88" s="2">
        <v>20</v>
      </c>
      <c r="C88" s="1" t="s">
        <v>105</v>
      </c>
      <c r="D88" s="1" t="s">
        <v>31</v>
      </c>
      <c r="E88" s="4">
        <v>1272000</v>
      </c>
      <c r="F88" s="3">
        <v>30</v>
      </c>
      <c r="G88" s="3">
        <f t="shared" si="35"/>
        <v>1272000</v>
      </c>
      <c r="H88" s="4">
        <v>88211</v>
      </c>
      <c r="I88" s="4"/>
      <c r="J88" s="4"/>
      <c r="K88" s="4"/>
      <c r="L88" s="4"/>
      <c r="M88" s="4">
        <f t="shared" si="36"/>
        <v>1360211</v>
      </c>
      <c r="N88" s="4">
        <f>+E88*4%</f>
        <v>50880</v>
      </c>
      <c r="O88" s="4">
        <f>+E88*4%</f>
        <v>50880</v>
      </c>
      <c r="P88" s="4"/>
      <c r="Q88" s="4"/>
      <c r="R88" s="4"/>
      <c r="S88" s="4"/>
      <c r="T88" s="4"/>
      <c r="U88" s="4"/>
      <c r="V88" s="4">
        <f t="shared" si="30"/>
        <v>101760</v>
      </c>
      <c r="W88" s="5">
        <f t="shared" si="34"/>
        <v>1258451</v>
      </c>
    </row>
    <row r="89" spans="1:23" ht="24.95" customHeight="1" x14ac:dyDescent="0.25">
      <c r="A89" s="65"/>
      <c r="B89" s="2">
        <v>21</v>
      </c>
      <c r="C89" s="1" t="s">
        <v>106</v>
      </c>
      <c r="D89" s="1" t="s">
        <v>31</v>
      </c>
      <c r="E89" s="4">
        <v>2500000</v>
      </c>
      <c r="F89" s="3">
        <v>30</v>
      </c>
      <c r="G89" s="3">
        <f t="shared" si="35"/>
        <v>2500000</v>
      </c>
      <c r="H89" s="4"/>
      <c r="I89" s="4"/>
      <c r="J89" s="4"/>
      <c r="K89" s="4"/>
      <c r="L89" s="4"/>
      <c r="M89" s="4">
        <f t="shared" si="36"/>
        <v>2500000</v>
      </c>
      <c r="N89" s="4">
        <f>+E89*4%</f>
        <v>100000</v>
      </c>
      <c r="O89" s="4">
        <f>+E89*4%</f>
        <v>100000</v>
      </c>
      <c r="P89" s="4"/>
      <c r="Q89" s="4"/>
      <c r="R89" s="4">
        <v>0</v>
      </c>
      <c r="S89" s="4"/>
      <c r="T89" s="4"/>
      <c r="U89" s="4"/>
      <c r="V89" s="4">
        <f t="shared" si="30"/>
        <v>200000</v>
      </c>
      <c r="W89" s="5">
        <f t="shared" si="34"/>
        <v>2300000</v>
      </c>
    </row>
    <row r="90" spans="1:23" ht="24.95" customHeight="1" x14ac:dyDescent="0.25">
      <c r="A90" s="65"/>
      <c r="B90" s="2">
        <v>22</v>
      </c>
      <c r="C90" s="1" t="s">
        <v>107</v>
      </c>
      <c r="D90" s="1" t="s">
        <v>31</v>
      </c>
      <c r="E90" s="4">
        <v>781242</v>
      </c>
      <c r="F90" s="3">
        <v>30</v>
      </c>
      <c r="G90" s="3">
        <f t="shared" si="35"/>
        <v>781242</v>
      </c>
      <c r="H90" s="4"/>
      <c r="I90" s="4"/>
      <c r="J90" s="4"/>
      <c r="K90" s="4"/>
      <c r="L90" s="4"/>
      <c r="M90" s="4">
        <f t="shared" si="36"/>
        <v>781242</v>
      </c>
      <c r="N90" s="4"/>
      <c r="O90" s="4"/>
      <c r="P90" s="4"/>
      <c r="Q90" s="4"/>
      <c r="R90" s="4"/>
      <c r="S90" s="4"/>
      <c r="T90" s="4"/>
      <c r="U90" s="4"/>
      <c r="V90" s="4">
        <f t="shared" si="30"/>
        <v>0</v>
      </c>
      <c r="W90" s="5">
        <f t="shared" si="34"/>
        <v>781242</v>
      </c>
    </row>
    <row r="91" spans="1:23" ht="24.95" customHeight="1" x14ac:dyDescent="0.25">
      <c r="A91" s="65"/>
      <c r="B91" s="2">
        <v>23</v>
      </c>
      <c r="C91" s="9" t="s">
        <v>109</v>
      </c>
      <c r="D91" s="1" t="s">
        <v>31</v>
      </c>
      <c r="E91" s="4">
        <v>1700000</v>
      </c>
      <c r="F91" s="3">
        <v>30</v>
      </c>
      <c r="G91" s="3">
        <f t="shared" si="35"/>
        <v>1700000</v>
      </c>
      <c r="H91" s="4"/>
      <c r="I91" s="4"/>
      <c r="J91" s="4"/>
      <c r="K91" s="4"/>
      <c r="L91" s="4"/>
      <c r="M91" s="4">
        <f t="shared" si="36"/>
        <v>1700000</v>
      </c>
      <c r="N91" s="4">
        <f t="shared" ref="N91:N98" si="37">+E91*4%</f>
        <v>68000</v>
      </c>
      <c r="O91" s="4">
        <f>+E91*4%</f>
        <v>68000</v>
      </c>
      <c r="P91" s="4"/>
      <c r="Q91" s="4"/>
      <c r="R91" s="4"/>
      <c r="S91" s="4"/>
      <c r="T91" s="4"/>
      <c r="U91" s="4"/>
      <c r="V91" s="4">
        <f t="shared" si="30"/>
        <v>136000</v>
      </c>
      <c r="W91" s="5">
        <f t="shared" si="34"/>
        <v>1564000</v>
      </c>
    </row>
    <row r="92" spans="1:23" ht="24.95" customHeight="1" x14ac:dyDescent="0.25">
      <c r="A92" s="65"/>
      <c r="B92" s="2">
        <v>24</v>
      </c>
      <c r="C92" s="9" t="s">
        <v>110</v>
      </c>
      <c r="D92" s="1" t="s">
        <v>31</v>
      </c>
      <c r="E92" s="4">
        <v>2400000</v>
      </c>
      <c r="F92" s="3">
        <v>30</v>
      </c>
      <c r="G92" s="3">
        <f t="shared" si="35"/>
        <v>2400000</v>
      </c>
      <c r="H92" s="4"/>
      <c r="I92" s="4"/>
      <c r="J92" s="4"/>
      <c r="K92" s="4"/>
      <c r="L92" s="4">
        <f>+E92-G92</f>
        <v>0</v>
      </c>
      <c r="M92" s="4">
        <f t="shared" si="36"/>
        <v>2400000</v>
      </c>
      <c r="N92" s="4">
        <f t="shared" si="37"/>
        <v>96000</v>
      </c>
      <c r="O92" s="4">
        <f>+E92*4%</f>
        <v>96000</v>
      </c>
      <c r="P92" s="4"/>
      <c r="Q92" s="4"/>
      <c r="R92" s="4"/>
      <c r="S92" s="4"/>
      <c r="T92" s="4"/>
      <c r="U92" s="4">
        <v>242074</v>
      </c>
      <c r="V92" s="4">
        <f t="shared" si="30"/>
        <v>434074</v>
      </c>
      <c r="W92" s="5">
        <f t="shared" si="34"/>
        <v>1965926</v>
      </c>
    </row>
    <row r="93" spans="1:23" ht="24.95" customHeight="1" x14ac:dyDescent="0.25">
      <c r="A93" s="65"/>
      <c r="B93" s="2">
        <v>25</v>
      </c>
      <c r="C93" s="1" t="s">
        <v>111</v>
      </c>
      <c r="D93" s="1" t="s">
        <v>31</v>
      </c>
      <c r="E93" s="4">
        <v>2200000</v>
      </c>
      <c r="F93" s="3">
        <v>30</v>
      </c>
      <c r="G93" s="3">
        <f t="shared" si="35"/>
        <v>2200000</v>
      </c>
      <c r="H93" s="4"/>
      <c r="I93" s="4"/>
      <c r="J93" s="4"/>
      <c r="K93" s="4"/>
      <c r="L93" s="4"/>
      <c r="M93" s="4">
        <f t="shared" si="36"/>
        <v>2200000</v>
      </c>
      <c r="N93" s="4">
        <f t="shared" si="37"/>
        <v>88000</v>
      </c>
      <c r="O93" s="4">
        <f>+E93*4%</f>
        <v>88000</v>
      </c>
      <c r="P93" s="4"/>
      <c r="Q93" s="4"/>
      <c r="R93" s="4">
        <v>0</v>
      </c>
      <c r="S93" s="4"/>
      <c r="T93" s="4"/>
      <c r="U93" s="4"/>
      <c r="V93" s="4">
        <f t="shared" si="30"/>
        <v>176000</v>
      </c>
      <c r="W93" s="5">
        <f>+M93-V93</f>
        <v>2024000</v>
      </c>
    </row>
    <row r="94" spans="1:23" ht="24.95" customHeight="1" x14ac:dyDescent="0.25">
      <c r="A94" s="65"/>
      <c r="B94" s="2">
        <v>26</v>
      </c>
      <c r="C94" s="1" t="s">
        <v>114</v>
      </c>
      <c r="D94" s="1" t="s">
        <v>31</v>
      </c>
      <c r="E94" s="4">
        <v>5500000</v>
      </c>
      <c r="F94" s="3">
        <v>30</v>
      </c>
      <c r="G94" s="3">
        <f>+E94-L94</f>
        <v>3483333</v>
      </c>
      <c r="H94" s="4"/>
      <c r="I94" s="4"/>
      <c r="J94" s="4"/>
      <c r="K94" s="4">
        <v>500000</v>
      </c>
      <c r="L94" s="4">
        <v>2016667</v>
      </c>
      <c r="M94" s="4">
        <f t="shared" si="36"/>
        <v>6000000</v>
      </c>
      <c r="N94" s="4">
        <f>+E94*4%</f>
        <v>220000</v>
      </c>
      <c r="O94" s="4">
        <f>+E94*5%</f>
        <v>275000</v>
      </c>
      <c r="P94" s="4"/>
      <c r="Q94" s="4">
        <v>490000</v>
      </c>
      <c r="R94" s="7">
        <v>69147</v>
      </c>
      <c r="S94" s="4"/>
      <c r="T94" s="4"/>
      <c r="U94" s="4">
        <v>480989</v>
      </c>
      <c r="V94" s="4">
        <f t="shared" si="30"/>
        <v>1535136</v>
      </c>
      <c r="W94" s="5">
        <f t="shared" ref="W94:W97" si="38">+M94-V94</f>
        <v>4464864</v>
      </c>
    </row>
    <row r="95" spans="1:23" ht="24.95" customHeight="1" x14ac:dyDescent="0.25">
      <c r="A95" s="65"/>
      <c r="B95" s="2">
        <v>27</v>
      </c>
      <c r="C95" s="1" t="s">
        <v>116</v>
      </c>
      <c r="D95" s="1" t="s">
        <v>31</v>
      </c>
      <c r="E95" s="4">
        <v>781242</v>
      </c>
      <c r="F95" s="3">
        <v>30</v>
      </c>
      <c r="G95" s="3">
        <f t="shared" si="35"/>
        <v>781242</v>
      </c>
      <c r="H95" s="4">
        <v>88211</v>
      </c>
      <c r="I95" s="4"/>
      <c r="J95" s="4"/>
      <c r="K95" s="4"/>
      <c r="L95" s="4"/>
      <c r="M95" s="4">
        <f t="shared" si="36"/>
        <v>869453</v>
      </c>
      <c r="N95" s="4">
        <f t="shared" si="37"/>
        <v>31249.68</v>
      </c>
      <c r="O95" s="4">
        <f>+E95*4%</f>
        <v>31249.68</v>
      </c>
      <c r="P95" s="4"/>
      <c r="Q95" s="4"/>
      <c r="R95" s="7"/>
      <c r="S95" s="4"/>
      <c r="T95" s="4"/>
      <c r="U95" s="4"/>
      <c r="V95" s="4">
        <f t="shared" si="30"/>
        <v>62499.360000000001</v>
      </c>
      <c r="W95" s="5">
        <f t="shared" si="38"/>
        <v>806953.64</v>
      </c>
    </row>
    <row r="96" spans="1:23" ht="24.95" customHeight="1" x14ac:dyDescent="0.25">
      <c r="A96" s="65"/>
      <c r="B96" s="2">
        <v>28</v>
      </c>
      <c r="C96" s="1" t="s">
        <v>61</v>
      </c>
      <c r="D96" s="1" t="s">
        <v>31</v>
      </c>
      <c r="E96" s="4">
        <v>3500000</v>
      </c>
      <c r="F96" s="3">
        <v>30</v>
      </c>
      <c r="G96" s="3">
        <f>+E96-L96</f>
        <v>3500000</v>
      </c>
      <c r="H96" s="4"/>
      <c r="I96" s="4"/>
      <c r="J96" s="4"/>
      <c r="K96" s="4"/>
      <c r="L96" s="4"/>
      <c r="M96" s="4">
        <f>+G96+H96+J96+K96+L96+I96</f>
        <v>3500000</v>
      </c>
      <c r="N96" s="4">
        <f t="shared" ref="N96" si="39">E96*4/100</f>
        <v>140000</v>
      </c>
      <c r="O96" s="4">
        <f t="shared" ref="O96" si="40">+E96*0.05</f>
        <v>175000</v>
      </c>
      <c r="P96" s="4"/>
      <c r="Q96" s="4"/>
      <c r="R96" s="7">
        <v>0</v>
      </c>
      <c r="S96" s="4"/>
      <c r="T96" s="4">
        <v>111000</v>
      </c>
      <c r="U96" s="4"/>
      <c r="V96" s="4">
        <f t="shared" si="30"/>
        <v>426000</v>
      </c>
      <c r="W96" s="5">
        <f>M96-V96</f>
        <v>3074000</v>
      </c>
    </row>
    <row r="97" spans="1:23" ht="24.95" customHeight="1" x14ac:dyDescent="0.25">
      <c r="A97" s="65"/>
      <c r="B97" s="2">
        <v>29</v>
      </c>
      <c r="C97" s="1" t="s">
        <v>118</v>
      </c>
      <c r="D97" s="1" t="s">
        <v>31</v>
      </c>
      <c r="E97" s="4">
        <v>2200000</v>
      </c>
      <c r="F97" s="3">
        <v>30</v>
      </c>
      <c r="G97" s="3">
        <f t="shared" si="35"/>
        <v>2200000</v>
      </c>
      <c r="H97" s="4"/>
      <c r="I97" s="4"/>
      <c r="J97" s="4"/>
      <c r="K97" s="4"/>
      <c r="L97" s="4"/>
      <c r="M97" s="4">
        <f t="shared" si="36"/>
        <v>2200000</v>
      </c>
      <c r="N97" s="4">
        <f t="shared" si="37"/>
        <v>88000</v>
      </c>
      <c r="O97" s="4">
        <f>+E97*4%</f>
        <v>88000</v>
      </c>
      <c r="P97" s="4"/>
      <c r="Q97" s="4"/>
      <c r="R97" s="7">
        <v>0</v>
      </c>
      <c r="S97" s="4"/>
      <c r="T97" s="4"/>
      <c r="U97" s="4"/>
      <c r="V97" s="4">
        <f t="shared" si="30"/>
        <v>176000</v>
      </c>
      <c r="W97" s="5">
        <f t="shared" si="38"/>
        <v>2024000</v>
      </c>
    </row>
    <row r="98" spans="1:23" ht="24.95" customHeight="1" x14ac:dyDescent="0.25">
      <c r="A98" s="65"/>
      <c r="B98" s="2">
        <v>30</v>
      </c>
      <c r="C98" s="1" t="s">
        <v>122</v>
      </c>
      <c r="D98" s="1" t="s">
        <v>31</v>
      </c>
      <c r="E98" s="4">
        <v>3500000</v>
      </c>
      <c r="F98" s="3">
        <v>30</v>
      </c>
      <c r="G98" s="3">
        <f t="shared" si="35"/>
        <v>3500000</v>
      </c>
      <c r="H98" s="4"/>
      <c r="I98" s="4"/>
      <c r="J98" s="4"/>
      <c r="K98" s="4"/>
      <c r="L98" s="4"/>
      <c r="M98" s="4">
        <f t="shared" si="36"/>
        <v>3500000</v>
      </c>
      <c r="N98" s="4">
        <f t="shared" si="37"/>
        <v>140000</v>
      </c>
      <c r="O98" s="4">
        <f>+E98*5%</f>
        <v>175000</v>
      </c>
      <c r="P98" s="4">
        <v>0</v>
      </c>
      <c r="Q98" s="4"/>
      <c r="R98" s="4">
        <v>0</v>
      </c>
      <c r="S98" s="4"/>
      <c r="T98" s="4"/>
      <c r="U98" s="4"/>
      <c r="V98" s="4">
        <f t="shared" si="30"/>
        <v>315000</v>
      </c>
      <c r="W98" s="5">
        <f t="shared" ref="W98:W102" si="41">M98-V98</f>
        <v>3185000</v>
      </c>
    </row>
    <row r="99" spans="1:23" ht="24.95" customHeight="1" x14ac:dyDescent="0.25">
      <c r="A99" s="65"/>
      <c r="B99" s="2">
        <v>31</v>
      </c>
      <c r="C99" s="9" t="s">
        <v>124</v>
      </c>
      <c r="D99" s="1" t="s">
        <v>31</v>
      </c>
      <c r="E99" s="4">
        <v>781242</v>
      </c>
      <c r="F99" s="3">
        <v>30</v>
      </c>
      <c r="G99" s="3">
        <f>+E99</f>
        <v>781242</v>
      </c>
      <c r="H99" s="4">
        <v>88211</v>
      </c>
      <c r="I99" s="4">
        <v>83816</v>
      </c>
      <c r="J99" s="4"/>
      <c r="K99" s="4"/>
      <c r="L99" s="4"/>
      <c r="M99" s="4">
        <f>+G99+H99+J99+K99+L99+I99</f>
        <v>953269</v>
      </c>
      <c r="N99" s="4">
        <f>+E99*0.04</f>
        <v>31249.68</v>
      </c>
      <c r="O99" s="4">
        <f>+E99*0.04</f>
        <v>31249.68</v>
      </c>
      <c r="P99" s="4"/>
      <c r="Q99" s="4"/>
      <c r="R99" s="4">
        <v>0</v>
      </c>
      <c r="S99" s="4"/>
      <c r="T99" s="4"/>
      <c r="U99" s="4"/>
      <c r="V99" s="4">
        <f t="shared" si="30"/>
        <v>62499.360000000001</v>
      </c>
      <c r="W99" s="5">
        <f t="shared" si="41"/>
        <v>890769.64</v>
      </c>
    </row>
    <row r="100" spans="1:23" ht="24.95" customHeight="1" x14ac:dyDescent="0.25">
      <c r="A100" s="65"/>
      <c r="B100" s="2">
        <v>32</v>
      </c>
      <c r="C100" s="1" t="s">
        <v>157</v>
      </c>
      <c r="D100" s="1" t="s">
        <v>31</v>
      </c>
      <c r="E100" s="4">
        <v>781242</v>
      </c>
      <c r="F100" s="3">
        <v>30</v>
      </c>
      <c r="G100" s="3">
        <f t="shared" ref="G100" si="42">+E100/30*F100</f>
        <v>781242</v>
      </c>
      <c r="H100" s="4"/>
      <c r="I100" s="4"/>
      <c r="J100" s="4"/>
      <c r="K100" s="4"/>
      <c r="L100" s="4"/>
      <c r="M100" s="4">
        <f t="shared" ref="M100" si="43">+G100+H100+J100+K100+L100+I100</f>
        <v>781242</v>
      </c>
      <c r="N100" s="4">
        <v>0</v>
      </c>
      <c r="O100" s="4">
        <v>0</v>
      </c>
      <c r="P100" s="4">
        <v>0</v>
      </c>
      <c r="Q100" s="4"/>
      <c r="R100" s="4">
        <v>0</v>
      </c>
      <c r="S100" s="4"/>
      <c r="T100" s="4"/>
      <c r="U100" s="4"/>
      <c r="V100" s="4">
        <f t="shared" ref="V100" si="44">SUM(N100:U100)</f>
        <v>0</v>
      </c>
      <c r="W100" s="5">
        <f t="shared" si="41"/>
        <v>781242</v>
      </c>
    </row>
    <row r="101" spans="1:23" ht="24.95" customHeight="1" x14ac:dyDescent="0.25">
      <c r="A101" s="65"/>
      <c r="B101" s="2">
        <v>33</v>
      </c>
      <c r="C101" s="9" t="s">
        <v>125</v>
      </c>
      <c r="D101" s="1" t="s">
        <v>31</v>
      </c>
      <c r="E101" s="4">
        <v>2100000</v>
      </c>
      <c r="F101" s="3">
        <v>30</v>
      </c>
      <c r="G101" s="3">
        <f>+E101-L101</f>
        <v>2100000</v>
      </c>
      <c r="H101" s="4"/>
      <c r="I101" s="4"/>
      <c r="J101" s="4"/>
      <c r="K101" s="4"/>
      <c r="L101" s="4"/>
      <c r="M101" s="4">
        <f t="shared" si="36"/>
        <v>2100000</v>
      </c>
      <c r="N101" s="4">
        <f>+E101*0.04</f>
        <v>84000</v>
      </c>
      <c r="O101" s="4">
        <f>+E101*0.04</f>
        <v>84000</v>
      </c>
      <c r="P101" s="4"/>
      <c r="Q101" s="4"/>
      <c r="R101" s="4">
        <v>0</v>
      </c>
      <c r="S101" s="4"/>
      <c r="T101" s="4"/>
      <c r="U101" s="4"/>
      <c r="V101" s="4">
        <f t="shared" si="30"/>
        <v>168000</v>
      </c>
      <c r="W101" s="5">
        <f t="shared" si="41"/>
        <v>1932000</v>
      </c>
    </row>
    <row r="102" spans="1:23" ht="24.95" customHeight="1" x14ac:dyDescent="0.25">
      <c r="A102" s="65"/>
      <c r="B102" s="2">
        <v>34</v>
      </c>
      <c r="C102" s="9" t="s">
        <v>127</v>
      </c>
      <c r="D102" s="1" t="s">
        <v>31</v>
      </c>
      <c r="E102" s="4">
        <v>781242</v>
      </c>
      <c r="F102" s="3">
        <v>30</v>
      </c>
      <c r="G102" s="3">
        <f t="shared" si="35"/>
        <v>781242</v>
      </c>
      <c r="H102" s="4">
        <v>88211</v>
      </c>
      <c r="I102" s="4"/>
      <c r="J102" s="4"/>
      <c r="K102" s="4"/>
      <c r="L102" s="4"/>
      <c r="M102" s="4">
        <f t="shared" si="36"/>
        <v>869453</v>
      </c>
      <c r="N102" s="4">
        <f>+E102*4%</f>
        <v>31249.68</v>
      </c>
      <c r="O102" s="4">
        <f>+E102*4%</f>
        <v>31249.68</v>
      </c>
      <c r="P102" s="4"/>
      <c r="Q102" s="4"/>
      <c r="R102" s="4"/>
      <c r="S102" s="4"/>
      <c r="T102" s="4"/>
      <c r="U102" s="4"/>
      <c r="V102" s="4">
        <f t="shared" si="30"/>
        <v>62499.360000000001</v>
      </c>
      <c r="W102" s="5">
        <f t="shared" si="41"/>
        <v>806953.64</v>
      </c>
    </row>
    <row r="103" spans="1:23" ht="24.95" customHeight="1" x14ac:dyDescent="0.25">
      <c r="A103" s="65"/>
      <c r="B103" s="2">
        <v>35</v>
      </c>
      <c r="C103" s="1" t="s">
        <v>128</v>
      </c>
      <c r="D103" s="1" t="s">
        <v>31</v>
      </c>
      <c r="E103" s="4">
        <v>15400000</v>
      </c>
      <c r="F103" s="3">
        <v>30</v>
      </c>
      <c r="G103" s="3">
        <f t="shared" si="35"/>
        <v>15400000</v>
      </c>
      <c r="H103" s="4"/>
      <c r="I103" s="4"/>
      <c r="J103" s="4"/>
      <c r="K103" s="4">
        <v>600000</v>
      </c>
      <c r="L103" s="4">
        <f>+E103-G103</f>
        <v>0</v>
      </c>
      <c r="M103" s="4">
        <f t="shared" si="36"/>
        <v>16000000</v>
      </c>
      <c r="N103" s="4">
        <v>616000</v>
      </c>
      <c r="O103" s="4">
        <f>616000+308000</f>
        <v>924000</v>
      </c>
      <c r="P103" s="4">
        <v>112700</v>
      </c>
      <c r="Q103" s="4"/>
      <c r="R103" s="4">
        <v>916000</v>
      </c>
      <c r="S103" s="4">
        <v>5000000</v>
      </c>
      <c r="T103" s="4"/>
      <c r="U103" s="4">
        <v>2314715</v>
      </c>
      <c r="V103" s="4">
        <f t="shared" si="30"/>
        <v>9883415</v>
      </c>
      <c r="W103" s="5">
        <f>+M103-V103</f>
        <v>6116585</v>
      </c>
    </row>
    <row r="104" spans="1:23" ht="24.95" customHeight="1" x14ac:dyDescent="0.25">
      <c r="A104" s="65"/>
      <c r="B104" s="2">
        <v>36</v>
      </c>
      <c r="C104" s="1" t="s">
        <v>129</v>
      </c>
      <c r="D104" s="1" t="s">
        <v>31</v>
      </c>
      <c r="E104" s="4">
        <v>5500000</v>
      </c>
      <c r="F104" s="3">
        <v>30</v>
      </c>
      <c r="G104" s="3">
        <f t="shared" si="35"/>
        <v>5500000</v>
      </c>
      <c r="H104" s="4"/>
      <c r="I104" s="4"/>
      <c r="J104" s="4"/>
      <c r="K104" s="4">
        <v>500000</v>
      </c>
      <c r="L104" s="4">
        <f>+E104-G104</f>
        <v>0</v>
      </c>
      <c r="M104" s="4">
        <f t="shared" si="36"/>
        <v>6000000</v>
      </c>
      <c r="N104" s="4">
        <f>+E104*0.04</f>
        <v>220000</v>
      </c>
      <c r="O104" s="4">
        <f>+E104*0.05</f>
        <v>275000</v>
      </c>
      <c r="P104" s="4"/>
      <c r="Q104" s="4"/>
      <c r="R104" s="4">
        <v>120000</v>
      </c>
      <c r="S104" s="4"/>
      <c r="T104" s="4"/>
      <c r="U104" s="4">
        <f>979498+371043</f>
        <v>1350541</v>
      </c>
      <c r="V104" s="4">
        <f t="shared" si="30"/>
        <v>1965541</v>
      </c>
      <c r="W104" s="5">
        <f>+M104-V104</f>
        <v>4034459</v>
      </c>
    </row>
    <row r="105" spans="1:23" ht="24.95" customHeight="1" x14ac:dyDescent="0.25">
      <c r="A105" s="65"/>
      <c r="B105" s="2">
        <v>37</v>
      </c>
      <c r="C105" s="1" t="s">
        <v>130</v>
      </c>
      <c r="D105" s="1" t="s">
        <v>31</v>
      </c>
      <c r="E105" s="4">
        <v>1800000</v>
      </c>
      <c r="F105" s="3">
        <v>30</v>
      </c>
      <c r="G105" s="3">
        <f t="shared" si="35"/>
        <v>1800000</v>
      </c>
      <c r="H105" s="4"/>
      <c r="I105" s="4"/>
      <c r="J105" s="4"/>
      <c r="K105" s="4">
        <v>200000</v>
      </c>
      <c r="L105" s="4">
        <f>+E105-G105</f>
        <v>0</v>
      </c>
      <c r="M105" s="4">
        <f t="shared" si="36"/>
        <v>2000000</v>
      </c>
      <c r="N105" s="4">
        <f>+E105*4%</f>
        <v>72000</v>
      </c>
      <c r="O105" s="4">
        <f>+E105*4%</f>
        <v>72000</v>
      </c>
      <c r="P105" s="4"/>
      <c r="Q105" s="4"/>
      <c r="R105" s="4"/>
      <c r="S105" s="4"/>
      <c r="T105" s="4"/>
      <c r="U105" s="4"/>
      <c r="V105" s="4">
        <f t="shared" si="30"/>
        <v>144000</v>
      </c>
      <c r="W105" s="5">
        <f>+M105-V105</f>
        <v>1856000</v>
      </c>
    </row>
    <row r="106" spans="1:23" ht="24.95" customHeight="1" x14ac:dyDescent="0.25">
      <c r="A106" s="65"/>
      <c r="B106" s="2">
        <v>38</v>
      </c>
      <c r="C106" s="9" t="s">
        <v>132</v>
      </c>
      <c r="D106" s="1" t="s">
        <v>31</v>
      </c>
      <c r="E106" s="4">
        <v>4000000</v>
      </c>
      <c r="F106" s="3">
        <v>30</v>
      </c>
      <c r="G106" s="3">
        <f t="shared" si="35"/>
        <v>4000000.0000000005</v>
      </c>
      <c r="H106" s="4"/>
      <c r="I106" s="4">
        <v>1229191</v>
      </c>
      <c r="K106" s="4"/>
      <c r="L106" s="4"/>
      <c r="M106" s="4">
        <f>+G106+H106+I106+K106+L106</f>
        <v>5229191</v>
      </c>
      <c r="N106" s="4">
        <f>+M106*0.04</f>
        <v>209167.64</v>
      </c>
      <c r="O106" s="4">
        <f>+M106*0.05</f>
        <v>261459.55000000002</v>
      </c>
      <c r="P106" s="4"/>
      <c r="Q106" s="4"/>
      <c r="R106" s="4">
        <v>0</v>
      </c>
      <c r="S106" s="4"/>
      <c r="T106" s="4"/>
      <c r="U106" s="4">
        <v>514771</v>
      </c>
      <c r="V106" s="4">
        <f t="shared" si="30"/>
        <v>985398.19000000006</v>
      </c>
      <c r="W106" s="5">
        <f>M106-V106</f>
        <v>4243792.8099999996</v>
      </c>
    </row>
    <row r="107" spans="1:23" ht="24.95" customHeight="1" x14ac:dyDescent="0.25">
      <c r="A107" s="65"/>
      <c r="B107" s="2">
        <v>39</v>
      </c>
      <c r="C107" s="1" t="s">
        <v>135</v>
      </c>
      <c r="D107" s="1" t="s">
        <v>31</v>
      </c>
      <c r="E107" s="4">
        <v>3850220</v>
      </c>
      <c r="F107" s="3">
        <v>30</v>
      </c>
      <c r="G107" s="3">
        <f t="shared" si="35"/>
        <v>3850220</v>
      </c>
      <c r="H107" s="4"/>
      <c r="I107" s="4"/>
      <c r="J107" s="4"/>
      <c r="K107" s="4">
        <v>676390</v>
      </c>
      <c r="L107" s="4">
        <v>1925110</v>
      </c>
      <c r="M107" s="4">
        <f t="shared" si="36"/>
        <v>6451720</v>
      </c>
      <c r="N107" s="4">
        <f>+E107*4%+77004</f>
        <v>231012.80000000002</v>
      </c>
      <c r="O107" s="4">
        <f>231013+57753</f>
        <v>288766</v>
      </c>
      <c r="P107" s="4"/>
      <c r="Q107" s="4"/>
      <c r="R107" s="4"/>
      <c r="S107" s="4"/>
      <c r="T107" s="4"/>
      <c r="U107" s="4"/>
      <c r="V107" s="4">
        <f t="shared" si="30"/>
        <v>519778.80000000005</v>
      </c>
      <c r="W107" s="5">
        <f>+M107-V107</f>
        <v>5931941.2000000002</v>
      </c>
    </row>
    <row r="108" spans="1:23" ht="24.95" customHeight="1" x14ac:dyDescent="0.25">
      <c r="A108" s="65"/>
      <c r="B108" s="2">
        <v>40</v>
      </c>
      <c r="C108" s="1" t="s">
        <v>136</v>
      </c>
      <c r="D108" s="1" t="s">
        <v>31</v>
      </c>
      <c r="E108" s="4">
        <v>4500000</v>
      </c>
      <c r="F108" s="3">
        <v>30</v>
      </c>
      <c r="G108" s="3">
        <f t="shared" si="35"/>
        <v>4500000</v>
      </c>
      <c r="H108" s="4"/>
      <c r="I108" s="4"/>
      <c r="J108" s="4"/>
      <c r="K108" s="4" t="s">
        <v>1</v>
      </c>
      <c r="L108" s="4"/>
      <c r="M108" s="4">
        <f>+G108+H108</f>
        <v>4500000</v>
      </c>
      <c r="N108" s="4">
        <f t="shared" ref="N108:N112" si="45">+E108*4%</f>
        <v>180000</v>
      </c>
      <c r="O108" s="4">
        <f>+E108*5%</f>
        <v>225000</v>
      </c>
      <c r="P108" s="4"/>
      <c r="Q108" s="4"/>
      <c r="R108" s="4"/>
      <c r="S108" s="4"/>
      <c r="T108" s="4"/>
      <c r="U108" s="4"/>
      <c r="V108" s="4">
        <f>SUM(N108:U108)</f>
        <v>405000</v>
      </c>
      <c r="W108" s="5">
        <f>+M108-V108</f>
        <v>4095000</v>
      </c>
    </row>
    <row r="109" spans="1:23" ht="24.95" customHeight="1" x14ac:dyDescent="0.25">
      <c r="A109" s="65"/>
      <c r="B109" s="2">
        <v>41</v>
      </c>
      <c r="C109" s="1" t="s">
        <v>164</v>
      </c>
      <c r="D109" s="1" t="s">
        <v>31</v>
      </c>
      <c r="E109" s="4">
        <v>781242</v>
      </c>
      <c r="F109" s="3">
        <v>30</v>
      </c>
      <c r="G109" s="3">
        <f t="shared" si="35"/>
        <v>781242</v>
      </c>
      <c r="H109" s="4"/>
      <c r="I109" s="4"/>
      <c r="J109" s="4"/>
      <c r="K109" s="4"/>
      <c r="L109" s="4"/>
      <c r="M109" s="4">
        <f>+G109+H109+J109+K109+L109+I109</f>
        <v>781242</v>
      </c>
      <c r="N109" s="4"/>
      <c r="O109" s="4"/>
      <c r="P109" s="4"/>
      <c r="Q109" s="4"/>
      <c r="R109" s="7"/>
      <c r="S109" s="4"/>
      <c r="T109" s="4"/>
      <c r="U109" s="4"/>
      <c r="V109" s="4">
        <f t="shared" ref="V109" si="46">SUM(N109:U109)</f>
        <v>0</v>
      </c>
      <c r="W109" s="5">
        <f>+M109-V109</f>
        <v>781242</v>
      </c>
    </row>
    <row r="110" spans="1:23" ht="24.95" customHeight="1" x14ac:dyDescent="0.25">
      <c r="A110" s="65"/>
      <c r="B110" s="2">
        <v>42</v>
      </c>
      <c r="C110" s="9" t="s">
        <v>138</v>
      </c>
      <c r="D110" s="1" t="s">
        <v>31</v>
      </c>
      <c r="E110" s="4">
        <v>1600000</v>
      </c>
      <c r="F110" s="3">
        <v>30</v>
      </c>
      <c r="G110" s="3">
        <f t="shared" si="35"/>
        <v>1600000</v>
      </c>
      <c r="H110" s="4"/>
      <c r="I110" s="4"/>
      <c r="J110" s="4">
        <v>0</v>
      </c>
      <c r="K110" s="4"/>
      <c r="L110" s="4"/>
      <c r="M110" s="4">
        <f t="shared" si="36"/>
        <v>1600000</v>
      </c>
      <c r="N110" s="4">
        <f t="shared" si="45"/>
        <v>64000</v>
      </c>
      <c r="O110" s="4">
        <f>+E110*0.04</f>
        <v>64000</v>
      </c>
      <c r="P110" s="4"/>
      <c r="Q110" s="4">
        <v>132000</v>
      </c>
      <c r="R110" s="4">
        <v>0</v>
      </c>
      <c r="S110" s="4"/>
      <c r="T110" s="4"/>
      <c r="U110" s="4"/>
      <c r="V110" s="4">
        <f t="shared" si="30"/>
        <v>260000</v>
      </c>
      <c r="W110" s="5">
        <f>M110-V110</f>
        <v>1340000</v>
      </c>
    </row>
    <row r="111" spans="1:23" ht="24.95" customHeight="1" x14ac:dyDescent="0.25">
      <c r="A111" s="65"/>
      <c r="B111" s="2">
        <v>43</v>
      </c>
      <c r="C111" s="9" t="s">
        <v>148</v>
      </c>
      <c r="D111" s="1" t="s">
        <v>31</v>
      </c>
      <c r="E111" s="4">
        <v>1500000</v>
      </c>
      <c r="F111" s="3">
        <v>30</v>
      </c>
      <c r="G111" s="3">
        <f t="shared" si="35"/>
        <v>1500000</v>
      </c>
      <c r="H111" s="4">
        <v>88211</v>
      </c>
      <c r="I111" s="4"/>
      <c r="J111" s="4"/>
      <c r="K111" s="4"/>
      <c r="L111" s="4"/>
      <c r="M111" s="4">
        <f t="shared" si="36"/>
        <v>1588211</v>
      </c>
      <c r="N111" s="4">
        <f>+E111*4%</f>
        <v>60000</v>
      </c>
      <c r="O111" s="4">
        <f>+E111*0.04</f>
        <v>60000</v>
      </c>
      <c r="P111" s="4"/>
      <c r="Q111" s="4"/>
      <c r="R111" s="4">
        <v>0</v>
      </c>
      <c r="S111" s="4"/>
      <c r="T111" s="4">
        <v>0</v>
      </c>
      <c r="U111" s="4"/>
      <c r="V111" s="4">
        <f t="shared" si="30"/>
        <v>120000</v>
      </c>
      <c r="W111" s="5">
        <f>M111-V111</f>
        <v>1468211</v>
      </c>
    </row>
    <row r="112" spans="1:23" ht="24.95" customHeight="1" x14ac:dyDescent="0.25">
      <c r="A112" s="65"/>
      <c r="B112" s="2">
        <v>44</v>
      </c>
      <c r="C112" s="1" t="s">
        <v>139</v>
      </c>
      <c r="D112" s="1" t="s">
        <v>31</v>
      </c>
      <c r="E112" s="4">
        <v>2300000</v>
      </c>
      <c r="F112" s="3">
        <v>30</v>
      </c>
      <c r="G112" s="3">
        <f t="shared" si="35"/>
        <v>2300000</v>
      </c>
      <c r="H112" s="4"/>
      <c r="I112" s="4"/>
      <c r="J112" s="4"/>
      <c r="K112" s="4"/>
      <c r="L112" s="4"/>
      <c r="M112" s="4">
        <f t="shared" si="36"/>
        <v>2300000</v>
      </c>
      <c r="N112" s="4">
        <f t="shared" si="45"/>
        <v>92000</v>
      </c>
      <c r="O112" s="4">
        <f>+E112*4%</f>
        <v>92000</v>
      </c>
      <c r="P112" s="4"/>
      <c r="Q112" s="4"/>
      <c r="R112" s="4">
        <v>0</v>
      </c>
      <c r="S112" s="4"/>
      <c r="T112" s="4"/>
      <c r="U112" s="4"/>
      <c r="V112" s="4">
        <f t="shared" si="30"/>
        <v>184000</v>
      </c>
      <c r="W112" s="5">
        <f t="shared" ref="W112:W117" si="47">+M112-V112</f>
        <v>2116000</v>
      </c>
    </row>
    <row r="113" spans="1:25" ht="24.95" customHeight="1" x14ac:dyDescent="0.25">
      <c r="A113" s="65"/>
      <c r="B113" s="2">
        <v>45</v>
      </c>
      <c r="C113" s="1" t="s">
        <v>179</v>
      </c>
      <c r="D113" s="1" t="s">
        <v>31</v>
      </c>
      <c r="E113" s="4">
        <v>781242</v>
      </c>
      <c r="F113" s="3">
        <v>26</v>
      </c>
      <c r="G113" s="3">
        <f t="shared" si="35"/>
        <v>677076.4</v>
      </c>
      <c r="H113" s="4">
        <f>+(88211/30)*F113</f>
        <v>76449.53333333334</v>
      </c>
      <c r="I113" s="4">
        <v>71610</v>
      </c>
      <c r="J113" s="4">
        <v>62794</v>
      </c>
      <c r="K113" s="4"/>
      <c r="L113" s="4"/>
      <c r="M113" s="4">
        <f t="shared" si="36"/>
        <v>887929.93333333335</v>
      </c>
      <c r="N113" s="4">
        <f>+G113*4%</f>
        <v>27083.056</v>
      </c>
      <c r="O113" s="4">
        <f>+G113*4%</f>
        <v>27083.056</v>
      </c>
      <c r="P113" s="4"/>
      <c r="Q113" s="4"/>
      <c r="R113" s="4"/>
      <c r="S113" s="4"/>
      <c r="T113" s="4"/>
      <c r="U113" s="4"/>
      <c r="V113" s="4">
        <f t="shared" ref="V113" si="48">SUM(N113:U113)</f>
        <v>54166.112000000001</v>
      </c>
      <c r="W113" s="5">
        <f t="shared" si="47"/>
        <v>833763.82133333338</v>
      </c>
    </row>
    <row r="114" spans="1:25" ht="24.95" customHeight="1" x14ac:dyDescent="0.25">
      <c r="A114" s="65"/>
      <c r="B114" s="2">
        <v>46</v>
      </c>
      <c r="C114" s="1" t="s">
        <v>140</v>
      </c>
      <c r="D114" s="1" t="s">
        <v>31</v>
      </c>
      <c r="E114" s="4">
        <v>912000</v>
      </c>
      <c r="F114" s="3">
        <v>30</v>
      </c>
      <c r="G114" s="3">
        <f t="shared" si="35"/>
        <v>912000</v>
      </c>
      <c r="H114" s="4">
        <v>88211</v>
      </c>
      <c r="I114" s="4"/>
      <c r="J114" s="4">
        <v>0</v>
      </c>
      <c r="K114" s="4"/>
      <c r="L114" s="4"/>
      <c r="M114" s="4">
        <f t="shared" si="36"/>
        <v>1000211</v>
      </c>
      <c r="N114" s="4">
        <f>+E114*0.04</f>
        <v>36480</v>
      </c>
      <c r="O114" s="4">
        <f>+E114*0.04</f>
        <v>36480</v>
      </c>
      <c r="P114" s="4"/>
      <c r="Q114" s="4"/>
      <c r="R114" s="4"/>
      <c r="S114" s="4"/>
      <c r="T114" s="4"/>
      <c r="U114" s="4"/>
      <c r="V114" s="4">
        <f>SUM(N114:U114)</f>
        <v>72960</v>
      </c>
      <c r="W114" s="5">
        <f>+M114-V114</f>
        <v>927251</v>
      </c>
    </row>
    <row r="115" spans="1:25" ht="24.95" customHeight="1" x14ac:dyDescent="0.25">
      <c r="A115" s="65"/>
      <c r="B115" s="2">
        <v>47</v>
      </c>
      <c r="C115" s="1" t="s">
        <v>141</v>
      </c>
      <c r="D115" s="1" t="s">
        <v>31</v>
      </c>
      <c r="E115" s="4">
        <v>2700000</v>
      </c>
      <c r="F115" s="3">
        <v>30</v>
      </c>
      <c r="G115" s="3">
        <f>+E115-L115</f>
        <v>2250000</v>
      </c>
      <c r="H115" s="4"/>
      <c r="I115" s="4"/>
      <c r="J115" s="4"/>
      <c r="K115" s="4"/>
      <c r="L115" s="4">
        <v>450000</v>
      </c>
      <c r="M115" s="4">
        <f t="shared" si="36"/>
        <v>2700000</v>
      </c>
      <c r="N115" s="4">
        <f>+E115*0.04</f>
        <v>108000</v>
      </c>
      <c r="O115" s="4">
        <f>+E115*0.04</f>
        <v>108000</v>
      </c>
      <c r="P115" s="4"/>
      <c r="Q115" s="4">
        <v>95000</v>
      </c>
      <c r="R115" s="4"/>
      <c r="S115" s="4"/>
      <c r="T115" s="4"/>
      <c r="U115" s="4"/>
      <c r="V115" s="4">
        <f t="shared" si="30"/>
        <v>311000</v>
      </c>
      <c r="W115" s="5">
        <f t="shared" si="47"/>
        <v>2389000</v>
      </c>
    </row>
    <row r="116" spans="1:25" ht="24.95" customHeight="1" x14ac:dyDescent="0.25">
      <c r="A116" s="65"/>
      <c r="B116" s="2">
        <v>48</v>
      </c>
      <c r="C116" s="1" t="s">
        <v>142</v>
      </c>
      <c r="D116" s="1" t="s">
        <v>31</v>
      </c>
      <c r="E116" s="4">
        <v>2000000</v>
      </c>
      <c r="F116" s="3">
        <v>30</v>
      </c>
      <c r="G116" s="3">
        <f t="shared" si="35"/>
        <v>2000000.0000000002</v>
      </c>
      <c r="H116" s="4"/>
      <c r="I116" s="4"/>
      <c r="J116" s="4"/>
      <c r="K116" s="4"/>
      <c r="L116" s="4"/>
      <c r="M116" s="4">
        <f t="shared" si="36"/>
        <v>2000000.0000000002</v>
      </c>
      <c r="N116" s="4">
        <f>+E116*4%</f>
        <v>80000</v>
      </c>
      <c r="O116" s="4">
        <f>+E116*4%</f>
        <v>80000</v>
      </c>
      <c r="P116" s="4"/>
      <c r="Q116" s="4"/>
      <c r="R116" s="4">
        <v>0</v>
      </c>
      <c r="S116" s="4"/>
      <c r="T116" s="4"/>
      <c r="U116" s="4"/>
      <c r="V116" s="4">
        <f t="shared" si="30"/>
        <v>160000</v>
      </c>
      <c r="W116" s="5">
        <f t="shared" si="47"/>
        <v>1840000.0000000002</v>
      </c>
    </row>
    <row r="117" spans="1:25" ht="17.25" customHeight="1" x14ac:dyDescent="0.25">
      <c r="A117" s="65"/>
      <c r="B117" s="2">
        <v>49</v>
      </c>
      <c r="C117" s="1" t="s">
        <v>144</v>
      </c>
      <c r="D117" s="1" t="s">
        <v>31</v>
      </c>
      <c r="E117" s="4">
        <v>1200000</v>
      </c>
      <c r="F117" s="3">
        <v>30</v>
      </c>
      <c r="G117" s="3">
        <f>+E117-J117</f>
        <v>1200000</v>
      </c>
      <c r="H117" s="4">
        <v>88211</v>
      </c>
      <c r="I117" s="4"/>
      <c r="J117" s="4"/>
      <c r="K117" s="4"/>
      <c r="L117" s="4"/>
      <c r="M117" s="4">
        <f t="shared" si="36"/>
        <v>1288211</v>
      </c>
      <c r="N117" s="4">
        <f>+E117*4%</f>
        <v>48000</v>
      </c>
      <c r="O117" s="4">
        <f>+E117*4%</f>
        <v>48000</v>
      </c>
      <c r="P117" s="4"/>
      <c r="Q117" s="4">
        <v>198000</v>
      </c>
      <c r="R117" s="4">
        <v>0</v>
      </c>
      <c r="S117" s="4"/>
      <c r="T117" s="4"/>
      <c r="U117" s="4"/>
      <c r="V117" s="4">
        <f t="shared" si="30"/>
        <v>294000</v>
      </c>
      <c r="W117" s="5">
        <f t="shared" si="47"/>
        <v>994211</v>
      </c>
    </row>
    <row r="118" spans="1:25" x14ac:dyDescent="0.25">
      <c r="B118" s="100"/>
      <c r="C118" s="101"/>
      <c r="D118" s="8"/>
      <c r="E118" s="4">
        <f>SUM(E4:E117)</f>
        <v>466959019</v>
      </c>
      <c r="F118" s="4"/>
      <c r="G118" s="4">
        <f t="shared" ref="G118:W118" si="49">SUM(G4:G117)</f>
        <v>448938186.06666666</v>
      </c>
      <c r="H118" s="4">
        <f t="shared" si="49"/>
        <v>3891463.5333333332</v>
      </c>
      <c r="I118" s="4">
        <f t="shared" si="49"/>
        <v>4003367</v>
      </c>
      <c r="J118" s="4">
        <f t="shared" si="49"/>
        <v>719132</v>
      </c>
      <c r="K118" s="4">
        <f t="shared" si="49"/>
        <v>13673302</v>
      </c>
      <c r="L118" s="4">
        <f t="shared" si="49"/>
        <v>14311819</v>
      </c>
      <c r="M118" s="4">
        <f t="shared" si="49"/>
        <v>485537269.59999996</v>
      </c>
      <c r="N118" s="4">
        <f t="shared" si="49"/>
        <v>18653521.402666669</v>
      </c>
      <c r="O118" s="4">
        <f t="shared" si="49"/>
        <v>22830365.729333337</v>
      </c>
      <c r="P118" s="4">
        <f t="shared" si="49"/>
        <v>2287700</v>
      </c>
      <c r="Q118" s="4">
        <f t="shared" si="49"/>
        <v>2859000</v>
      </c>
      <c r="R118" s="4">
        <f t="shared" si="49"/>
        <v>4890253</v>
      </c>
      <c r="S118" s="4">
        <f t="shared" si="49"/>
        <v>12015000</v>
      </c>
      <c r="T118" s="4">
        <f t="shared" si="49"/>
        <v>344614</v>
      </c>
      <c r="U118" s="4">
        <f t="shared" si="49"/>
        <v>15380050</v>
      </c>
      <c r="V118" s="4">
        <f t="shared" si="49"/>
        <v>79260504.131999999</v>
      </c>
      <c r="W118" s="4">
        <f t="shared" si="49"/>
        <v>406276765.46799994</v>
      </c>
    </row>
    <row r="119" spans="1:25" x14ac:dyDescent="0.25">
      <c r="D119" s="68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66"/>
    </row>
    <row r="120" spans="1:25" x14ac:dyDescent="0.25">
      <c r="D120" s="68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T120" s="12"/>
      <c r="U120" s="12"/>
      <c r="V120" s="12"/>
      <c r="W120" s="66"/>
    </row>
    <row r="121" spans="1:25" x14ac:dyDescent="0.25">
      <c r="C121" s="72"/>
      <c r="D121" s="68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T121" s="12"/>
      <c r="U121" s="12"/>
      <c r="V121" s="12"/>
      <c r="W121" s="68"/>
    </row>
    <row r="122" spans="1:25" x14ac:dyDescent="0.25">
      <c r="C122" s="72"/>
      <c r="D122" s="68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68"/>
      <c r="X122" s="68"/>
      <c r="Y122" s="68"/>
    </row>
    <row r="123" spans="1:25" x14ac:dyDescent="0.25">
      <c r="B123" s="68"/>
      <c r="C123" s="72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12"/>
      <c r="Q123" s="74"/>
      <c r="R123" s="74"/>
      <c r="S123" s="74"/>
      <c r="T123" s="74"/>
      <c r="U123" s="74"/>
      <c r="V123" s="74"/>
      <c r="W123" s="74"/>
      <c r="X123" s="68"/>
      <c r="Y123" s="68"/>
    </row>
    <row r="124" spans="1:25" x14ac:dyDescent="0.25">
      <c r="B124" s="68"/>
      <c r="C124" s="72"/>
      <c r="D124" s="68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68"/>
      <c r="X124" s="68"/>
      <c r="Y124" s="68"/>
    </row>
    <row r="125" spans="1:25" x14ac:dyDescent="0.25">
      <c r="B125" s="68"/>
      <c r="C125" s="72"/>
      <c r="D125" s="68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68"/>
      <c r="X125" s="68"/>
      <c r="Y125" s="68"/>
    </row>
    <row r="126" spans="1:25" x14ac:dyDescent="0.25">
      <c r="B126" s="68"/>
      <c r="C126" s="72"/>
      <c r="D126" s="68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68"/>
      <c r="X126" s="68"/>
      <c r="Y126" s="68"/>
    </row>
    <row r="127" spans="1:25" x14ac:dyDescent="0.25">
      <c r="B127" s="68"/>
      <c r="C127" s="75"/>
      <c r="D127" s="75"/>
      <c r="E127" s="75"/>
      <c r="F127" s="75"/>
      <c r="G127" s="91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68"/>
      <c r="Y127" s="68"/>
    </row>
    <row r="128" spans="1:25" x14ac:dyDescent="0.25">
      <c r="B128" s="78"/>
      <c r="C128" s="92"/>
      <c r="D128" s="76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6"/>
      <c r="X128" s="68"/>
      <c r="Y128" s="68"/>
    </row>
    <row r="129" spans="2:25" x14ac:dyDescent="0.25">
      <c r="B129" s="68"/>
      <c r="C129" s="93"/>
      <c r="D129" s="68"/>
      <c r="E129" s="12"/>
      <c r="F129" s="12"/>
      <c r="G129" s="80"/>
      <c r="H129" s="12"/>
      <c r="I129" s="12"/>
      <c r="J129" s="12"/>
      <c r="K129" s="12"/>
      <c r="L129" s="12"/>
      <c r="M129" s="12"/>
      <c r="N129" s="12"/>
      <c r="O129" s="12"/>
      <c r="P129" s="81"/>
      <c r="Q129" s="81"/>
      <c r="R129" s="81"/>
      <c r="S129" s="81"/>
      <c r="T129" s="81"/>
      <c r="U129" s="12"/>
      <c r="V129" s="12"/>
      <c r="W129" s="68"/>
      <c r="X129" s="68"/>
      <c r="Y129" s="68"/>
    </row>
    <row r="130" spans="2:25" x14ac:dyDescent="0.25">
      <c r="B130" s="68"/>
      <c r="C130" s="82"/>
      <c r="D130" s="76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6"/>
      <c r="X130" s="68"/>
      <c r="Y130" s="68"/>
    </row>
    <row r="131" spans="2:25" x14ac:dyDescent="0.25">
      <c r="B131" s="76"/>
      <c r="C131" s="82"/>
      <c r="D131" s="76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6"/>
      <c r="X131" s="68"/>
      <c r="Y131" s="68"/>
    </row>
    <row r="132" spans="2:25" x14ac:dyDescent="0.25">
      <c r="B132" s="68"/>
      <c r="C132" s="82"/>
      <c r="D132" s="76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66"/>
      <c r="X132" s="68"/>
      <c r="Y132" s="68"/>
    </row>
    <row r="133" spans="2:25" x14ac:dyDescent="0.25">
      <c r="C133" s="82"/>
      <c r="D133" s="76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66"/>
      <c r="X133" s="68"/>
      <c r="Y133" s="68"/>
    </row>
    <row r="134" spans="2:25" x14ac:dyDescent="0.25">
      <c r="C134" s="82"/>
      <c r="D134" s="76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66"/>
      <c r="X134" s="68"/>
      <c r="Y134" s="68"/>
    </row>
    <row r="135" spans="2:25" x14ac:dyDescent="0.25">
      <c r="C135" s="82"/>
      <c r="D135" s="76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66"/>
      <c r="X135" s="68"/>
      <c r="Y135" s="68"/>
    </row>
    <row r="136" spans="2:25" x14ac:dyDescent="0.25">
      <c r="C136" s="82"/>
      <c r="D136" s="76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66"/>
      <c r="X136" s="68"/>
      <c r="Y136" s="68"/>
    </row>
    <row r="137" spans="2:25" x14ac:dyDescent="0.25">
      <c r="C137" s="82"/>
      <c r="D137" s="76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66"/>
      <c r="X137" s="68"/>
      <c r="Y137" s="68"/>
    </row>
    <row r="138" spans="2:25" x14ac:dyDescent="0.25">
      <c r="C138" s="72"/>
      <c r="D138" s="68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66"/>
      <c r="X138" s="68"/>
      <c r="Y138" s="68"/>
    </row>
    <row r="139" spans="2:25" x14ac:dyDescent="0.25">
      <c r="C139" s="82"/>
      <c r="D139" s="68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66"/>
      <c r="X139" s="68"/>
      <c r="Y139" s="68"/>
    </row>
    <row r="140" spans="2:25" x14ac:dyDescent="0.25">
      <c r="C140" s="82"/>
      <c r="D140" s="68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66"/>
      <c r="X140" s="68"/>
      <c r="Y140" s="68"/>
    </row>
    <row r="141" spans="2:25" x14ac:dyDescent="0.25">
      <c r="C141" s="82"/>
      <c r="D141" s="68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66"/>
      <c r="X141" s="68"/>
      <c r="Y141" s="68"/>
    </row>
    <row r="142" spans="2:25" x14ac:dyDescent="0.25">
      <c r="C142" s="82"/>
      <c r="D142" s="68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66"/>
      <c r="X142" s="68"/>
      <c r="Y142" s="68"/>
    </row>
    <row r="143" spans="2:25" x14ac:dyDescent="0.25">
      <c r="C143" s="82"/>
      <c r="D143" s="68"/>
      <c r="E143" s="12"/>
      <c r="F143" s="12"/>
      <c r="G143" s="12"/>
      <c r="H143" s="12"/>
      <c r="I143" s="12"/>
      <c r="J143" s="12"/>
      <c r="K143" s="12"/>
      <c r="L143" s="12"/>
      <c r="M143" s="12">
        <f>737717*4</f>
        <v>2950868</v>
      </c>
      <c r="N143" s="12">
        <f>737717*2</f>
        <v>1475434</v>
      </c>
      <c r="O143" s="12"/>
      <c r="P143" s="12"/>
      <c r="Q143" s="12"/>
      <c r="R143" s="12"/>
      <c r="S143" s="12"/>
      <c r="T143" s="12"/>
      <c r="U143" s="12"/>
      <c r="V143" s="12"/>
      <c r="W143" s="66"/>
      <c r="X143" s="68"/>
      <c r="Y143" s="68"/>
    </row>
    <row r="144" spans="2:25" x14ac:dyDescent="0.25">
      <c r="C144" s="82"/>
      <c r="D144" s="68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66"/>
      <c r="X144" s="68"/>
      <c r="Y144" s="68"/>
    </row>
    <row r="145" spans="2:25" x14ac:dyDescent="0.25">
      <c r="C145" s="82"/>
      <c r="D145" s="68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66"/>
      <c r="X145" s="68"/>
      <c r="Y145" s="68"/>
    </row>
    <row r="146" spans="2:25" x14ac:dyDescent="0.25">
      <c r="C146" s="82"/>
      <c r="D146" s="68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66"/>
      <c r="X146" s="68"/>
      <c r="Y146" s="68"/>
    </row>
    <row r="147" spans="2:25" x14ac:dyDescent="0.25">
      <c r="C147" s="82"/>
      <c r="D147" s="68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66"/>
      <c r="X147" s="68"/>
      <c r="Y147" s="68"/>
    </row>
    <row r="148" spans="2:25" x14ac:dyDescent="0.25">
      <c r="C148" s="82"/>
      <c r="D148" s="68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66"/>
      <c r="X148" s="68"/>
      <c r="Y148" s="68"/>
    </row>
    <row r="149" spans="2:25" x14ac:dyDescent="0.25">
      <c r="C149" s="82"/>
      <c r="D149" s="68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66"/>
      <c r="X149" s="68"/>
      <c r="Y149" s="68"/>
    </row>
    <row r="150" spans="2:25" x14ac:dyDescent="0.25">
      <c r="C150" s="72"/>
      <c r="D150" s="68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68"/>
      <c r="X150" s="68"/>
      <c r="Y150" s="68"/>
    </row>
    <row r="151" spans="2:25" x14ac:dyDescent="0.25">
      <c r="C151" s="72"/>
      <c r="D151" s="68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68"/>
      <c r="U151" s="12"/>
      <c r="V151" s="12"/>
      <c r="W151" s="68"/>
      <c r="X151" s="68"/>
      <c r="Y151" s="68"/>
    </row>
    <row r="152" spans="2:25" x14ac:dyDescent="0.25">
      <c r="B152" s="68"/>
      <c r="C152" s="72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68"/>
      <c r="Y152" s="68"/>
    </row>
    <row r="153" spans="2:25" x14ac:dyDescent="0.25">
      <c r="B153" s="68"/>
      <c r="C153" s="72"/>
      <c r="D153" s="68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6"/>
      <c r="X153" s="68"/>
      <c r="Y153" s="68"/>
    </row>
    <row r="154" spans="2:25" x14ac:dyDescent="0.25">
      <c r="B154" s="68"/>
      <c r="C154" s="82"/>
      <c r="D154" s="76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6"/>
    </row>
    <row r="155" spans="2:25" x14ac:dyDescent="0.25">
      <c r="B155" s="85"/>
      <c r="C155" s="82"/>
      <c r="D155" s="76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6"/>
    </row>
    <row r="156" spans="2:25" x14ac:dyDescent="0.25">
      <c r="C156" s="82"/>
      <c r="D156" s="76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66"/>
    </row>
    <row r="157" spans="2:25" x14ac:dyDescent="0.25">
      <c r="C157" s="82"/>
      <c r="D157" s="76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66"/>
    </row>
    <row r="158" spans="2:25" x14ac:dyDescent="0.25">
      <c r="C158" s="82"/>
      <c r="D158" s="76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66"/>
    </row>
    <row r="159" spans="2:25" x14ac:dyDescent="0.25">
      <c r="C159" s="72"/>
      <c r="D159" s="68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66"/>
    </row>
    <row r="160" spans="2:25" x14ac:dyDescent="0.25">
      <c r="C160" s="82"/>
      <c r="D160" s="68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66"/>
    </row>
    <row r="161" spans="2:23" x14ac:dyDescent="0.25">
      <c r="C161" s="72"/>
      <c r="D161" s="68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68"/>
    </row>
    <row r="162" spans="2:23" x14ac:dyDescent="0.25">
      <c r="C162" s="72"/>
      <c r="D162" s="68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66"/>
    </row>
    <row r="163" spans="2:23" x14ac:dyDescent="0.25">
      <c r="B163" s="68"/>
      <c r="C163" s="72"/>
      <c r="D163" s="68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68"/>
    </row>
    <row r="164" spans="2:23" x14ac:dyDescent="0.25">
      <c r="B164" s="68"/>
      <c r="C164" s="72"/>
      <c r="D164" s="68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68"/>
    </row>
    <row r="165" spans="2:23" x14ac:dyDescent="0.25">
      <c r="B165" s="68"/>
      <c r="C165" s="72"/>
      <c r="D165" s="68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86"/>
    </row>
    <row r="166" spans="2:23" x14ac:dyDescent="0.25">
      <c r="B166" s="68"/>
      <c r="C166" s="72"/>
      <c r="D166" s="68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87"/>
    </row>
    <row r="167" spans="2:23" x14ac:dyDescent="0.25">
      <c r="C167" s="72"/>
      <c r="D167" s="68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68"/>
    </row>
    <row r="168" spans="2:23" x14ac:dyDescent="0.25">
      <c r="C168" s="72"/>
      <c r="D168" s="68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68"/>
    </row>
    <row r="169" spans="2:23" x14ac:dyDescent="0.25">
      <c r="C169" s="72"/>
      <c r="D169" s="68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68"/>
    </row>
    <row r="170" spans="2:23" x14ac:dyDescent="0.25">
      <c r="C170" s="72"/>
      <c r="D170" s="68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68"/>
    </row>
    <row r="171" spans="2:23" x14ac:dyDescent="0.25">
      <c r="C171" s="72"/>
      <c r="D171" s="68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68"/>
    </row>
    <row r="172" spans="2:23" x14ac:dyDescent="0.25">
      <c r="C172" s="72"/>
      <c r="D172" s="68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68"/>
    </row>
    <row r="173" spans="2:23" x14ac:dyDescent="0.25">
      <c r="C173" s="72"/>
      <c r="D173" s="68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68"/>
    </row>
    <row r="174" spans="2:23" x14ac:dyDescent="0.25">
      <c r="C174" s="72"/>
      <c r="D174" s="68"/>
      <c r="E174" s="12"/>
      <c r="F174" s="12"/>
      <c r="G174" s="12"/>
      <c r="H174" s="12"/>
      <c r="I174" s="12"/>
      <c r="J174" s="12"/>
      <c r="K174" s="12"/>
      <c r="L174" s="12"/>
      <c r="M174" s="12"/>
      <c r="N174" s="12">
        <v>3003000</v>
      </c>
      <c r="O174" s="12"/>
      <c r="P174" s="12"/>
      <c r="Q174" s="12"/>
      <c r="R174" s="12"/>
      <c r="S174" s="12"/>
      <c r="T174" s="12"/>
      <c r="U174" s="12"/>
      <c r="V174" s="12"/>
      <c r="W174" s="68"/>
    </row>
    <row r="175" spans="2:23" x14ac:dyDescent="0.25">
      <c r="C175" s="82"/>
      <c r="D175" s="68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68"/>
    </row>
    <row r="176" spans="2:23" x14ac:dyDescent="0.25">
      <c r="C176" s="82"/>
      <c r="D176" s="68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68"/>
    </row>
    <row r="177" spans="3:23" x14ac:dyDescent="0.25">
      <c r="C177" s="82"/>
      <c r="D177" s="68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68"/>
    </row>
    <row r="178" spans="3:23" x14ac:dyDescent="0.25">
      <c r="C178" s="82"/>
      <c r="D178" s="68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68"/>
    </row>
    <row r="179" spans="3:23" x14ac:dyDescent="0.25">
      <c r="C179" s="72">
        <v>42614840</v>
      </c>
      <c r="D179" s="68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>
        <v>412608</v>
      </c>
      <c r="W179" s="68"/>
    </row>
    <row r="180" spans="3:23" x14ac:dyDescent="0.25">
      <c r="C180" s="72">
        <v>9675182</v>
      </c>
      <c r="D180" s="68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>
        <v>1880000</v>
      </c>
      <c r="W180" s="68"/>
    </row>
    <row r="181" spans="3:23" x14ac:dyDescent="0.25">
      <c r="C181" s="72">
        <v>17903600</v>
      </c>
      <c r="D181" s="68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68"/>
    </row>
    <row r="182" spans="3:23" x14ac:dyDescent="0.25">
      <c r="C182" s="72">
        <f>SUM(C179:C181)</f>
        <v>70193622</v>
      </c>
      <c r="D182" s="68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68"/>
    </row>
    <row r="183" spans="3:23" x14ac:dyDescent="0.25">
      <c r="C183" s="72">
        <v>400000</v>
      </c>
      <c r="D183" s="68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68"/>
    </row>
    <row r="184" spans="3:23" x14ac:dyDescent="0.25">
      <c r="C184" s="72">
        <f>+C182+C183</f>
        <v>70593622</v>
      </c>
      <c r="D184" s="68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68"/>
    </row>
    <row r="188" spans="3:23" x14ac:dyDescent="0.25">
      <c r="C188" s="13">
        <v>11000000</v>
      </c>
    </row>
    <row r="189" spans="3:23" x14ac:dyDescent="0.25">
      <c r="C189" s="13">
        <f>+C187+C188</f>
        <v>11000000</v>
      </c>
    </row>
    <row r="194" spans="3:3" x14ac:dyDescent="0.25">
      <c r="C194" s="13">
        <v>3185000</v>
      </c>
    </row>
    <row r="195" spans="3:3" x14ac:dyDescent="0.25">
      <c r="C195" s="13">
        <v>1080000</v>
      </c>
    </row>
    <row r="196" spans="3:3" x14ac:dyDescent="0.25">
      <c r="C196" s="13">
        <v>4850100</v>
      </c>
    </row>
    <row r="197" spans="3:3" x14ac:dyDescent="0.25">
      <c r="C197" s="13">
        <v>5027500</v>
      </c>
    </row>
    <row r="198" spans="3:3" x14ac:dyDescent="0.25">
      <c r="C198" s="13">
        <v>4566000</v>
      </c>
    </row>
    <row r="199" spans="3:3" x14ac:dyDescent="0.25">
      <c r="C199" s="13">
        <v>1050000</v>
      </c>
    </row>
    <row r="200" spans="3:3" x14ac:dyDescent="0.25">
      <c r="C200" s="13">
        <v>3877333</v>
      </c>
    </row>
    <row r="201" spans="3:3" x14ac:dyDescent="0.25">
      <c r="C201" s="13">
        <v>6732440</v>
      </c>
    </row>
    <row r="202" spans="3:3" x14ac:dyDescent="0.25">
      <c r="C202" s="13">
        <v>3460000</v>
      </c>
    </row>
    <row r="203" spans="3:3" x14ac:dyDescent="0.25">
      <c r="C203" s="13">
        <v>588800</v>
      </c>
    </row>
    <row r="204" spans="3:3" x14ac:dyDescent="0.25">
      <c r="C204" s="13">
        <v>1868000</v>
      </c>
    </row>
    <row r="205" spans="3:3" x14ac:dyDescent="0.25">
      <c r="C205" s="13">
        <v>10313000</v>
      </c>
    </row>
    <row r="206" spans="3:3" x14ac:dyDescent="0.25">
      <c r="C206" s="13">
        <v>3443800</v>
      </c>
    </row>
    <row r="207" spans="3:3" x14ac:dyDescent="0.25">
      <c r="C207" s="13">
        <v>8136400</v>
      </c>
    </row>
    <row r="208" spans="3:3" x14ac:dyDescent="0.25">
      <c r="C208" s="13">
        <v>9675183</v>
      </c>
    </row>
    <row r="209" spans="3:3" x14ac:dyDescent="0.25">
      <c r="C209" s="13">
        <f>SUM(C193:C208)</f>
        <v>67853556</v>
      </c>
    </row>
  </sheetData>
  <mergeCells count="8">
    <mergeCell ref="E151:S151"/>
    <mergeCell ref="D152:W152"/>
    <mergeCell ref="A1:W1"/>
    <mergeCell ref="A2:M2"/>
    <mergeCell ref="N2:V2"/>
    <mergeCell ref="A4:A68"/>
    <mergeCell ref="A69:A117"/>
    <mergeCell ref="B118:C11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F24B-0921-41C2-BE8A-475C7B0C4D8A}">
  <dimension ref="A1:Z214"/>
  <sheetViews>
    <sheetView workbookViewId="0">
      <selection activeCell="H10" sqref="H10"/>
    </sheetView>
  </sheetViews>
  <sheetFormatPr baseColWidth="10" defaultRowHeight="12" x14ac:dyDescent="0.25"/>
  <cols>
    <col min="1" max="1" width="6.7109375" style="62" customWidth="1"/>
    <col min="2" max="2" width="4.85546875" style="62" customWidth="1"/>
    <col min="3" max="3" width="32.28515625" style="13" customWidth="1"/>
    <col min="4" max="4" width="8.5703125" style="62" customWidth="1"/>
    <col min="5" max="5" width="15" style="71" customWidth="1"/>
    <col min="6" max="6" width="4.42578125" style="71" customWidth="1"/>
    <col min="7" max="7" width="15.5703125" style="71" customWidth="1"/>
    <col min="8" max="9" width="11.28515625" style="71" customWidth="1"/>
    <col min="10" max="10" width="9.5703125" style="71" customWidth="1"/>
    <col min="11" max="11" width="12.28515625" style="71" customWidth="1"/>
    <col min="12" max="12" width="12.5703125" style="71" customWidth="1"/>
    <col min="13" max="13" width="16" style="71" customWidth="1"/>
    <col min="14" max="14" width="12.28515625" style="71" customWidth="1"/>
    <col min="15" max="15" width="14.140625" style="71" customWidth="1"/>
    <col min="16" max="18" width="11.28515625" style="71" customWidth="1"/>
    <col min="19" max="19" width="12.28515625" style="71" customWidth="1"/>
    <col min="20" max="20" width="11.28515625" style="71" customWidth="1"/>
    <col min="21" max="21" width="15.7109375" style="71" customWidth="1"/>
    <col min="22" max="22" width="12.42578125" style="71" customWidth="1"/>
    <col min="23" max="23" width="18" style="62" bestFit="1" customWidth="1"/>
    <col min="24" max="24" width="11.85546875" style="62" bestFit="1" customWidth="1"/>
    <col min="25" max="243" width="11.42578125" style="62"/>
    <col min="244" max="244" width="10.5703125" style="62" customWidth="1"/>
    <col min="245" max="245" width="4.85546875" style="62" customWidth="1"/>
    <col min="246" max="246" width="32.42578125" style="62" customWidth="1"/>
    <col min="247" max="247" width="9.85546875" style="62" customWidth="1"/>
    <col min="248" max="248" width="10.140625" style="62" customWidth="1"/>
    <col min="249" max="249" width="12.28515625" style="62" customWidth="1"/>
    <col min="250" max="250" width="15.42578125" style="62" customWidth="1"/>
    <col min="251" max="251" width="11.85546875" style="62" customWidth="1"/>
    <col min="252" max="252" width="13.28515625" style="62" customWidth="1"/>
    <col min="253" max="253" width="15.28515625" style="62" customWidth="1"/>
    <col min="254" max="254" width="11.85546875" style="62" customWidth="1"/>
    <col min="255" max="255" width="6.140625" style="62" customWidth="1"/>
    <col min="256" max="256" width="11.85546875" style="62" customWidth="1"/>
    <col min="257" max="257" width="9.42578125" style="62" customWidth="1"/>
    <col min="258" max="258" width="14.7109375" style="62" customWidth="1"/>
    <col min="259" max="259" width="11.5703125" style="62" customWidth="1"/>
    <col min="260" max="260" width="0.42578125" style="62" customWidth="1"/>
    <col min="261" max="261" width="10.5703125" style="62" bestFit="1" customWidth="1"/>
    <col min="262" max="262" width="12.28515625" style="62" customWidth="1"/>
    <col min="263" max="263" width="12.5703125" style="62" customWidth="1"/>
    <col min="264" max="264" width="10.5703125" style="62" customWidth="1"/>
    <col min="265" max="265" width="10.140625" style="62" customWidth="1"/>
    <col min="266" max="266" width="8.42578125" style="62" customWidth="1"/>
    <col min="267" max="267" width="18.85546875" style="62" customWidth="1"/>
    <col min="268" max="268" width="10.28515625" style="62" customWidth="1"/>
    <col min="269" max="269" width="11.42578125" style="62"/>
    <col min="270" max="270" width="12.140625" style="62" customWidth="1"/>
    <col min="271" max="271" width="10.5703125" style="62" customWidth="1"/>
    <col min="272" max="272" width="12.42578125" style="62" customWidth="1"/>
    <col min="273" max="273" width="15.140625" style="62" customWidth="1"/>
    <col min="274" max="274" width="13.5703125" style="62" customWidth="1"/>
    <col min="275" max="275" width="13.140625" style="62" customWidth="1"/>
    <col min="276" max="276" width="15.7109375" style="62" customWidth="1"/>
    <col min="277" max="277" width="37.5703125" style="62" customWidth="1"/>
    <col min="278" max="499" width="11.42578125" style="62"/>
    <col min="500" max="500" width="10.5703125" style="62" customWidth="1"/>
    <col min="501" max="501" width="4.85546875" style="62" customWidth="1"/>
    <col min="502" max="502" width="32.42578125" style="62" customWidth="1"/>
    <col min="503" max="503" width="9.85546875" style="62" customWidth="1"/>
    <col min="504" max="504" width="10.140625" style="62" customWidth="1"/>
    <col min="505" max="505" width="12.28515625" style="62" customWidth="1"/>
    <col min="506" max="506" width="15.42578125" style="62" customWidth="1"/>
    <col min="507" max="507" width="11.85546875" style="62" customWidth="1"/>
    <col min="508" max="508" width="13.28515625" style="62" customWidth="1"/>
    <col min="509" max="509" width="15.28515625" style="62" customWidth="1"/>
    <col min="510" max="510" width="11.85546875" style="62" customWidth="1"/>
    <col min="511" max="511" width="6.140625" style="62" customWidth="1"/>
    <col min="512" max="512" width="11.85546875" style="62" customWidth="1"/>
    <col min="513" max="513" width="9.42578125" style="62" customWidth="1"/>
    <col min="514" max="514" width="14.7109375" style="62" customWidth="1"/>
    <col min="515" max="515" width="11.5703125" style="62" customWidth="1"/>
    <col min="516" max="516" width="0.42578125" style="62" customWidth="1"/>
    <col min="517" max="517" width="10.5703125" style="62" bestFit="1" customWidth="1"/>
    <col min="518" max="518" width="12.28515625" style="62" customWidth="1"/>
    <col min="519" max="519" width="12.5703125" style="62" customWidth="1"/>
    <col min="520" max="520" width="10.5703125" style="62" customWidth="1"/>
    <col min="521" max="521" width="10.140625" style="62" customWidth="1"/>
    <col min="522" max="522" width="8.42578125" style="62" customWidth="1"/>
    <col min="523" max="523" width="18.85546875" style="62" customWidth="1"/>
    <col min="524" max="524" width="10.28515625" style="62" customWidth="1"/>
    <col min="525" max="525" width="11.42578125" style="62"/>
    <col min="526" max="526" width="12.140625" style="62" customWidth="1"/>
    <col min="527" max="527" width="10.5703125" style="62" customWidth="1"/>
    <col min="528" max="528" width="12.42578125" style="62" customWidth="1"/>
    <col min="529" max="529" width="15.140625" style="62" customWidth="1"/>
    <col min="530" max="530" width="13.5703125" style="62" customWidth="1"/>
    <col min="531" max="531" width="13.140625" style="62" customWidth="1"/>
    <col min="532" max="532" width="15.7109375" style="62" customWidth="1"/>
    <col min="533" max="533" width="37.5703125" style="62" customWidth="1"/>
    <col min="534" max="755" width="11.42578125" style="62"/>
    <col min="756" max="756" width="10.5703125" style="62" customWidth="1"/>
    <col min="757" max="757" width="4.85546875" style="62" customWidth="1"/>
    <col min="758" max="758" width="32.42578125" style="62" customWidth="1"/>
    <col min="759" max="759" width="9.85546875" style="62" customWidth="1"/>
    <col min="760" max="760" width="10.140625" style="62" customWidth="1"/>
    <col min="761" max="761" width="12.28515625" style="62" customWidth="1"/>
    <col min="762" max="762" width="15.42578125" style="62" customWidth="1"/>
    <col min="763" max="763" width="11.85546875" style="62" customWidth="1"/>
    <col min="764" max="764" width="13.28515625" style="62" customWidth="1"/>
    <col min="765" max="765" width="15.28515625" style="62" customWidth="1"/>
    <col min="766" max="766" width="11.85546875" style="62" customWidth="1"/>
    <col min="767" max="767" width="6.140625" style="62" customWidth="1"/>
    <col min="768" max="768" width="11.85546875" style="62" customWidth="1"/>
    <col min="769" max="769" width="9.42578125" style="62" customWidth="1"/>
    <col min="770" max="770" width="14.7109375" style="62" customWidth="1"/>
    <col min="771" max="771" width="11.5703125" style="62" customWidth="1"/>
    <col min="772" max="772" width="0.42578125" style="62" customWidth="1"/>
    <col min="773" max="773" width="10.5703125" style="62" bestFit="1" customWidth="1"/>
    <col min="774" max="774" width="12.28515625" style="62" customWidth="1"/>
    <col min="775" max="775" width="12.5703125" style="62" customWidth="1"/>
    <col min="776" max="776" width="10.5703125" style="62" customWidth="1"/>
    <col min="777" max="777" width="10.140625" style="62" customWidth="1"/>
    <col min="778" max="778" width="8.42578125" style="62" customWidth="1"/>
    <col min="779" max="779" width="18.85546875" style="62" customWidth="1"/>
    <col min="780" max="780" width="10.28515625" style="62" customWidth="1"/>
    <col min="781" max="781" width="11.42578125" style="62"/>
    <col min="782" max="782" width="12.140625" style="62" customWidth="1"/>
    <col min="783" max="783" width="10.5703125" style="62" customWidth="1"/>
    <col min="784" max="784" width="12.42578125" style="62" customWidth="1"/>
    <col min="785" max="785" width="15.140625" style="62" customWidth="1"/>
    <col min="786" max="786" width="13.5703125" style="62" customWidth="1"/>
    <col min="787" max="787" width="13.140625" style="62" customWidth="1"/>
    <col min="788" max="788" width="15.7109375" style="62" customWidth="1"/>
    <col min="789" max="789" width="37.5703125" style="62" customWidth="1"/>
    <col min="790" max="1011" width="11.42578125" style="62"/>
    <col min="1012" max="1012" width="10.5703125" style="62" customWidth="1"/>
    <col min="1013" max="1013" width="4.85546875" style="62" customWidth="1"/>
    <col min="1014" max="1014" width="32.42578125" style="62" customWidth="1"/>
    <col min="1015" max="1015" width="9.85546875" style="62" customWidth="1"/>
    <col min="1016" max="1016" width="10.140625" style="62" customWidth="1"/>
    <col min="1017" max="1017" width="12.28515625" style="62" customWidth="1"/>
    <col min="1018" max="1018" width="15.42578125" style="62" customWidth="1"/>
    <col min="1019" max="1019" width="11.85546875" style="62" customWidth="1"/>
    <col min="1020" max="1020" width="13.28515625" style="62" customWidth="1"/>
    <col min="1021" max="1021" width="15.28515625" style="62" customWidth="1"/>
    <col min="1022" max="1022" width="11.85546875" style="62" customWidth="1"/>
    <col min="1023" max="1023" width="6.140625" style="62" customWidth="1"/>
    <col min="1024" max="1024" width="11.85546875" style="62" customWidth="1"/>
    <col min="1025" max="1025" width="9.42578125" style="62" customWidth="1"/>
    <col min="1026" max="1026" width="14.7109375" style="62" customWidth="1"/>
    <col min="1027" max="1027" width="11.5703125" style="62" customWidth="1"/>
    <col min="1028" max="1028" width="0.42578125" style="62" customWidth="1"/>
    <col min="1029" max="1029" width="10.5703125" style="62" bestFit="1" customWidth="1"/>
    <col min="1030" max="1030" width="12.28515625" style="62" customWidth="1"/>
    <col min="1031" max="1031" width="12.5703125" style="62" customWidth="1"/>
    <col min="1032" max="1032" width="10.5703125" style="62" customWidth="1"/>
    <col min="1033" max="1033" width="10.140625" style="62" customWidth="1"/>
    <col min="1034" max="1034" width="8.42578125" style="62" customWidth="1"/>
    <col min="1035" max="1035" width="18.85546875" style="62" customWidth="1"/>
    <col min="1036" max="1036" width="10.28515625" style="62" customWidth="1"/>
    <col min="1037" max="1037" width="11.42578125" style="62"/>
    <col min="1038" max="1038" width="12.140625" style="62" customWidth="1"/>
    <col min="1039" max="1039" width="10.5703125" style="62" customWidth="1"/>
    <col min="1040" max="1040" width="12.42578125" style="62" customWidth="1"/>
    <col min="1041" max="1041" width="15.140625" style="62" customWidth="1"/>
    <col min="1042" max="1042" width="13.5703125" style="62" customWidth="1"/>
    <col min="1043" max="1043" width="13.140625" style="62" customWidth="1"/>
    <col min="1044" max="1044" width="15.7109375" style="62" customWidth="1"/>
    <col min="1045" max="1045" width="37.5703125" style="62" customWidth="1"/>
    <col min="1046" max="1267" width="11.42578125" style="62"/>
    <col min="1268" max="1268" width="10.5703125" style="62" customWidth="1"/>
    <col min="1269" max="1269" width="4.85546875" style="62" customWidth="1"/>
    <col min="1270" max="1270" width="32.42578125" style="62" customWidth="1"/>
    <col min="1271" max="1271" width="9.85546875" style="62" customWidth="1"/>
    <col min="1272" max="1272" width="10.140625" style="62" customWidth="1"/>
    <col min="1273" max="1273" width="12.28515625" style="62" customWidth="1"/>
    <col min="1274" max="1274" width="15.42578125" style="62" customWidth="1"/>
    <col min="1275" max="1275" width="11.85546875" style="62" customWidth="1"/>
    <col min="1276" max="1276" width="13.28515625" style="62" customWidth="1"/>
    <col min="1277" max="1277" width="15.28515625" style="62" customWidth="1"/>
    <col min="1278" max="1278" width="11.85546875" style="62" customWidth="1"/>
    <col min="1279" max="1279" width="6.140625" style="62" customWidth="1"/>
    <col min="1280" max="1280" width="11.85546875" style="62" customWidth="1"/>
    <col min="1281" max="1281" width="9.42578125" style="62" customWidth="1"/>
    <col min="1282" max="1282" width="14.7109375" style="62" customWidth="1"/>
    <col min="1283" max="1283" width="11.5703125" style="62" customWidth="1"/>
    <col min="1284" max="1284" width="0.42578125" style="62" customWidth="1"/>
    <col min="1285" max="1285" width="10.5703125" style="62" bestFit="1" customWidth="1"/>
    <col min="1286" max="1286" width="12.28515625" style="62" customWidth="1"/>
    <col min="1287" max="1287" width="12.5703125" style="62" customWidth="1"/>
    <col min="1288" max="1288" width="10.5703125" style="62" customWidth="1"/>
    <col min="1289" max="1289" width="10.140625" style="62" customWidth="1"/>
    <col min="1290" max="1290" width="8.42578125" style="62" customWidth="1"/>
    <col min="1291" max="1291" width="18.85546875" style="62" customWidth="1"/>
    <col min="1292" max="1292" width="10.28515625" style="62" customWidth="1"/>
    <col min="1293" max="1293" width="11.42578125" style="62"/>
    <col min="1294" max="1294" width="12.140625" style="62" customWidth="1"/>
    <col min="1295" max="1295" width="10.5703125" style="62" customWidth="1"/>
    <col min="1296" max="1296" width="12.42578125" style="62" customWidth="1"/>
    <col min="1297" max="1297" width="15.140625" style="62" customWidth="1"/>
    <col min="1298" max="1298" width="13.5703125" style="62" customWidth="1"/>
    <col min="1299" max="1299" width="13.140625" style="62" customWidth="1"/>
    <col min="1300" max="1300" width="15.7109375" style="62" customWidth="1"/>
    <col min="1301" max="1301" width="37.5703125" style="62" customWidth="1"/>
    <col min="1302" max="1523" width="11.42578125" style="62"/>
    <col min="1524" max="1524" width="10.5703125" style="62" customWidth="1"/>
    <col min="1525" max="1525" width="4.85546875" style="62" customWidth="1"/>
    <col min="1526" max="1526" width="32.42578125" style="62" customWidth="1"/>
    <col min="1527" max="1527" width="9.85546875" style="62" customWidth="1"/>
    <col min="1528" max="1528" width="10.140625" style="62" customWidth="1"/>
    <col min="1529" max="1529" width="12.28515625" style="62" customWidth="1"/>
    <col min="1530" max="1530" width="15.42578125" style="62" customWidth="1"/>
    <col min="1531" max="1531" width="11.85546875" style="62" customWidth="1"/>
    <col min="1532" max="1532" width="13.28515625" style="62" customWidth="1"/>
    <col min="1533" max="1533" width="15.28515625" style="62" customWidth="1"/>
    <col min="1534" max="1534" width="11.85546875" style="62" customWidth="1"/>
    <col min="1535" max="1535" width="6.140625" style="62" customWidth="1"/>
    <col min="1536" max="1536" width="11.85546875" style="62" customWidth="1"/>
    <col min="1537" max="1537" width="9.42578125" style="62" customWidth="1"/>
    <col min="1538" max="1538" width="14.7109375" style="62" customWidth="1"/>
    <col min="1539" max="1539" width="11.5703125" style="62" customWidth="1"/>
    <col min="1540" max="1540" width="0.42578125" style="62" customWidth="1"/>
    <col min="1541" max="1541" width="10.5703125" style="62" bestFit="1" customWidth="1"/>
    <col min="1542" max="1542" width="12.28515625" style="62" customWidth="1"/>
    <col min="1543" max="1543" width="12.5703125" style="62" customWidth="1"/>
    <col min="1544" max="1544" width="10.5703125" style="62" customWidth="1"/>
    <col min="1545" max="1545" width="10.140625" style="62" customWidth="1"/>
    <col min="1546" max="1546" width="8.42578125" style="62" customWidth="1"/>
    <col min="1547" max="1547" width="18.85546875" style="62" customWidth="1"/>
    <col min="1548" max="1548" width="10.28515625" style="62" customWidth="1"/>
    <col min="1549" max="1549" width="11.42578125" style="62"/>
    <col min="1550" max="1550" width="12.140625" style="62" customWidth="1"/>
    <col min="1551" max="1551" width="10.5703125" style="62" customWidth="1"/>
    <col min="1552" max="1552" width="12.42578125" style="62" customWidth="1"/>
    <col min="1553" max="1553" width="15.140625" style="62" customWidth="1"/>
    <col min="1554" max="1554" width="13.5703125" style="62" customWidth="1"/>
    <col min="1555" max="1555" width="13.140625" style="62" customWidth="1"/>
    <col min="1556" max="1556" width="15.7109375" style="62" customWidth="1"/>
    <col min="1557" max="1557" width="37.5703125" style="62" customWidth="1"/>
    <col min="1558" max="1779" width="11.42578125" style="62"/>
    <col min="1780" max="1780" width="10.5703125" style="62" customWidth="1"/>
    <col min="1781" max="1781" width="4.85546875" style="62" customWidth="1"/>
    <col min="1782" max="1782" width="32.42578125" style="62" customWidth="1"/>
    <col min="1783" max="1783" width="9.85546875" style="62" customWidth="1"/>
    <col min="1784" max="1784" width="10.140625" style="62" customWidth="1"/>
    <col min="1785" max="1785" width="12.28515625" style="62" customWidth="1"/>
    <col min="1786" max="1786" width="15.42578125" style="62" customWidth="1"/>
    <col min="1787" max="1787" width="11.85546875" style="62" customWidth="1"/>
    <col min="1788" max="1788" width="13.28515625" style="62" customWidth="1"/>
    <col min="1789" max="1789" width="15.28515625" style="62" customWidth="1"/>
    <col min="1790" max="1790" width="11.85546875" style="62" customWidth="1"/>
    <col min="1791" max="1791" width="6.140625" style="62" customWidth="1"/>
    <col min="1792" max="1792" width="11.85546875" style="62" customWidth="1"/>
    <col min="1793" max="1793" width="9.42578125" style="62" customWidth="1"/>
    <col min="1794" max="1794" width="14.7109375" style="62" customWidth="1"/>
    <col min="1795" max="1795" width="11.5703125" style="62" customWidth="1"/>
    <col min="1796" max="1796" width="0.42578125" style="62" customWidth="1"/>
    <col min="1797" max="1797" width="10.5703125" style="62" bestFit="1" customWidth="1"/>
    <col min="1798" max="1798" width="12.28515625" style="62" customWidth="1"/>
    <col min="1799" max="1799" width="12.5703125" style="62" customWidth="1"/>
    <col min="1800" max="1800" width="10.5703125" style="62" customWidth="1"/>
    <col min="1801" max="1801" width="10.140625" style="62" customWidth="1"/>
    <col min="1802" max="1802" width="8.42578125" style="62" customWidth="1"/>
    <col min="1803" max="1803" width="18.85546875" style="62" customWidth="1"/>
    <col min="1804" max="1804" width="10.28515625" style="62" customWidth="1"/>
    <col min="1805" max="1805" width="11.42578125" style="62"/>
    <col min="1806" max="1806" width="12.140625" style="62" customWidth="1"/>
    <col min="1807" max="1807" width="10.5703125" style="62" customWidth="1"/>
    <col min="1808" max="1808" width="12.42578125" style="62" customWidth="1"/>
    <col min="1809" max="1809" width="15.140625" style="62" customWidth="1"/>
    <col min="1810" max="1810" width="13.5703125" style="62" customWidth="1"/>
    <col min="1811" max="1811" width="13.140625" style="62" customWidth="1"/>
    <col min="1812" max="1812" width="15.7109375" style="62" customWidth="1"/>
    <col min="1813" max="1813" width="37.5703125" style="62" customWidth="1"/>
    <col min="1814" max="2035" width="11.42578125" style="62"/>
    <col min="2036" max="2036" width="10.5703125" style="62" customWidth="1"/>
    <col min="2037" max="2037" width="4.85546875" style="62" customWidth="1"/>
    <col min="2038" max="2038" width="32.42578125" style="62" customWidth="1"/>
    <col min="2039" max="2039" width="9.85546875" style="62" customWidth="1"/>
    <col min="2040" max="2040" width="10.140625" style="62" customWidth="1"/>
    <col min="2041" max="2041" width="12.28515625" style="62" customWidth="1"/>
    <col min="2042" max="2042" width="15.42578125" style="62" customWidth="1"/>
    <col min="2043" max="2043" width="11.85546875" style="62" customWidth="1"/>
    <col min="2044" max="2044" width="13.28515625" style="62" customWidth="1"/>
    <col min="2045" max="2045" width="15.28515625" style="62" customWidth="1"/>
    <col min="2046" max="2046" width="11.85546875" style="62" customWidth="1"/>
    <col min="2047" max="2047" width="6.140625" style="62" customWidth="1"/>
    <col min="2048" max="2048" width="11.85546875" style="62" customWidth="1"/>
    <col min="2049" max="2049" width="9.42578125" style="62" customWidth="1"/>
    <col min="2050" max="2050" width="14.7109375" style="62" customWidth="1"/>
    <col min="2051" max="2051" width="11.5703125" style="62" customWidth="1"/>
    <col min="2052" max="2052" width="0.42578125" style="62" customWidth="1"/>
    <col min="2053" max="2053" width="10.5703125" style="62" bestFit="1" customWidth="1"/>
    <col min="2054" max="2054" width="12.28515625" style="62" customWidth="1"/>
    <col min="2055" max="2055" width="12.5703125" style="62" customWidth="1"/>
    <col min="2056" max="2056" width="10.5703125" style="62" customWidth="1"/>
    <col min="2057" max="2057" width="10.140625" style="62" customWidth="1"/>
    <col min="2058" max="2058" width="8.42578125" style="62" customWidth="1"/>
    <col min="2059" max="2059" width="18.85546875" style="62" customWidth="1"/>
    <col min="2060" max="2060" width="10.28515625" style="62" customWidth="1"/>
    <col min="2061" max="2061" width="11.42578125" style="62"/>
    <col min="2062" max="2062" width="12.140625" style="62" customWidth="1"/>
    <col min="2063" max="2063" width="10.5703125" style="62" customWidth="1"/>
    <col min="2064" max="2064" width="12.42578125" style="62" customWidth="1"/>
    <col min="2065" max="2065" width="15.140625" style="62" customWidth="1"/>
    <col min="2066" max="2066" width="13.5703125" style="62" customWidth="1"/>
    <col min="2067" max="2067" width="13.140625" style="62" customWidth="1"/>
    <col min="2068" max="2068" width="15.7109375" style="62" customWidth="1"/>
    <col min="2069" max="2069" width="37.5703125" style="62" customWidth="1"/>
    <col min="2070" max="2291" width="11.42578125" style="62"/>
    <col min="2292" max="2292" width="10.5703125" style="62" customWidth="1"/>
    <col min="2293" max="2293" width="4.85546875" style="62" customWidth="1"/>
    <col min="2294" max="2294" width="32.42578125" style="62" customWidth="1"/>
    <col min="2295" max="2295" width="9.85546875" style="62" customWidth="1"/>
    <col min="2296" max="2296" width="10.140625" style="62" customWidth="1"/>
    <col min="2297" max="2297" width="12.28515625" style="62" customWidth="1"/>
    <col min="2298" max="2298" width="15.42578125" style="62" customWidth="1"/>
    <col min="2299" max="2299" width="11.85546875" style="62" customWidth="1"/>
    <col min="2300" max="2300" width="13.28515625" style="62" customWidth="1"/>
    <col min="2301" max="2301" width="15.28515625" style="62" customWidth="1"/>
    <col min="2302" max="2302" width="11.85546875" style="62" customWidth="1"/>
    <col min="2303" max="2303" width="6.140625" style="62" customWidth="1"/>
    <col min="2304" max="2304" width="11.85546875" style="62" customWidth="1"/>
    <col min="2305" max="2305" width="9.42578125" style="62" customWidth="1"/>
    <col min="2306" max="2306" width="14.7109375" style="62" customWidth="1"/>
    <col min="2307" max="2307" width="11.5703125" style="62" customWidth="1"/>
    <col min="2308" max="2308" width="0.42578125" style="62" customWidth="1"/>
    <col min="2309" max="2309" width="10.5703125" style="62" bestFit="1" customWidth="1"/>
    <col min="2310" max="2310" width="12.28515625" style="62" customWidth="1"/>
    <col min="2311" max="2311" width="12.5703125" style="62" customWidth="1"/>
    <col min="2312" max="2312" width="10.5703125" style="62" customWidth="1"/>
    <col min="2313" max="2313" width="10.140625" style="62" customWidth="1"/>
    <col min="2314" max="2314" width="8.42578125" style="62" customWidth="1"/>
    <col min="2315" max="2315" width="18.85546875" style="62" customWidth="1"/>
    <col min="2316" max="2316" width="10.28515625" style="62" customWidth="1"/>
    <col min="2317" max="2317" width="11.42578125" style="62"/>
    <col min="2318" max="2318" width="12.140625" style="62" customWidth="1"/>
    <col min="2319" max="2319" width="10.5703125" style="62" customWidth="1"/>
    <col min="2320" max="2320" width="12.42578125" style="62" customWidth="1"/>
    <col min="2321" max="2321" width="15.140625" style="62" customWidth="1"/>
    <col min="2322" max="2322" width="13.5703125" style="62" customWidth="1"/>
    <col min="2323" max="2323" width="13.140625" style="62" customWidth="1"/>
    <col min="2324" max="2324" width="15.7109375" style="62" customWidth="1"/>
    <col min="2325" max="2325" width="37.5703125" style="62" customWidth="1"/>
    <col min="2326" max="2547" width="11.42578125" style="62"/>
    <col min="2548" max="2548" width="10.5703125" style="62" customWidth="1"/>
    <col min="2549" max="2549" width="4.85546875" style="62" customWidth="1"/>
    <col min="2550" max="2550" width="32.42578125" style="62" customWidth="1"/>
    <col min="2551" max="2551" width="9.85546875" style="62" customWidth="1"/>
    <col min="2552" max="2552" width="10.140625" style="62" customWidth="1"/>
    <col min="2553" max="2553" width="12.28515625" style="62" customWidth="1"/>
    <col min="2554" max="2554" width="15.42578125" style="62" customWidth="1"/>
    <col min="2555" max="2555" width="11.85546875" style="62" customWidth="1"/>
    <col min="2556" max="2556" width="13.28515625" style="62" customWidth="1"/>
    <col min="2557" max="2557" width="15.28515625" style="62" customWidth="1"/>
    <col min="2558" max="2558" width="11.85546875" style="62" customWidth="1"/>
    <col min="2559" max="2559" width="6.140625" style="62" customWidth="1"/>
    <col min="2560" max="2560" width="11.85546875" style="62" customWidth="1"/>
    <col min="2561" max="2561" width="9.42578125" style="62" customWidth="1"/>
    <col min="2562" max="2562" width="14.7109375" style="62" customWidth="1"/>
    <col min="2563" max="2563" width="11.5703125" style="62" customWidth="1"/>
    <col min="2564" max="2564" width="0.42578125" style="62" customWidth="1"/>
    <col min="2565" max="2565" width="10.5703125" style="62" bestFit="1" customWidth="1"/>
    <col min="2566" max="2566" width="12.28515625" style="62" customWidth="1"/>
    <col min="2567" max="2567" width="12.5703125" style="62" customWidth="1"/>
    <col min="2568" max="2568" width="10.5703125" style="62" customWidth="1"/>
    <col min="2569" max="2569" width="10.140625" style="62" customWidth="1"/>
    <col min="2570" max="2570" width="8.42578125" style="62" customWidth="1"/>
    <col min="2571" max="2571" width="18.85546875" style="62" customWidth="1"/>
    <col min="2572" max="2572" width="10.28515625" style="62" customWidth="1"/>
    <col min="2573" max="2573" width="11.42578125" style="62"/>
    <col min="2574" max="2574" width="12.140625" style="62" customWidth="1"/>
    <col min="2575" max="2575" width="10.5703125" style="62" customWidth="1"/>
    <col min="2576" max="2576" width="12.42578125" style="62" customWidth="1"/>
    <col min="2577" max="2577" width="15.140625" style="62" customWidth="1"/>
    <col min="2578" max="2578" width="13.5703125" style="62" customWidth="1"/>
    <col min="2579" max="2579" width="13.140625" style="62" customWidth="1"/>
    <col min="2580" max="2580" width="15.7109375" style="62" customWidth="1"/>
    <col min="2581" max="2581" width="37.5703125" style="62" customWidth="1"/>
    <col min="2582" max="2803" width="11.42578125" style="62"/>
    <col min="2804" max="2804" width="10.5703125" style="62" customWidth="1"/>
    <col min="2805" max="2805" width="4.85546875" style="62" customWidth="1"/>
    <col min="2806" max="2806" width="32.42578125" style="62" customWidth="1"/>
    <col min="2807" max="2807" width="9.85546875" style="62" customWidth="1"/>
    <col min="2808" max="2808" width="10.140625" style="62" customWidth="1"/>
    <col min="2809" max="2809" width="12.28515625" style="62" customWidth="1"/>
    <col min="2810" max="2810" width="15.42578125" style="62" customWidth="1"/>
    <col min="2811" max="2811" width="11.85546875" style="62" customWidth="1"/>
    <col min="2812" max="2812" width="13.28515625" style="62" customWidth="1"/>
    <col min="2813" max="2813" width="15.28515625" style="62" customWidth="1"/>
    <col min="2814" max="2814" width="11.85546875" style="62" customWidth="1"/>
    <col min="2815" max="2815" width="6.140625" style="62" customWidth="1"/>
    <col min="2816" max="2816" width="11.85546875" style="62" customWidth="1"/>
    <col min="2817" max="2817" width="9.42578125" style="62" customWidth="1"/>
    <col min="2818" max="2818" width="14.7109375" style="62" customWidth="1"/>
    <col min="2819" max="2819" width="11.5703125" style="62" customWidth="1"/>
    <col min="2820" max="2820" width="0.42578125" style="62" customWidth="1"/>
    <col min="2821" max="2821" width="10.5703125" style="62" bestFit="1" customWidth="1"/>
    <col min="2822" max="2822" width="12.28515625" style="62" customWidth="1"/>
    <col min="2823" max="2823" width="12.5703125" style="62" customWidth="1"/>
    <col min="2824" max="2824" width="10.5703125" style="62" customWidth="1"/>
    <col min="2825" max="2825" width="10.140625" style="62" customWidth="1"/>
    <col min="2826" max="2826" width="8.42578125" style="62" customWidth="1"/>
    <col min="2827" max="2827" width="18.85546875" style="62" customWidth="1"/>
    <col min="2828" max="2828" width="10.28515625" style="62" customWidth="1"/>
    <col min="2829" max="2829" width="11.42578125" style="62"/>
    <col min="2830" max="2830" width="12.140625" style="62" customWidth="1"/>
    <col min="2831" max="2831" width="10.5703125" style="62" customWidth="1"/>
    <col min="2832" max="2832" width="12.42578125" style="62" customWidth="1"/>
    <col min="2833" max="2833" width="15.140625" style="62" customWidth="1"/>
    <col min="2834" max="2834" width="13.5703125" style="62" customWidth="1"/>
    <col min="2835" max="2835" width="13.140625" style="62" customWidth="1"/>
    <col min="2836" max="2836" width="15.7109375" style="62" customWidth="1"/>
    <col min="2837" max="2837" width="37.5703125" style="62" customWidth="1"/>
    <col min="2838" max="3059" width="11.42578125" style="62"/>
    <col min="3060" max="3060" width="10.5703125" style="62" customWidth="1"/>
    <col min="3061" max="3061" width="4.85546875" style="62" customWidth="1"/>
    <col min="3062" max="3062" width="32.42578125" style="62" customWidth="1"/>
    <col min="3063" max="3063" width="9.85546875" style="62" customWidth="1"/>
    <col min="3064" max="3064" width="10.140625" style="62" customWidth="1"/>
    <col min="3065" max="3065" width="12.28515625" style="62" customWidth="1"/>
    <col min="3066" max="3066" width="15.42578125" style="62" customWidth="1"/>
    <col min="3067" max="3067" width="11.85546875" style="62" customWidth="1"/>
    <col min="3068" max="3068" width="13.28515625" style="62" customWidth="1"/>
    <col min="3069" max="3069" width="15.28515625" style="62" customWidth="1"/>
    <col min="3070" max="3070" width="11.85546875" style="62" customWidth="1"/>
    <col min="3071" max="3071" width="6.140625" style="62" customWidth="1"/>
    <col min="3072" max="3072" width="11.85546875" style="62" customWidth="1"/>
    <col min="3073" max="3073" width="9.42578125" style="62" customWidth="1"/>
    <col min="3074" max="3074" width="14.7109375" style="62" customWidth="1"/>
    <col min="3075" max="3075" width="11.5703125" style="62" customWidth="1"/>
    <col min="3076" max="3076" width="0.42578125" style="62" customWidth="1"/>
    <col min="3077" max="3077" width="10.5703125" style="62" bestFit="1" customWidth="1"/>
    <col min="3078" max="3078" width="12.28515625" style="62" customWidth="1"/>
    <col min="3079" max="3079" width="12.5703125" style="62" customWidth="1"/>
    <col min="3080" max="3080" width="10.5703125" style="62" customWidth="1"/>
    <col min="3081" max="3081" width="10.140625" style="62" customWidth="1"/>
    <col min="3082" max="3082" width="8.42578125" style="62" customWidth="1"/>
    <col min="3083" max="3083" width="18.85546875" style="62" customWidth="1"/>
    <col min="3084" max="3084" width="10.28515625" style="62" customWidth="1"/>
    <col min="3085" max="3085" width="11.42578125" style="62"/>
    <col min="3086" max="3086" width="12.140625" style="62" customWidth="1"/>
    <col min="3087" max="3087" width="10.5703125" style="62" customWidth="1"/>
    <col min="3088" max="3088" width="12.42578125" style="62" customWidth="1"/>
    <col min="3089" max="3089" width="15.140625" style="62" customWidth="1"/>
    <col min="3090" max="3090" width="13.5703125" style="62" customWidth="1"/>
    <col min="3091" max="3091" width="13.140625" style="62" customWidth="1"/>
    <col min="3092" max="3092" width="15.7109375" style="62" customWidth="1"/>
    <col min="3093" max="3093" width="37.5703125" style="62" customWidth="1"/>
    <col min="3094" max="3315" width="11.42578125" style="62"/>
    <col min="3316" max="3316" width="10.5703125" style="62" customWidth="1"/>
    <col min="3317" max="3317" width="4.85546875" style="62" customWidth="1"/>
    <col min="3318" max="3318" width="32.42578125" style="62" customWidth="1"/>
    <col min="3319" max="3319" width="9.85546875" style="62" customWidth="1"/>
    <col min="3320" max="3320" width="10.140625" style="62" customWidth="1"/>
    <col min="3321" max="3321" width="12.28515625" style="62" customWidth="1"/>
    <col min="3322" max="3322" width="15.42578125" style="62" customWidth="1"/>
    <col min="3323" max="3323" width="11.85546875" style="62" customWidth="1"/>
    <col min="3324" max="3324" width="13.28515625" style="62" customWidth="1"/>
    <col min="3325" max="3325" width="15.28515625" style="62" customWidth="1"/>
    <col min="3326" max="3326" width="11.85546875" style="62" customWidth="1"/>
    <col min="3327" max="3327" width="6.140625" style="62" customWidth="1"/>
    <col min="3328" max="3328" width="11.85546875" style="62" customWidth="1"/>
    <col min="3329" max="3329" width="9.42578125" style="62" customWidth="1"/>
    <col min="3330" max="3330" width="14.7109375" style="62" customWidth="1"/>
    <col min="3331" max="3331" width="11.5703125" style="62" customWidth="1"/>
    <col min="3332" max="3332" width="0.42578125" style="62" customWidth="1"/>
    <col min="3333" max="3333" width="10.5703125" style="62" bestFit="1" customWidth="1"/>
    <col min="3334" max="3334" width="12.28515625" style="62" customWidth="1"/>
    <col min="3335" max="3335" width="12.5703125" style="62" customWidth="1"/>
    <col min="3336" max="3336" width="10.5703125" style="62" customWidth="1"/>
    <col min="3337" max="3337" width="10.140625" style="62" customWidth="1"/>
    <col min="3338" max="3338" width="8.42578125" style="62" customWidth="1"/>
    <col min="3339" max="3339" width="18.85546875" style="62" customWidth="1"/>
    <col min="3340" max="3340" width="10.28515625" style="62" customWidth="1"/>
    <col min="3341" max="3341" width="11.42578125" style="62"/>
    <col min="3342" max="3342" width="12.140625" style="62" customWidth="1"/>
    <col min="3343" max="3343" width="10.5703125" style="62" customWidth="1"/>
    <col min="3344" max="3344" width="12.42578125" style="62" customWidth="1"/>
    <col min="3345" max="3345" width="15.140625" style="62" customWidth="1"/>
    <col min="3346" max="3346" width="13.5703125" style="62" customWidth="1"/>
    <col min="3347" max="3347" width="13.140625" style="62" customWidth="1"/>
    <col min="3348" max="3348" width="15.7109375" style="62" customWidth="1"/>
    <col min="3349" max="3349" width="37.5703125" style="62" customWidth="1"/>
    <col min="3350" max="3571" width="11.42578125" style="62"/>
    <col min="3572" max="3572" width="10.5703125" style="62" customWidth="1"/>
    <col min="3573" max="3573" width="4.85546875" style="62" customWidth="1"/>
    <col min="3574" max="3574" width="32.42578125" style="62" customWidth="1"/>
    <col min="3575" max="3575" width="9.85546875" style="62" customWidth="1"/>
    <col min="3576" max="3576" width="10.140625" style="62" customWidth="1"/>
    <col min="3577" max="3577" width="12.28515625" style="62" customWidth="1"/>
    <col min="3578" max="3578" width="15.42578125" style="62" customWidth="1"/>
    <col min="3579" max="3579" width="11.85546875" style="62" customWidth="1"/>
    <col min="3580" max="3580" width="13.28515625" style="62" customWidth="1"/>
    <col min="3581" max="3581" width="15.28515625" style="62" customWidth="1"/>
    <col min="3582" max="3582" width="11.85546875" style="62" customWidth="1"/>
    <col min="3583" max="3583" width="6.140625" style="62" customWidth="1"/>
    <col min="3584" max="3584" width="11.85546875" style="62" customWidth="1"/>
    <col min="3585" max="3585" width="9.42578125" style="62" customWidth="1"/>
    <col min="3586" max="3586" width="14.7109375" style="62" customWidth="1"/>
    <col min="3587" max="3587" width="11.5703125" style="62" customWidth="1"/>
    <col min="3588" max="3588" width="0.42578125" style="62" customWidth="1"/>
    <col min="3589" max="3589" width="10.5703125" style="62" bestFit="1" customWidth="1"/>
    <col min="3590" max="3590" width="12.28515625" style="62" customWidth="1"/>
    <col min="3591" max="3591" width="12.5703125" style="62" customWidth="1"/>
    <col min="3592" max="3592" width="10.5703125" style="62" customWidth="1"/>
    <col min="3593" max="3593" width="10.140625" style="62" customWidth="1"/>
    <col min="3594" max="3594" width="8.42578125" style="62" customWidth="1"/>
    <col min="3595" max="3595" width="18.85546875" style="62" customWidth="1"/>
    <col min="3596" max="3596" width="10.28515625" style="62" customWidth="1"/>
    <col min="3597" max="3597" width="11.42578125" style="62"/>
    <col min="3598" max="3598" width="12.140625" style="62" customWidth="1"/>
    <col min="3599" max="3599" width="10.5703125" style="62" customWidth="1"/>
    <col min="3600" max="3600" width="12.42578125" style="62" customWidth="1"/>
    <col min="3601" max="3601" width="15.140625" style="62" customWidth="1"/>
    <col min="3602" max="3602" width="13.5703125" style="62" customWidth="1"/>
    <col min="3603" max="3603" width="13.140625" style="62" customWidth="1"/>
    <col min="3604" max="3604" width="15.7109375" style="62" customWidth="1"/>
    <col min="3605" max="3605" width="37.5703125" style="62" customWidth="1"/>
    <col min="3606" max="3827" width="11.42578125" style="62"/>
    <col min="3828" max="3828" width="10.5703125" style="62" customWidth="1"/>
    <col min="3829" max="3829" width="4.85546875" style="62" customWidth="1"/>
    <col min="3830" max="3830" width="32.42578125" style="62" customWidth="1"/>
    <col min="3831" max="3831" width="9.85546875" style="62" customWidth="1"/>
    <col min="3832" max="3832" width="10.140625" style="62" customWidth="1"/>
    <col min="3833" max="3833" width="12.28515625" style="62" customWidth="1"/>
    <col min="3834" max="3834" width="15.42578125" style="62" customWidth="1"/>
    <col min="3835" max="3835" width="11.85546875" style="62" customWidth="1"/>
    <col min="3836" max="3836" width="13.28515625" style="62" customWidth="1"/>
    <col min="3837" max="3837" width="15.28515625" style="62" customWidth="1"/>
    <col min="3838" max="3838" width="11.85546875" style="62" customWidth="1"/>
    <col min="3839" max="3839" width="6.140625" style="62" customWidth="1"/>
    <col min="3840" max="3840" width="11.85546875" style="62" customWidth="1"/>
    <col min="3841" max="3841" width="9.42578125" style="62" customWidth="1"/>
    <col min="3842" max="3842" width="14.7109375" style="62" customWidth="1"/>
    <col min="3843" max="3843" width="11.5703125" style="62" customWidth="1"/>
    <col min="3844" max="3844" width="0.42578125" style="62" customWidth="1"/>
    <col min="3845" max="3845" width="10.5703125" style="62" bestFit="1" customWidth="1"/>
    <col min="3846" max="3846" width="12.28515625" style="62" customWidth="1"/>
    <col min="3847" max="3847" width="12.5703125" style="62" customWidth="1"/>
    <col min="3848" max="3848" width="10.5703125" style="62" customWidth="1"/>
    <col min="3849" max="3849" width="10.140625" style="62" customWidth="1"/>
    <col min="3850" max="3850" width="8.42578125" style="62" customWidth="1"/>
    <col min="3851" max="3851" width="18.85546875" style="62" customWidth="1"/>
    <col min="3852" max="3852" width="10.28515625" style="62" customWidth="1"/>
    <col min="3853" max="3853" width="11.42578125" style="62"/>
    <col min="3854" max="3854" width="12.140625" style="62" customWidth="1"/>
    <col min="3855" max="3855" width="10.5703125" style="62" customWidth="1"/>
    <col min="3856" max="3856" width="12.42578125" style="62" customWidth="1"/>
    <col min="3857" max="3857" width="15.140625" style="62" customWidth="1"/>
    <col min="3858" max="3858" width="13.5703125" style="62" customWidth="1"/>
    <col min="3859" max="3859" width="13.140625" style="62" customWidth="1"/>
    <col min="3860" max="3860" width="15.7109375" style="62" customWidth="1"/>
    <col min="3861" max="3861" width="37.5703125" style="62" customWidth="1"/>
    <col min="3862" max="4083" width="11.42578125" style="62"/>
    <col min="4084" max="4084" width="10.5703125" style="62" customWidth="1"/>
    <col min="4085" max="4085" width="4.85546875" style="62" customWidth="1"/>
    <col min="4086" max="4086" width="32.42578125" style="62" customWidth="1"/>
    <col min="4087" max="4087" width="9.85546875" style="62" customWidth="1"/>
    <col min="4088" max="4088" width="10.140625" style="62" customWidth="1"/>
    <col min="4089" max="4089" width="12.28515625" style="62" customWidth="1"/>
    <col min="4090" max="4090" width="15.42578125" style="62" customWidth="1"/>
    <col min="4091" max="4091" width="11.85546875" style="62" customWidth="1"/>
    <col min="4092" max="4092" width="13.28515625" style="62" customWidth="1"/>
    <col min="4093" max="4093" width="15.28515625" style="62" customWidth="1"/>
    <col min="4094" max="4094" width="11.85546875" style="62" customWidth="1"/>
    <col min="4095" max="4095" width="6.140625" style="62" customWidth="1"/>
    <col min="4096" max="4096" width="11.85546875" style="62" customWidth="1"/>
    <col min="4097" max="4097" width="9.42578125" style="62" customWidth="1"/>
    <col min="4098" max="4098" width="14.7109375" style="62" customWidth="1"/>
    <col min="4099" max="4099" width="11.5703125" style="62" customWidth="1"/>
    <col min="4100" max="4100" width="0.42578125" style="62" customWidth="1"/>
    <col min="4101" max="4101" width="10.5703125" style="62" bestFit="1" customWidth="1"/>
    <col min="4102" max="4102" width="12.28515625" style="62" customWidth="1"/>
    <col min="4103" max="4103" width="12.5703125" style="62" customWidth="1"/>
    <col min="4104" max="4104" width="10.5703125" style="62" customWidth="1"/>
    <col min="4105" max="4105" width="10.140625" style="62" customWidth="1"/>
    <col min="4106" max="4106" width="8.42578125" style="62" customWidth="1"/>
    <col min="4107" max="4107" width="18.85546875" style="62" customWidth="1"/>
    <col min="4108" max="4108" width="10.28515625" style="62" customWidth="1"/>
    <col min="4109" max="4109" width="11.42578125" style="62"/>
    <col min="4110" max="4110" width="12.140625" style="62" customWidth="1"/>
    <col min="4111" max="4111" width="10.5703125" style="62" customWidth="1"/>
    <col min="4112" max="4112" width="12.42578125" style="62" customWidth="1"/>
    <col min="4113" max="4113" width="15.140625" style="62" customWidth="1"/>
    <col min="4114" max="4114" width="13.5703125" style="62" customWidth="1"/>
    <col min="4115" max="4115" width="13.140625" style="62" customWidth="1"/>
    <col min="4116" max="4116" width="15.7109375" style="62" customWidth="1"/>
    <col min="4117" max="4117" width="37.5703125" style="62" customWidth="1"/>
    <col min="4118" max="4339" width="11.42578125" style="62"/>
    <col min="4340" max="4340" width="10.5703125" style="62" customWidth="1"/>
    <col min="4341" max="4341" width="4.85546875" style="62" customWidth="1"/>
    <col min="4342" max="4342" width="32.42578125" style="62" customWidth="1"/>
    <col min="4343" max="4343" width="9.85546875" style="62" customWidth="1"/>
    <col min="4344" max="4344" width="10.140625" style="62" customWidth="1"/>
    <col min="4345" max="4345" width="12.28515625" style="62" customWidth="1"/>
    <col min="4346" max="4346" width="15.42578125" style="62" customWidth="1"/>
    <col min="4347" max="4347" width="11.85546875" style="62" customWidth="1"/>
    <col min="4348" max="4348" width="13.28515625" style="62" customWidth="1"/>
    <col min="4349" max="4349" width="15.28515625" style="62" customWidth="1"/>
    <col min="4350" max="4350" width="11.85546875" style="62" customWidth="1"/>
    <col min="4351" max="4351" width="6.140625" style="62" customWidth="1"/>
    <col min="4352" max="4352" width="11.85546875" style="62" customWidth="1"/>
    <col min="4353" max="4353" width="9.42578125" style="62" customWidth="1"/>
    <col min="4354" max="4354" width="14.7109375" style="62" customWidth="1"/>
    <col min="4355" max="4355" width="11.5703125" style="62" customWidth="1"/>
    <col min="4356" max="4356" width="0.42578125" style="62" customWidth="1"/>
    <col min="4357" max="4357" width="10.5703125" style="62" bestFit="1" customWidth="1"/>
    <col min="4358" max="4358" width="12.28515625" style="62" customWidth="1"/>
    <col min="4359" max="4359" width="12.5703125" style="62" customWidth="1"/>
    <col min="4360" max="4360" width="10.5703125" style="62" customWidth="1"/>
    <col min="4361" max="4361" width="10.140625" style="62" customWidth="1"/>
    <col min="4362" max="4362" width="8.42578125" style="62" customWidth="1"/>
    <col min="4363" max="4363" width="18.85546875" style="62" customWidth="1"/>
    <col min="4364" max="4364" width="10.28515625" style="62" customWidth="1"/>
    <col min="4365" max="4365" width="11.42578125" style="62"/>
    <col min="4366" max="4366" width="12.140625" style="62" customWidth="1"/>
    <col min="4367" max="4367" width="10.5703125" style="62" customWidth="1"/>
    <col min="4368" max="4368" width="12.42578125" style="62" customWidth="1"/>
    <col min="4369" max="4369" width="15.140625" style="62" customWidth="1"/>
    <col min="4370" max="4370" width="13.5703125" style="62" customWidth="1"/>
    <col min="4371" max="4371" width="13.140625" style="62" customWidth="1"/>
    <col min="4372" max="4372" width="15.7109375" style="62" customWidth="1"/>
    <col min="4373" max="4373" width="37.5703125" style="62" customWidth="1"/>
    <col min="4374" max="4595" width="11.42578125" style="62"/>
    <col min="4596" max="4596" width="10.5703125" style="62" customWidth="1"/>
    <col min="4597" max="4597" width="4.85546875" style="62" customWidth="1"/>
    <col min="4598" max="4598" width="32.42578125" style="62" customWidth="1"/>
    <col min="4599" max="4599" width="9.85546875" style="62" customWidth="1"/>
    <col min="4600" max="4600" width="10.140625" style="62" customWidth="1"/>
    <col min="4601" max="4601" width="12.28515625" style="62" customWidth="1"/>
    <col min="4602" max="4602" width="15.42578125" style="62" customWidth="1"/>
    <col min="4603" max="4603" width="11.85546875" style="62" customWidth="1"/>
    <col min="4604" max="4604" width="13.28515625" style="62" customWidth="1"/>
    <col min="4605" max="4605" width="15.28515625" style="62" customWidth="1"/>
    <col min="4606" max="4606" width="11.85546875" style="62" customWidth="1"/>
    <col min="4607" max="4607" width="6.140625" style="62" customWidth="1"/>
    <col min="4608" max="4608" width="11.85546875" style="62" customWidth="1"/>
    <col min="4609" max="4609" width="9.42578125" style="62" customWidth="1"/>
    <col min="4610" max="4610" width="14.7109375" style="62" customWidth="1"/>
    <col min="4611" max="4611" width="11.5703125" style="62" customWidth="1"/>
    <col min="4612" max="4612" width="0.42578125" style="62" customWidth="1"/>
    <col min="4613" max="4613" width="10.5703125" style="62" bestFit="1" customWidth="1"/>
    <col min="4614" max="4614" width="12.28515625" style="62" customWidth="1"/>
    <col min="4615" max="4615" width="12.5703125" style="62" customWidth="1"/>
    <col min="4616" max="4616" width="10.5703125" style="62" customWidth="1"/>
    <col min="4617" max="4617" width="10.140625" style="62" customWidth="1"/>
    <col min="4618" max="4618" width="8.42578125" style="62" customWidth="1"/>
    <col min="4619" max="4619" width="18.85546875" style="62" customWidth="1"/>
    <col min="4620" max="4620" width="10.28515625" style="62" customWidth="1"/>
    <col min="4621" max="4621" width="11.42578125" style="62"/>
    <col min="4622" max="4622" width="12.140625" style="62" customWidth="1"/>
    <col min="4623" max="4623" width="10.5703125" style="62" customWidth="1"/>
    <col min="4624" max="4624" width="12.42578125" style="62" customWidth="1"/>
    <col min="4625" max="4625" width="15.140625" style="62" customWidth="1"/>
    <col min="4626" max="4626" width="13.5703125" style="62" customWidth="1"/>
    <col min="4627" max="4627" width="13.140625" style="62" customWidth="1"/>
    <col min="4628" max="4628" width="15.7109375" style="62" customWidth="1"/>
    <col min="4629" max="4629" width="37.5703125" style="62" customWidth="1"/>
    <col min="4630" max="4851" width="11.42578125" style="62"/>
    <col min="4852" max="4852" width="10.5703125" style="62" customWidth="1"/>
    <col min="4853" max="4853" width="4.85546875" style="62" customWidth="1"/>
    <col min="4854" max="4854" width="32.42578125" style="62" customWidth="1"/>
    <col min="4855" max="4855" width="9.85546875" style="62" customWidth="1"/>
    <col min="4856" max="4856" width="10.140625" style="62" customWidth="1"/>
    <col min="4857" max="4857" width="12.28515625" style="62" customWidth="1"/>
    <col min="4858" max="4858" width="15.42578125" style="62" customWidth="1"/>
    <col min="4859" max="4859" width="11.85546875" style="62" customWidth="1"/>
    <col min="4860" max="4860" width="13.28515625" style="62" customWidth="1"/>
    <col min="4861" max="4861" width="15.28515625" style="62" customWidth="1"/>
    <col min="4862" max="4862" width="11.85546875" style="62" customWidth="1"/>
    <col min="4863" max="4863" width="6.140625" style="62" customWidth="1"/>
    <col min="4864" max="4864" width="11.85546875" style="62" customWidth="1"/>
    <col min="4865" max="4865" width="9.42578125" style="62" customWidth="1"/>
    <col min="4866" max="4866" width="14.7109375" style="62" customWidth="1"/>
    <col min="4867" max="4867" width="11.5703125" style="62" customWidth="1"/>
    <col min="4868" max="4868" width="0.42578125" style="62" customWidth="1"/>
    <col min="4869" max="4869" width="10.5703125" style="62" bestFit="1" customWidth="1"/>
    <col min="4870" max="4870" width="12.28515625" style="62" customWidth="1"/>
    <col min="4871" max="4871" width="12.5703125" style="62" customWidth="1"/>
    <col min="4872" max="4872" width="10.5703125" style="62" customWidth="1"/>
    <col min="4873" max="4873" width="10.140625" style="62" customWidth="1"/>
    <col min="4874" max="4874" width="8.42578125" style="62" customWidth="1"/>
    <col min="4875" max="4875" width="18.85546875" style="62" customWidth="1"/>
    <col min="4876" max="4876" width="10.28515625" style="62" customWidth="1"/>
    <col min="4877" max="4877" width="11.42578125" style="62"/>
    <col min="4878" max="4878" width="12.140625" style="62" customWidth="1"/>
    <col min="4879" max="4879" width="10.5703125" style="62" customWidth="1"/>
    <col min="4880" max="4880" width="12.42578125" style="62" customWidth="1"/>
    <col min="4881" max="4881" width="15.140625" style="62" customWidth="1"/>
    <col min="4882" max="4882" width="13.5703125" style="62" customWidth="1"/>
    <col min="4883" max="4883" width="13.140625" style="62" customWidth="1"/>
    <col min="4884" max="4884" width="15.7109375" style="62" customWidth="1"/>
    <col min="4885" max="4885" width="37.5703125" style="62" customWidth="1"/>
    <col min="4886" max="5107" width="11.42578125" style="62"/>
    <col min="5108" max="5108" width="10.5703125" style="62" customWidth="1"/>
    <col min="5109" max="5109" width="4.85546875" style="62" customWidth="1"/>
    <col min="5110" max="5110" width="32.42578125" style="62" customWidth="1"/>
    <col min="5111" max="5111" width="9.85546875" style="62" customWidth="1"/>
    <col min="5112" max="5112" width="10.140625" style="62" customWidth="1"/>
    <col min="5113" max="5113" width="12.28515625" style="62" customWidth="1"/>
    <col min="5114" max="5114" width="15.42578125" style="62" customWidth="1"/>
    <col min="5115" max="5115" width="11.85546875" style="62" customWidth="1"/>
    <col min="5116" max="5116" width="13.28515625" style="62" customWidth="1"/>
    <col min="5117" max="5117" width="15.28515625" style="62" customWidth="1"/>
    <col min="5118" max="5118" width="11.85546875" style="62" customWidth="1"/>
    <col min="5119" max="5119" width="6.140625" style="62" customWidth="1"/>
    <col min="5120" max="5120" width="11.85546875" style="62" customWidth="1"/>
    <col min="5121" max="5121" width="9.42578125" style="62" customWidth="1"/>
    <col min="5122" max="5122" width="14.7109375" style="62" customWidth="1"/>
    <col min="5123" max="5123" width="11.5703125" style="62" customWidth="1"/>
    <col min="5124" max="5124" width="0.42578125" style="62" customWidth="1"/>
    <col min="5125" max="5125" width="10.5703125" style="62" bestFit="1" customWidth="1"/>
    <col min="5126" max="5126" width="12.28515625" style="62" customWidth="1"/>
    <col min="5127" max="5127" width="12.5703125" style="62" customWidth="1"/>
    <col min="5128" max="5128" width="10.5703125" style="62" customWidth="1"/>
    <col min="5129" max="5129" width="10.140625" style="62" customWidth="1"/>
    <col min="5130" max="5130" width="8.42578125" style="62" customWidth="1"/>
    <col min="5131" max="5131" width="18.85546875" style="62" customWidth="1"/>
    <col min="5132" max="5132" width="10.28515625" style="62" customWidth="1"/>
    <col min="5133" max="5133" width="11.42578125" style="62"/>
    <col min="5134" max="5134" width="12.140625" style="62" customWidth="1"/>
    <col min="5135" max="5135" width="10.5703125" style="62" customWidth="1"/>
    <col min="5136" max="5136" width="12.42578125" style="62" customWidth="1"/>
    <col min="5137" max="5137" width="15.140625" style="62" customWidth="1"/>
    <col min="5138" max="5138" width="13.5703125" style="62" customWidth="1"/>
    <col min="5139" max="5139" width="13.140625" style="62" customWidth="1"/>
    <col min="5140" max="5140" width="15.7109375" style="62" customWidth="1"/>
    <col min="5141" max="5141" width="37.5703125" style="62" customWidth="1"/>
    <col min="5142" max="5363" width="11.42578125" style="62"/>
    <col min="5364" max="5364" width="10.5703125" style="62" customWidth="1"/>
    <col min="5365" max="5365" width="4.85546875" style="62" customWidth="1"/>
    <col min="5366" max="5366" width="32.42578125" style="62" customWidth="1"/>
    <col min="5367" max="5367" width="9.85546875" style="62" customWidth="1"/>
    <col min="5368" max="5368" width="10.140625" style="62" customWidth="1"/>
    <col min="5369" max="5369" width="12.28515625" style="62" customWidth="1"/>
    <col min="5370" max="5370" width="15.42578125" style="62" customWidth="1"/>
    <col min="5371" max="5371" width="11.85546875" style="62" customWidth="1"/>
    <col min="5372" max="5372" width="13.28515625" style="62" customWidth="1"/>
    <col min="5373" max="5373" width="15.28515625" style="62" customWidth="1"/>
    <col min="5374" max="5374" width="11.85546875" style="62" customWidth="1"/>
    <col min="5375" max="5375" width="6.140625" style="62" customWidth="1"/>
    <col min="5376" max="5376" width="11.85546875" style="62" customWidth="1"/>
    <col min="5377" max="5377" width="9.42578125" style="62" customWidth="1"/>
    <col min="5378" max="5378" width="14.7109375" style="62" customWidth="1"/>
    <col min="5379" max="5379" width="11.5703125" style="62" customWidth="1"/>
    <col min="5380" max="5380" width="0.42578125" style="62" customWidth="1"/>
    <col min="5381" max="5381" width="10.5703125" style="62" bestFit="1" customWidth="1"/>
    <col min="5382" max="5382" width="12.28515625" style="62" customWidth="1"/>
    <col min="5383" max="5383" width="12.5703125" style="62" customWidth="1"/>
    <col min="5384" max="5384" width="10.5703125" style="62" customWidth="1"/>
    <col min="5385" max="5385" width="10.140625" style="62" customWidth="1"/>
    <col min="5386" max="5386" width="8.42578125" style="62" customWidth="1"/>
    <col min="5387" max="5387" width="18.85546875" style="62" customWidth="1"/>
    <col min="5388" max="5388" width="10.28515625" style="62" customWidth="1"/>
    <col min="5389" max="5389" width="11.42578125" style="62"/>
    <col min="5390" max="5390" width="12.140625" style="62" customWidth="1"/>
    <col min="5391" max="5391" width="10.5703125" style="62" customWidth="1"/>
    <col min="5392" max="5392" width="12.42578125" style="62" customWidth="1"/>
    <col min="5393" max="5393" width="15.140625" style="62" customWidth="1"/>
    <col min="5394" max="5394" width="13.5703125" style="62" customWidth="1"/>
    <col min="5395" max="5395" width="13.140625" style="62" customWidth="1"/>
    <col min="5396" max="5396" width="15.7109375" style="62" customWidth="1"/>
    <col min="5397" max="5397" width="37.5703125" style="62" customWidth="1"/>
    <col min="5398" max="5619" width="11.42578125" style="62"/>
    <col min="5620" max="5620" width="10.5703125" style="62" customWidth="1"/>
    <col min="5621" max="5621" width="4.85546875" style="62" customWidth="1"/>
    <col min="5622" max="5622" width="32.42578125" style="62" customWidth="1"/>
    <col min="5623" max="5623" width="9.85546875" style="62" customWidth="1"/>
    <col min="5624" max="5624" width="10.140625" style="62" customWidth="1"/>
    <col min="5625" max="5625" width="12.28515625" style="62" customWidth="1"/>
    <col min="5626" max="5626" width="15.42578125" style="62" customWidth="1"/>
    <col min="5627" max="5627" width="11.85546875" style="62" customWidth="1"/>
    <col min="5628" max="5628" width="13.28515625" style="62" customWidth="1"/>
    <col min="5629" max="5629" width="15.28515625" style="62" customWidth="1"/>
    <col min="5630" max="5630" width="11.85546875" style="62" customWidth="1"/>
    <col min="5631" max="5631" width="6.140625" style="62" customWidth="1"/>
    <col min="5632" max="5632" width="11.85546875" style="62" customWidth="1"/>
    <col min="5633" max="5633" width="9.42578125" style="62" customWidth="1"/>
    <col min="5634" max="5634" width="14.7109375" style="62" customWidth="1"/>
    <col min="5635" max="5635" width="11.5703125" style="62" customWidth="1"/>
    <col min="5636" max="5636" width="0.42578125" style="62" customWidth="1"/>
    <col min="5637" max="5637" width="10.5703125" style="62" bestFit="1" customWidth="1"/>
    <col min="5638" max="5638" width="12.28515625" style="62" customWidth="1"/>
    <col min="5639" max="5639" width="12.5703125" style="62" customWidth="1"/>
    <col min="5640" max="5640" width="10.5703125" style="62" customWidth="1"/>
    <col min="5641" max="5641" width="10.140625" style="62" customWidth="1"/>
    <col min="5642" max="5642" width="8.42578125" style="62" customWidth="1"/>
    <col min="5643" max="5643" width="18.85546875" style="62" customWidth="1"/>
    <col min="5644" max="5644" width="10.28515625" style="62" customWidth="1"/>
    <col min="5645" max="5645" width="11.42578125" style="62"/>
    <col min="5646" max="5646" width="12.140625" style="62" customWidth="1"/>
    <col min="5647" max="5647" width="10.5703125" style="62" customWidth="1"/>
    <col min="5648" max="5648" width="12.42578125" style="62" customWidth="1"/>
    <col min="5649" max="5649" width="15.140625" style="62" customWidth="1"/>
    <col min="5650" max="5650" width="13.5703125" style="62" customWidth="1"/>
    <col min="5651" max="5651" width="13.140625" style="62" customWidth="1"/>
    <col min="5652" max="5652" width="15.7109375" style="62" customWidth="1"/>
    <col min="5653" max="5653" width="37.5703125" style="62" customWidth="1"/>
    <col min="5654" max="5875" width="11.42578125" style="62"/>
    <col min="5876" max="5876" width="10.5703125" style="62" customWidth="1"/>
    <col min="5877" max="5877" width="4.85546875" style="62" customWidth="1"/>
    <col min="5878" max="5878" width="32.42578125" style="62" customWidth="1"/>
    <col min="5879" max="5879" width="9.85546875" style="62" customWidth="1"/>
    <col min="5880" max="5880" width="10.140625" style="62" customWidth="1"/>
    <col min="5881" max="5881" width="12.28515625" style="62" customWidth="1"/>
    <col min="5882" max="5882" width="15.42578125" style="62" customWidth="1"/>
    <col min="5883" max="5883" width="11.85546875" style="62" customWidth="1"/>
    <col min="5884" max="5884" width="13.28515625" style="62" customWidth="1"/>
    <col min="5885" max="5885" width="15.28515625" style="62" customWidth="1"/>
    <col min="5886" max="5886" width="11.85546875" style="62" customWidth="1"/>
    <col min="5887" max="5887" width="6.140625" style="62" customWidth="1"/>
    <col min="5888" max="5888" width="11.85546875" style="62" customWidth="1"/>
    <col min="5889" max="5889" width="9.42578125" style="62" customWidth="1"/>
    <col min="5890" max="5890" width="14.7109375" style="62" customWidth="1"/>
    <col min="5891" max="5891" width="11.5703125" style="62" customWidth="1"/>
    <col min="5892" max="5892" width="0.42578125" style="62" customWidth="1"/>
    <col min="5893" max="5893" width="10.5703125" style="62" bestFit="1" customWidth="1"/>
    <col min="5894" max="5894" width="12.28515625" style="62" customWidth="1"/>
    <col min="5895" max="5895" width="12.5703125" style="62" customWidth="1"/>
    <col min="5896" max="5896" width="10.5703125" style="62" customWidth="1"/>
    <col min="5897" max="5897" width="10.140625" style="62" customWidth="1"/>
    <col min="5898" max="5898" width="8.42578125" style="62" customWidth="1"/>
    <col min="5899" max="5899" width="18.85546875" style="62" customWidth="1"/>
    <col min="5900" max="5900" width="10.28515625" style="62" customWidth="1"/>
    <col min="5901" max="5901" width="11.42578125" style="62"/>
    <col min="5902" max="5902" width="12.140625" style="62" customWidth="1"/>
    <col min="5903" max="5903" width="10.5703125" style="62" customWidth="1"/>
    <col min="5904" max="5904" width="12.42578125" style="62" customWidth="1"/>
    <col min="5905" max="5905" width="15.140625" style="62" customWidth="1"/>
    <col min="5906" max="5906" width="13.5703125" style="62" customWidth="1"/>
    <col min="5907" max="5907" width="13.140625" style="62" customWidth="1"/>
    <col min="5908" max="5908" width="15.7109375" style="62" customWidth="1"/>
    <col min="5909" max="5909" width="37.5703125" style="62" customWidth="1"/>
    <col min="5910" max="6131" width="11.42578125" style="62"/>
    <col min="6132" max="6132" width="10.5703125" style="62" customWidth="1"/>
    <col min="6133" max="6133" width="4.85546875" style="62" customWidth="1"/>
    <col min="6134" max="6134" width="32.42578125" style="62" customWidth="1"/>
    <col min="6135" max="6135" width="9.85546875" style="62" customWidth="1"/>
    <col min="6136" max="6136" width="10.140625" style="62" customWidth="1"/>
    <col min="6137" max="6137" width="12.28515625" style="62" customWidth="1"/>
    <col min="6138" max="6138" width="15.42578125" style="62" customWidth="1"/>
    <col min="6139" max="6139" width="11.85546875" style="62" customWidth="1"/>
    <col min="6140" max="6140" width="13.28515625" style="62" customWidth="1"/>
    <col min="6141" max="6141" width="15.28515625" style="62" customWidth="1"/>
    <col min="6142" max="6142" width="11.85546875" style="62" customWidth="1"/>
    <col min="6143" max="6143" width="6.140625" style="62" customWidth="1"/>
    <col min="6144" max="6144" width="11.85546875" style="62" customWidth="1"/>
    <col min="6145" max="6145" width="9.42578125" style="62" customWidth="1"/>
    <col min="6146" max="6146" width="14.7109375" style="62" customWidth="1"/>
    <col min="6147" max="6147" width="11.5703125" style="62" customWidth="1"/>
    <col min="6148" max="6148" width="0.42578125" style="62" customWidth="1"/>
    <col min="6149" max="6149" width="10.5703125" style="62" bestFit="1" customWidth="1"/>
    <col min="6150" max="6150" width="12.28515625" style="62" customWidth="1"/>
    <col min="6151" max="6151" width="12.5703125" style="62" customWidth="1"/>
    <col min="6152" max="6152" width="10.5703125" style="62" customWidth="1"/>
    <col min="6153" max="6153" width="10.140625" style="62" customWidth="1"/>
    <col min="6154" max="6154" width="8.42578125" style="62" customWidth="1"/>
    <col min="6155" max="6155" width="18.85546875" style="62" customWidth="1"/>
    <col min="6156" max="6156" width="10.28515625" style="62" customWidth="1"/>
    <col min="6157" max="6157" width="11.42578125" style="62"/>
    <col min="6158" max="6158" width="12.140625" style="62" customWidth="1"/>
    <col min="6159" max="6159" width="10.5703125" style="62" customWidth="1"/>
    <col min="6160" max="6160" width="12.42578125" style="62" customWidth="1"/>
    <col min="6161" max="6161" width="15.140625" style="62" customWidth="1"/>
    <col min="6162" max="6162" width="13.5703125" style="62" customWidth="1"/>
    <col min="6163" max="6163" width="13.140625" style="62" customWidth="1"/>
    <col min="6164" max="6164" width="15.7109375" style="62" customWidth="1"/>
    <col min="6165" max="6165" width="37.5703125" style="62" customWidth="1"/>
    <col min="6166" max="6387" width="11.42578125" style="62"/>
    <col min="6388" max="6388" width="10.5703125" style="62" customWidth="1"/>
    <col min="6389" max="6389" width="4.85546875" style="62" customWidth="1"/>
    <col min="6390" max="6390" width="32.42578125" style="62" customWidth="1"/>
    <col min="6391" max="6391" width="9.85546875" style="62" customWidth="1"/>
    <col min="6392" max="6392" width="10.140625" style="62" customWidth="1"/>
    <col min="6393" max="6393" width="12.28515625" style="62" customWidth="1"/>
    <col min="6394" max="6394" width="15.42578125" style="62" customWidth="1"/>
    <col min="6395" max="6395" width="11.85546875" style="62" customWidth="1"/>
    <col min="6396" max="6396" width="13.28515625" style="62" customWidth="1"/>
    <col min="6397" max="6397" width="15.28515625" style="62" customWidth="1"/>
    <col min="6398" max="6398" width="11.85546875" style="62" customWidth="1"/>
    <col min="6399" max="6399" width="6.140625" style="62" customWidth="1"/>
    <col min="6400" max="6400" width="11.85546875" style="62" customWidth="1"/>
    <col min="6401" max="6401" width="9.42578125" style="62" customWidth="1"/>
    <col min="6402" max="6402" width="14.7109375" style="62" customWidth="1"/>
    <col min="6403" max="6403" width="11.5703125" style="62" customWidth="1"/>
    <col min="6404" max="6404" width="0.42578125" style="62" customWidth="1"/>
    <col min="6405" max="6405" width="10.5703125" style="62" bestFit="1" customWidth="1"/>
    <col min="6406" max="6406" width="12.28515625" style="62" customWidth="1"/>
    <col min="6407" max="6407" width="12.5703125" style="62" customWidth="1"/>
    <col min="6408" max="6408" width="10.5703125" style="62" customWidth="1"/>
    <col min="6409" max="6409" width="10.140625" style="62" customWidth="1"/>
    <col min="6410" max="6410" width="8.42578125" style="62" customWidth="1"/>
    <col min="6411" max="6411" width="18.85546875" style="62" customWidth="1"/>
    <col min="6412" max="6412" width="10.28515625" style="62" customWidth="1"/>
    <col min="6413" max="6413" width="11.42578125" style="62"/>
    <col min="6414" max="6414" width="12.140625" style="62" customWidth="1"/>
    <col min="6415" max="6415" width="10.5703125" style="62" customWidth="1"/>
    <col min="6416" max="6416" width="12.42578125" style="62" customWidth="1"/>
    <col min="6417" max="6417" width="15.140625" style="62" customWidth="1"/>
    <col min="6418" max="6418" width="13.5703125" style="62" customWidth="1"/>
    <col min="6419" max="6419" width="13.140625" style="62" customWidth="1"/>
    <col min="6420" max="6420" width="15.7109375" style="62" customWidth="1"/>
    <col min="6421" max="6421" width="37.5703125" style="62" customWidth="1"/>
    <col min="6422" max="6643" width="11.42578125" style="62"/>
    <col min="6644" max="6644" width="10.5703125" style="62" customWidth="1"/>
    <col min="6645" max="6645" width="4.85546875" style="62" customWidth="1"/>
    <col min="6646" max="6646" width="32.42578125" style="62" customWidth="1"/>
    <col min="6647" max="6647" width="9.85546875" style="62" customWidth="1"/>
    <col min="6648" max="6648" width="10.140625" style="62" customWidth="1"/>
    <col min="6649" max="6649" width="12.28515625" style="62" customWidth="1"/>
    <col min="6650" max="6650" width="15.42578125" style="62" customWidth="1"/>
    <col min="6651" max="6651" width="11.85546875" style="62" customWidth="1"/>
    <col min="6652" max="6652" width="13.28515625" style="62" customWidth="1"/>
    <col min="6653" max="6653" width="15.28515625" style="62" customWidth="1"/>
    <col min="6654" max="6654" width="11.85546875" style="62" customWidth="1"/>
    <col min="6655" max="6655" width="6.140625" style="62" customWidth="1"/>
    <col min="6656" max="6656" width="11.85546875" style="62" customWidth="1"/>
    <col min="6657" max="6657" width="9.42578125" style="62" customWidth="1"/>
    <col min="6658" max="6658" width="14.7109375" style="62" customWidth="1"/>
    <col min="6659" max="6659" width="11.5703125" style="62" customWidth="1"/>
    <col min="6660" max="6660" width="0.42578125" style="62" customWidth="1"/>
    <col min="6661" max="6661" width="10.5703125" style="62" bestFit="1" customWidth="1"/>
    <col min="6662" max="6662" width="12.28515625" style="62" customWidth="1"/>
    <col min="6663" max="6663" width="12.5703125" style="62" customWidth="1"/>
    <col min="6664" max="6664" width="10.5703125" style="62" customWidth="1"/>
    <col min="6665" max="6665" width="10.140625" style="62" customWidth="1"/>
    <col min="6666" max="6666" width="8.42578125" style="62" customWidth="1"/>
    <col min="6667" max="6667" width="18.85546875" style="62" customWidth="1"/>
    <col min="6668" max="6668" width="10.28515625" style="62" customWidth="1"/>
    <col min="6669" max="6669" width="11.42578125" style="62"/>
    <col min="6670" max="6670" width="12.140625" style="62" customWidth="1"/>
    <col min="6671" max="6671" width="10.5703125" style="62" customWidth="1"/>
    <col min="6672" max="6672" width="12.42578125" style="62" customWidth="1"/>
    <col min="6673" max="6673" width="15.140625" style="62" customWidth="1"/>
    <col min="6674" max="6674" width="13.5703125" style="62" customWidth="1"/>
    <col min="6675" max="6675" width="13.140625" style="62" customWidth="1"/>
    <col min="6676" max="6676" width="15.7109375" style="62" customWidth="1"/>
    <col min="6677" max="6677" width="37.5703125" style="62" customWidth="1"/>
    <col min="6678" max="6899" width="11.42578125" style="62"/>
    <col min="6900" max="6900" width="10.5703125" style="62" customWidth="1"/>
    <col min="6901" max="6901" width="4.85546875" style="62" customWidth="1"/>
    <col min="6902" max="6902" width="32.42578125" style="62" customWidth="1"/>
    <col min="6903" max="6903" width="9.85546875" style="62" customWidth="1"/>
    <col min="6904" max="6904" width="10.140625" style="62" customWidth="1"/>
    <col min="6905" max="6905" width="12.28515625" style="62" customWidth="1"/>
    <col min="6906" max="6906" width="15.42578125" style="62" customWidth="1"/>
    <col min="6907" max="6907" width="11.85546875" style="62" customWidth="1"/>
    <col min="6908" max="6908" width="13.28515625" style="62" customWidth="1"/>
    <col min="6909" max="6909" width="15.28515625" style="62" customWidth="1"/>
    <col min="6910" max="6910" width="11.85546875" style="62" customWidth="1"/>
    <col min="6911" max="6911" width="6.140625" style="62" customWidth="1"/>
    <col min="6912" max="6912" width="11.85546875" style="62" customWidth="1"/>
    <col min="6913" max="6913" width="9.42578125" style="62" customWidth="1"/>
    <col min="6914" max="6914" width="14.7109375" style="62" customWidth="1"/>
    <col min="6915" max="6915" width="11.5703125" style="62" customWidth="1"/>
    <col min="6916" max="6916" width="0.42578125" style="62" customWidth="1"/>
    <col min="6917" max="6917" width="10.5703125" style="62" bestFit="1" customWidth="1"/>
    <col min="6918" max="6918" width="12.28515625" style="62" customWidth="1"/>
    <col min="6919" max="6919" width="12.5703125" style="62" customWidth="1"/>
    <col min="6920" max="6920" width="10.5703125" style="62" customWidth="1"/>
    <col min="6921" max="6921" width="10.140625" style="62" customWidth="1"/>
    <col min="6922" max="6922" width="8.42578125" style="62" customWidth="1"/>
    <col min="6923" max="6923" width="18.85546875" style="62" customWidth="1"/>
    <col min="6924" max="6924" width="10.28515625" style="62" customWidth="1"/>
    <col min="6925" max="6925" width="11.42578125" style="62"/>
    <col min="6926" max="6926" width="12.140625" style="62" customWidth="1"/>
    <col min="6927" max="6927" width="10.5703125" style="62" customWidth="1"/>
    <col min="6928" max="6928" width="12.42578125" style="62" customWidth="1"/>
    <col min="6929" max="6929" width="15.140625" style="62" customWidth="1"/>
    <col min="6930" max="6930" width="13.5703125" style="62" customWidth="1"/>
    <col min="6931" max="6931" width="13.140625" style="62" customWidth="1"/>
    <col min="6932" max="6932" width="15.7109375" style="62" customWidth="1"/>
    <col min="6933" max="6933" width="37.5703125" style="62" customWidth="1"/>
    <col min="6934" max="7155" width="11.42578125" style="62"/>
    <col min="7156" max="7156" width="10.5703125" style="62" customWidth="1"/>
    <col min="7157" max="7157" width="4.85546875" style="62" customWidth="1"/>
    <col min="7158" max="7158" width="32.42578125" style="62" customWidth="1"/>
    <col min="7159" max="7159" width="9.85546875" style="62" customWidth="1"/>
    <col min="7160" max="7160" width="10.140625" style="62" customWidth="1"/>
    <col min="7161" max="7161" width="12.28515625" style="62" customWidth="1"/>
    <col min="7162" max="7162" width="15.42578125" style="62" customWidth="1"/>
    <col min="7163" max="7163" width="11.85546875" style="62" customWidth="1"/>
    <col min="7164" max="7164" width="13.28515625" style="62" customWidth="1"/>
    <col min="7165" max="7165" width="15.28515625" style="62" customWidth="1"/>
    <col min="7166" max="7166" width="11.85546875" style="62" customWidth="1"/>
    <col min="7167" max="7167" width="6.140625" style="62" customWidth="1"/>
    <col min="7168" max="7168" width="11.85546875" style="62" customWidth="1"/>
    <col min="7169" max="7169" width="9.42578125" style="62" customWidth="1"/>
    <col min="7170" max="7170" width="14.7109375" style="62" customWidth="1"/>
    <col min="7171" max="7171" width="11.5703125" style="62" customWidth="1"/>
    <col min="7172" max="7172" width="0.42578125" style="62" customWidth="1"/>
    <col min="7173" max="7173" width="10.5703125" style="62" bestFit="1" customWidth="1"/>
    <col min="7174" max="7174" width="12.28515625" style="62" customWidth="1"/>
    <col min="7175" max="7175" width="12.5703125" style="62" customWidth="1"/>
    <col min="7176" max="7176" width="10.5703125" style="62" customWidth="1"/>
    <col min="7177" max="7177" width="10.140625" style="62" customWidth="1"/>
    <col min="7178" max="7178" width="8.42578125" style="62" customWidth="1"/>
    <col min="7179" max="7179" width="18.85546875" style="62" customWidth="1"/>
    <col min="7180" max="7180" width="10.28515625" style="62" customWidth="1"/>
    <col min="7181" max="7181" width="11.42578125" style="62"/>
    <col min="7182" max="7182" width="12.140625" style="62" customWidth="1"/>
    <col min="7183" max="7183" width="10.5703125" style="62" customWidth="1"/>
    <col min="7184" max="7184" width="12.42578125" style="62" customWidth="1"/>
    <col min="7185" max="7185" width="15.140625" style="62" customWidth="1"/>
    <col min="7186" max="7186" width="13.5703125" style="62" customWidth="1"/>
    <col min="7187" max="7187" width="13.140625" style="62" customWidth="1"/>
    <col min="7188" max="7188" width="15.7109375" style="62" customWidth="1"/>
    <col min="7189" max="7189" width="37.5703125" style="62" customWidth="1"/>
    <col min="7190" max="7411" width="11.42578125" style="62"/>
    <col min="7412" max="7412" width="10.5703125" style="62" customWidth="1"/>
    <col min="7413" max="7413" width="4.85546875" style="62" customWidth="1"/>
    <col min="7414" max="7414" width="32.42578125" style="62" customWidth="1"/>
    <col min="7415" max="7415" width="9.85546875" style="62" customWidth="1"/>
    <col min="7416" max="7416" width="10.140625" style="62" customWidth="1"/>
    <col min="7417" max="7417" width="12.28515625" style="62" customWidth="1"/>
    <col min="7418" max="7418" width="15.42578125" style="62" customWidth="1"/>
    <col min="7419" max="7419" width="11.85546875" style="62" customWidth="1"/>
    <col min="7420" max="7420" width="13.28515625" style="62" customWidth="1"/>
    <col min="7421" max="7421" width="15.28515625" style="62" customWidth="1"/>
    <col min="7422" max="7422" width="11.85546875" style="62" customWidth="1"/>
    <col min="7423" max="7423" width="6.140625" style="62" customWidth="1"/>
    <col min="7424" max="7424" width="11.85546875" style="62" customWidth="1"/>
    <col min="7425" max="7425" width="9.42578125" style="62" customWidth="1"/>
    <col min="7426" max="7426" width="14.7109375" style="62" customWidth="1"/>
    <col min="7427" max="7427" width="11.5703125" style="62" customWidth="1"/>
    <col min="7428" max="7428" width="0.42578125" style="62" customWidth="1"/>
    <col min="7429" max="7429" width="10.5703125" style="62" bestFit="1" customWidth="1"/>
    <col min="7430" max="7430" width="12.28515625" style="62" customWidth="1"/>
    <col min="7431" max="7431" width="12.5703125" style="62" customWidth="1"/>
    <col min="7432" max="7432" width="10.5703125" style="62" customWidth="1"/>
    <col min="7433" max="7433" width="10.140625" style="62" customWidth="1"/>
    <col min="7434" max="7434" width="8.42578125" style="62" customWidth="1"/>
    <col min="7435" max="7435" width="18.85546875" style="62" customWidth="1"/>
    <col min="7436" max="7436" width="10.28515625" style="62" customWidth="1"/>
    <col min="7437" max="7437" width="11.42578125" style="62"/>
    <col min="7438" max="7438" width="12.140625" style="62" customWidth="1"/>
    <col min="7439" max="7439" width="10.5703125" style="62" customWidth="1"/>
    <col min="7440" max="7440" width="12.42578125" style="62" customWidth="1"/>
    <col min="7441" max="7441" width="15.140625" style="62" customWidth="1"/>
    <col min="7442" max="7442" width="13.5703125" style="62" customWidth="1"/>
    <col min="7443" max="7443" width="13.140625" style="62" customWidth="1"/>
    <col min="7444" max="7444" width="15.7109375" style="62" customWidth="1"/>
    <col min="7445" max="7445" width="37.5703125" style="62" customWidth="1"/>
    <col min="7446" max="7667" width="11.42578125" style="62"/>
    <col min="7668" max="7668" width="10.5703125" style="62" customWidth="1"/>
    <col min="7669" max="7669" width="4.85546875" style="62" customWidth="1"/>
    <col min="7670" max="7670" width="32.42578125" style="62" customWidth="1"/>
    <col min="7671" max="7671" width="9.85546875" style="62" customWidth="1"/>
    <col min="7672" max="7672" width="10.140625" style="62" customWidth="1"/>
    <col min="7673" max="7673" width="12.28515625" style="62" customWidth="1"/>
    <col min="7674" max="7674" width="15.42578125" style="62" customWidth="1"/>
    <col min="7675" max="7675" width="11.85546875" style="62" customWidth="1"/>
    <col min="7676" max="7676" width="13.28515625" style="62" customWidth="1"/>
    <col min="7677" max="7677" width="15.28515625" style="62" customWidth="1"/>
    <col min="7678" max="7678" width="11.85546875" style="62" customWidth="1"/>
    <col min="7679" max="7679" width="6.140625" style="62" customWidth="1"/>
    <col min="7680" max="7680" width="11.85546875" style="62" customWidth="1"/>
    <col min="7681" max="7681" width="9.42578125" style="62" customWidth="1"/>
    <col min="7682" max="7682" width="14.7109375" style="62" customWidth="1"/>
    <col min="7683" max="7683" width="11.5703125" style="62" customWidth="1"/>
    <col min="7684" max="7684" width="0.42578125" style="62" customWidth="1"/>
    <col min="7685" max="7685" width="10.5703125" style="62" bestFit="1" customWidth="1"/>
    <col min="7686" max="7686" width="12.28515625" style="62" customWidth="1"/>
    <col min="7687" max="7687" width="12.5703125" style="62" customWidth="1"/>
    <col min="7688" max="7688" width="10.5703125" style="62" customWidth="1"/>
    <col min="7689" max="7689" width="10.140625" style="62" customWidth="1"/>
    <col min="7690" max="7690" width="8.42578125" style="62" customWidth="1"/>
    <col min="7691" max="7691" width="18.85546875" style="62" customWidth="1"/>
    <col min="7692" max="7692" width="10.28515625" style="62" customWidth="1"/>
    <col min="7693" max="7693" width="11.42578125" style="62"/>
    <col min="7694" max="7694" width="12.140625" style="62" customWidth="1"/>
    <col min="7695" max="7695" width="10.5703125" style="62" customWidth="1"/>
    <col min="7696" max="7696" width="12.42578125" style="62" customWidth="1"/>
    <col min="7697" max="7697" width="15.140625" style="62" customWidth="1"/>
    <col min="7698" max="7698" width="13.5703125" style="62" customWidth="1"/>
    <col min="7699" max="7699" width="13.140625" style="62" customWidth="1"/>
    <col min="7700" max="7700" width="15.7109375" style="62" customWidth="1"/>
    <col min="7701" max="7701" width="37.5703125" style="62" customWidth="1"/>
    <col min="7702" max="7923" width="11.42578125" style="62"/>
    <col min="7924" max="7924" width="10.5703125" style="62" customWidth="1"/>
    <col min="7925" max="7925" width="4.85546875" style="62" customWidth="1"/>
    <col min="7926" max="7926" width="32.42578125" style="62" customWidth="1"/>
    <col min="7927" max="7927" width="9.85546875" style="62" customWidth="1"/>
    <col min="7928" max="7928" width="10.140625" style="62" customWidth="1"/>
    <col min="7929" max="7929" width="12.28515625" style="62" customWidth="1"/>
    <col min="7930" max="7930" width="15.42578125" style="62" customWidth="1"/>
    <col min="7931" max="7931" width="11.85546875" style="62" customWidth="1"/>
    <col min="7932" max="7932" width="13.28515625" style="62" customWidth="1"/>
    <col min="7933" max="7933" width="15.28515625" style="62" customWidth="1"/>
    <col min="7934" max="7934" width="11.85546875" style="62" customWidth="1"/>
    <col min="7935" max="7935" width="6.140625" style="62" customWidth="1"/>
    <col min="7936" max="7936" width="11.85546875" style="62" customWidth="1"/>
    <col min="7937" max="7937" width="9.42578125" style="62" customWidth="1"/>
    <col min="7938" max="7938" width="14.7109375" style="62" customWidth="1"/>
    <col min="7939" max="7939" width="11.5703125" style="62" customWidth="1"/>
    <col min="7940" max="7940" width="0.42578125" style="62" customWidth="1"/>
    <col min="7941" max="7941" width="10.5703125" style="62" bestFit="1" customWidth="1"/>
    <col min="7942" max="7942" width="12.28515625" style="62" customWidth="1"/>
    <col min="7943" max="7943" width="12.5703125" style="62" customWidth="1"/>
    <col min="7944" max="7944" width="10.5703125" style="62" customWidth="1"/>
    <col min="7945" max="7945" width="10.140625" style="62" customWidth="1"/>
    <col min="7946" max="7946" width="8.42578125" style="62" customWidth="1"/>
    <col min="7947" max="7947" width="18.85546875" style="62" customWidth="1"/>
    <col min="7948" max="7948" width="10.28515625" style="62" customWidth="1"/>
    <col min="7949" max="7949" width="11.42578125" style="62"/>
    <col min="7950" max="7950" width="12.140625" style="62" customWidth="1"/>
    <col min="7951" max="7951" width="10.5703125" style="62" customWidth="1"/>
    <col min="7952" max="7952" width="12.42578125" style="62" customWidth="1"/>
    <col min="7953" max="7953" width="15.140625" style="62" customWidth="1"/>
    <col min="7954" max="7954" width="13.5703125" style="62" customWidth="1"/>
    <col min="7955" max="7955" width="13.140625" style="62" customWidth="1"/>
    <col min="7956" max="7956" width="15.7109375" style="62" customWidth="1"/>
    <col min="7957" max="7957" width="37.5703125" style="62" customWidth="1"/>
    <col min="7958" max="8179" width="11.42578125" style="62"/>
    <col min="8180" max="8180" width="10.5703125" style="62" customWidth="1"/>
    <col min="8181" max="8181" width="4.85546875" style="62" customWidth="1"/>
    <col min="8182" max="8182" width="32.42578125" style="62" customWidth="1"/>
    <col min="8183" max="8183" width="9.85546875" style="62" customWidth="1"/>
    <col min="8184" max="8184" width="10.140625" style="62" customWidth="1"/>
    <col min="8185" max="8185" width="12.28515625" style="62" customWidth="1"/>
    <col min="8186" max="8186" width="15.42578125" style="62" customWidth="1"/>
    <col min="8187" max="8187" width="11.85546875" style="62" customWidth="1"/>
    <col min="8188" max="8188" width="13.28515625" style="62" customWidth="1"/>
    <col min="8189" max="8189" width="15.28515625" style="62" customWidth="1"/>
    <col min="8190" max="8190" width="11.85546875" style="62" customWidth="1"/>
    <col min="8191" max="8191" width="6.140625" style="62" customWidth="1"/>
    <col min="8192" max="8192" width="11.85546875" style="62" customWidth="1"/>
    <col min="8193" max="8193" width="9.42578125" style="62" customWidth="1"/>
    <col min="8194" max="8194" width="14.7109375" style="62" customWidth="1"/>
    <col min="8195" max="8195" width="11.5703125" style="62" customWidth="1"/>
    <col min="8196" max="8196" width="0.42578125" style="62" customWidth="1"/>
    <col min="8197" max="8197" width="10.5703125" style="62" bestFit="1" customWidth="1"/>
    <col min="8198" max="8198" width="12.28515625" style="62" customWidth="1"/>
    <col min="8199" max="8199" width="12.5703125" style="62" customWidth="1"/>
    <col min="8200" max="8200" width="10.5703125" style="62" customWidth="1"/>
    <col min="8201" max="8201" width="10.140625" style="62" customWidth="1"/>
    <col min="8202" max="8202" width="8.42578125" style="62" customWidth="1"/>
    <col min="8203" max="8203" width="18.85546875" style="62" customWidth="1"/>
    <col min="8204" max="8204" width="10.28515625" style="62" customWidth="1"/>
    <col min="8205" max="8205" width="11.42578125" style="62"/>
    <col min="8206" max="8206" width="12.140625" style="62" customWidth="1"/>
    <col min="8207" max="8207" width="10.5703125" style="62" customWidth="1"/>
    <col min="8208" max="8208" width="12.42578125" style="62" customWidth="1"/>
    <col min="8209" max="8209" width="15.140625" style="62" customWidth="1"/>
    <col min="8210" max="8210" width="13.5703125" style="62" customWidth="1"/>
    <col min="8211" max="8211" width="13.140625" style="62" customWidth="1"/>
    <col min="8212" max="8212" width="15.7109375" style="62" customWidth="1"/>
    <col min="8213" max="8213" width="37.5703125" style="62" customWidth="1"/>
    <col min="8214" max="8435" width="11.42578125" style="62"/>
    <col min="8436" max="8436" width="10.5703125" style="62" customWidth="1"/>
    <col min="8437" max="8437" width="4.85546875" style="62" customWidth="1"/>
    <col min="8438" max="8438" width="32.42578125" style="62" customWidth="1"/>
    <col min="8439" max="8439" width="9.85546875" style="62" customWidth="1"/>
    <col min="8440" max="8440" width="10.140625" style="62" customWidth="1"/>
    <col min="8441" max="8441" width="12.28515625" style="62" customWidth="1"/>
    <col min="8442" max="8442" width="15.42578125" style="62" customWidth="1"/>
    <col min="8443" max="8443" width="11.85546875" style="62" customWidth="1"/>
    <col min="8444" max="8444" width="13.28515625" style="62" customWidth="1"/>
    <col min="8445" max="8445" width="15.28515625" style="62" customWidth="1"/>
    <col min="8446" max="8446" width="11.85546875" style="62" customWidth="1"/>
    <col min="8447" max="8447" width="6.140625" style="62" customWidth="1"/>
    <col min="8448" max="8448" width="11.85546875" style="62" customWidth="1"/>
    <col min="8449" max="8449" width="9.42578125" style="62" customWidth="1"/>
    <col min="8450" max="8450" width="14.7109375" style="62" customWidth="1"/>
    <col min="8451" max="8451" width="11.5703125" style="62" customWidth="1"/>
    <col min="8452" max="8452" width="0.42578125" style="62" customWidth="1"/>
    <col min="8453" max="8453" width="10.5703125" style="62" bestFit="1" customWidth="1"/>
    <col min="8454" max="8454" width="12.28515625" style="62" customWidth="1"/>
    <col min="8455" max="8455" width="12.5703125" style="62" customWidth="1"/>
    <col min="8456" max="8456" width="10.5703125" style="62" customWidth="1"/>
    <col min="8457" max="8457" width="10.140625" style="62" customWidth="1"/>
    <col min="8458" max="8458" width="8.42578125" style="62" customWidth="1"/>
    <col min="8459" max="8459" width="18.85546875" style="62" customWidth="1"/>
    <col min="8460" max="8460" width="10.28515625" style="62" customWidth="1"/>
    <col min="8461" max="8461" width="11.42578125" style="62"/>
    <col min="8462" max="8462" width="12.140625" style="62" customWidth="1"/>
    <col min="8463" max="8463" width="10.5703125" style="62" customWidth="1"/>
    <col min="8464" max="8464" width="12.42578125" style="62" customWidth="1"/>
    <col min="8465" max="8465" width="15.140625" style="62" customWidth="1"/>
    <col min="8466" max="8466" width="13.5703125" style="62" customWidth="1"/>
    <col min="8467" max="8467" width="13.140625" style="62" customWidth="1"/>
    <col min="8468" max="8468" width="15.7109375" style="62" customWidth="1"/>
    <col min="8469" max="8469" width="37.5703125" style="62" customWidth="1"/>
    <col min="8470" max="8691" width="11.42578125" style="62"/>
    <col min="8692" max="8692" width="10.5703125" style="62" customWidth="1"/>
    <col min="8693" max="8693" width="4.85546875" style="62" customWidth="1"/>
    <col min="8694" max="8694" width="32.42578125" style="62" customWidth="1"/>
    <col min="8695" max="8695" width="9.85546875" style="62" customWidth="1"/>
    <col min="8696" max="8696" width="10.140625" style="62" customWidth="1"/>
    <col min="8697" max="8697" width="12.28515625" style="62" customWidth="1"/>
    <col min="8698" max="8698" width="15.42578125" style="62" customWidth="1"/>
    <col min="8699" max="8699" width="11.85546875" style="62" customWidth="1"/>
    <col min="8700" max="8700" width="13.28515625" style="62" customWidth="1"/>
    <col min="8701" max="8701" width="15.28515625" style="62" customWidth="1"/>
    <col min="8702" max="8702" width="11.85546875" style="62" customWidth="1"/>
    <col min="8703" max="8703" width="6.140625" style="62" customWidth="1"/>
    <col min="8704" max="8704" width="11.85546875" style="62" customWidth="1"/>
    <col min="8705" max="8705" width="9.42578125" style="62" customWidth="1"/>
    <col min="8706" max="8706" width="14.7109375" style="62" customWidth="1"/>
    <col min="8707" max="8707" width="11.5703125" style="62" customWidth="1"/>
    <col min="8708" max="8708" width="0.42578125" style="62" customWidth="1"/>
    <col min="8709" max="8709" width="10.5703125" style="62" bestFit="1" customWidth="1"/>
    <col min="8710" max="8710" width="12.28515625" style="62" customWidth="1"/>
    <col min="8711" max="8711" width="12.5703125" style="62" customWidth="1"/>
    <col min="8712" max="8712" width="10.5703125" style="62" customWidth="1"/>
    <col min="8713" max="8713" width="10.140625" style="62" customWidth="1"/>
    <col min="8714" max="8714" width="8.42578125" style="62" customWidth="1"/>
    <col min="8715" max="8715" width="18.85546875" style="62" customWidth="1"/>
    <col min="8716" max="8716" width="10.28515625" style="62" customWidth="1"/>
    <col min="8717" max="8717" width="11.42578125" style="62"/>
    <col min="8718" max="8718" width="12.140625" style="62" customWidth="1"/>
    <col min="8719" max="8719" width="10.5703125" style="62" customWidth="1"/>
    <col min="8720" max="8720" width="12.42578125" style="62" customWidth="1"/>
    <col min="8721" max="8721" width="15.140625" style="62" customWidth="1"/>
    <col min="8722" max="8722" width="13.5703125" style="62" customWidth="1"/>
    <col min="8723" max="8723" width="13.140625" style="62" customWidth="1"/>
    <col min="8724" max="8724" width="15.7109375" style="62" customWidth="1"/>
    <col min="8725" max="8725" width="37.5703125" style="62" customWidth="1"/>
    <col min="8726" max="8947" width="11.42578125" style="62"/>
    <col min="8948" max="8948" width="10.5703125" style="62" customWidth="1"/>
    <col min="8949" max="8949" width="4.85546875" style="62" customWidth="1"/>
    <col min="8950" max="8950" width="32.42578125" style="62" customWidth="1"/>
    <col min="8951" max="8951" width="9.85546875" style="62" customWidth="1"/>
    <col min="8952" max="8952" width="10.140625" style="62" customWidth="1"/>
    <col min="8953" max="8953" width="12.28515625" style="62" customWidth="1"/>
    <col min="8954" max="8954" width="15.42578125" style="62" customWidth="1"/>
    <col min="8955" max="8955" width="11.85546875" style="62" customWidth="1"/>
    <col min="8956" max="8956" width="13.28515625" style="62" customWidth="1"/>
    <col min="8957" max="8957" width="15.28515625" style="62" customWidth="1"/>
    <col min="8958" max="8958" width="11.85546875" style="62" customWidth="1"/>
    <col min="8959" max="8959" width="6.140625" style="62" customWidth="1"/>
    <col min="8960" max="8960" width="11.85546875" style="62" customWidth="1"/>
    <col min="8961" max="8961" width="9.42578125" style="62" customWidth="1"/>
    <col min="8962" max="8962" width="14.7109375" style="62" customWidth="1"/>
    <col min="8963" max="8963" width="11.5703125" style="62" customWidth="1"/>
    <col min="8964" max="8964" width="0.42578125" style="62" customWidth="1"/>
    <col min="8965" max="8965" width="10.5703125" style="62" bestFit="1" customWidth="1"/>
    <col min="8966" max="8966" width="12.28515625" style="62" customWidth="1"/>
    <col min="8967" max="8967" width="12.5703125" style="62" customWidth="1"/>
    <col min="8968" max="8968" width="10.5703125" style="62" customWidth="1"/>
    <col min="8969" max="8969" width="10.140625" style="62" customWidth="1"/>
    <col min="8970" max="8970" width="8.42578125" style="62" customWidth="1"/>
    <col min="8971" max="8971" width="18.85546875" style="62" customWidth="1"/>
    <col min="8972" max="8972" width="10.28515625" style="62" customWidth="1"/>
    <col min="8973" max="8973" width="11.42578125" style="62"/>
    <col min="8974" max="8974" width="12.140625" style="62" customWidth="1"/>
    <col min="8975" max="8975" width="10.5703125" style="62" customWidth="1"/>
    <col min="8976" max="8976" width="12.42578125" style="62" customWidth="1"/>
    <col min="8977" max="8977" width="15.140625" style="62" customWidth="1"/>
    <col min="8978" max="8978" width="13.5703125" style="62" customWidth="1"/>
    <col min="8979" max="8979" width="13.140625" style="62" customWidth="1"/>
    <col min="8980" max="8980" width="15.7109375" style="62" customWidth="1"/>
    <col min="8981" max="8981" width="37.5703125" style="62" customWidth="1"/>
    <col min="8982" max="9203" width="11.42578125" style="62"/>
    <col min="9204" max="9204" width="10.5703125" style="62" customWidth="1"/>
    <col min="9205" max="9205" width="4.85546875" style="62" customWidth="1"/>
    <col min="9206" max="9206" width="32.42578125" style="62" customWidth="1"/>
    <col min="9207" max="9207" width="9.85546875" style="62" customWidth="1"/>
    <col min="9208" max="9208" width="10.140625" style="62" customWidth="1"/>
    <col min="9209" max="9209" width="12.28515625" style="62" customWidth="1"/>
    <col min="9210" max="9210" width="15.42578125" style="62" customWidth="1"/>
    <col min="9211" max="9211" width="11.85546875" style="62" customWidth="1"/>
    <col min="9212" max="9212" width="13.28515625" style="62" customWidth="1"/>
    <col min="9213" max="9213" width="15.28515625" style="62" customWidth="1"/>
    <col min="9214" max="9214" width="11.85546875" style="62" customWidth="1"/>
    <col min="9215" max="9215" width="6.140625" style="62" customWidth="1"/>
    <col min="9216" max="9216" width="11.85546875" style="62" customWidth="1"/>
    <col min="9217" max="9217" width="9.42578125" style="62" customWidth="1"/>
    <col min="9218" max="9218" width="14.7109375" style="62" customWidth="1"/>
    <col min="9219" max="9219" width="11.5703125" style="62" customWidth="1"/>
    <col min="9220" max="9220" width="0.42578125" style="62" customWidth="1"/>
    <col min="9221" max="9221" width="10.5703125" style="62" bestFit="1" customWidth="1"/>
    <col min="9222" max="9222" width="12.28515625" style="62" customWidth="1"/>
    <col min="9223" max="9223" width="12.5703125" style="62" customWidth="1"/>
    <col min="9224" max="9224" width="10.5703125" style="62" customWidth="1"/>
    <col min="9225" max="9225" width="10.140625" style="62" customWidth="1"/>
    <col min="9226" max="9226" width="8.42578125" style="62" customWidth="1"/>
    <col min="9227" max="9227" width="18.85546875" style="62" customWidth="1"/>
    <col min="9228" max="9228" width="10.28515625" style="62" customWidth="1"/>
    <col min="9229" max="9229" width="11.42578125" style="62"/>
    <col min="9230" max="9230" width="12.140625" style="62" customWidth="1"/>
    <col min="9231" max="9231" width="10.5703125" style="62" customWidth="1"/>
    <col min="9232" max="9232" width="12.42578125" style="62" customWidth="1"/>
    <col min="9233" max="9233" width="15.140625" style="62" customWidth="1"/>
    <col min="9234" max="9234" width="13.5703125" style="62" customWidth="1"/>
    <col min="9235" max="9235" width="13.140625" style="62" customWidth="1"/>
    <col min="9236" max="9236" width="15.7109375" style="62" customWidth="1"/>
    <col min="9237" max="9237" width="37.5703125" style="62" customWidth="1"/>
    <col min="9238" max="9459" width="11.42578125" style="62"/>
    <col min="9460" max="9460" width="10.5703125" style="62" customWidth="1"/>
    <col min="9461" max="9461" width="4.85546875" style="62" customWidth="1"/>
    <col min="9462" max="9462" width="32.42578125" style="62" customWidth="1"/>
    <col min="9463" max="9463" width="9.85546875" style="62" customWidth="1"/>
    <col min="9464" max="9464" width="10.140625" style="62" customWidth="1"/>
    <col min="9465" max="9465" width="12.28515625" style="62" customWidth="1"/>
    <col min="9466" max="9466" width="15.42578125" style="62" customWidth="1"/>
    <col min="9467" max="9467" width="11.85546875" style="62" customWidth="1"/>
    <col min="9468" max="9468" width="13.28515625" style="62" customWidth="1"/>
    <col min="9469" max="9469" width="15.28515625" style="62" customWidth="1"/>
    <col min="9470" max="9470" width="11.85546875" style="62" customWidth="1"/>
    <col min="9471" max="9471" width="6.140625" style="62" customWidth="1"/>
    <col min="9472" max="9472" width="11.85546875" style="62" customWidth="1"/>
    <col min="9473" max="9473" width="9.42578125" style="62" customWidth="1"/>
    <col min="9474" max="9474" width="14.7109375" style="62" customWidth="1"/>
    <col min="9475" max="9475" width="11.5703125" style="62" customWidth="1"/>
    <col min="9476" max="9476" width="0.42578125" style="62" customWidth="1"/>
    <col min="9477" max="9477" width="10.5703125" style="62" bestFit="1" customWidth="1"/>
    <col min="9478" max="9478" width="12.28515625" style="62" customWidth="1"/>
    <col min="9479" max="9479" width="12.5703125" style="62" customWidth="1"/>
    <col min="9480" max="9480" width="10.5703125" style="62" customWidth="1"/>
    <col min="9481" max="9481" width="10.140625" style="62" customWidth="1"/>
    <col min="9482" max="9482" width="8.42578125" style="62" customWidth="1"/>
    <col min="9483" max="9483" width="18.85546875" style="62" customWidth="1"/>
    <col min="9484" max="9484" width="10.28515625" style="62" customWidth="1"/>
    <col min="9485" max="9485" width="11.42578125" style="62"/>
    <col min="9486" max="9486" width="12.140625" style="62" customWidth="1"/>
    <col min="9487" max="9487" width="10.5703125" style="62" customWidth="1"/>
    <col min="9488" max="9488" width="12.42578125" style="62" customWidth="1"/>
    <col min="9489" max="9489" width="15.140625" style="62" customWidth="1"/>
    <col min="9490" max="9490" width="13.5703125" style="62" customWidth="1"/>
    <col min="9491" max="9491" width="13.140625" style="62" customWidth="1"/>
    <col min="9492" max="9492" width="15.7109375" style="62" customWidth="1"/>
    <col min="9493" max="9493" width="37.5703125" style="62" customWidth="1"/>
    <col min="9494" max="9715" width="11.42578125" style="62"/>
    <col min="9716" max="9716" width="10.5703125" style="62" customWidth="1"/>
    <col min="9717" max="9717" width="4.85546875" style="62" customWidth="1"/>
    <col min="9718" max="9718" width="32.42578125" style="62" customWidth="1"/>
    <col min="9719" max="9719" width="9.85546875" style="62" customWidth="1"/>
    <col min="9720" max="9720" width="10.140625" style="62" customWidth="1"/>
    <col min="9721" max="9721" width="12.28515625" style="62" customWidth="1"/>
    <col min="9722" max="9722" width="15.42578125" style="62" customWidth="1"/>
    <col min="9723" max="9723" width="11.85546875" style="62" customWidth="1"/>
    <col min="9724" max="9724" width="13.28515625" style="62" customWidth="1"/>
    <col min="9725" max="9725" width="15.28515625" style="62" customWidth="1"/>
    <col min="9726" max="9726" width="11.85546875" style="62" customWidth="1"/>
    <col min="9727" max="9727" width="6.140625" style="62" customWidth="1"/>
    <col min="9728" max="9728" width="11.85546875" style="62" customWidth="1"/>
    <col min="9729" max="9729" width="9.42578125" style="62" customWidth="1"/>
    <col min="9730" max="9730" width="14.7109375" style="62" customWidth="1"/>
    <col min="9731" max="9731" width="11.5703125" style="62" customWidth="1"/>
    <col min="9732" max="9732" width="0.42578125" style="62" customWidth="1"/>
    <col min="9733" max="9733" width="10.5703125" style="62" bestFit="1" customWidth="1"/>
    <col min="9734" max="9734" width="12.28515625" style="62" customWidth="1"/>
    <col min="9735" max="9735" width="12.5703125" style="62" customWidth="1"/>
    <col min="9736" max="9736" width="10.5703125" style="62" customWidth="1"/>
    <col min="9737" max="9737" width="10.140625" style="62" customWidth="1"/>
    <col min="9738" max="9738" width="8.42578125" style="62" customWidth="1"/>
    <col min="9739" max="9739" width="18.85546875" style="62" customWidth="1"/>
    <col min="9740" max="9740" width="10.28515625" style="62" customWidth="1"/>
    <col min="9741" max="9741" width="11.42578125" style="62"/>
    <col min="9742" max="9742" width="12.140625" style="62" customWidth="1"/>
    <col min="9743" max="9743" width="10.5703125" style="62" customWidth="1"/>
    <col min="9744" max="9744" width="12.42578125" style="62" customWidth="1"/>
    <col min="9745" max="9745" width="15.140625" style="62" customWidth="1"/>
    <col min="9746" max="9746" width="13.5703125" style="62" customWidth="1"/>
    <col min="9747" max="9747" width="13.140625" style="62" customWidth="1"/>
    <col min="9748" max="9748" width="15.7109375" style="62" customWidth="1"/>
    <col min="9749" max="9749" width="37.5703125" style="62" customWidth="1"/>
    <col min="9750" max="9971" width="11.42578125" style="62"/>
    <col min="9972" max="9972" width="10.5703125" style="62" customWidth="1"/>
    <col min="9973" max="9973" width="4.85546875" style="62" customWidth="1"/>
    <col min="9974" max="9974" width="32.42578125" style="62" customWidth="1"/>
    <col min="9975" max="9975" width="9.85546875" style="62" customWidth="1"/>
    <col min="9976" max="9976" width="10.140625" style="62" customWidth="1"/>
    <col min="9977" max="9977" width="12.28515625" style="62" customWidth="1"/>
    <col min="9978" max="9978" width="15.42578125" style="62" customWidth="1"/>
    <col min="9979" max="9979" width="11.85546875" style="62" customWidth="1"/>
    <col min="9980" max="9980" width="13.28515625" style="62" customWidth="1"/>
    <col min="9981" max="9981" width="15.28515625" style="62" customWidth="1"/>
    <col min="9982" max="9982" width="11.85546875" style="62" customWidth="1"/>
    <col min="9983" max="9983" width="6.140625" style="62" customWidth="1"/>
    <col min="9984" max="9984" width="11.85546875" style="62" customWidth="1"/>
    <col min="9985" max="9985" width="9.42578125" style="62" customWidth="1"/>
    <col min="9986" max="9986" width="14.7109375" style="62" customWidth="1"/>
    <col min="9987" max="9987" width="11.5703125" style="62" customWidth="1"/>
    <col min="9988" max="9988" width="0.42578125" style="62" customWidth="1"/>
    <col min="9989" max="9989" width="10.5703125" style="62" bestFit="1" customWidth="1"/>
    <col min="9990" max="9990" width="12.28515625" style="62" customWidth="1"/>
    <col min="9991" max="9991" width="12.5703125" style="62" customWidth="1"/>
    <col min="9992" max="9992" width="10.5703125" style="62" customWidth="1"/>
    <col min="9993" max="9993" width="10.140625" style="62" customWidth="1"/>
    <col min="9994" max="9994" width="8.42578125" style="62" customWidth="1"/>
    <col min="9995" max="9995" width="18.85546875" style="62" customWidth="1"/>
    <col min="9996" max="9996" width="10.28515625" style="62" customWidth="1"/>
    <col min="9997" max="9997" width="11.42578125" style="62"/>
    <col min="9998" max="9998" width="12.140625" style="62" customWidth="1"/>
    <col min="9999" max="9999" width="10.5703125" style="62" customWidth="1"/>
    <col min="10000" max="10000" width="12.42578125" style="62" customWidth="1"/>
    <col min="10001" max="10001" width="15.140625" style="62" customWidth="1"/>
    <col min="10002" max="10002" width="13.5703125" style="62" customWidth="1"/>
    <col min="10003" max="10003" width="13.140625" style="62" customWidth="1"/>
    <col min="10004" max="10004" width="15.7109375" style="62" customWidth="1"/>
    <col min="10005" max="10005" width="37.5703125" style="62" customWidth="1"/>
    <col min="10006" max="10227" width="11.42578125" style="62"/>
    <col min="10228" max="10228" width="10.5703125" style="62" customWidth="1"/>
    <col min="10229" max="10229" width="4.85546875" style="62" customWidth="1"/>
    <col min="10230" max="10230" width="32.42578125" style="62" customWidth="1"/>
    <col min="10231" max="10231" width="9.85546875" style="62" customWidth="1"/>
    <col min="10232" max="10232" width="10.140625" style="62" customWidth="1"/>
    <col min="10233" max="10233" width="12.28515625" style="62" customWidth="1"/>
    <col min="10234" max="10234" width="15.42578125" style="62" customWidth="1"/>
    <col min="10235" max="10235" width="11.85546875" style="62" customWidth="1"/>
    <col min="10236" max="10236" width="13.28515625" style="62" customWidth="1"/>
    <col min="10237" max="10237" width="15.28515625" style="62" customWidth="1"/>
    <col min="10238" max="10238" width="11.85546875" style="62" customWidth="1"/>
    <col min="10239" max="10239" width="6.140625" style="62" customWidth="1"/>
    <col min="10240" max="10240" width="11.85546875" style="62" customWidth="1"/>
    <col min="10241" max="10241" width="9.42578125" style="62" customWidth="1"/>
    <col min="10242" max="10242" width="14.7109375" style="62" customWidth="1"/>
    <col min="10243" max="10243" width="11.5703125" style="62" customWidth="1"/>
    <col min="10244" max="10244" width="0.42578125" style="62" customWidth="1"/>
    <col min="10245" max="10245" width="10.5703125" style="62" bestFit="1" customWidth="1"/>
    <col min="10246" max="10246" width="12.28515625" style="62" customWidth="1"/>
    <col min="10247" max="10247" width="12.5703125" style="62" customWidth="1"/>
    <col min="10248" max="10248" width="10.5703125" style="62" customWidth="1"/>
    <col min="10249" max="10249" width="10.140625" style="62" customWidth="1"/>
    <col min="10250" max="10250" width="8.42578125" style="62" customWidth="1"/>
    <col min="10251" max="10251" width="18.85546875" style="62" customWidth="1"/>
    <col min="10252" max="10252" width="10.28515625" style="62" customWidth="1"/>
    <col min="10253" max="10253" width="11.42578125" style="62"/>
    <col min="10254" max="10254" width="12.140625" style="62" customWidth="1"/>
    <col min="10255" max="10255" width="10.5703125" style="62" customWidth="1"/>
    <col min="10256" max="10256" width="12.42578125" style="62" customWidth="1"/>
    <col min="10257" max="10257" width="15.140625" style="62" customWidth="1"/>
    <col min="10258" max="10258" width="13.5703125" style="62" customWidth="1"/>
    <col min="10259" max="10259" width="13.140625" style="62" customWidth="1"/>
    <col min="10260" max="10260" width="15.7109375" style="62" customWidth="1"/>
    <col min="10261" max="10261" width="37.5703125" style="62" customWidth="1"/>
    <col min="10262" max="10483" width="11.42578125" style="62"/>
    <col min="10484" max="10484" width="10.5703125" style="62" customWidth="1"/>
    <col min="10485" max="10485" width="4.85546875" style="62" customWidth="1"/>
    <col min="10486" max="10486" width="32.42578125" style="62" customWidth="1"/>
    <col min="10487" max="10487" width="9.85546875" style="62" customWidth="1"/>
    <col min="10488" max="10488" width="10.140625" style="62" customWidth="1"/>
    <col min="10489" max="10489" width="12.28515625" style="62" customWidth="1"/>
    <col min="10490" max="10490" width="15.42578125" style="62" customWidth="1"/>
    <col min="10491" max="10491" width="11.85546875" style="62" customWidth="1"/>
    <col min="10492" max="10492" width="13.28515625" style="62" customWidth="1"/>
    <col min="10493" max="10493" width="15.28515625" style="62" customWidth="1"/>
    <col min="10494" max="10494" width="11.85546875" style="62" customWidth="1"/>
    <col min="10495" max="10495" width="6.140625" style="62" customWidth="1"/>
    <col min="10496" max="10496" width="11.85546875" style="62" customWidth="1"/>
    <col min="10497" max="10497" width="9.42578125" style="62" customWidth="1"/>
    <col min="10498" max="10498" width="14.7109375" style="62" customWidth="1"/>
    <col min="10499" max="10499" width="11.5703125" style="62" customWidth="1"/>
    <col min="10500" max="10500" width="0.42578125" style="62" customWidth="1"/>
    <col min="10501" max="10501" width="10.5703125" style="62" bestFit="1" customWidth="1"/>
    <col min="10502" max="10502" width="12.28515625" style="62" customWidth="1"/>
    <col min="10503" max="10503" width="12.5703125" style="62" customWidth="1"/>
    <col min="10504" max="10504" width="10.5703125" style="62" customWidth="1"/>
    <col min="10505" max="10505" width="10.140625" style="62" customWidth="1"/>
    <col min="10506" max="10506" width="8.42578125" style="62" customWidth="1"/>
    <col min="10507" max="10507" width="18.85546875" style="62" customWidth="1"/>
    <col min="10508" max="10508" width="10.28515625" style="62" customWidth="1"/>
    <col min="10509" max="10509" width="11.42578125" style="62"/>
    <col min="10510" max="10510" width="12.140625" style="62" customWidth="1"/>
    <col min="10511" max="10511" width="10.5703125" style="62" customWidth="1"/>
    <col min="10512" max="10512" width="12.42578125" style="62" customWidth="1"/>
    <col min="10513" max="10513" width="15.140625" style="62" customWidth="1"/>
    <col min="10514" max="10514" width="13.5703125" style="62" customWidth="1"/>
    <col min="10515" max="10515" width="13.140625" style="62" customWidth="1"/>
    <col min="10516" max="10516" width="15.7109375" style="62" customWidth="1"/>
    <col min="10517" max="10517" width="37.5703125" style="62" customWidth="1"/>
    <col min="10518" max="10739" width="11.42578125" style="62"/>
    <col min="10740" max="10740" width="10.5703125" style="62" customWidth="1"/>
    <col min="10741" max="10741" width="4.85546875" style="62" customWidth="1"/>
    <col min="10742" max="10742" width="32.42578125" style="62" customWidth="1"/>
    <col min="10743" max="10743" width="9.85546875" style="62" customWidth="1"/>
    <col min="10744" max="10744" width="10.140625" style="62" customWidth="1"/>
    <col min="10745" max="10745" width="12.28515625" style="62" customWidth="1"/>
    <col min="10746" max="10746" width="15.42578125" style="62" customWidth="1"/>
    <col min="10747" max="10747" width="11.85546875" style="62" customWidth="1"/>
    <col min="10748" max="10748" width="13.28515625" style="62" customWidth="1"/>
    <col min="10749" max="10749" width="15.28515625" style="62" customWidth="1"/>
    <col min="10750" max="10750" width="11.85546875" style="62" customWidth="1"/>
    <col min="10751" max="10751" width="6.140625" style="62" customWidth="1"/>
    <col min="10752" max="10752" width="11.85546875" style="62" customWidth="1"/>
    <col min="10753" max="10753" width="9.42578125" style="62" customWidth="1"/>
    <col min="10754" max="10754" width="14.7109375" style="62" customWidth="1"/>
    <col min="10755" max="10755" width="11.5703125" style="62" customWidth="1"/>
    <col min="10756" max="10756" width="0.42578125" style="62" customWidth="1"/>
    <col min="10757" max="10757" width="10.5703125" style="62" bestFit="1" customWidth="1"/>
    <col min="10758" max="10758" width="12.28515625" style="62" customWidth="1"/>
    <col min="10759" max="10759" width="12.5703125" style="62" customWidth="1"/>
    <col min="10760" max="10760" width="10.5703125" style="62" customWidth="1"/>
    <col min="10761" max="10761" width="10.140625" style="62" customWidth="1"/>
    <col min="10762" max="10762" width="8.42578125" style="62" customWidth="1"/>
    <col min="10763" max="10763" width="18.85546875" style="62" customWidth="1"/>
    <col min="10764" max="10764" width="10.28515625" style="62" customWidth="1"/>
    <col min="10765" max="10765" width="11.42578125" style="62"/>
    <col min="10766" max="10766" width="12.140625" style="62" customWidth="1"/>
    <col min="10767" max="10767" width="10.5703125" style="62" customWidth="1"/>
    <col min="10768" max="10768" width="12.42578125" style="62" customWidth="1"/>
    <col min="10769" max="10769" width="15.140625" style="62" customWidth="1"/>
    <col min="10770" max="10770" width="13.5703125" style="62" customWidth="1"/>
    <col min="10771" max="10771" width="13.140625" style="62" customWidth="1"/>
    <col min="10772" max="10772" width="15.7109375" style="62" customWidth="1"/>
    <col min="10773" max="10773" width="37.5703125" style="62" customWidth="1"/>
    <col min="10774" max="10995" width="11.42578125" style="62"/>
    <col min="10996" max="10996" width="10.5703125" style="62" customWidth="1"/>
    <col min="10997" max="10997" width="4.85546875" style="62" customWidth="1"/>
    <col min="10998" max="10998" width="32.42578125" style="62" customWidth="1"/>
    <col min="10999" max="10999" width="9.85546875" style="62" customWidth="1"/>
    <col min="11000" max="11000" width="10.140625" style="62" customWidth="1"/>
    <col min="11001" max="11001" width="12.28515625" style="62" customWidth="1"/>
    <col min="11002" max="11002" width="15.42578125" style="62" customWidth="1"/>
    <col min="11003" max="11003" width="11.85546875" style="62" customWidth="1"/>
    <col min="11004" max="11004" width="13.28515625" style="62" customWidth="1"/>
    <col min="11005" max="11005" width="15.28515625" style="62" customWidth="1"/>
    <col min="11006" max="11006" width="11.85546875" style="62" customWidth="1"/>
    <col min="11007" max="11007" width="6.140625" style="62" customWidth="1"/>
    <col min="11008" max="11008" width="11.85546875" style="62" customWidth="1"/>
    <col min="11009" max="11009" width="9.42578125" style="62" customWidth="1"/>
    <col min="11010" max="11010" width="14.7109375" style="62" customWidth="1"/>
    <col min="11011" max="11011" width="11.5703125" style="62" customWidth="1"/>
    <col min="11012" max="11012" width="0.42578125" style="62" customWidth="1"/>
    <col min="11013" max="11013" width="10.5703125" style="62" bestFit="1" customWidth="1"/>
    <col min="11014" max="11014" width="12.28515625" style="62" customWidth="1"/>
    <col min="11015" max="11015" width="12.5703125" style="62" customWidth="1"/>
    <col min="11016" max="11016" width="10.5703125" style="62" customWidth="1"/>
    <col min="11017" max="11017" width="10.140625" style="62" customWidth="1"/>
    <col min="11018" max="11018" width="8.42578125" style="62" customWidth="1"/>
    <col min="11019" max="11019" width="18.85546875" style="62" customWidth="1"/>
    <col min="11020" max="11020" width="10.28515625" style="62" customWidth="1"/>
    <col min="11021" max="11021" width="11.42578125" style="62"/>
    <col min="11022" max="11022" width="12.140625" style="62" customWidth="1"/>
    <col min="11023" max="11023" width="10.5703125" style="62" customWidth="1"/>
    <col min="11024" max="11024" width="12.42578125" style="62" customWidth="1"/>
    <col min="11025" max="11025" width="15.140625" style="62" customWidth="1"/>
    <col min="11026" max="11026" width="13.5703125" style="62" customWidth="1"/>
    <col min="11027" max="11027" width="13.140625" style="62" customWidth="1"/>
    <col min="11028" max="11028" width="15.7109375" style="62" customWidth="1"/>
    <col min="11029" max="11029" width="37.5703125" style="62" customWidth="1"/>
    <col min="11030" max="11251" width="11.42578125" style="62"/>
    <col min="11252" max="11252" width="10.5703125" style="62" customWidth="1"/>
    <col min="11253" max="11253" width="4.85546875" style="62" customWidth="1"/>
    <col min="11254" max="11254" width="32.42578125" style="62" customWidth="1"/>
    <col min="11255" max="11255" width="9.85546875" style="62" customWidth="1"/>
    <col min="11256" max="11256" width="10.140625" style="62" customWidth="1"/>
    <col min="11257" max="11257" width="12.28515625" style="62" customWidth="1"/>
    <col min="11258" max="11258" width="15.42578125" style="62" customWidth="1"/>
    <col min="11259" max="11259" width="11.85546875" style="62" customWidth="1"/>
    <col min="11260" max="11260" width="13.28515625" style="62" customWidth="1"/>
    <col min="11261" max="11261" width="15.28515625" style="62" customWidth="1"/>
    <col min="11262" max="11262" width="11.85546875" style="62" customWidth="1"/>
    <col min="11263" max="11263" width="6.140625" style="62" customWidth="1"/>
    <col min="11264" max="11264" width="11.85546875" style="62" customWidth="1"/>
    <col min="11265" max="11265" width="9.42578125" style="62" customWidth="1"/>
    <col min="11266" max="11266" width="14.7109375" style="62" customWidth="1"/>
    <col min="11267" max="11267" width="11.5703125" style="62" customWidth="1"/>
    <col min="11268" max="11268" width="0.42578125" style="62" customWidth="1"/>
    <col min="11269" max="11269" width="10.5703125" style="62" bestFit="1" customWidth="1"/>
    <col min="11270" max="11270" width="12.28515625" style="62" customWidth="1"/>
    <col min="11271" max="11271" width="12.5703125" style="62" customWidth="1"/>
    <col min="11272" max="11272" width="10.5703125" style="62" customWidth="1"/>
    <col min="11273" max="11273" width="10.140625" style="62" customWidth="1"/>
    <col min="11274" max="11274" width="8.42578125" style="62" customWidth="1"/>
    <col min="11275" max="11275" width="18.85546875" style="62" customWidth="1"/>
    <col min="11276" max="11276" width="10.28515625" style="62" customWidth="1"/>
    <col min="11277" max="11277" width="11.42578125" style="62"/>
    <col min="11278" max="11278" width="12.140625" style="62" customWidth="1"/>
    <col min="11279" max="11279" width="10.5703125" style="62" customWidth="1"/>
    <col min="11280" max="11280" width="12.42578125" style="62" customWidth="1"/>
    <col min="11281" max="11281" width="15.140625" style="62" customWidth="1"/>
    <col min="11282" max="11282" width="13.5703125" style="62" customWidth="1"/>
    <col min="11283" max="11283" width="13.140625" style="62" customWidth="1"/>
    <col min="11284" max="11284" width="15.7109375" style="62" customWidth="1"/>
    <col min="11285" max="11285" width="37.5703125" style="62" customWidth="1"/>
    <col min="11286" max="11507" width="11.42578125" style="62"/>
    <col min="11508" max="11508" width="10.5703125" style="62" customWidth="1"/>
    <col min="11509" max="11509" width="4.85546875" style="62" customWidth="1"/>
    <col min="11510" max="11510" width="32.42578125" style="62" customWidth="1"/>
    <col min="11511" max="11511" width="9.85546875" style="62" customWidth="1"/>
    <col min="11512" max="11512" width="10.140625" style="62" customWidth="1"/>
    <col min="11513" max="11513" width="12.28515625" style="62" customWidth="1"/>
    <col min="11514" max="11514" width="15.42578125" style="62" customWidth="1"/>
    <col min="11515" max="11515" width="11.85546875" style="62" customWidth="1"/>
    <col min="11516" max="11516" width="13.28515625" style="62" customWidth="1"/>
    <col min="11517" max="11517" width="15.28515625" style="62" customWidth="1"/>
    <col min="11518" max="11518" width="11.85546875" style="62" customWidth="1"/>
    <col min="11519" max="11519" width="6.140625" style="62" customWidth="1"/>
    <col min="11520" max="11520" width="11.85546875" style="62" customWidth="1"/>
    <col min="11521" max="11521" width="9.42578125" style="62" customWidth="1"/>
    <col min="11522" max="11522" width="14.7109375" style="62" customWidth="1"/>
    <col min="11523" max="11523" width="11.5703125" style="62" customWidth="1"/>
    <col min="11524" max="11524" width="0.42578125" style="62" customWidth="1"/>
    <col min="11525" max="11525" width="10.5703125" style="62" bestFit="1" customWidth="1"/>
    <col min="11526" max="11526" width="12.28515625" style="62" customWidth="1"/>
    <col min="11527" max="11527" width="12.5703125" style="62" customWidth="1"/>
    <col min="11528" max="11528" width="10.5703125" style="62" customWidth="1"/>
    <col min="11529" max="11529" width="10.140625" style="62" customWidth="1"/>
    <col min="11530" max="11530" width="8.42578125" style="62" customWidth="1"/>
    <col min="11531" max="11531" width="18.85546875" style="62" customWidth="1"/>
    <col min="11532" max="11532" width="10.28515625" style="62" customWidth="1"/>
    <col min="11533" max="11533" width="11.42578125" style="62"/>
    <col min="11534" max="11534" width="12.140625" style="62" customWidth="1"/>
    <col min="11535" max="11535" width="10.5703125" style="62" customWidth="1"/>
    <col min="11536" max="11536" width="12.42578125" style="62" customWidth="1"/>
    <col min="11537" max="11537" width="15.140625" style="62" customWidth="1"/>
    <col min="11538" max="11538" width="13.5703125" style="62" customWidth="1"/>
    <col min="11539" max="11539" width="13.140625" style="62" customWidth="1"/>
    <col min="11540" max="11540" width="15.7109375" style="62" customWidth="1"/>
    <col min="11541" max="11541" width="37.5703125" style="62" customWidth="1"/>
    <col min="11542" max="11763" width="11.42578125" style="62"/>
    <col min="11764" max="11764" width="10.5703125" style="62" customWidth="1"/>
    <col min="11765" max="11765" width="4.85546875" style="62" customWidth="1"/>
    <col min="11766" max="11766" width="32.42578125" style="62" customWidth="1"/>
    <col min="11767" max="11767" width="9.85546875" style="62" customWidth="1"/>
    <col min="11768" max="11768" width="10.140625" style="62" customWidth="1"/>
    <col min="11769" max="11769" width="12.28515625" style="62" customWidth="1"/>
    <col min="11770" max="11770" width="15.42578125" style="62" customWidth="1"/>
    <col min="11771" max="11771" width="11.85546875" style="62" customWidth="1"/>
    <col min="11772" max="11772" width="13.28515625" style="62" customWidth="1"/>
    <col min="11773" max="11773" width="15.28515625" style="62" customWidth="1"/>
    <col min="11774" max="11774" width="11.85546875" style="62" customWidth="1"/>
    <col min="11775" max="11775" width="6.140625" style="62" customWidth="1"/>
    <col min="11776" max="11776" width="11.85546875" style="62" customWidth="1"/>
    <col min="11777" max="11777" width="9.42578125" style="62" customWidth="1"/>
    <col min="11778" max="11778" width="14.7109375" style="62" customWidth="1"/>
    <col min="11779" max="11779" width="11.5703125" style="62" customWidth="1"/>
    <col min="11780" max="11780" width="0.42578125" style="62" customWidth="1"/>
    <col min="11781" max="11781" width="10.5703125" style="62" bestFit="1" customWidth="1"/>
    <col min="11782" max="11782" width="12.28515625" style="62" customWidth="1"/>
    <col min="11783" max="11783" width="12.5703125" style="62" customWidth="1"/>
    <col min="11784" max="11784" width="10.5703125" style="62" customWidth="1"/>
    <col min="11785" max="11785" width="10.140625" style="62" customWidth="1"/>
    <col min="11786" max="11786" width="8.42578125" style="62" customWidth="1"/>
    <col min="11787" max="11787" width="18.85546875" style="62" customWidth="1"/>
    <col min="11788" max="11788" width="10.28515625" style="62" customWidth="1"/>
    <col min="11789" max="11789" width="11.42578125" style="62"/>
    <col min="11790" max="11790" width="12.140625" style="62" customWidth="1"/>
    <col min="11791" max="11791" width="10.5703125" style="62" customWidth="1"/>
    <col min="11792" max="11792" width="12.42578125" style="62" customWidth="1"/>
    <col min="11793" max="11793" width="15.140625" style="62" customWidth="1"/>
    <col min="11794" max="11794" width="13.5703125" style="62" customWidth="1"/>
    <col min="11795" max="11795" width="13.140625" style="62" customWidth="1"/>
    <col min="11796" max="11796" width="15.7109375" style="62" customWidth="1"/>
    <col min="11797" max="11797" width="37.5703125" style="62" customWidth="1"/>
    <col min="11798" max="12019" width="11.42578125" style="62"/>
    <col min="12020" max="12020" width="10.5703125" style="62" customWidth="1"/>
    <col min="12021" max="12021" width="4.85546875" style="62" customWidth="1"/>
    <col min="12022" max="12022" width="32.42578125" style="62" customWidth="1"/>
    <col min="12023" max="12023" width="9.85546875" style="62" customWidth="1"/>
    <col min="12024" max="12024" width="10.140625" style="62" customWidth="1"/>
    <col min="12025" max="12025" width="12.28515625" style="62" customWidth="1"/>
    <col min="12026" max="12026" width="15.42578125" style="62" customWidth="1"/>
    <col min="12027" max="12027" width="11.85546875" style="62" customWidth="1"/>
    <col min="12028" max="12028" width="13.28515625" style="62" customWidth="1"/>
    <col min="12029" max="12029" width="15.28515625" style="62" customWidth="1"/>
    <col min="12030" max="12030" width="11.85546875" style="62" customWidth="1"/>
    <col min="12031" max="12031" width="6.140625" style="62" customWidth="1"/>
    <col min="12032" max="12032" width="11.85546875" style="62" customWidth="1"/>
    <col min="12033" max="12033" width="9.42578125" style="62" customWidth="1"/>
    <col min="12034" max="12034" width="14.7109375" style="62" customWidth="1"/>
    <col min="12035" max="12035" width="11.5703125" style="62" customWidth="1"/>
    <col min="12036" max="12036" width="0.42578125" style="62" customWidth="1"/>
    <col min="12037" max="12037" width="10.5703125" style="62" bestFit="1" customWidth="1"/>
    <col min="12038" max="12038" width="12.28515625" style="62" customWidth="1"/>
    <col min="12039" max="12039" width="12.5703125" style="62" customWidth="1"/>
    <col min="12040" max="12040" width="10.5703125" style="62" customWidth="1"/>
    <col min="12041" max="12041" width="10.140625" style="62" customWidth="1"/>
    <col min="12042" max="12042" width="8.42578125" style="62" customWidth="1"/>
    <col min="12043" max="12043" width="18.85546875" style="62" customWidth="1"/>
    <col min="12044" max="12044" width="10.28515625" style="62" customWidth="1"/>
    <col min="12045" max="12045" width="11.42578125" style="62"/>
    <col min="12046" max="12046" width="12.140625" style="62" customWidth="1"/>
    <col min="12047" max="12047" width="10.5703125" style="62" customWidth="1"/>
    <col min="12048" max="12048" width="12.42578125" style="62" customWidth="1"/>
    <col min="12049" max="12049" width="15.140625" style="62" customWidth="1"/>
    <col min="12050" max="12050" width="13.5703125" style="62" customWidth="1"/>
    <col min="12051" max="12051" width="13.140625" style="62" customWidth="1"/>
    <col min="12052" max="12052" width="15.7109375" style="62" customWidth="1"/>
    <col min="12053" max="12053" width="37.5703125" style="62" customWidth="1"/>
    <col min="12054" max="12275" width="11.42578125" style="62"/>
    <col min="12276" max="12276" width="10.5703125" style="62" customWidth="1"/>
    <col min="12277" max="12277" width="4.85546875" style="62" customWidth="1"/>
    <col min="12278" max="12278" width="32.42578125" style="62" customWidth="1"/>
    <col min="12279" max="12279" width="9.85546875" style="62" customWidth="1"/>
    <col min="12280" max="12280" width="10.140625" style="62" customWidth="1"/>
    <col min="12281" max="12281" width="12.28515625" style="62" customWidth="1"/>
    <col min="12282" max="12282" width="15.42578125" style="62" customWidth="1"/>
    <col min="12283" max="12283" width="11.85546875" style="62" customWidth="1"/>
    <col min="12284" max="12284" width="13.28515625" style="62" customWidth="1"/>
    <col min="12285" max="12285" width="15.28515625" style="62" customWidth="1"/>
    <col min="12286" max="12286" width="11.85546875" style="62" customWidth="1"/>
    <col min="12287" max="12287" width="6.140625" style="62" customWidth="1"/>
    <col min="12288" max="12288" width="11.85546875" style="62" customWidth="1"/>
    <col min="12289" max="12289" width="9.42578125" style="62" customWidth="1"/>
    <col min="12290" max="12290" width="14.7109375" style="62" customWidth="1"/>
    <col min="12291" max="12291" width="11.5703125" style="62" customWidth="1"/>
    <col min="12292" max="12292" width="0.42578125" style="62" customWidth="1"/>
    <col min="12293" max="12293" width="10.5703125" style="62" bestFit="1" customWidth="1"/>
    <col min="12294" max="12294" width="12.28515625" style="62" customWidth="1"/>
    <col min="12295" max="12295" width="12.5703125" style="62" customWidth="1"/>
    <col min="12296" max="12296" width="10.5703125" style="62" customWidth="1"/>
    <col min="12297" max="12297" width="10.140625" style="62" customWidth="1"/>
    <col min="12298" max="12298" width="8.42578125" style="62" customWidth="1"/>
    <col min="12299" max="12299" width="18.85546875" style="62" customWidth="1"/>
    <col min="12300" max="12300" width="10.28515625" style="62" customWidth="1"/>
    <col min="12301" max="12301" width="11.42578125" style="62"/>
    <col min="12302" max="12302" width="12.140625" style="62" customWidth="1"/>
    <col min="12303" max="12303" width="10.5703125" style="62" customWidth="1"/>
    <col min="12304" max="12304" width="12.42578125" style="62" customWidth="1"/>
    <col min="12305" max="12305" width="15.140625" style="62" customWidth="1"/>
    <col min="12306" max="12306" width="13.5703125" style="62" customWidth="1"/>
    <col min="12307" max="12307" width="13.140625" style="62" customWidth="1"/>
    <col min="12308" max="12308" width="15.7109375" style="62" customWidth="1"/>
    <col min="12309" max="12309" width="37.5703125" style="62" customWidth="1"/>
    <col min="12310" max="12531" width="11.42578125" style="62"/>
    <col min="12532" max="12532" width="10.5703125" style="62" customWidth="1"/>
    <col min="12533" max="12533" width="4.85546875" style="62" customWidth="1"/>
    <col min="12534" max="12534" width="32.42578125" style="62" customWidth="1"/>
    <col min="12535" max="12535" width="9.85546875" style="62" customWidth="1"/>
    <col min="12536" max="12536" width="10.140625" style="62" customWidth="1"/>
    <col min="12537" max="12537" width="12.28515625" style="62" customWidth="1"/>
    <col min="12538" max="12538" width="15.42578125" style="62" customWidth="1"/>
    <col min="12539" max="12539" width="11.85546875" style="62" customWidth="1"/>
    <col min="12540" max="12540" width="13.28515625" style="62" customWidth="1"/>
    <col min="12541" max="12541" width="15.28515625" style="62" customWidth="1"/>
    <col min="12542" max="12542" width="11.85546875" style="62" customWidth="1"/>
    <col min="12543" max="12543" width="6.140625" style="62" customWidth="1"/>
    <col min="12544" max="12544" width="11.85546875" style="62" customWidth="1"/>
    <col min="12545" max="12545" width="9.42578125" style="62" customWidth="1"/>
    <col min="12546" max="12546" width="14.7109375" style="62" customWidth="1"/>
    <col min="12547" max="12547" width="11.5703125" style="62" customWidth="1"/>
    <col min="12548" max="12548" width="0.42578125" style="62" customWidth="1"/>
    <col min="12549" max="12549" width="10.5703125" style="62" bestFit="1" customWidth="1"/>
    <col min="12550" max="12550" width="12.28515625" style="62" customWidth="1"/>
    <col min="12551" max="12551" width="12.5703125" style="62" customWidth="1"/>
    <col min="12552" max="12552" width="10.5703125" style="62" customWidth="1"/>
    <col min="12553" max="12553" width="10.140625" style="62" customWidth="1"/>
    <col min="12554" max="12554" width="8.42578125" style="62" customWidth="1"/>
    <col min="12555" max="12555" width="18.85546875" style="62" customWidth="1"/>
    <col min="12556" max="12556" width="10.28515625" style="62" customWidth="1"/>
    <col min="12557" max="12557" width="11.42578125" style="62"/>
    <col min="12558" max="12558" width="12.140625" style="62" customWidth="1"/>
    <col min="12559" max="12559" width="10.5703125" style="62" customWidth="1"/>
    <col min="12560" max="12560" width="12.42578125" style="62" customWidth="1"/>
    <col min="12561" max="12561" width="15.140625" style="62" customWidth="1"/>
    <col min="12562" max="12562" width="13.5703125" style="62" customWidth="1"/>
    <col min="12563" max="12563" width="13.140625" style="62" customWidth="1"/>
    <col min="12564" max="12564" width="15.7109375" style="62" customWidth="1"/>
    <col min="12565" max="12565" width="37.5703125" style="62" customWidth="1"/>
    <col min="12566" max="12787" width="11.42578125" style="62"/>
    <col min="12788" max="12788" width="10.5703125" style="62" customWidth="1"/>
    <col min="12789" max="12789" width="4.85546875" style="62" customWidth="1"/>
    <col min="12790" max="12790" width="32.42578125" style="62" customWidth="1"/>
    <col min="12791" max="12791" width="9.85546875" style="62" customWidth="1"/>
    <col min="12792" max="12792" width="10.140625" style="62" customWidth="1"/>
    <col min="12793" max="12793" width="12.28515625" style="62" customWidth="1"/>
    <col min="12794" max="12794" width="15.42578125" style="62" customWidth="1"/>
    <col min="12795" max="12795" width="11.85546875" style="62" customWidth="1"/>
    <col min="12796" max="12796" width="13.28515625" style="62" customWidth="1"/>
    <col min="12797" max="12797" width="15.28515625" style="62" customWidth="1"/>
    <col min="12798" max="12798" width="11.85546875" style="62" customWidth="1"/>
    <col min="12799" max="12799" width="6.140625" style="62" customWidth="1"/>
    <col min="12800" max="12800" width="11.85546875" style="62" customWidth="1"/>
    <col min="12801" max="12801" width="9.42578125" style="62" customWidth="1"/>
    <col min="12802" max="12802" width="14.7109375" style="62" customWidth="1"/>
    <col min="12803" max="12803" width="11.5703125" style="62" customWidth="1"/>
    <col min="12804" max="12804" width="0.42578125" style="62" customWidth="1"/>
    <col min="12805" max="12805" width="10.5703125" style="62" bestFit="1" customWidth="1"/>
    <col min="12806" max="12806" width="12.28515625" style="62" customWidth="1"/>
    <col min="12807" max="12807" width="12.5703125" style="62" customWidth="1"/>
    <col min="12808" max="12808" width="10.5703125" style="62" customWidth="1"/>
    <col min="12809" max="12809" width="10.140625" style="62" customWidth="1"/>
    <col min="12810" max="12810" width="8.42578125" style="62" customWidth="1"/>
    <col min="12811" max="12811" width="18.85546875" style="62" customWidth="1"/>
    <col min="12812" max="12812" width="10.28515625" style="62" customWidth="1"/>
    <col min="12813" max="12813" width="11.42578125" style="62"/>
    <col min="12814" max="12814" width="12.140625" style="62" customWidth="1"/>
    <col min="12815" max="12815" width="10.5703125" style="62" customWidth="1"/>
    <col min="12816" max="12816" width="12.42578125" style="62" customWidth="1"/>
    <col min="12817" max="12817" width="15.140625" style="62" customWidth="1"/>
    <col min="12818" max="12818" width="13.5703125" style="62" customWidth="1"/>
    <col min="12819" max="12819" width="13.140625" style="62" customWidth="1"/>
    <col min="12820" max="12820" width="15.7109375" style="62" customWidth="1"/>
    <col min="12821" max="12821" width="37.5703125" style="62" customWidth="1"/>
    <col min="12822" max="13043" width="11.42578125" style="62"/>
    <col min="13044" max="13044" width="10.5703125" style="62" customWidth="1"/>
    <col min="13045" max="13045" width="4.85546875" style="62" customWidth="1"/>
    <col min="13046" max="13046" width="32.42578125" style="62" customWidth="1"/>
    <col min="13047" max="13047" width="9.85546875" style="62" customWidth="1"/>
    <col min="13048" max="13048" width="10.140625" style="62" customWidth="1"/>
    <col min="13049" max="13049" width="12.28515625" style="62" customWidth="1"/>
    <col min="13050" max="13050" width="15.42578125" style="62" customWidth="1"/>
    <col min="13051" max="13051" width="11.85546875" style="62" customWidth="1"/>
    <col min="13052" max="13052" width="13.28515625" style="62" customWidth="1"/>
    <col min="13053" max="13053" width="15.28515625" style="62" customWidth="1"/>
    <col min="13054" max="13054" width="11.85546875" style="62" customWidth="1"/>
    <col min="13055" max="13055" width="6.140625" style="62" customWidth="1"/>
    <col min="13056" max="13056" width="11.85546875" style="62" customWidth="1"/>
    <col min="13057" max="13057" width="9.42578125" style="62" customWidth="1"/>
    <col min="13058" max="13058" width="14.7109375" style="62" customWidth="1"/>
    <col min="13059" max="13059" width="11.5703125" style="62" customWidth="1"/>
    <col min="13060" max="13060" width="0.42578125" style="62" customWidth="1"/>
    <col min="13061" max="13061" width="10.5703125" style="62" bestFit="1" customWidth="1"/>
    <col min="13062" max="13062" width="12.28515625" style="62" customWidth="1"/>
    <col min="13063" max="13063" width="12.5703125" style="62" customWidth="1"/>
    <col min="13064" max="13064" width="10.5703125" style="62" customWidth="1"/>
    <col min="13065" max="13065" width="10.140625" style="62" customWidth="1"/>
    <col min="13066" max="13066" width="8.42578125" style="62" customWidth="1"/>
    <col min="13067" max="13067" width="18.85546875" style="62" customWidth="1"/>
    <col min="13068" max="13068" width="10.28515625" style="62" customWidth="1"/>
    <col min="13069" max="13069" width="11.42578125" style="62"/>
    <col min="13070" max="13070" width="12.140625" style="62" customWidth="1"/>
    <col min="13071" max="13071" width="10.5703125" style="62" customWidth="1"/>
    <col min="13072" max="13072" width="12.42578125" style="62" customWidth="1"/>
    <col min="13073" max="13073" width="15.140625" style="62" customWidth="1"/>
    <col min="13074" max="13074" width="13.5703125" style="62" customWidth="1"/>
    <col min="13075" max="13075" width="13.140625" style="62" customWidth="1"/>
    <col min="13076" max="13076" width="15.7109375" style="62" customWidth="1"/>
    <col min="13077" max="13077" width="37.5703125" style="62" customWidth="1"/>
    <col min="13078" max="13299" width="11.42578125" style="62"/>
    <col min="13300" max="13300" width="10.5703125" style="62" customWidth="1"/>
    <col min="13301" max="13301" width="4.85546875" style="62" customWidth="1"/>
    <col min="13302" max="13302" width="32.42578125" style="62" customWidth="1"/>
    <col min="13303" max="13303" width="9.85546875" style="62" customWidth="1"/>
    <col min="13304" max="13304" width="10.140625" style="62" customWidth="1"/>
    <col min="13305" max="13305" width="12.28515625" style="62" customWidth="1"/>
    <col min="13306" max="13306" width="15.42578125" style="62" customWidth="1"/>
    <col min="13307" max="13307" width="11.85546875" style="62" customWidth="1"/>
    <col min="13308" max="13308" width="13.28515625" style="62" customWidth="1"/>
    <col min="13309" max="13309" width="15.28515625" style="62" customWidth="1"/>
    <col min="13310" max="13310" width="11.85546875" style="62" customWidth="1"/>
    <col min="13311" max="13311" width="6.140625" style="62" customWidth="1"/>
    <col min="13312" max="13312" width="11.85546875" style="62" customWidth="1"/>
    <col min="13313" max="13313" width="9.42578125" style="62" customWidth="1"/>
    <col min="13314" max="13314" width="14.7109375" style="62" customWidth="1"/>
    <col min="13315" max="13315" width="11.5703125" style="62" customWidth="1"/>
    <col min="13316" max="13316" width="0.42578125" style="62" customWidth="1"/>
    <col min="13317" max="13317" width="10.5703125" style="62" bestFit="1" customWidth="1"/>
    <col min="13318" max="13318" width="12.28515625" style="62" customWidth="1"/>
    <col min="13319" max="13319" width="12.5703125" style="62" customWidth="1"/>
    <col min="13320" max="13320" width="10.5703125" style="62" customWidth="1"/>
    <col min="13321" max="13321" width="10.140625" style="62" customWidth="1"/>
    <col min="13322" max="13322" width="8.42578125" style="62" customWidth="1"/>
    <col min="13323" max="13323" width="18.85546875" style="62" customWidth="1"/>
    <col min="13324" max="13324" width="10.28515625" style="62" customWidth="1"/>
    <col min="13325" max="13325" width="11.42578125" style="62"/>
    <col min="13326" max="13326" width="12.140625" style="62" customWidth="1"/>
    <col min="13327" max="13327" width="10.5703125" style="62" customWidth="1"/>
    <col min="13328" max="13328" width="12.42578125" style="62" customWidth="1"/>
    <col min="13329" max="13329" width="15.140625" style="62" customWidth="1"/>
    <col min="13330" max="13330" width="13.5703125" style="62" customWidth="1"/>
    <col min="13331" max="13331" width="13.140625" style="62" customWidth="1"/>
    <col min="13332" max="13332" width="15.7109375" style="62" customWidth="1"/>
    <col min="13333" max="13333" width="37.5703125" style="62" customWidth="1"/>
    <col min="13334" max="13555" width="11.42578125" style="62"/>
    <col min="13556" max="13556" width="10.5703125" style="62" customWidth="1"/>
    <col min="13557" max="13557" width="4.85546875" style="62" customWidth="1"/>
    <col min="13558" max="13558" width="32.42578125" style="62" customWidth="1"/>
    <col min="13559" max="13559" width="9.85546875" style="62" customWidth="1"/>
    <col min="13560" max="13560" width="10.140625" style="62" customWidth="1"/>
    <col min="13561" max="13561" width="12.28515625" style="62" customWidth="1"/>
    <col min="13562" max="13562" width="15.42578125" style="62" customWidth="1"/>
    <col min="13563" max="13563" width="11.85546875" style="62" customWidth="1"/>
    <col min="13564" max="13564" width="13.28515625" style="62" customWidth="1"/>
    <col min="13565" max="13565" width="15.28515625" style="62" customWidth="1"/>
    <col min="13566" max="13566" width="11.85546875" style="62" customWidth="1"/>
    <col min="13567" max="13567" width="6.140625" style="62" customWidth="1"/>
    <col min="13568" max="13568" width="11.85546875" style="62" customWidth="1"/>
    <col min="13569" max="13569" width="9.42578125" style="62" customWidth="1"/>
    <col min="13570" max="13570" width="14.7109375" style="62" customWidth="1"/>
    <col min="13571" max="13571" width="11.5703125" style="62" customWidth="1"/>
    <col min="13572" max="13572" width="0.42578125" style="62" customWidth="1"/>
    <col min="13573" max="13573" width="10.5703125" style="62" bestFit="1" customWidth="1"/>
    <col min="13574" max="13574" width="12.28515625" style="62" customWidth="1"/>
    <col min="13575" max="13575" width="12.5703125" style="62" customWidth="1"/>
    <col min="13576" max="13576" width="10.5703125" style="62" customWidth="1"/>
    <col min="13577" max="13577" width="10.140625" style="62" customWidth="1"/>
    <col min="13578" max="13578" width="8.42578125" style="62" customWidth="1"/>
    <col min="13579" max="13579" width="18.85546875" style="62" customWidth="1"/>
    <col min="13580" max="13580" width="10.28515625" style="62" customWidth="1"/>
    <col min="13581" max="13581" width="11.42578125" style="62"/>
    <col min="13582" max="13582" width="12.140625" style="62" customWidth="1"/>
    <col min="13583" max="13583" width="10.5703125" style="62" customWidth="1"/>
    <col min="13584" max="13584" width="12.42578125" style="62" customWidth="1"/>
    <col min="13585" max="13585" width="15.140625" style="62" customWidth="1"/>
    <col min="13586" max="13586" width="13.5703125" style="62" customWidth="1"/>
    <col min="13587" max="13587" width="13.140625" style="62" customWidth="1"/>
    <col min="13588" max="13588" width="15.7109375" style="62" customWidth="1"/>
    <col min="13589" max="13589" width="37.5703125" style="62" customWidth="1"/>
    <col min="13590" max="13811" width="11.42578125" style="62"/>
    <col min="13812" max="13812" width="10.5703125" style="62" customWidth="1"/>
    <col min="13813" max="13813" width="4.85546875" style="62" customWidth="1"/>
    <col min="13814" max="13814" width="32.42578125" style="62" customWidth="1"/>
    <col min="13815" max="13815" width="9.85546875" style="62" customWidth="1"/>
    <col min="13816" max="13816" width="10.140625" style="62" customWidth="1"/>
    <col min="13817" max="13817" width="12.28515625" style="62" customWidth="1"/>
    <col min="13818" max="13818" width="15.42578125" style="62" customWidth="1"/>
    <col min="13819" max="13819" width="11.85546875" style="62" customWidth="1"/>
    <col min="13820" max="13820" width="13.28515625" style="62" customWidth="1"/>
    <col min="13821" max="13821" width="15.28515625" style="62" customWidth="1"/>
    <col min="13822" max="13822" width="11.85546875" style="62" customWidth="1"/>
    <col min="13823" max="13823" width="6.140625" style="62" customWidth="1"/>
    <col min="13824" max="13824" width="11.85546875" style="62" customWidth="1"/>
    <col min="13825" max="13825" width="9.42578125" style="62" customWidth="1"/>
    <col min="13826" max="13826" width="14.7109375" style="62" customWidth="1"/>
    <col min="13827" max="13827" width="11.5703125" style="62" customWidth="1"/>
    <col min="13828" max="13828" width="0.42578125" style="62" customWidth="1"/>
    <col min="13829" max="13829" width="10.5703125" style="62" bestFit="1" customWidth="1"/>
    <col min="13830" max="13830" width="12.28515625" style="62" customWidth="1"/>
    <col min="13831" max="13831" width="12.5703125" style="62" customWidth="1"/>
    <col min="13832" max="13832" width="10.5703125" style="62" customWidth="1"/>
    <col min="13833" max="13833" width="10.140625" style="62" customWidth="1"/>
    <col min="13834" max="13834" width="8.42578125" style="62" customWidth="1"/>
    <col min="13835" max="13835" width="18.85546875" style="62" customWidth="1"/>
    <col min="13836" max="13836" width="10.28515625" style="62" customWidth="1"/>
    <col min="13837" max="13837" width="11.42578125" style="62"/>
    <col min="13838" max="13838" width="12.140625" style="62" customWidth="1"/>
    <col min="13839" max="13839" width="10.5703125" style="62" customWidth="1"/>
    <col min="13840" max="13840" width="12.42578125" style="62" customWidth="1"/>
    <col min="13841" max="13841" width="15.140625" style="62" customWidth="1"/>
    <col min="13842" max="13842" width="13.5703125" style="62" customWidth="1"/>
    <col min="13843" max="13843" width="13.140625" style="62" customWidth="1"/>
    <col min="13844" max="13844" width="15.7109375" style="62" customWidth="1"/>
    <col min="13845" max="13845" width="37.5703125" style="62" customWidth="1"/>
    <col min="13846" max="14067" width="11.42578125" style="62"/>
    <col min="14068" max="14068" width="10.5703125" style="62" customWidth="1"/>
    <col min="14069" max="14069" width="4.85546875" style="62" customWidth="1"/>
    <col min="14070" max="14070" width="32.42578125" style="62" customWidth="1"/>
    <col min="14071" max="14071" width="9.85546875" style="62" customWidth="1"/>
    <col min="14072" max="14072" width="10.140625" style="62" customWidth="1"/>
    <col min="14073" max="14073" width="12.28515625" style="62" customWidth="1"/>
    <col min="14074" max="14074" width="15.42578125" style="62" customWidth="1"/>
    <col min="14075" max="14075" width="11.85546875" style="62" customWidth="1"/>
    <col min="14076" max="14076" width="13.28515625" style="62" customWidth="1"/>
    <col min="14077" max="14077" width="15.28515625" style="62" customWidth="1"/>
    <col min="14078" max="14078" width="11.85546875" style="62" customWidth="1"/>
    <col min="14079" max="14079" width="6.140625" style="62" customWidth="1"/>
    <col min="14080" max="14080" width="11.85546875" style="62" customWidth="1"/>
    <col min="14081" max="14081" width="9.42578125" style="62" customWidth="1"/>
    <col min="14082" max="14082" width="14.7109375" style="62" customWidth="1"/>
    <col min="14083" max="14083" width="11.5703125" style="62" customWidth="1"/>
    <col min="14084" max="14084" width="0.42578125" style="62" customWidth="1"/>
    <col min="14085" max="14085" width="10.5703125" style="62" bestFit="1" customWidth="1"/>
    <col min="14086" max="14086" width="12.28515625" style="62" customWidth="1"/>
    <col min="14087" max="14087" width="12.5703125" style="62" customWidth="1"/>
    <col min="14088" max="14088" width="10.5703125" style="62" customWidth="1"/>
    <col min="14089" max="14089" width="10.140625" style="62" customWidth="1"/>
    <col min="14090" max="14090" width="8.42578125" style="62" customWidth="1"/>
    <col min="14091" max="14091" width="18.85546875" style="62" customWidth="1"/>
    <col min="14092" max="14092" width="10.28515625" style="62" customWidth="1"/>
    <col min="14093" max="14093" width="11.42578125" style="62"/>
    <col min="14094" max="14094" width="12.140625" style="62" customWidth="1"/>
    <col min="14095" max="14095" width="10.5703125" style="62" customWidth="1"/>
    <col min="14096" max="14096" width="12.42578125" style="62" customWidth="1"/>
    <col min="14097" max="14097" width="15.140625" style="62" customWidth="1"/>
    <col min="14098" max="14098" width="13.5703125" style="62" customWidth="1"/>
    <col min="14099" max="14099" width="13.140625" style="62" customWidth="1"/>
    <col min="14100" max="14100" width="15.7109375" style="62" customWidth="1"/>
    <col min="14101" max="14101" width="37.5703125" style="62" customWidth="1"/>
    <col min="14102" max="14323" width="11.42578125" style="62"/>
    <col min="14324" max="14324" width="10.5703125" style="62" customWidth="1"/>
    <col min="14325" max="14325" width="4.85546875" style="62" customWidth="1"/>
    <col min="14326" max="14326" width="32.42578125" style="62" customWidth="1"/>
    <col min="14327" max="14327" width="9.85546875" style="62" customWidth="1"/>
    <col min="14328" max="14328" width="10.140625" style="62" customWidth="1"/>
    <col min="14329" max="14329" width="12.28515625" style="62" customWidth="1"/>
    <col min="14330" max="14330" width="15.42578125" style="62" customWidth="1"/>
    <col min="14331" max="14331" width="11.85546875" style="62" customWidth="1"/>
    <col min="14332" max="14332" width="13.28515625" style="62" customWidth="1"/>
    <col min="14333" max="14333" width="15.28515625" style="62" customWidth="1"/>
    <col min="14334" max="14334" width="11.85546875" style="62" customWidth="1"/>
    <col min="14335" max="14335" width="6.140625" style="62" customWidth="1"/>
    <col min="14336" max="14336" width="11.85546875" style="62" customWidth="1"/>
    <col min="14337" max="14337" width="9.42578125" style="62" customWidth="1"/>
    <col min="14338" max="14338" width="14.7109375" style="62" customWidth="1"/>
    <col min="14339" max="14339" width="11.5703125" style="62" customWidth="1"/>
    <col min="14340" max="14340" width="0.42578125" style="62" customWidth="1"/>
    <col min="14341" max="14341" width="10.5703125" style="62" bestFit="1" customWidth="1"/>
    <col min="14342" max="14342" width="12.28515625" style="62" customWidth="1"/>
    <col min="14343" max="14343" width="12.5703125" style="62" customWidth="1"/>
    <col min="14344" max="14344" width="10.5703125" style="62" customWidth="1"/>
    <col min="14345" max="14345" width="10.140625" style="62" customWidth="1"/>
    <col min="14346" max="14346" width="8.42578125" style="62" customWidth="1"/>
    <col min="14347" max="14347" width="18.85546875" style="62" customWidth="1"/>
    <col min="14348" max="14348" width="10.28515625" style="62" customWidth="1"/>
    <col min="14349" max="14349" width="11.42578125" style="62"/>
    <col min="14350" max="14350" width="12.140625" style="62" customWidth="1"/>
    <col min="14351" max="14351" width="10.5703125" style="62" customWidth="1"/>
    <col min="14352" max="14352" width="12.42578125" style="62" customWidth="1"/>
    <col min="14353" max="14353" width="15.140625" style="62" customWidth="1"/>
    <col min="14354" max="14354" width="13.5703125" style="62" customWidth="1"/>
    <col min="14355" max="14355" width="13.140625" style="62" customWidth="1"/>
    <col min="14356" max="14356" width="15.7109375" style="62" customWidth="1"/>
    <col min="14357" max="14357" width="37.5703125" style="62" customWidth="1"/>
    <col min="14358" max="14579" width="11.42578125" style="62"/>
    <col min="14580" max="14580" width="10.5703125" style="62" customWidth="1"/>
    <col min="14581" max="14581" width="4.85546875" style="62" customWidth="1"/>
    <col min="14582" max="14582" width="32.42578125" style="62" customWidth="1"/>
    <col min="14583" max="14583" width="9.85546875" style="62" customWidth="1"/>
    <col min="14584" max="14584" width="10.140625" style="62" customWidth="1"/>
    <col min="14585" max="14585" width="12.28515625" style="62" customWidth="1"/>
    <col min="14586" max="14586" width="15.42578125" style="62" customWidth="1"/>
    <col min="14587" max="14587" width="11.85546875" style="62" customWidth="1"/>
    <col min="14588" max="14588" width="13.28515625" style="62" customWidth="1"/>
    <col min="14589" max="14589" width="15.28515625" style="62" customWidth="1"/>
    <col min="14590" max="14590" width="11.85546875" style="62" customWidth="1"/>
    <col min="14591" max="14591" width="6.140625" style="62" customWidth="1"/>
    <col min="14592" max="14592" width="11.85546875" style="62" customWidth="1"/>
    <col min="14593" max="14593" width="9.42578125" style="62" customWidth="1"/>
    <col min="14594" max="14594" width="14.7109375" style="62" customWidth="1"/>
    <col min="14595" max="14595" width="11.5703125" style="62" customWidth="1"/>
    <col min="14596" max="14596" width="0.42578125" style="62" customWidth="1"/>
    <col min="14597" max="14597" width="10.5703125" style="62" bestFit="1" customWidth="1"/>
    <col min="14598" max="14598" width="12.28515625" style="62" customWidth="1"/>
    <col min="14599" max="14599" width="12.5703125" style="62" customWidth="1"/>
    <col min="14600" max="14600" width="10.5703125" style="62" customWidth="1"/>
    <col min="14601" max="14601" width="10.140625" style="62" customWidth="1"/>
    <col min="14602" max="14602" width="8.42578125" style="62" customWidth="1"/>
    <col min="14603" max="14603" width="18.85546875" style="62" customWidth="1"/>
    <col min="14604" max="14604" width="10.28515625" style="62" customWidth="1"/>
    <col min="14605" max="14605" width="11.42578125" style="62"/>
    <col min="14606" max="14606" width="12.140625" style="62" customWidth="1"/>
    <col min="14607" max="14607" width="10.5703125" style="62" customWidth="1"/>
    <col min="14608" max="14608" width="12.42578125" style="62" customWidth="1"/>
    <col min="14609" max="14609" width="15.140625" style="62" customWidth="1"/>
    <col min="14610" max="14610" width="13.5703125" style="62" customWidth="1"/>
    <col min="14611" max="14611" width="13.140625" style="62" customWidth="1"/>
    <col min="14612" max="14612" width="15.7109375" style="62" customWidth="1"/>
    <col min="14613" max="14613" width="37.5703125" style="62" customWidth="1"/>
    <col min="14614" max="14835" width="11.42578125" style="62"/>
    <col min="14836" max="14836" width="10.5703125" style="62" customWidth="1"/>
    <col min="14837" max="14837" width="4.85546875" style="62" customWidth="1"/>
    <col min="14838" max="14838" width="32.42578125" style="62" customWidth="1"/>
    <col min="14839" max="14839" width="9.85546875" style="62" customWidth="1"/>
    <col min="14840" max="14840" width="10.140625" style="62" customWidth="1"/>
    <col min="14841" max="14841" width="12.28515625" style="62" customWidth="1"/>
    <col min="14842" max="14842" width="15.42578125" style="62" customWidth="1"/>
    <col min="14843" max="14843" width="11.85546875" style="62" customWidth="1"/>
    <col min="14844" max="14844" width="13.28515625" style="62" customWidth="1"/>
    <col min="14845" max="14845" width="15.28515625" style="62" customWidth="1"/>
    <col min="14846" max="14846" width="11.85546875" style="62" customWidth="1"/>
    <col min="14847" max="14847" width="6.140625" style="62" customWidth="1"/>
    <col min="14848" max="14848" width="11.85546875" style="62" customWidth="1"/>
    <col min="14849" max="14849" width="9.42578125" style="62" customWidth="1"/>
    <col min="14850" max="14850" width="14.7109375" style="62" customWidth="1"/>
    <col min="14851" max="14851" width="11.5703125" style="62" customWidth="1"/>
    <col min="14852" max="14852" width="0.42578125" style="62" customWidth="1"/>
    <col min="14853" max="14853" width="10.5703125" style="62" bestFit="1" customWidth="1"/>
    <col min="14854" max="14854" width="12.28515625" style="62" customWidth="1"/>
    <col min="14855" max="14855" width="12.5703125" style="62" customWidth="1"/>
    <col min="14856" max="14856" width="10.5703125" style="62" customWidth="1"/>
    <col min="14857" max="14857" width="10.140625" style="62" customWidth="1"/>
    <col min="14858" max="14858" width="8.42578125" style="62" customWidth="1"/>
    <col min="14859" max="14859" width="18.85546875" style="62" customWidth="1"/>
    <col min="14860" max="14860" width="10.28515625" style="62" customWidth="1"/>
    <col min="14861" max="14861" width="11.42578125" style="62"/>
    <col min="14862" max="14862" width="12.140625" style="62" customWidth="1"/>
    <col min="14863" max="14863" width="10.5703125" style="62" customWidth="1"/>
    <col min="14864" max="14864" width="12.42578125" style="62" customWidth="1"/>
    <col min="14865" max="14865" width="15.140625" style="62" customWidth="1"/>
    <col min="14866" max="14866" width="13.5703125" style="62" customWidth="1"/>
    <col min="14867" max="14867" width="13.140625" style="62" customWidth="1"/>
    <col min="14868" max="14868" width="15.7109375" style="62" customWidth="1"/>
    <col min="14869" max="14869" width="37.5703125" style="62" customWidth="1"/>
    <col min="14870" max="15091" width="11.42578125" style="62"/>
    <col min="15092" max="15092" width="10.5703125" style="62" customWidth="1"/>
    <col min="15093" max="15093" width="4.85546875" style="62" customWidth="1"/>
    <col min="15094" max="15094" width="32.42578125" style="62" customWidth="1"/>
    <col min="15095" max="15095" width="9.85546875" style="62" customWidth="1"/>
    <col min="15096" max="15096" width="10.140625" style="62" customWidth="1"/>
    <col min="15097" max="15097" width="12.28515625" style="62" customWidth="1"/>
    <col min="15098" max="15098" width="15.42578125" style="62" customWidth="1"/>
    <col min="15099" max="15099" width="11.85546875" style="62" customWidth="1"/>
    <col min="15100" max="15100" width="13.28515625" style="62" customWidth="1"/>
    <col min="15101" max="15101" width="15.28515625" style="62" customWidth="1"/>
    <col min="15102" max="15102" width="11.85546875" style="62" customWidth="1"/>
    <col min="15103" max="15103" width="6.140625" style="62" customWidth="1"/>
    <col min="15104" max="15104" width="11.85546875" style="62" customWidth="1"/>
    <col min="15105" max="15105" width="9.42578125" style="62" customWidth="1"/>
    <col min="15106" max="15106" width="14.7109375" style="62" customWidth="1"/>
    <col min="15107" max="15107" width="11.5703125" style="62" customWidth="1"/>
    <col min="15108" max="15108" width="0.42578125" style="62" customWidth="1"/>
    <col min="15109" max="15109" width="10.5703125" style="62" bestFit="1" customWidth="1"/>
    <col min="15110" max="15110" width="12.28515625" style="62" customWidth="1"/>
    <col min="15111" max="15111" width="12.5703125" style="62" customWidth="1"/>
    <col min="15112" max="15112" width="10.5703125" style="62" customWidth="1"/>
    <col min="15113" max="15113" width="10.140625" style="62" customWidth="1"/>
    <col min="15114" max="15114" width="8.42578125" style="62" customWidth="1"/>
    <col min="15115" max="15115" width="18.85546875" style="62" customWidth="1"/>
    <col min="15116" max="15116" width="10.28515625" style="62" customWidth="1"/>
    <col min="15117" max="15117" width="11.42578125" style="62"/>
    <col min="15118" max="15118" width="12.140625" style="62" customWidth="1"/>
    <col min="15119" max="15119" width="10.5703125" style="62" customWidth="1"/>
    <col min="15120" max="15120" width="12.42578125" style="62" customWidth="1"/>
    <col min="15121" max="15121" width="15.140625" style="62" customWidth="1"/>
    <col min="15122" max="15122" width="13.5703125" style="62" customWidth="1"/>
    <col min="15123" max="15123" width="13.140625" style="62" customWidth="1"/>
    <col min="15124" max="15124" width="15.7109375" style="62" customWidth="1"/>
    <col min="15125" max="15125" width="37.5703125" style="62" customWidth="1"/>
    <col min="15126" max="15347" width="11.42578125" style="62"/>
    <col min="15348" max="15348" width="10.5703125" style="62" customWidth="1"/>
    <col min="15349" max="15349" width="4.85546875" style="62" customWidth="1"/>
    <col min="15350" max="15350" width="32.42578125" style="62" customWidth="1"/>
    <col min="15351" max="15351" width="9.85546875" style="62" customWidth="1"/>
    <col min="15352" max="15352" width="10.140625" style="62" customWidth="1"/>
    <col min="15353" max="15353" width="12.28515625" style="62" customWidth="1"/>
    <col min="15354" max="15354" width="15.42578125" style="62" customWidth="1"/>
    <col min="15355" max="15355" width="11.85546875" style="62" customWidth="1"/>
    <col min="15356" max="15356" width="13.28515625" style="62" customWidth="1"/>
    <col min="15357" max="15357" width="15.28515625" style="62" customWidth="1"/>
    <col min="15358" max="15358" width="11.85546875" style="62" customWidth="1"/>
    <col min="15359" max="15359" width="6.140625" style="62" customWidth="1"/>
    <col min="15360" max="15360" width="11.85546875" style="62" customWidth="1"/>
    <col min="15361" max="15361" width="9.42578125" style="62" customWidth="1"/>
    <col min="15362" max="15362" width="14.7109375" style="62" customWidth="1"/>
    <col min="15363" max="15363" width="11.5703125" style="62" customWidth="1"/>
    <col min="15364" max="15364" width="0.42578125" style="62" customWidth="1"/>
    <col min="15365" max="15365" width="10.5703125" style="62" bestFit="1" customWidth="1"/>
    <col min="15366" max="15366" width="12.28515625" style="62" customWidth="1"/>
    <col min="15367" max="15367" width="12.5703125" style="62" customWidth="1"/>
    <col min="15368" max="15368" width="10.5703125" style="62" customWidth="1"/>
    <col min="15369" max="15369" width="10.140625" style="62" customWidth="1"/>
    <col min="15370" max="15370" width="8.42578125" style="62" customWidth="1"/>
    <col min="15371" max="15371" width="18.85546875" style="62" customWidth="1"/>
    <col min="15372" max="15372" width="10.28515625" style="62" customWidth="1"/>
    <col min="15373" max="15373" width="11.42578125" style="62"/>
    <col min="15374" max="15374" width="12.140625" style="62" customWidth="1"/>
    <col min="15375" max="15375" width="10.5703125" style="62" customWidth="1"/>
    <col min="15376" max="15376" width="12.42578125" style="62" customWidth="1"/>
    <col min="15377" max="15377" width="15.140625" style="62" customWidth="1"/>
    <col min="15378" max="15378" width="13.5703125" style="62" customWidth="1"/>
    <col min="15379" max="15379" width="13.140625" style="62" customWidth="1"/>
    <col min="15380" max="15380" width="15.7109375" style="62" customWidth="1"/>
    <col min="15381" max="15381" width="37.5703125" style="62" customWidth="1"/>
    <col min="15382" max="15603" width="11.42578125" style="62"/>
    <col min="15604" max="15604" width="10.5703125" style="62" customWidth="1"/>
    <col min="15605" max="15605" width="4.85546875" style="62" customWidth="1"/>
    <col min="15606" max="15606" width="32.42578125" style="62" customWidth="1"/>
    <col min="15607" max="15607" width="9.85546875" style="62" customWidth="1"/>
    <col min="15608" max="15608" width="10.140625" style="62" customWidth="1"/>
    <col min="15609" max="15609" width="12.28515625" style="62" customWidth="1"/>
    <col min="15610" max="15610" width="15.42578125" style="62" customWidth="1"/>
    <col min="15611" max="15611" width="11.85546875" style="62" customWidth="1"/>
    <col min="15612" max="15612" width="13.28515625" style="62" customWidth="1"/>
    <col min="15613" max="15613" width="15.28515625" style="62" customWidth="1"/>
    <col min="15614" max="15614" width="11.85546875" style="62" customWidth="1"/>
    <col min="15615" max="15615" width="6.140625" style="62" customWidth="1"/>
    <col min="15616" max="15616" width="11.85546875" style="62" customWidth="1"/>
    <col min="15617" max="15617" width="9.42578125" style="62" customWidth="1"/>
    <col min="15618" max="15618" width="14.7109375" style="62" customWidth="1"/>
    <col min="15619" max="15619" width="11.5703125" style="62" customWidth="1"/>
    <col min="15620" max="15620" width="0.42578125" style="62" customWidth="1"/>
    <col min="15621" max="15621" width="10.5703125" style="62" bestFit="1" customWidth="1"/>
    <col min="15622" max="15622" width="12.28515625" style="62" customWidth="1"/>
    <col min="15623" max="15623" width="12.5703125" style="62" customWidth="1"/>
    <col min="15624" max="15624" width="10.5703125" style="62" customWidth="1"/>
    <col min="15625" max="15625" width="10.140625" style="62" customWidth="1"/>
    <col min="15626" max="15626" width="8.42578125" style="62" customWidth="1"/>
    <col min="15627" max="15627" width="18.85546875" style="62" customWidth="1"/>
    <col min="15628" max="15628" width="10.28515625" style="62" customWidth="1"/>
    <col min="15629" max="15629" width="11.42578125" style="62"/>
    <col min="15630" max="15630" width="12.140625" style="62" customWidth="1"/>
    <col min="15631" max="15631" width="10.5703125" style="62" customWidth="1"/>
    <col min="15632" max="15632" width="12.42578125" style="62" customWidth="1"/>
    <col min="15633" max="15633" width="15.140625" style="62" customWidth="1"/>
    <col min="15634" max="15634" width="13.5703125" style="62" customWidth="1"/>
    <col min="15635" max="15635" width="13.140625" style="62" customWidth="1"/>
    <col min="15636" max="15636" width="15.7109375" style="62" customWidth="1"/>
    <col min="15637" max="15637" width="37.5703125" style="62" customWidth="1"/>
    <col min="15638" max="15859" width="11.42578125" style="62"/>
    <col min="15860" max="15860" width="10.5703125" style="62" customWidth="1"/>
    <col min="15861" max="15861" width="4.85546875" style="62" customWidth="1"/>
    <col min="15862" max="15862" width="32.42578125" style="62" customWidth="1"/>
    <col min="15863" max="15863" width="9.85546875" style="62" customWidth="1"/>
    <col min="15864" max="15864" width="10.140625" style="62" customWidth="1"/>
    <col min="15865" max="15865" width="12.28515625" style="62" customWidth="1"/>
    <col min="15866" max="15866" width="15.42578125" style="62" customWidth="1"/>
    <col min="15867" max="15867" width="11.85546875" style="62" customWidth="1"/>
    <col min="15868" max="15868" width="13.28515625" style="62" customWidth="1"/>
    <col min="15869" max="15869" width="15.28515625" style="62" customWidth="1"/>
    <col min="15870" max="15870" width="11.85546875" style="62" customWidth="1"/>
    <col min="15871" max="15871" width="6.140625" style="62" customWidth="1"/>
    <col min="15872" max="15872" width="11.85546875" style="62" customWidth="1"/>
    <col min="15873" max="15873" width="9.42578125" style="62" customWidth="1"/>
    <col min="15874" max="15874" width="14.7109375" style="62" customWidth="1"/>
    <col min="15875" max="15875" width="11.5703125" style="62" customWidth="1"/>
    <col min="15876" max="15876" width="0.42578125" style="62" customWidth="1"/>
    <col min="15877" max="15877" width="10.5703125" style="62" bestFit="1" customWidth="1"/>
    <col min="15878" max="15878" width="12.28515625" style="62" customWidth="1"/>
    <col min="15879" max="15879" width="12.5703125" style="62" customWidth="1"/>
    <col min="15880" max="15880" width="10.5703125" style="62" customWidth="1"/>
    <col min="15881" max="15881" width="10.140625" style="62" customWidth="1"/>
    <col min="15882" max="15882" width="8.42578125" style="62" customWidth="1"/>
    <col min="15883" max="15883" width="18.85546875" style="62" customWidth="1"/>
    <col min="15884" max="15884" width="10.28515625" style="62" customWidth="1"/>
    <col min="15885" max="15885" width="11.42578125" style="62"/>
    <col min="15886" max="15886" width="12.140625" style="62" customWidth="1"/>
    <col min="15887" max="15887" width="10.5703125" style="62" customWidth="1"/>
    <col min="15888" max="15888" width="12.42578125" style="62" customWidth="1"/>
    <col min="15889" max="15889" width="15.140625" style="62" customWidth="1"/>
    <col min="15890" max="15890" width="13.5703125" style="62" customWidth="1"/>
    <col min="15891" max="15891" width="13.140625" style="62" customWidth="1"/>
    <col min="15892" max="15892" width="15.7109375" style="62" customWidth="1"/>
    <col min="15893" max="15893" width="37.5703125" style="62" customWidth="1"/>
    <col min="15894" max="16115" width="11.42578125" style="62"/>
    <col min="16116" max="16116" width="10.5703125" style="62" customWidth="1"/>
    <col min="16117" max="16117" width="4.85546875" style="62" customWidth="1"/>
    <col min="16118" max="16118" width="32.42578125" style="62" customWidth="1"/>
    <col min="16119" max="16119" width="9.85546875" style="62" customWidth="1"/>
    <col min="16120" max="16120" width="10.140625" style="62" customWidth="1"/>
    <col min="16121" max="16121" width="12.28515625" style="62" customWidth="1"/>
    <col min="16122" max="16122" width="15.42578125" style="62" customWidth="1"/>
    <col min="16123" max="16123" width="11.85546875" style="62" customWidth="1"/>
    <col min="16124" max="16124" width="13.28515625" style="62" customWidth="1"/>
    <col min="16125" max="16125" width="15.28515625" style="62" customWidth="1"/>
    <col min="16126" max="16126" width="11.85546875" style="62" customWidth="1"/>
    <col min="16127" max="16127" width="6.140625" style="62" customWidth="1"/>
    <col min="16128" max="16128" width="11.85546875" style="62" customWidth="1"/>
    <col min="16129" max="16129" width="9.42578125" style="62" customWidth="1"/>
    <col min="16130" max="16130" width="14.7109375" style="62" customWidth="1"/>
    <col min="16131" max="16131" width="11.5703125" style="62" customWidth="1"/>
    <col min="16132" max="16132" width="0.42578125" style="62" customWidth="1"/>
    <col min="16133" max="16133" width="10.5703125" style="62" bestFit="1" customWidth="1"/>
    <col min="16134" max="16134" width="12.28515625" style="62" customWidth="1"/>
    <col min="16135" max="16135" width="12.5703125" style="62" customWidth="1"/>
    <col min="16136" max="16136" width="10.5703125" style="62" customWidth="1"/>
    <col min="16137" max="16137" width="10.140625" style="62" customWidth="1"/>
    <col min="16138" max="16138" width="8.42578125" style="62" customWidth="1"/>
    <col min="16139" max="16139" width="18.85546875" style="62" customWidth="1"/>
    <col min="16140" max="16140" width="10.28515625" style="62" customWidth="1"/>
    <col min="16141" max="16141" width="11.42578125" style="62"/>
    <col min="16142" max="16142" width="12.140625" style="62" customWidth="1"/>
    <col min="16143" max="16143" width="10.5703125" style="62" customWidth="1"/>
    <col min="16144" max="16144" width="12.42578125" style="62" customWidth="1"/>
    <col min="16145" max="16145" width="15.140625" style="62" customWidth="1"/>
    <col min="16146" max="16146" width="13.5703125" style="62" customWidth="1"/>
    <col min="16147" max="16147" width="13.140625" style="62" customWidth="1"/>
    <col min="16148" max="16148" width="15.7109375" style="62" customWidth="1"/>
    <col min="16149" max="16149" width="37.5703125" style="62" customWidth="1"/>
    <col min="16150" max="16384" width="11.42578125" style="62"/>
  </cols>
  <sheetData>
    <row r="1" spans="1:23" ht="15" customHeight="1" x14ac:dyDescent="0.25">
      <c r="A1" s="63" t="s">
        <v>171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</row>
    <row r="2" spans="1:23" ht="15" customHeight="1" x14ac:dyDescent="0.25">
      <c r="A2" s="94" t="s">
        <v>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5"/>
      <c r="N2" s="96" t="s">
        <v>3</v>
      </c>
      <c r="O2" s="97"/>
      <c r="P2" s="97"/>
      <c r="Q2" s="97"/>
      <c r="R2" s="97"/>
      <c r="S2" s="97"/>
      <c r="T2" s="97"/>
      <c r="U2" s="97"/>
      <c r="V2" s="98"/>
      <c r="W2" s="99"/>
    </row>
    <row r="3" spans="1:23" ht="24.95" customHeight="1" x14ac:dyDescent="0.25">
      <c r="B3" s="2" t="s">
        <v>4</v>
      </c>
      <c r="C3" s="2" t="s">
        <v>5</v>
      </c>
      <c r="D3" s="2" t="s">
        <v>6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172</v>
      </c>
      <c r="J3" s="3" t="s">
        <v>173</v>
      </c>
      <c r="K3" s="3" t="s">
        <v>14</v>
      </c>
      <c r="L3" s="3" t="s">
        <v>174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159</v>
      </c>
      <c r="R3" s="3" t="s">
        <v>22</v>
      </c>
      <c r="S3" s="3" t="s">
        <v>23</v>
      </c>
      <c r="T3" s="3" t="s">
        <v>180</v>
      </c>
      <c r="U3" s="3" t="s">
        <v>25</v>
      </c>
      <c r="V3" s="3" t="s">
        <v>26</v>
      </c>
      <c r="W3" s="2" t="s">
        <v>27</v>
      </c>
    </row>
    <row r="4" spans="1:23" s="13" customFormat="1" ht="24.95" customHeight="1" x14ac:dyDescent="0.25">
      <c r="A4" s="65" t="s">
        <v>29</v>
      </c>
      <c r="B4" s="2">
        <v>1</v>
      </c>
      <c r="C4" s="1" t="s">
        <v>147</v>
      </c>
      <c r="D4" s="1" t="s">
        <v>31</v>
      </c>
      <c r="E4" s="3">
        <v>4500000</v>
      </c>
      <c r="F4" s="3">
        <v>30</v>
      </c>
      <c r="G4" s="3">
        <f>+E4/30*F4</f>
        <v>4500000</v>
      </c>
      <c r="H4" s="3"/>
      <c r="I4" s="3"/>
      <c r="J4" s="3"/>
      <c r="K4" s="3"/>
      <c r="L4" s="3"/>
      <c r="M4" s="3">
        <f>+G4+L4+K4+J4+I4+H4</f>
        <v>4500000</v>
      </c>
      <c r="N4" s="3">
        <f>+E4*0.04</f>
        <v>180000</v>
      </c>
      <c r="O4" s="3">
        <f>+E4*0.05</f>
        <v>225000</v>
      </c>
      <c r="P4" s="3"/>
      <c r="Q4" s="3"/>
      <c r="R4" s="3"/>
      <c r="S4" s="3"/>
      <c r="T4" s="3"/>
      <c r="U4" s="3"/>
      <c r="V4" s="4">
        <f>SUM(N4:U4)</f>
        <v>405000</v>
      </c>
      <c r="W4" s="5">
        <f>+M4-V4</f>
        <v>4095000</v>
      </c>
    </row>
    <row r="5" spans="1:23" ht="24.95" customHeight="1" x14ac:dyDescent="0.25">
      <c r="A5" s="65"/>
      <c r="B5" s="2">
        <v>2</v>
      </c>
      <c r="C5" s="1" t="s">
        <v>30</v>
      </c>
      <c r="D5" s="1" t="s">
        <v>31</v>
      </c>
      <c r="E5" s="4">
        <v>5000000</v>
      </c>
      <c r="F5" s="3">
        <v>30</v>
      </c>
      <c r="G5" s="3">
        <f>+E5/30*F5</f>
        <v>5000000</v>
      </c>
      <c r="H5" s="4"/>
      <c r="I5" s="4"/>
      <c r="J5" s="4"/>
      <c r="K5" s="4">
        <v>500000</v>
      </c>
      <c r="L5" s="4"/>
      <c r="M5" s="4">
        <f>+G5+H5+J5+K5+L5+I5</f>
        <v>5500000</v>
      </c>
      <c r="N5" s="4">
        <f>+(G5+L5)*4%</f>
        <v>200000</v>
      </c>
      <c r="O5" s="4">
        <f>+(G5+L5)*5%</f>
        <v>250000</v>
      </c>
      <c r="P5" s="4"/>
      <c r="Q5" s="4"/>
      <c r="R5" s="4">
        <v>30672</v>
      </c>
      <c r="S5" s="4"/>
      <c r="T5" s="4"/>
      <c r="U5" s="4"/>
      <c r="V5" s="4">
        <f t="shared" ref="V5:V11" si="0">SUM(N5:U5)</f>
        <v>480672</v>
      </c>
      <c r="W5" s="5">
        <f>+M5-V5</f>
        <v>5019328</v>
      </c>
    </row>
    <row r="6" spans="1:23" ht="24.95" customHeight="1" x14ac:dyDescent="0.25">
      <c r="A6" s="65"/>
      <c r="B6" s="2">
        <v>3</v>
      </c>
      <c r="C6" s="1" t="s">
        <v>33</v>
      </c>
      <c r="D6" s="1" t="s">
        <v>31</v>
      </c>
      <c r="E6" s="4">
        <v>6000000</v>
      </c>
      <c r="F6" s="3">
        <v>29</v>
      </c>
      <c r="G6" s="3">
        <f>+E6/30*F6</f>
        <v>5800000</v>
      </c>
      <c r="H6" s="4"/>
      <c r="I6" s="4"/>
      <c r="J6" s="4"/>
      <c r="K6" s="4">
        <v>600000</v>
      </c>
      <c r="L6" s="4">
        <v>200000</v>
      </c>
      <c r="M6" s="4">
        <f t="shared" ref="M6:M89" si="1">+G6+H6+J6+K6+L6+I6</f>
        <v>6600000</v>
      </c>
      <c r="N6" s="4">
        <f>E6*4%</f>
        <v>240000</v>
      </c>
      <c r="O6" s="4">
        <f>E6*5%</f>
        <v>300000</v>
      </c>
      <c r="P6" s="4"/>
      <c r="Q6" s="4"/>
      <c r="R6" s="4">
        <v>102000</v>
      </c>
      <c r="S6" s="4"/>
      <c r="T6" s="4"/>
      <c r="U6" s="4">
        <v>1212777</v>
      </c>
      <c r="V6" s="4">
        <f t="shared" si="0"/>
        <v>1854777</v>
      </c>
      <c r="W6" s="5">
        <f t="shared" ref="W6:W7" si="2">+M6-V6</f>
        <v>4745223</v>
      </c>
    </row>
    <row r="7" spans="1:23" ht="24.95" customHeight="1" x14ac:dyDescent="0.25">
      <c r="A7" s="65"/>
      <c r="B7" s="2">
        <v>4</v>
      </c>
      <c r="C7" s="1" t="s">
        <v>34</v>
      </c>
      <c r="D7" s="1" t="s">
        <v>31</v>
      </c>
      <c r="E7" s="4">
        <v>6000000</v>
      </c>
      <c r="F7" s="3">
        <v>30</v>
      </c>
      <c r="G7" s="3">
        <f>+E7-L7</f>
        <v>4545556</v>
      </c>
      <c r="H7" s="4"/>
      <c r="I7" s="4"/>
      <c r="J7" s="4"/>
      <c r="K7" s="4"/>
      <c r="L7" s="4">
        <v>1454444</v>
      </c>
      <c r="M7" s="4">
        <f t="shared" si="1"/>
        <v>6000000</v>
      </c>
      <c r="N7" s="4">
        <f>+M7*4%</f>
        <v>240000</v>
      </c>
      <c r="O7" s="4">
        <f>+M7*5%</f>
        <v>300000</v>
      </c>
      <c r="P7" s="4"/>
      <c r="Q7" s="4"/>
      <c r="R7" s="7">
        <v>98000</v>
      </c>
      <c r="S7" s="4"/>
      <c r="T7" s="4"/>
      <c r="U7" s="4">
        <v>726520</v>
      </c>
      <c r="V7" s="4">
        <f t="shared" si="0"/>
        <v>1364520</v>
      </c>
      <c r="W7" s="5">
        <f t="shared" si="2"/>
        <v>4635480</v>
      </c>
    </row>
    <row r="8" spans="1:23" ht="24.95" customHeight="1" x14ac:dyDescent="0.25">
      <c r="A8" s="65"/>
      <c r="B8" s="2">
        <v>5</v>
      </c>
      <c r="C8" s="1" t="s">
        <v>35</v>
      </c>
      <c r="D8" s="1" t="s">
        <v>31</v>
      </c>
      <c r="E8" s="4">
        <v>5000000</v>
      </c>
      <c r="F8" s="3">
        <v>30</v>
      </c>
      <c r="G8" s="3">
        <f t="shared" ref="G8:G89" si="3">+E8/30*F8</f>
        <v>5000000</v>
      </c>
      <c r="H8" s="4"/>
      <c r="I8" s="4"/>
      <c r="J8" s="4"/>
      <c r="K8" s="4"/>
      <c r="L8" s="4"/>
      <c r="M8" s="4">
        <f t="shared" si="1"/>
        <v>5000000</v>
      </c>
      <c r="N8" s="4">
        <f t="shared" ref="N8:N19" si="4">+E8*4%</f>
        <v>200000</v>
      </c>
      <c r="O8" s="4">
        <f t="shared" ref="O8:O17" si="5">+E8*5%</f>
        <v>250000</v>
      </c>
      <c r="P8" s="4"/>
      <c r="Q8" s="4"/>
      <c r="R8" s="7">
        <v>21409</v>
      </c>
      <c r="S8" s="4">
        <v>500000</v>
      </c>
      <c r="T8" s="4">
        <v>111000</v>
      </c>
      <c r="U8" s="4"/>
      <c r="V8" s="4">
        <f t="shared" si="0"/>
        <v>1082409</v>
      </c>
      <c r="W8" s="5">
        <f>+M8-V8</f>
        <v>3917591</v>
      </c>
    </row>
    <row r="9" spans="1:23" ht="24.95" customHeight="1" x14ac:dyDescent="0.25">
      <c r="A9" s="65"/>
      <c r="B9" s="2">
        <v>6</v>
      </c>
      <c r="C9" s="1" t="s">
        <v>175</v>
      </c>
      <c r="D9" s="1" t="s">
        <v>31</v>
      </c>
      <c r="E9" s="4">
        <v>4750000</v>
      </c>
      <c r="F9" s="3">
        <v>30</v>
      </c>
      <c r="G9" s="3">
        <f t="shared" si="3"/>
        <v>4750000</v>
      </c>
      <c r="H9" s="4"/>
      <c r="I9" s="4"/>
      <c r="J9" s="4"/>
      <c r="K9" s="4"/>
      <c r="L9" s="4"/>
      <c r="M9" s="4">
        <f t="shared" si="1"/>
        <v>4750000</v>
      </c>
      <c r="N9" s="4">
        <f>+G9*4%</f>
        <v>190000</v>
      </c>
      <c r="O9" s="4">
        <f>+G9*5%</f>
        <v>237500</v>
      </c>
      <c r="P9" s="4"/>
      <c r="Q9" s="4"/>
      <c r="R9" s="7">
        <v>87000</v>
      </c>
      <c r="S9" s="4"/>
      <c r="T9" s="4"/>
      <c r="U9" s="4"/>
      <c r="V9" s="4">
        <f t="shared" ref="V9" si="6">SUM(N9:U9)</f>
        <v>514500</v>
      </c>
      <c r="W9" s="5">
        <f>+M9-V9</f>
        <v>4235500</v>
      </c>
    </row>
    <row r="10" spans="1:23" ht="24.95" customHeight="1" x14ac:dyDescent="0.25">
      <c r="A10" s="65"/>
      <c r="B10" s="2">
        <v>7</v>
      </c>
      <c r="C10" s="1" t="s">
        <v>36</v>
      </c>
      <c r="D10" s="1" t="s">
        <v>31</v>
      </c>
      <c r="E10" s="4">
        <v>5300000</v>
      </c>
      <c r="F10" s="3">
        <v>30</v>
      </c>
      <c r="G10" s="3">
        <f t="shared" si="3"/>
        <v>5300000</v>
      </c>
      <c r="H10" s="4"/>
      <c r="I10" s="4"/>
      <c r="J10" s="4"/>
      <c r="K10" s="4">
        <v>2012670</v>
      </c>
      <c r="L10" s="4"/>
      <c r="M10" s="4">
        <f t="shared" si="1"/>
        <v>7312670</v>
      </c>
      <c r="N10" s="4">
        <f t="shared" si="4"/>
        <v>212000</v>
      </c>
      <c r="O10" s="4">
        <f t="shared" si="5"/>
        <v>265000</v>
      </c>
      <c r="P10" s="4"/>
      <c r="Q10" s="4"/>
      <c r="R10" s="4">
        <v>50000</v>
      </c>
      <c r="S10" s="4">
        <v>700000</v>
      </c>
      <c r="T10" s="4"/>
      <c r="U10" s="4"/>
      <c r="V10" s="4">
        <f t="shared" si="0"/>
        <v>1227000</v>
      </c>
      <c r="W10" s="5">
        <f>+M10-V10</f>
        <v>6085670</v>
      </c>
    </row>
    <row r="11" spans="1:23" ht="24.95" customHeight="1" x14ac:dyDescent="0.25">
      <c r="A11" s="65"/>
      <c r="B11" s="2">
        <v>8</v>
      </c>
      <c r="C11" s="1" t="s">
        <v>37</v>
      </c>
      <c r="D11" s="1" t="s">
        <v>31</v>
      </c>
      <c r="E11" s="4">
        <v>5200000</v>
      </c>
      <c r="F11" s="3">
        <v>30</v>
      </c>
      <c r="G11" s="3">
        <f>+E11-L11</f>
        <v>5200000</v>
      </c>
      <c r="H11" s="4"/>
      <c r="I11" s="4"/>
      <c r="J11" s="4"/>
      <c r="K11" s="4">
        <v>89000</v>
      </c>
      <c r="L11" s="4"/>
      <c r="M11" s="4">
        <f t="shared" si="1"/>
        <v>5289000</v>
      </c>
      <c r="N11" s="4">
        <f>+E11*4%</f>
        <v>208000</v>
      </c>
      <c r="O11" s="4">
        <f>+E11*5%</f>
        <v>260000</v>
      </c>
      <c r="P11" s="4"/>
      <c r="Q11" s="4"/>
      <c r="R11" s="4">
        <v>0</v>
      </c>
      <c r="S11" s="4"/>
      <c r="T11" s="4"/>
      <c r="U11" s="4">
        <f>945750+420786</f>
        <v>1366536</v>
      </c>
      <c r="V11" s="4">
        <f t="shared" si="0"/>
        <v>1834536</v>
      </c>
      <c r="W11" s="5">
        <f>M11-V11</f>
        <v>3454464</v>
      </c>
    </row>
    <row r="12" spans="1:23" ht="24.95" customHeight="1" x14ac:dyDescent="0.25">
      <c r="A12" s="65"/>
      <c r="B12" s="2">
        <v>9</v>
      </c>
      <c r="C12" s="1" t="s">
        <v>39</v>
      </c>
      <c r="D12" s="1" t="s">
        <v>31</v>
      </c>
      <c r="E12" s="4">
        <v>5184000</v>
      </c>
      <c r="F12" s="3">
        <v>30</v>
      </c>
      <c r="G12" s="3">
        <f t="shared" si="3"/>
        <v>5184000</v>
      </c>
      <c r="H12" s="4"/>
      <c r="I12" s="4"/>
      <c r="J12" s="4"/>
      <c r="K12" s="4"/>
      <c r="L12" s="4"/>
      <c r="M12" s="4">
        <f t="shared" si="1"/>
        <v>5184000</v>
      </c>
      <c r="N12" s="4">
        <f>+G12*4%</f>
        <v>207360</v>
      </c>
      <c r="O12" s="4">
        <f>+G12*5%</f>
        <v>259200</v>
      </c>
      <c r="P12" s="4"/>
      <c r="Q12" s="4"/>
      <c r="R12" s="4">
        <v>78000</v>
      </c>
      <c r="S12" s="4"/>
      <c r="T12" s="4"/>
      <c r="U12" s="4"/>
      <c r="V12" s="4">
        <f t="shared" ref="V12:V72" si="7">SUM(N12:U12)</f>
        <v>544560</v>
      </c>
      <c r="W12" s="5">
        <f>M12-V12</f>
        <v>4639440</v>
      </c>
    </row>
    <row r="13" spans="1:23" ht="24.95" customHeight="1" x14ac:dyDescent="0.25">
      <c r="A13" s="65"/>
      <c r="B13" s="2">
        <v>10</v>
      </c>
      <c r="C13" s="1" t="s">
        <v>160</v>
      </c>
      <c r="D13" s="1" t="s">
        <v>45</v>
      </c>
      <c r="E13" s="4">
        <v>3700000</v>
      </c>
      <c r="F13" s="3">
        <v>30</v>
      </c>
      <c r="G13" s="3">
        <f t="shared" si="3"/>
        <v>3700000</v>
      </c>
      <c r="H13" s="4"/>
      <c r="I13" s="4"/>
      <c r="J13" s="4"/>
      <c r="K13" s="4"/>
      <c r="L13" s="4"/>
      <c r="M13" s="4">
        <f t="shared" si="1"/>
        <v>3700000</v>
      </c>
      <c r="N13" s="4">
        <f>+G13*4%</f>
        <v>148000</v>
      </c>
      <c r="O13" s="4">
        <f>+G13*5%</f>
        <v>185000</v>
      </c>
      <c r="P13" s="4"/>
      <c r="Q13" s="4"/>
      <c r="R13" s="4"/>
      <c r="S13" s="4"/>
      <c r="T13" s="4"/>
      <c r="U13" s="4"/>
      <c r="V13" s="4">
        <f t="shared" ref="V13:V16" si="8">SUM(N13:U13)</f>
        <v>333000</v>
      </c>
      <c r="W13" s="5">
        <f>M13-V13</f>
        <v>3367000</v>
      </c>
    </row>
    <row r="14" spans="1:23" ht="24.95" customHeight="1" x14ac:dyDescent="0.25">
      <c r="A14" s="65"/>
      <c r="B14" s="2">
        <v>11</v>
      </c>
      <c r="C14" s="1" t="s">
        <v>181</v>
      </c>
      <c r="D14" s="1"/>
      <c r="E14" s="4">
        <v>5600000</v>
      </c>
      <c r="F14" s="3">
        <v>13</v>
      </c>
      <c r="G14" s="3">
        <f t="shared" si="3"/>
        <v>2426666.6666666665</v>
      </c>
      <c r="H14" s="4"/>
      <c r="I14" s="4"/>
      <c r="J14" s="4"/>
      <c r="K14" s="4"/>
      <c r="L14" s="4"/>
      <c r="M14" s="4">
        <f t="shared" si="1"/>
        <v>2426666.6666666665</v>
      </c>
      <c r="N14" s="4">
        <f t="shared" ref="N14:N15" si="9">+G14*4%</f>
        <v>97066.666666666657</v>
      </c>
      <c r="O14" s="4">
        <f>+G14*4%</f>
        <v>97066.666666666657</v>
      </c>
      <c r="P14" s="4"/>
      <c r="Q14" s="4"/>
      <c r="R14" s="4"/>
      <c r="S14" s="4"/>
      <c r="T14" s="4"/>
      <c r="U14" s="4"/>
      <c r="V14" s="4">
        <f t="shared" si="8"/>
        <v>194133.33333333331</v>
      </c>
      <c r="W14" s="5">
        <f t="shared" ref="W14:W15" si="10">M14-V14</f>
        <v>2232533.333333333</v>
      </c>
    </row>
    <row r="15" spans="1:23" ht="24.95" customHeight="1" x14ac:dyDescent="0.25">
      <c r="A15" s="65"/>
      <c r="B15" s="2">
        <v>12</v>
      </c>
      <c r="C15" s="1" t="s">
        <v>182</v>
      </c>
      <c r="D15" s="1"/>
      <c r="E15" s="4">
        <v>4750000</v>
      </c>
      <c r="F15" s="3">
        <v>21</v>
      </c>
      <c r="G15" s="3">
        <f t="shared" si="3"/>
        <v>3325000</v>
      </c>
      <c r="H15" s="4"/>
      <c r="I15" s="4"/>
      <c r="J15" s="4"/>
      <c r="K15" s="4"/>
      <c r="L15" s="4"/>
      <c r="M15" s="4">
        <f t="shared" si="1"/>
        <v>3325000</v>
      </c>
      <c r="N15" s="4">
        <f t="shared" si="9"/>
        <v>133000</v>
      </c>
      <c r="O15" s="4">
        <f t="shared" ref="O15" si="11">+G15*5%</f>
        <v>166250</v>
      </c>
      <c r="P15" s="4"/>
      <c r="Q15" s="4"/>
      <c r="R15" s="4">
        <v>11000</v>
      </c>
      <c r="S15" s="4"/>
      <c r="T15" s="4"/>
      <c r="U15" s="4"/>
      <c r="V15" s="4">
        <f t="shared" si="8"/>
        <v>310250</v>
      </c>
      <c r="W15" s="5">
        <f t="shared" si="10"/>
        <v>3014750</v>
      </c>
    </row>
    <row r="16" spans="1:23" ht="24.95" customHeight="1" x14ac:dyDescent="0.25">
      <c r="A16" s="65"/>
      <c r="B16" s="2">
        <v>13</v>
      </c>
      <c r="C16" s="1" t="s">
        <v>166</v>
      </c>
      <c r="D16" s="1" t="s">
        <v>45</v>
      </c>
      <c r="E16" s="4">
        <v>4000000</v>
      </c>
      <c r="F16" s="3">
        <v>30</v>
      </c>
      <c r="G16" s="3">
        <f t="shared" si="3"/>
        <v>4000000.0000000005</v>
      </c>
      <c r="H16" s="4"/>
      <c r="I16" s="4"/>
      <c r="J16" s="4"/>
      <c r="K16" s="4"/>
      <c r="L16" s="4"/>
      <c r="M16" s="4">
        <f t="shared" si="1"/>
        <v>4000000.0000000005</v>
      </c>
      <c r="N16" s="4">
        <f>+G16*4%</f>
        <v>160000.00000000003</v>
      </c>
      <c r="O16" s="4">
        <f>+G16*5%</f>
        <v>200000.00000000003</v>
      </c>
      <c r="P16" s="4"/>
      <c r="Q16" s="4"/>
      <c r="R16" s="4"/>
      <c r="S16" s="4"/>
      <c r="T16" s="4"/>
      <c r="U16" s="4"/>
      <c r="V16" s="4">
        <f t="shared" si="8"/>
        <v>360000.00000000006</v>
      </c>
      <c r="W16" s="5">
        <f>M16-V16</f>
        <v>3640000.0000000005</v>
      </c>
    </row>
    <row r="17" spans="1:23" ht="24.95" customHeight="1" x14ac:dyDescent="0.25">
      <c r="A17" s="65"/>
      <c r="B17" s="2">
        <v>14</v>
      </c>
      <c r="C17" s="1" t="s">
        <v>40</v>
      </c>
      <c r="D17" s="1" t="s">
        <v>31</v>
      </c>
      <c r="E17" s="4">
        <v>5725000</v>
      </c>
      <c r="F17" s="3">
        <v>30</v>
      </c>
      <c r="G17" s="3">
        <f>+E17-L17</f>
        <v>5725000</v>
      </c>
      <c r="H17" s="4"/>
      <c r="I17" s="4"/>
      <c r="J17" s="4"/>
      <c r="K17" s="4"/>
      <c r="L17" s="4"/>
      <c r="M17" s="4">
        <f t="shared" si="1"/>
        <v>5725000</v>
      </c>
      <c r="N17" s="4">
        <f>+E17*4%</f>
        <v>229000</v>
      </c>
      <c r="O17" s="4">
        <f t="shared" si="5"/>
        <v>286250</v>
      </c>
      <c r="P17" s="4"/>
      <c r="Q17" s="4"/>
      <c r="R17" s="4">
        <v>0</v>
      </c>
      <c r="S17" s="4"/>
      <c r="T17" s="4"/>
      <c r="U17" s="4"/>
      <c r="V17" s="4">
        <f t="shared" si="7"/>
        <v>515250</v>
      </c>
      <c r="W17" s="5">
        <f t="shared" ref="W17:W30" si="12">+M17-V17</f>
        <v>5209750</v>
      </c>
    </row>
    <row r="18" spans="1:23" ht="24.95" customHeight="1" x14ac:dyDescent="0.25">
      <c r="A18" s="65"/>
      <c r="B18" s="2">
        <v>15</v>
      </c>
      <c r="C18" s="1" t="s">
        <v>41</v>
      </c>
      <c r="D18" s="1" t="s">
        <v>31</v>
      </c>
      <c r="E18" s="4">
        <v>4500000</v>
      </c>
      <c r="F18" s="3">
        <v>13</v>
      </c>
      <c r="G18" s="3">
        <f t="shared" si="3"/>
        <v>1950000</v>
      </c>
      <c r="H18" s="4">
        <v>1200060</v>
      </c>
      <c r="I18" s="4"/>
      <c r="J18" s="4"/>
      <c r="K18" s="4"/>
      <c r="L18" s="4">
        <v>750000</v>
      </c>
      <c r="M18" s="4">
        <f t="shared" si="1"/>
        <v>3900060</v>
      </c>
      <c r="N18" s="4">
        <f t="shared" si="4"/>
        <v>180000</v>
      </c>
      <c r="O18" s="4">
        <v>225000</v>
      </c>
      <c r="P18" s="4"/>
      <c r="Q18" s="4"/>
      <c r="R18" s="7">
        <v>0</v>
      </c>
      <c r="S18" s="4"/>
      <c r="T18" s="4"/>
      <c r="U18" s="4"/>
      <c r="V18" s="4">
        <f t="shared" si="7"/>
        <v>405000</v>
      </c>
      <c r="W18" s="5">
        <f t="shared" si="12"/>
        <v>3495060</v>
      </c>
    </row>
    <row r="19" spans="1:23" ht="24.95" customHeight="1" x14ac:dyDescent="0.25">
      <c r="A19" s="65"/>
      <c r="B19" s="2">
        <v>16</v>
      </c>
      <c r="C19" s="1" t="s">
        <v>93</v>
      </c>
      <c r="D19" s="1" t="s">
        <v>31</v>
      </c>
      <c r="E19" s="4">
        <v>4500000</v>
      </c>
      <c r="F19" s="3">
        <v>30</v>
      </c>
      <c r="G19" s="3">
        <f t="shared" si="3"/>
        <v>4500000</v>
      </c>
      <c r="H19" s="4"/>
      <c r="I19" s="4"/>
      <c r="J19" s="4"/>
      <c r="K19" s="4"/>
      <c r="L19" s="4"/>
      <c r="M19" s="4">
        <f t="shared" si="1"/>
        <v>4500000</v>
      </c>
      <c r="N19" s="4">
        <f t="shared" si="4"/>
        <v>180000</v>
      </c>
      <c r="O19" s="4">
        <f>+E19*5%</f>
        <v>225000</v>
      </c>
      <c r="P19" s="4"/>
      <c r="Q19" s="4"/>
      <c r="R19" s="4">
        <v>0</v>
      </c>
      <c r="S19" s="4"/>
      <c r="T19" s="4"/>
      <c r="U19" s="4">
        <v>774624</v>
      </c>
      <c r="V19" s="4">
        <f t="shared" ref="V19:V21" si="13">SUM(N19:U19)</f>
        <v>1179624</v>
      </c>
      <c r="W19" s="5">
        <f t="shared" si="12"/>
        <v>3320376</v>
      </c>
    </row>
    <row r="20" spans="1:23" ht="24.95" customHeight="1" x14ac:dyDescent="0.25">
      <c r="A20" s="65"/>
      <c r="B20" s="2">
        <v>17</v>
      </c>
      <c r="C20" s="1" t="s">
        <v>183</v>
      </c>
      <c r="D20" s="1"/>
      <c r="E20" s="4">
        <v>7000000</v>
      </c>
      <c r="F20" s="3">
        <v>20</v>
      </c>
      <c r="G20" s="3">
        <f t="shared" si="3"/>
        <v>4666666.666666667</v>
      </c>
      <c r="H20" s="4"/>
      <c r="I20" s="4"/>
      <c r="J20" s="4"/>
      <c r="K20" s="4"/>
      <c r="L20" s="4"/>
      <c r="M20" s="4">
        <f t="shared" si="1"/>
        <v>4666666.666666667</v>
      </c>
      <c r="N20" s="4">
        <f>+G20*4%</f>
        <v>186666.66666666669</v>
      </c>
      <c r="O20" s="4">
        <f>+G20*5%</f>
        <v>233333.33333333337</v>
      </c>
      <c r="P20" s="4"/>
      <c r="Q20" s="4"/>
      <c r="R20" s="4">
        <v>0</v>
      </c>
      <c r="S20" s="4"/>
      <c r="T20" s="4"/>
      <c r="U20" s="4"/>
      <c r="V20" s="4">
        <f t="shared" si="13"/>
        <v>420000.00000000006</v>
      </c>
      <c r="W20" s="5">
        <f t="shared" si="12"/>
        <v>4246666.666666667</v>
      </c>
    </row>
    <row r="21" spans="1:23" ht="24.95" customHeight="1" x14ac:dyDescent="0.25">
      <c r="A21" s="65"/>
      <c r="B21" s="2">
        <v>18</v>
      </c>
      <c r="C21" s="1" t="s">
        <v>167</v>
      </c>
      <c r="D21" s="1" t="s">
        <v>31</v>
      </c>
      <c r="E21" s="4">
        <v>5500000</v>
      </c>
      <c r="F21" s="3">
        <v>30</v>
      </c>
      <c r="G21" s="3">
        <f t="shared" si="3"/>
        <v>5500000</v>
      </c>
      <c r="H21" s="4"/>
      <c r="I21" s="4"/>
      <c r="J21" s="4"/>
      <c r="K21" s="4"/>
      <c r="L21" s="4"/>
      <c r="M21" s="4">
        <f t="shared" si="1"/>
        <v>5500000</v>
      </c>
      <c r="N21" s="4">
        <f>+G21*4%</f>
        <v>220000</v>
      </c>
      <c r="O21" s="4">
        <f>+G21*5%</f>
        <v>275000</v>
      </c>
      <c r="P21" s="4"/>
      <c r="Q21" s="4"/>
      <c r="R21" s="4">
        <v>21000</v>
      </c>
      <c r="S21" s="4"/>
      <c r="T21" s="4"/>
      <c r="U21" s="4"/>
      <c r="V21" s="4">
        <f t="shared" si="13"/>
        <v>516000</v>
      </c>
      <c r="W21" s="5">
        <f t="shared" si="12"/>
        <v>4984000</v>
      </c>
    </row>
    <row r="22" spans="1:23" ht="24.95" customHeight="1" x14ac:dyDescent="0.25">
      <c r="A22" s="65"/>
      <c r="B22" s="2">
        <v>19</v>
      </c>
      <c r="C22" s="9" t="s">
        <v>42</v>
      </c>
      <c r="D22" s="1" t="s">
        <v>31</v>
      </c>
      <c r="E22" s="4">
        <v>4800000</v>
      </c>
      <c r="F22" s="3">
        <v>30</v>
      </c>
      <c r="G22" s="3">
        <f t="shared" si="3"/>
        <v>4800000</v>
      </c>
      <c r="H22" s="4"/>
      <c r="I22" s="4"/>
      <c r="J22" s="4"/>
      <c r="K22" s="4"/>
      <c r="L22" s="4"/>
      <c r="M22" s="4">
        <f t="shared" si="1"/>
        <v>4800000</v>
      </c>
      <c r="N22" s="4">
        <f>+G22*4%</f>
        <v>192000</v>
      </c>
      <c r="O22" s="4">
        <f>+G22*5%</f>
        <v>240000</v>
      </c>
      <c r="P22" s="4"/>
      <c r="Q22" s="4"/>
      <c r="R22" s="4">
        <v>0</v>
      </c>
      <c r="S22" s="4"/>
      <c r="T22" s="4"/>
      <c r="U22" s="4"/>
      <c r="V22" s="4">
        <f t="shared" si="7"/>
        <v>432000</v>
      </c>
      <c r="W22" s="5">
        <f t="shared" si="12"/>
        <v>4368000</v>
      </c>
    </row>
    <row r="23" spans="1:23" ht="24.95" customHeight="1" x14ac:dyDescent="0.25">
      <c r="A23" s="65"/>
      <c r="B23" s="2">
        <v>20</v>
      </c>
      <c r="C23" s="9" t="s">
        <v>161</v>
      </c>
      <c r="D23" s="1" t="s">
        <v>31</v>
      </c>
      <c r="E23" s="4">
        <v>4600000</v>
      </c>
      <c r="F23" s="3">
        <v>29</v>
      </c>
      <c r="G23" s="3">
        <f t="shared" si="3"/>
        <v>4446666.666666667</v>
      </c>
      <c r="H23" s="4">
        <v>102227</v>
      </c>
      <c r="I23" s="4"/>
      <c r="J23" s="4"/>
      <c r="K23" s="4"/>
      <c r="L23" s="4"/>
      <c r="M23" s="4">
        <f t="shared" si="1"/>
        <v>4548893.666666667</v>
      </c>
      <c r="N23" s="4">
        <f>+E23*4%</f>
        <v>184000</v>
      </c>
      <c r="O23" s="4">
        <f>+E23*0.05</f>
        <v>230000</v>
      </c>
      <c r="P23" s="4"/>
      <c r="Q23" s="4"/>
      <c r="R23" s="4">
        <v>24000</v>
      </c>
      <c r="S23" s="4"/>
      <c r="T23" s="4"/>
      <c r="U23" s="4"/>
      <c r="V23" s="4">
        <f t="shared" ref="V23" si="14">SUM(N23:U23)</f>
        <v>438000</v>
      </c>
      <c r="W23" s="5">
        <f t="shared" si="12"/>
        <v>4110893.666666667</v>
      </c>
    </row>
    <row r="24" spans="1:23" ht="24.95" customHeight="1" x14ac:dyDescent="0.25">
      <c r="A24" s="65"/>
      <c r="B24" s="2">
        <v>21</v>
      </c>
      <c r="C24" s="9" t="s">
        <v>43</v>
      </c>
      <c r="D24" s="1" t="s">
        <v>31</v>
      </c>
      <c r="E24" s="4">
        <v>5200000</v>
      </c>
      <c r="F24" s="3">
        <v>30</v>
      </c>
      <c r="G24" s="3">
        <f t="shared" si="3"/>
        <v>5200000</v>
      </c>
      <c r="H24" s="4"/>
      <c r="I24" s="4"/>
      <c r="J24" s="4"/>
      <c r="K24" s="4">
        <v>0</v>
      </c>
      <c r="L24" s="4"/>
      <c r="M24" s="4">
        <f>+G24+H24+J24+K24+L24+I24</f>
        <v>5200000</v>
      </c>
      <c r="N24" s="4">
        <f>+E24*4%</f>
        <v>208000</v>
      </c>
      <c r="O24" s="4">
        <f>+E24*5%</f>
        <v>260000</v>
      </c>
      <c r="P24" s="4"/>
      <c r="Q24" s="4"/>
      <c r="R24" s="4">
        <v>81000</v>
      </c>
      <c r="S24" s="4"/>
      <c r="T24" s="4"/>
      <c r="U24" s="4">
        <v>519248</v>
      </c>
      <c r="V24" s="4">
        <f t="shared" si="7"/>
        <v>1068248</v>
      </c>
      <c r="W24" s="5">
        <f t="shared" si="12"/>
        <v>4131752</v>
      </c>
    </row>
    <row r="25" spans="1:23" ht="24.95" customHeight="1" x14ac:dyDescent="0.25">
      <c r="A25" s="65"/>
      <c r="B25" s="2">
        <v>22</v>
      </c>
      <c r="C25" s="9" t="s">
        <v>44</v>
      </c>
      <c r="D25" s="1" t="s">
        <v>31</v>
      </c>
      <c r="E25" s="4">
        <v>4400000</v>
      </c>
      <c r="F25" s="3">
        <v>29</v>
      </c>
      <c r="G25" s="3">
        <f t="shared" si="3"/>
        <v>4253333.333333333</v>
      </c>
      <c r="H25" s="4">
        <v>97783</v>
      </c>
      <c r="I25" s="4"/>
      <c r="J25" s="4"/>
      <c r="K25" s="4"/>
      <c r="L25" s="4"/>
      <c r="M25" s="4">
        <f t="shared" si="1"/>
        <v>4351116.333333333</v>
      </c>
      <c r="N25" s="4">
        <f>+E25*0.04</f>
        <v>176000</v>
      </c>
      <c r="O25" s="4">
        <f>+E25*0.05</f>
        <v>220000</v>
      </c>
      <c r="P25" s="4"/>
      <c r="Q25" s="4"/>
      <c r="R25" s="4"/>
      <c r="S25" s="4"/>
      <c r="T25" s="4"/>
      <c r="U25" s="4"/>
      <c r="V25" s="4">
        <f t="shared" si="7"/>
        <v>396000</v>
      </c>
      <c r="W25" s="5">
        <f t="shared" si="12"/>
        <v>3955116.333333333</v>
      </c>
    </row>
    <row r="26" spans="1:23" ht="24.95" customHeight="1" x14ac:dyDescent="0.25">
      <c r="A26" s="65"/>
      <c r="B26" s="2">
        <v>23</v>
      </c>
      <c r="C26" s="9" t="s">
        <v>46</v>
      </c>
      <c r="D26" s="1" t="s">
        <v>31</v>
      </c>
      <c r="E26" s="4">
        <v>5500000</v>
      </c>
      <c r="F26" s="3">
        <v>30</v>
      </c>
      <c r="G26" s="3">
        <f>+E26-J26</f>
        <v>5500000</v>
      </c>
      <c r="H26" s="4"/>
      <c r="I26" s="4"/>
      <c r="J26" s="4"/>
      <c r="K26" s="4"/>
      <c r="L26" s="4"/>
      <c r="M26" s="4">
        <f t="shared" si="1"/>
        <v>5500000</v>
      </c>
      <c r="N26" s="4">
        <f>+E26*0.04</f>
        <v>220000</v>
      </c>
      <c r="O26" s="4">
        <f>+E26*0.05</f>
        <v>275000</v>
      </c>
      <c r="P26" s="4"/>
      <c r="Q26" s="4"/>
      <c r="R26" s="4">
        <v>83397</v>
      </c>
      <c r="S26" s="4"/>
      <c r="T26" s="4"/>
      <c r="U26" s="4"/>
      <c r="V26" s="4">
        <f t="shared" si="7"/>
        <v>578397</v>
      </c>
      <c r="W26" s="5">
        <f t="shared" si="12"/>
        <v>4921603</v>
      </c>
    </row>
    <row r="27" spans="1:23" ht="24.95" customHeight="1" x14ac:dyDescent="0.25">
      <c r="A27" s="65"/>
      <c r="B27" s="2">
        <v>24</v>
      </c>
      <c r="C27" s="9" t="s">
        <v>162</v>
      </c>
      <c r="D27" s="1" t="s">
        <v>31</v>
      </c>
      <c r="E27" s="4">
        <v>5000000</v>
      </c>
      <c r="F27" s="3">
        <v>30</v>
      </c>
      <c r="G27" s="3">
        <f t="shared" si="3"/>
        <v>5000000</v>
      </c>
      <c r="H27" s="4"/>
      <c r="I27" s="4"/>
      <c r="J27" s="4"/>
      <c r="K27" s="4"/>
      <c r="L27" s="4"/>
      <c r="M27" s="4">
        <f t="shared" si="1"/>
        <v>5000000</v>
      </c>
      <c r="N27" s="4">
        <f>+G27*4%</f>
        <v>200000</v>
      </c>
      <c r="O27" s="4">
        <f>+G27*0.05</f>
        <v>250000</v>
      </c>
      <c r="P27" s="4"/>
      <c r="Q27" s="4"/>
      <c r="R27" s="4">
        <v>78000</v>
      </c>
      <c r="S27" s="4"/>
      <c r="T27" s="4"/>
      <c r="U27" s="4"/>
      <c r="V27" s="4">
        <f t="shared" si="7"/>
        <v>528000</v>
      </c>
      <c r="W27" s="5">
        <f t="shared" si="12"/>
        <v>4472000</v>
      </c>
    </row>
    <row r="28" spans="1:23" ht="24.95" customHeight="1" x14ac:dyDescent="0.25">
      <c r="A28" s="65"/>
      <c r="B28" s="2">
        <v>25</v>
      </c>
      <c r="C28" s="1" t="s">
        <v>150</v>
      </c>
      <c r="D28" s="1" t="s">
        <v>31</v>
      </c>
      <c r="E28" s="4">
        <v>7000000</v>
      </c>
      <c r="F28" s="3">
        <v>30</v>
      </c>
      <c r="G28" s="3">
        <f>+E28/30*F28</f>
        <v>7000000</v>
      </c>
      <c r="H28" s="4"/>
      <c r="I28" s="4"/>
      <c r="J28" s="4"/>
      <c r="K28" s="4"/>
      <c r="L28" s="4"/>
      <c r="M28" s="4">
        <f>+G28+H28+J28+K28+L28+I28</f>
        <v>7000000</v>
      </c>
      <c r="N28" s="4">
        <f>G28*4%</f>
        <v>280000</v>
      </c>
      <c r="O28" s="4">
        <f>+G28*5%</f>
        <v>350000</v>
      </c>
      <c r="P28" s="4"/>
      <c r="Q28" s="4">
        <v>147000</v>
      </c>
      <c r="R28" s="4">
        <v>209509</v>
      </c>
      <c r="S28" s="4"/>
      <c r="T28" s="4"/>
      <c r="U28" s="4"/>
      <c r="V28" s="4">
        <f>SUM(N28:U28)</f>
        <v>986509</v>
      </c>
      <c r="W28" s="5">
        <f>M28-V28</f>
        <v>6013491</v>
      </c>
    </row>
    <row r="29" spans="1:23" ht="24.95" customHeight="1" x14ac:dyDescent="0.25">
      <c r="A29" s="65"/>
      <c r="B29" s="2">
        <v>26</v>
      </c>
      <c r="C29" s="9" t="s">
        <v>47</v>
      </c>
      <c r="D29" s="1" t="s">
        <v>31</v>
      </c>
      <c r="E29" s="4">
        <v>5200000</v>
      </c>
      <c r="F29" s="3">
        <v>30</v>
      </c>
      <c r="G29" s="3">
        <f t="shared" si="3"/>
        <v>5200000</v>
      </c>
      <c r="H29" s="4"/>
      <c r="I29" s="4"/>
      <c r="J29" s="4"/>
      <c r="K29" s="4"/>
      <c r="L29" s="4">
        <v>0</v>
      </c>
      <c r="M29" s="4">
        <f t="shared" si="1"/>
        <v>5200000</v>
      </c>
      <c r="N29" s="4">
        <f>+E29*4%</f>
        <v>208000</v>
      </c>
      <c r="O29" s="4">
        <f>+E29*5%</f>
        <v>260000</v>
      </c>
      <c r="P29" s="4"/>
      <c r="Q29" s="4"/>
      <c r="R29" s="4">
        <v>46204</v>
      </c>
      <c r="S29" s="4"/>
      <c r="T29" s="4"/>
      <c r="U29" s="4"/>
      <c r="V29" s="4">
        <f t="shared" si="7"/>
        <v>514204</v>
      </c>
      <c r="W29" s="5">
        <f t="shared" si="12"/>
        <v>4685796</v>
      </c>
    </row>
    <row r="30" spans="1:23" ht="24.95" customHeight="1" x14ac:dyDescent="0.25">
      <c r="A30" s="65"/>
      <c r="B30" s="2">
        <v>27</v>
      </c>
      <c r="C30" s="1" t="s">
        <v>48</v>
      </c>
      <c r="D30" s="1" t="s">
        <v>31</v>
      </c>
      <c r="E30" s="4">
        <v>5500000</v>
      </c>
      <c r="F30" s="3">
        <v>30</v>
      </c>
      <c r="G30" s="3">
        <f>+E30-L30</f>
        <v>3300000</v>
      </c>
      <c r="H30" s="4"/>
      <c r="I30" s="4"/>
      <c r="J30" s="4"/>
      <c r="K30" s="4">
        <v>450000</v>
      </c>
      <c r="L30" s="4">
        <v>2200000</v>
      </c>
      <c r="M30" s="4">
        <f t="shared" si="1"/>
        <v>5950000</v>
      </c>
      <c r="N30" s="4">
        <f>+E30*4%</f>
        <v>220000</v>
      </c>
      <c r="O30" s="4">
        <f>+E30*5%</f>
        <v>275000</v>
      </c>
      <c r="P30" s="4"/>
      <c r="Q30" s="4"/>
      <c r="R30" s="7">
        <v>150521</v>
      </c>
      <c r="S30" s="4">
        <v>1365000</v>
      </c>
      <c r="T30" s="4"/>
      <c r="U30" s="4"/>
      <c r="V30" s="4">
        <f t="shared" si="7"/>
        <v>2010521</v>
      </c>
      <c r="W30" s="5">
        <f t="shared" si="12"/>
        <v>3939479</v>
      </c>
    </row>
    <row r="31" spans="1:23" ht="24.95" customHeight="1" x14ac:dyDescent="0.25">
      <c r="A31" s="65"/>
      <c r="B31" s="2">
        <v>28</v>
      </c>
      <c r="C31" s="1" t="s">
        <v>49</v>
      </c>
      <c r="D31" s="1" t="s">
        <v>31</v>
      </c>
      <c r="E31" s="4">
        <v>5350000</v>
      </c>
      <c r="F31" s="3">
        <v>30</v>
      </c>
      <c r="G31" s="3">
        <f t="shared" si="3"/>
        <v>5350000</v>
      </c>
      <c r="H31" s="4"/>
      <c r="I31" s="4"/>
      <c r="J31" s="4"/>
      <c r="K31" s="4">
        <v>1000000</v>
      </c>
      <c r="L31" s="4"/>
      <c r="M31" s="4">
        <f t="shared" si="1"/>
        <v>6350000</v>
      </c>
      <c r="N31" s="4">
        <f>+E31*4%</f>
        <v>214000</v>
      </c>
      <c r="O31" s="4">
        <f>+E31*0.05</f>
        <v>267500</v>
      </c>
      <c r="P31" s="4"/>
      <c r="Q31" s="4"/>
      <c r="R31" s="7">
        <v>96000</v>
      </c>
      <c r="S31" s="4"/>
      <c r="T31" s="4"/>
      <c r="U31" s="4">
        <v>810005</v>
      </c>
      <c r="V31" s="4">
        <f t="shared" si="7"/>
        <v>1387505</v>
      </c>
      <c r="W31" s="5">
        <f t="shared" ref="W31:W37" si="15">M31-V31</f>
        <v>4962495</v>
      </c>
    </row>
    <row r="32" spans="1:23" ht="24.95" customHeight="1" x14ac:dyDescent="0.25">
      <c r="A32" s="65"/>
      <c r="B32" s="2">
        <v>29</v>
      </c>
      <c r="C32" s="1" t="s">
        <v>168</v>
      </c>
      <c r="D32" s="1" t="s">
        <v>31</v>
      </c>
      <c r="E32" s="4">
        <v>5000000</v>
      </c>
      <c r="F32" s="3">
        <v>30</v>
      </c>
      <c r="G32" s="3">
        <f t="shared" si="3"/>
        <v>5000000</v>
      </c>
      <c r="H32" s="4"/>
      <c r="I32" s="4"/>
      <c r="J32" s="4"/>
      <c r="K32" s="4"/>
      <c r="L32" s="4"/>
      <c r="M32" s="4">
        <f t="shared" si="1"/>
        <v>5000000</v>
      </c>
      <c r="N32" s="4">
        <f>+G32*4%</f>
        <v>200000</v>
      </c>
      <c r="O32" s="4">
        <f>+G32*5%</f>
        <v>250000</v>
      </c>
      <c r="P32" s="4"/>
      <c r="Q32" s="4"/>
      <c r="R32" s="7">
        <v>78000</v>
      </c>
      <c r="S32" s="4"/>
      <c r="T32" s="4"/>
      <c r="U32" s="4"/>
      <c r="V32" s="4">
        <f t="shared" ref="V32" si="16">SUM(N32:U32)</f>
        <v>528000</v>
      </c>
      <c r="W32" s="5">
        <f t="shared" si="15"/>
        <v>4472000</v>
      </c>
    </row>
    <row r="33" spans="1:24" ht="24.95" customHeight="1" x14ac:dyDescent="0.25">
      <c r="A33" s="65"/>
      <c r="B33" s="2">
        <v>30</v>
      </c>
      <c r="C33" s="1" t="s">
        <v>176</v>
      </c>
      <c r="D33" s="1" t="s">
        <v>31</v>
      </c>
      <c r="E33" s="4">
        <v>7000000</v>
      </c>
      <c r="F33" s="3">
        <v>30</v>
      </c>
      <c r="G33" s="3">
        <f t="shared" si="3"/>
        <v>7000000</v>
      </c>
      <c r="H33" s="4"/>
      <c r="I33" s="4"/>
      <c r="J33" s="4"/>
      <c r="K33" s="4"/>
      <c r="L33" s="4"/>
      <c r="M33" s="4">
        <f t="shared" si="1"/>
        <v>7000000</v>
      </c>
      <c r="N33" s="4">
        <f>+M33*4%</f>
        <v>280000</v>
      </c>
      <c r="O33" s="4">
        <f>+M33*5%</f>
        <v>350000</v>
      </c>
      <c r="P33" s="4"/>
      <c r="Q33" s="4"/>
      <c r="R33" s="7">
        <v>309000</v>
      </c>
      <c r="S33" s="4"/>
      <c r="T33" s="4"/>
      <c r="U33" s="4"/>
      <c r="V33" s="4">
        <f t="shared" ref="V33" si="17">SUM(N33:U33)</f>
        <v>939000</v>
      </c>
      <c r="W33" s="5">
        <f t="shared" si="15"/>
        <v>6061000</v>
      </c>
    </row>
    <row r="34" spans="1:24" ht="24.95" customHeight="1" x14ac:dyDescent="0.25">
      <c r="A34" s="65"/>
      <c r="B34" s="2">
        <v>31</v>
      </c>
      <c r="C34" s="1" t="s">
        <v>50</v>
      </c>
      <c r="D34" s="1" t="s">
        <v>31</v>
      </c>
      <c r="E34" s="4">
        <v>7000000</v>
      </c>
      <c r="F34" s="3">
        <v>30</v>
      </c>
      <c r="G34" s="3">
        <f>+E34-L34</f>
        <v>7000000</v>
      </c>
      <c r="H34" s="4"/>
      <c r="I34" s="4"/>
      <c r="J34" s="4"/>
      <c r="K34" s="4"/>
      <c r="L34" s="4"/>
      <c r="M34" s="4">
        <f t="shared" si="1"/>
        <v>7000000</v>
      </c>
      <c r="N34" s="4">
        <f>+E34*4%</f>
        <v>280000</v>
      </c>
      <c r="O34" s="4">
        <f>+E34*0.05</f>
        <v>350000</v>
      </c>
      <c r="P34" s="4"/>
      <c r="Q34" s="4"/>
      <c r="R34" s="7">
        <v>128000</v>
      </c>
      <c r="S34" s="4"/>
      <c r="T34" s="4"/>
      <c r="U34" s="4"/>
      <c r="V34" s="4">
        <f t="shared" si="7"/>
        <v>758000</v>
      </c>
      <c r="W34" s="5">
        <f t="shared" si="15"/>
        <v>6242000</v>
      </c>
    </row>
    <row r="35" spans="1:24" ht="24.95" customHeight="1" x14ac:dyDescent="0.25">
      <c r="A35" s="65"/>
      <c r="B35" s="2">
        <v>32</v>
      </c>
      <c r="C35" s="1" t="s">
        <v>51</v>
      </c>
      <c r="D35" s="1" t="s">
        <v>31</v>
      </c>
      <c r="E35" s="4">
        <v>7314000</v>
      </c>
      <c r="F35" s="3">
        <v>30</v>
      </c>
      <c r="G35" s="3">
        <f t="shared" si="3"/>
        <v>7314000</v>
      </c>
      <c r="H35" s="4"/>
      <c r="I35" s="4"/>
      <c r="J35" s="4"/>
      <c r="K35" s="4">
        <v>1400000</v>
      </c>
      <c r="L35" s="10"/>
      <c r="M35" s="4">
        <f t="shared" si="1"/>
        <v>8714000</v>
      </c>
      <c r="N35" s="4">
        <f>+E35*4%</f>
        <v>292560</v>
      </c>
      <c r="O35" s="4">
        <f>+E35*5%</f>
        <v>365700</v>
      </c>
      <c r="P35" s="4"/>
      <c r="Q35" s="4"/>
      <c r="R35" s="7">
        <v>162000</v>
      </c>
      <c r="S35" s="4">
        <v>1300000</v>
      </c>
      <c r="T35" s="4"/>
      <c r="U35" s="4"/>
      <c r="V35" s="4">
        <f t="shared" si="7"/>
        <v>2120260</v>
      </c>
      <c r="W35" s="5">
        <f t="shared" si="15"/>
        <v>6593740</v>
      </c>
    </row>
    <row r="36" spans="1:24" ht="24.95" customHeight="1" x14ac:dyDescent="0.25">
      <c r="A36" s="65"/>
      <c r="B36" s="2">
        <v>33</v>
      </c>
      <c r="C36" s="1" t="s">
        <v>177</v>
      </c>
      <c r="D36" s="1" t="s">
        <v>31</v>
      </c>
      <c r="E36" s="4">
        <v>5500000</v>
      </c>
      <c r="F36" s="3">
        <v>30</v>
      </c>
      <c r="G36" s="3">
        <f t="shared" si="3"/>
        <v>5500000</v>
      </c>
      <c r="H36" s="4"/>
      <c r="I36" s="4"/>
      <c r="J36" s="4"/>
      <c r="K36" s="4"/>
      <c r="L36" s="10"/>
      <c r="M36" s="4">
        <f t="shared" si="1"/>
        <v>5500000</v>
      </c>
      <c r="N36" s="4">
        <f>+G36*4%</f>
        <v>220000</v>
      </c>
      <c r="O36" s="4">
        <f>+G36*5%</f>
        <v>275000</v>
      </c>
      <c r="P36" s="4"/>
      <c r="Q36" s="4"/>
      <c r="R36" s="7">
        <v>196000</v>
      </c>
      <c r="S36" s="4"/>
      <c r="T36" s="4"/>
      <c r="U36" s="4"/>
      <c r="V36" s="4">
        <f t="shared" ref="V36" si="18">SUM(N36:U36)</f>
        <v>691000</v>
      </c>
      <c r="W36" s="5">
        <f t="shared" si="15"/>
        <v>4809000</v>
      </c>
    </row>
    <row r="37" spans="1:24" ht="24.95" customHeight="1" x14ac:dyDescent="0.25">
      <c r="A37" s="65"/>
      <c r="B37" s="2">
        <v>34</v>
      </c>
      <c r="C37" s="9" t="s">
        <v>151</v>
      </c>
      <c r="D37" s="1" t="s">
        <v>31</v>
      </c>
      <c r="E37" s="4">
        <v>4000000</v>
      </c>
      <c r="F37" s="3">
        <v>30</v>
      </c>
      <c r="G37" s="3">
        <f>+E37/30*F37</f>
        <v>4000000.0000000005</v>
      </c>
      <c r="H37" s="4"/>
      <c r="I37" s="4"/>
      <c r="J37" s="4"/>
      <c r="K37" s="4"/>
      <c r="L37" s="4"/>
      <c r="M37" s="4">
        <f>+G37+H37+J37+K37+L37+I37</f>
        <v>4000000.0000000005</v>
      </c>
      <c r="N37" s="4">
        <f>+G37*4%</f>
        <v>160000.00000000003</v>
      </c>
      <c r="O37" s="4">
        <f>+G37*5%</f>
        <v>200000.00000000003</v>
      </c>
      <c r="P37" s="4"/>
      <c r="Q37" s="4"/>
      <c r="R37" s="4"/>
      <c r="S37" s="4"/>
      <c r="T37" s="4"/>
      <c r="U37" s="4"/>
      <c r="V37" s="4">
        <f>SUM(N37:U37)</f>
        <v>360000.00000000006</v>
      </c>
      <c r="W37" s="5">
        <f t="shared" si="15"/>
        <v>3640000.0000000005</v>
      </c>
    </row>
    <row r="38" spans="1:24" ht="24.95" customHeight="1" x14ac:dyDescent="0.25">
      <c r="A38" s="65"/>
      <c r="B38" s="2">
        <v>35</v>
      </c>
      <c r="C38" s="1" t="s">
        <v>52</v>
      </c>
      <c r="D38" s="1" t="s">
        <v>31</v>
      </c>
      <c r="E38" s="4">
        <v>5500000</v>
      </c>
      <c r="F38" s="3">
        <v>30</v>
      </c>
      <c r="G38" s="3">
        <f t="shared" si="3"/>
        <v>5500000</v>
      </c>
      <c r="H38" s="4"/>
      <c r="I38" s="4"/>
      <c r="J38" s="4"/>
      <c r="K38" s="4"/>
      <c r="L38" s="4"/>
      <c r="M38" s="4">
        <f t="shared" si="1"/>
        <v>5500000</v>
      </c>
      <c r="N38" s="4">
        <f>E38*4/100</f>
        <v>220000</v>
      </c>
      <c r="O38" s="4">
        <f>+G38*5%</f>
        <v>275000</v>
      </c>
      <c r="P38" s="4"/>
      <c r="Q38" s="4"/>
      <c r="R38" s="4">
        <v>115000</v>
      </c>
      <c r="S38" s="4"/>
      <c r="T38" s="4"/>
      <c r="U38" s="4"/>
      <c r="V38" s="4">
        <f t="shared" si="7"/>
        <v>610000</v>
      </c>
      <c r="W38" s="5">
        <f t="shared" ref="W38:W43" si="19">+M38-V38</f>
        <v>4890000</v>
      </c>
    </row>
    <row r="39" spans="1:24" ht="24.95" customHeight="1" x14ac:dyDescent="0.25">
      <c r="A39" s="65"/>
      <c r="B39" s="2">
        <v>36</v>
      </c>
      <c r="C39" s="1" t="s">
        <v>152</v>
      </c>
      <c r="D39" s="1" t="s">
        <v>31</v>
      </c>
      <c r="E39" s="4">
        <v>4500000</v>
      </c>
      <c r="F39" s="3">
        <v>30</v>
      </c>
      <c r="G39" s="3">
        <f>+E39/30*F39</f>
        <v>4500000</v>
      </c>
      <c r="H39" s="4"/>
      <c r="I39" s="4"/>
      <c r="J39" s="4"/>
      <c r="K39" s="4"/>
      <c r="L39" s="4"/>
      <c r="M39" s="4">
        <f t="shared" si="1"/>
        <v>4500000</v>
      </c>
      <c r="N39" s="4">
        <f>M39*4/100</f>
        <v>180000</v>
      </c>
      <c r="O39" s="4">
        <f>+M39*0.05</f>
        <v>225000</v>
      </c>
      <c r="P39" s="4"/>
      <c r="Q39" s="4"/>
      <c r="R39" s="7">
        <v>11000</v>
      </c>
      <c r="S39" s="4"/>
      <c r="T39" s="4"/>
      <c r="U39" s="4"/>
      <c r="V39" s="4">
        <f>SUM(N39:U39)</f>
        <v>416000</v>
      </c>
      <c r="W39" s="5">
        <f t="shared" si="19"/>
        <v>4084000</v>
      </c>
    </row>
    <row r="40" spans="1:24" ht="24.95" customHeight="1" x14ac:dyDescent="0.25">
      <c r="A40" s="65"/>
      <c r="B40" s="2">
        <v>37</v>
      </c>
      <c r="C40" s="1" t="s">
        <v>53</v>
      </c>
      <c r="D40" s="1" t="s">
        <v>31</v>
      </c>
      <c r="E40" s="4">
        <v>5300000</v>
      </c>
      <c r="F40" s="3">
        <v>30</v>
      </c>
      <c r="G40" s="3">
        <f t="shared" si="3"/>
        <v>5300000</v>
      </c>
      <c r="H40" s="4"/>
      <c r="I40" s="4"/>
      <c r="J40" s="4"/>
      <c r="K40" s="4">
        <v>1621317</v>
      </c>
      <c r="L40" s="4"/>
      <c r="M40" s="4">
        <f t="shared" si="1"/>
        <v>6921317</v>
      </c>
      <c r="N40" s="4">
        <f t="shared" ref="N40:N69" si="20">E40*4/100</f>
        <v>212000</v>
      </c>
      <c r="O40" s="4">
        <f t="shared" ref="O40:O69" si="21">+E40*0.05</f>
        <v>265000</v>
      </c>
      <c r="P40" s="4"/>
      <c r="Q40" s="4"/>
      <c r="R40" s="7">
        <v>100000</v>
      </c>
      <c r="S40" s="4">
        <v>2000000</v>
      </c>
      <c r="T40" s="4"/>
      <c r="U40" s="4">
        <f>884747</f>
        <v>884747</v>
      </c>
      <c r="V40" s="4">
        <f t="shared" si="7"/>
        <v>3461747</v>
      </c>
      <c r="W40" s="5">
        <f t="shared" si="19"/>
        <v>3459570</v>
      </c>
    </row>
    <row r="41" spans="1:24" ht="24.95" customHeight="1" x14ac:dyDescent="0.25">
      <c r="A41" s="65"/>
      <c r="B41" s="2">
        <v>38</v>
      </c>
      <c r="C41" s="1" t="s">
        <v>54</v>
      </c>
      <c r="D41" s="1" t="s">
        <v>31</v>
      </c>
      <c r="E41" s="4">
        <v>4800000</v>
      </c>
      <c r="F41" s="3">
        <v>30</v>
      </c>
      <c r="G41" s="3">
        <f t="shared" si="3"/>
        <v>4800000</v>
      </c>
      <c r="H41" s="4"/>
      <c r="I41" s="4"/>
      <c r="J41" s="4"/>
      <c r="K41" s="4">
        <v>92925</v>
      </c>
      <c r="L41" s="4"/>
      <c r="M41" s="4">
        <f t="shared" si="1"/>
        <v>4892925</v>
      </c>
      <c r="N41" s="4">
        <f t="shared" si="20"/>
        <v>192000</v>
      </c>
      <c r="O41" s="4">
        <f t="shared" si="21"/>
        <v>240000</v>
      </c>
      <c r="P41" s="4"/>
      <c r="Q41" s="4"/>
      <c r="R41" s="7">
        <v>0</v>
      </c>
      <c r="S41" s="4"/>
      <c r="T41" s="4"/>
      <c r="U41" s="4"/>
      <c r="V41" s="4">
        <f t="shared" si="7"/>
        <v>432000</v>
      </c>
      <c r="W41" s="5">
        <f t="shared" si="19"/>
        <v>4460925</v>
      </c>
    </row>
    <row r="42" spans="1:24" ht="24.95" customHeight="1" x14ac:dyDescent="0.25">
      <c r="A42" s="65"/>
      <c r="B42" s="2">
        <v>39</v>
      </c>
      <c r="C42" s="1" t="s">
        <v>55</v>
      </c>
      <c r="D42" s="1" t="s">
        <v>31</v>
      </c>
      <c r="E42" s="4">
        <v>5500000</v>
      </c>
      <c r="F42" s="3">
        <v>30</v>
      </c>
      <c r="G42" s="3">
        <f t="shared" si="3"/>
        <v>5500000</v>
      </c>
      <c r="H42" s="4"/>
      <c r="I42" s="4"/>
      <c r="J42" s="4"/>
      <c r="K42" s="4"/>
      <c r="L42" s="4"/>
      <c r="M42" s="4">
        <f t="shared" si="1"/>
        <v>5500000</v>
      </c>
      <c r="N42" s="4">
        <f t="shared" si="20"/>
        <v>220000</v>
      </c>
      <c r="O42" s="4">
        <f t="shared" si="21"/>
        <v>275000</v>
      </c>
      <c r="P42" s="4"/>
      <c r="Q42" s="4"/>
      <c r="R42" s="4">
        <v>5022</v>
      </c>
      <c r="S42" s="4"/>
      <c r="T42" s="4"/>
      <c r="U42" s="4"/>
      <c r="V42" s="4">
        <f t="shared" si="7"/>
        <v>500022</v>
      </c>
      <c r="W42" s="5">
        <f t="shared" si="19"/>
        <v>4999978</v>
      </c>
    </row>
    <row r="43" spans="1:24" ht="24.95" customHeight="1" x14ac:dyDescent="0.25">
      <c r="A43" s="65"/>
      <c r="B43" s="2">
        <v>40</v>
      </c>
      <c r="C43" s="1" t="s">
        <v>56</v>
      </c>
      <c r="D43" s="1" t="s">
        <v>31</v>
      </c>
      <c r="E43" s="4">
        <v>5500000</v>
      </c>
      <c r="F43" s="3">
        <v>10</v>
      </c>
      <c r="G43" s="3">
        <f t="shared" si="3"/>
        <v>1833333.3333333335</v>
      </c>
      <c r="H43" s="4"/>
      <c r="I43" s="4"/>
      <c r="J43" s="4"/>
      <c r="K43" s="4"/>
      <c r="L43" s="4">
        <v>3666667</v>
      </c>
      <c r="M43" s="4">
        <f t="shared" si="1"/>
        <v>5500000.333333334</v>
      </c>
      <c r="N43" s="4">
        <f>E43*4/100</f>
        <v>220000</v>
      </c>
      <c r="O43" s="4">
        <f t="shared" si="21"/>
        <v>275000</v>
      </c>
      <c r="P43" s="4"/>
      <c r="Q43" s="4"/>
      <c r="R43" s="7">
        <v>116000</v>
      </c>
      <c r="S43" s="4"/>
      <c r="T43" s="4"/>
      <c r="U43" s="4"/>
      <c r="V43" s="4">
        <f t="shared" si="7"/>
        <v>611000</v>
      </c>
      <c r="W43" s="5">
        <f t="shared" si="19"/>
        <v>4889000.333333334</v>
      </c>
    </row>
    <row r="44" spans="1:24" ht="24.95" customHeight="1" x14ac:dyDescent="0.25">
      <c r="A44" s="65"/>
      <c r="B44" s="2">
        <v>41</v>
      </c>
      <c r="C44" s="1" t="s">
        <v>112</v>
      </c>
      <c r="D44" s="1" t="s">
        <v>31</v>
      </c>
      <c r="E44" s="4">
        <v>4300000</v>
      </c>
      <c r="F44" s="3">
        <v>30</v>
      </c>
      <c r="G44" s="3">
        <f t="shared" si="3"/>
        <v>4300000</v>
      </c>
      <c r="H44" s="4"/>
      <c r="I44" s="4"/>
      <c r="J44" s="4"/>
      <c r="K44" s="4"/>
      <c r="L44" s="4">
        <f>+E44-G44</f>
        <v>0</v>
      </c>
      <c r="M44" s="4">
        <f t="shared" si="1"/>
        <v>4300000</v>
      </c>
      <c r="N44" s="4">
        <f>+E44*4%</f>
        <v>172000</v>
      </c>
      <c r="O44" s="4">
        <f>+E44*5%</f>
        <v>215000</v>
      </c>
      <c r="P44" s="4"/>
      <c r="Q44" s="4"/>
      <c r="R44" s="7">
        <v>0</v>
      </c>
      <c r="S44" s="4"/>
      <c r="T44" s="4">
        <v>0</v>
      </c>
      <c r="U44" s="4"/>
      <c r="V44" s="4">
        <f t="shared" ref="V44" si="22">SUM(N44:U44)</f>
        <v>387000</v>
      </c>
      <c r="W44" s="5">
        <f>+M44-V44</f>
        <v>3913000</v>
      </c>
      <c r="X44" s="67"/>
    </row>
    <row r="45" spans="1:24" ht="24.95" customHeight="1" x14ac:dyDescent="0.25">
      <c r="A45" s="65"/>
      <c r="B45" s="2">
        <v>42</v>
      </c>
      <c r="C45" s="1" t="s">
        <v>59</v>
      </c>
      <c r="D45" s="1" t="s">
        <v>31</v>
      </c>
      <c r="E45" s="4">
        <v>6600000</v>
      </c>
      <c r="F45" s="3">
        <v>30</v>
      </c>
      <c r="G45" s="3">
        <f t="shared" si="3"/>
        <v>6600000</v>
      </c>
      <c r="H45" s="4"/>
      <c r="I45" s="4"/>
      <c r="J45" s="4"/>
      <c r="K45" s="4"/>
      <c r="L45" s="10"/>
      <c r="M45" s="4">
        <f t="shared" si="1"/>
        <v>6600000</v>
      </c>
      <c r="N45" s="4">
        <f t="shared" si="20"/>
        <v>264000</v>
      </c>
      <c r="O45" s="4">
        <f t="shared" si="21"/>
        <v>330000</v>
      </c>
      <c r="P45" s="4"/>
      <c r="Q45" s="4"/>
      <c r="R45" s="7">
        <v>86000</v>
      </c>
      <c r="S45" s="4"/>
      <c r="T45" s="4"/>
      <c r="U45" s="4"/>
      <c r="V45" s="4">
        <f t="shared" si="7"/>
        <v>680000</v>
      </c>
      <c r="W45" s="5">
        <f>M45-V45</f>
        <v>5920000</v>
      </c>
    </row>
    <row r="46" spans="1:24" ht="24.95" customHeight="1" x14ac:dyDescent="0.25">
      <c r="A46" s="65"/>
      <c r="B46" s="2">
        <v>43</v>
      </c>
      <c r="C46" s="1" t="s">
        <v>113</v>
      </c>
      <c r="D46" s="1" t="s">
        <v>31</v>
      </c>
      <c r="E46" s="4">
        <v>4770000</v>
      </c>
      <c r="F46" s="3">
        <v>26</v>
      </c>
      <c r="G46" s="3">
        <f t="shared" si="3"/>
        <v>4134000</v>
      </c>
      <c r="H46" s="4"/>
      <c r="I46" s="4"/>
      <c r="J46" s="4"/>
      <c r="K46" s="4">
        <v>160000</v>
      </c>
      <c r="L46" s="4">
        <f>+E46-G46</f>
        <v>636000</v>
      </c>
      <c r="M46" s="4">
        <f t="shared" si="1"/>
        <v>4930000</v>
      </c>
      <c r="N46" s="4">
        <f t="shared" ref="N46" si="23">+E46*4%</f>
        <v>190800</v>
      </c>
      <c r="O46" s="4">
        <f>+E46*5%</f>
        <v>238500</v>
      </c>
      <c r="P46" s="4"/>
      <c r="Q46" s="4"/>
      <c r="R46" s="7">
        <v>0</v>
      </c>
      <c r="S46" s="4"/>
      <c r="T46" s="4"/>
      <c r="U46" s="4"/>
      <c r="V46" s="4">
        <f t="shared" ref="V46" si="24">SUM(N46:U46)</f>
        <v>429300</v>
      </c>
      <c r="W46" s="5">
        <f t="shared" ref="W46" si="25">+M46-V46</f>
        <v>4500700</v>
      </c>
    </row>
    <row r="47" spans="1:24" ht="24.95" customHeight="1" x14ac:dyDescent="0.25">
      <c r="A47" s="65"/>
      <c r="B47" s="2">
        <v>44</v>
      </c>
      <c r="C47" s="1" t="s">
        <v>60</v>
      </c>
      <c r="D47" s="1" t="s">
        <v>31</v>
      </c>
      <c r="E47" s="4">
        <v>7000000</v>
      </c>
      <c r="F47" s="3">
        <v>30</v>
      </c>
      <c r="G47" s="3">
        <f t="shared" si="3"/>
        <v>7000000</v>
      </c>
      <c r="H47" s="4"/>
      <c r="I47" s="4"/>
      <c r="J47" s="4"/>
      <c r="K47" s="4"/>
      <c r="L47" s="11"/>
      <c r="M47" s="4">
        <f t="shared" si="1"/>
        <v>7000000</v>
      </c>
      <c r="N47" s="4">
        <f t="shared" si="20"/>
        <v>280000</v>
      </c>
      <c r="O47" s="4">
        <f t="shared" si="21"/>
        <v>350000</v>
      </c>
      <c r="P47" s="4"/>
      <c r="Q47" s="4"/>
      <c r="R47" s="7">
        <v>86000</v>
      </c>
      <c r="S47" s="4"/>
      <c r="T47" s="4"/>
      <c r="U47" s="4"/>
      <c r="V47" s="4">
        <f t="shared" si="7"/>
        <v>716000</v>
      </c>
      <c r="W47" s="5">
        <f>M47-V47</f>
        <v>6284000</v>
      </c>
    </row>
    <row r="48" spans="1:24" ht="24.95" customHeight="1" x14ac:dyDescent="0.25">
      <c r="A48" s="65"/>
      <c r="B48" s="2">
        <v>45</v>
      </c>
      <c r="C48" s="1" t="s">
        <v>62</v>
      </c>
      <c r="D48" s="1" t="s">
        <v>31</v>
      </c>
      <c r="E48" s="4">
        <v>5088000</v>
      </c>
      <c r="F48" s="3">
        <v>30</v>
      </c>
      <c r="G48" s="3">
        <f t="shared" si="3"/>
        <v>5088000</v>
      </c>
      <c r="H48" s="4"/>
      <c r="I48" s="4"/>
      <c r="J48" s="4"/>
      <c r="K48" s="4"/>
      <c r="L48" s="4"/>
      <c r="M48" s="4">
        <f t="shared" si="1"/>
        <v>5088000</v>
      </c>
      <c r="N48" s="4">
        <f>E48*4/100</f>
        <v>203520</v>
      </c>
      <c r="O48" s="4">
        <f>+E48*0.05</f>
        <v>254400</v>
      </c>
      <c r="P48" s="4"/>
      <c r="Q48" s="4"/>
      <c r="R48" s="4">
        <v>0</v>
      </c>
      <c r="S48" s="4">
        <f>1150000</f>
        <v>1150000</v>
      </c>
      <c r="T48" s="4"/>
      <c r="U48" s="4">
        <f>209579</f>
        <v>209579</v>
      </c>
      <c r="V48" s="4">
        <f t="shared" si="7"/>
        <v>1817499</v>
      </c>
      <c r="W48" s="5">
        <f>M48-V48</f>
        <v>3270501</v>
      </c>
    </row>
    <row r="49" spans="1:26" ht="24.95" customHeight="1" x14ac:dyDescent="0.25">
      <c r="A49" s="65"/>
      <c r="B49" s="2">
        <v>46</v>
      </c>
      <c r="C49" s="1" t="s">
        <v>63</v>
      </c>
      <c r="D49" s="1" t="s">
        <v>31</v>
      </c>
      <c r="E49" s="4">
        <v>4540000</v>
      </c>
      <c r="F49" s="3">
        <v>30</v>
      </c>
      <c r="G49" s="3">
        <f t="shared" si="3"/>
        <v>4540000</v>
      </c>
      <c r="H49" s="4"/>
      <c r="I49" s="4"/>
      <c r="J49" s="4"/>
      <c r="K49" s="4"/>
      <c r="L49" s="4"/>
      <c r="M49" s="4">
        <f t="shared" si="1"/>
        <v>4540000</v>
      </c>
      <c r="N49" s="4">
        <f t="shared" si="20"/>
        <v>181600</v>
      </c>
      <c r="O49" s="4">
        <f t="shared" si="21"/>
        <v>227000</v>
      </c>
      <c r="P49" s="4"/>
      <c r="Q49" s="4">
        <v>270000</v>
      </c>
      <c r="R49" s="7">
        <v>0</v>
      </c>
      <c r="S49" s="4"/>
      <c r="T49" s="4"/>
      <c r="U49" s="4">
        <v>407106</v>
      </c>
      <c r="V49" s="4">
        <f t="shared" si="7"/>
        <v>1085706</v>
      </c>
      <c r="W49" s="5">
        <f>M49-V49</f>
        <v>3454294</v>
      </c>
    </row>
    <row r="50" spans="1:26" ht="24.95" customHeight="1" x14ac:dyDescent="0.25">
      <c r="A50" s="65"/>
      <c r="B50" s="2">
        <v>47</v>
      </c>
      <c r="C50" s="1" t="s">
        <v>184</v>
      </c>
      <c r="D50" s="1"/>
      <c r="E50" s="4">
        <v>4500000</v>
      </c>
      <c r="F50" s="3">
        <v>21</v>
      </c>
      <c r="G50" s="3">
        <f t="shared" si="3"/>
        <v>3150000</v>
      </c>
      <c r="H50" s="4"/>
      <c r="I50" s="4"/>
      <c r="J50" s="4"/>
      <c r="K50" s="4"/>
      <c r="L50" s="4"/>
      <c r="M50" s="4">
        <f t="shared" si="1"/>
        <v>3150000</v>
      </c>
      <c r="N50" s="4">
        <f>G50*4/100</f>
        <v>126000</v>
      </c>
      <c r="O50" s="4">
        <f>+G50*0.05</f>
        <v>157500</v>
      </c>
      <c r="P50" s="4"/>
      <c r="Q50" s="4"/>
      <c r="R50" s="7"/>
      <c r="S50" s="4"/>
      <c r="T50" s="4"/>
      <c r="U50" s="4"/>
      <c r="V50" s="4">
        <f t="shared" si="7"/>
        <v>283500</v>
      </c>
      <c r="W50" s="5">
        <f>M50-V50</f>
        <v>2866500</v>
      </c>
    </row>
    <row r="51" spans="1:26" ht="24.95" customHeight="1" x14ac:dyDescent="0.25">
      <c r="A51" s="65"/>
      <c r="B51" s="2">
        <v>48</v>
      </c>
      <c r="C51" s="1" t="s">
        <v>64</v>
      </c>
      <c r="D51" s="1" t="s">
        <v>31</v>
      </c>
      <c r="E51" s="4">
        <v>3500000</v>
      </c>
      <c r="F51" s="3">
        <v>30</v>
      </c>
      <c r="G51" s="3">
        <f>+E51-L51</f>
        <v>3500000</v>
      </c>
      <c r="H51" s="4"/>
      <c r="I51" s="4"/>
      <c r="J51" s="4"/>
      <c r="K51" s="4"/>
      <c r="L51" s="4"/>
      <c r="M51" s="4">
        <f t="shared" si="1"/>
        <v>3500000</v>
      </c>
      <c r="N51" s="4">
        <f t="shared" si="20"/>
        <v>140000</v>
      </c>
      <c r="O51" s="4">
        <f t="shared" si="21"/>
        <v>175000</v>
      </c>
      <c r="P51" s="4"/>
      <c r="Q51" s="4"/>
      <c r="R51" s="4">
        <v>0</v>
      </c>
      <c r="S51" s="4"/>
      <c r="T51" s="4"/>
      <c r="U51" s="4">
        <v>257196</v>
      </c>
      <c r="V51" s="4">
        <f t="shared" si="7"/>
        <v>572196</v>
      </c>
      <c r="W51" s="5">
        <f>+M51-V51</f>
        <v>2927804</v>
      </c>
    </row>
    <row r="52" spans="1:26" ht="24.95" customHeight="1" x14ac:dyDescent="0.25">
      <c r="A52" s="65"/>
      <c r="B52" s="2">
        <v>49</v>
      </c>
      <c r="C52" s="1" t="s">
        <v>65</v>
      </c>
      <c r="D52" s="1" t="s">
        <v>31</v>
      </c>
      <c r="E52" s="4">
        <v>4500000</v>
      </c>
      <c r="F52" s="3">
        <v>30</v>
      </c>
      <c r="G52" s="3">
        <f t="shared" si="3"/>
        <v>4500000</v>
      </c>
      <c r="H52" s="4"/>
      <c r="I52" s="4"/>
      <c r="J52" s="4" t="s">
        <v>185</v>
      </c>
      <c r="K52" s="4"/>
      <c r="L52" s="4"/>
      <c r="M52" s="4" t="e">
        <f t="shared" si="1"/>
        <v>#VALUE!</v>
      </c>
      <c r="N52" s="4">
        <f t="shared" si="20"/>
        <v>180000</v>
      </c>
      <c r="O52" s="4">
        <f t="shared" si="21"/>
        <v>225000</v>
      </c>
      <c r="P52" s="4"/>
      <c r="Q52" s="4"/>
      <c r="R52" s="4">
        <v>0</v>
      </c>
      <c r="S52" s="4"/>
      <c r="T52" s="4"/>
      <c r="U52" s="4"/>
      <c r="V52" s="4">
        <f t="shared" si="7"/>
        <v>405000</v>
      </c>
      <c r="W52" s="5" t="e">
        <f>+M52-V52</f>
        <v>#VALUE!</v>
      </c>
    </row>
    <row r="53" spans="1:26" ht="24.95" customHeight="1" x14ac:dyDescent="0.25">
      <c r="A53" s="65"/>
      <c r="B53" s="2">
        <v>50</v>
      </c>
      <c r="C53" s="1" t="s">
        <v>66</v>
      </c>
      <c r="D53" s="1" t="s">
        <v>31</v>
      </c>
      <c r="E53" s="4">
        <v>6360000</v>
      </c>
      <c r="F53" s="3">
        <v>30</v>
      </c>
      <c r="G53" s="3">
        <f>+E53-L53</f>
        <v>6360000</v>
      </c>
      <c r="H53" s="4"/>
      <c r="I53" s="4"/>
      <c r="J53" s="4"/>
      <c r="K53" s="4"/>
      <c r="L53" s="4"/>
      <c r="M53" s="4">
        <f t="shared" si="1"/>
        <v>6360000</v>
      </c>
      <c r="N53" s="4">
        <f t="shared" si="20"/>
        <v>254400</v>
      </c>
      <c r="O53" s="4">
        <f t="shared" si="21"/>
        <v>318000</v>
      </c>
      <c r="P53" s="4"/>
      <c r="Q53" s="4"/>
      <c r="R53" s="4">
        <v>208000</v>
      </c>
      <c r="S53" s="4"/>
      <c r="T53" s="4">
        <v>122614</v>
      </c>
      <c r="U53" s="4"/>
      <c r="V53" s="4">
        <f t="shared" si="7"/>
        <v>903014</v>
      </c>
      <c r="W53" s="5">
        <f>+M53-V53</f>
        <v>5456986</v>
      </c>
    </row>
    <row r="54" spans="1:26" ht="24.95" customHeight="1" x14ac:dyDescent="0.25">
      <c r="A54" s="65"/>
      <c r="B54" s="2">
        <v>51</v>
      </c>
      <c r="C54" s="1" t="s">
        <v>153</v>
      </c>
      <c r="D54" s="1" t="s">
        <v>31</v>
      </c>
      <c r="E54" s="4">
        <v>3500000</v>
      </c>
      <c r="F54" s="3">
        <v>30</v>
      </c>
      <c r="G54" s="3">
        <f>+E54/30*F54</f>
        <v>3500000</v>
      </c>
      <c r="H54" s="4"/>
      <c r="I54" s="4"/>
      <c r="J54" s="4"/>
      <c r="K54" s="4"/>
      <c r="L54" s="4"/>
      <c r="M54" s="4">
        <f>+G54+H54+J54+K54+L54+I54</f>
        <v>3500000</v>
      </c>
      <c r="N54" s="4">
        <f>G54*4/100</f>
        <v>140000</v>
      </c>
      <c r="O54" s="4">
        <f>+G54*0.05</f>
        <v>175000</v>
      </c>
      <c r="P54" s="4"/>
      <c r="Q54" s="4"/>
      <c r="R54" s="4">
        <v>0</v>
      </c>
      <c r="S54" s="4"/>
      <c r="T54" s="4">
        <v>0</v>
      </c>
      <c r="U54" s="4"/>
      <c r="V54" s="4">
        <f t="shared" ref="V54" si="26">SUM(N54:U54)</f>
        <v>315000</v>
      </c>
      <c r="W54" s="5">
        <f>+M54-V54</f>
        <v>3185000</v>
      </c>
    </row>
    <row r="55" spans="1:26" ht="24.95" customHeight="1" x14ac:dyDescent="0.25">
      <c r="A55" s="65"/>
      <c r="B55" s="2">
        <v>52</v>
      </c>
      <c r="C55" s="1" t="s">
        <v>67</v>
      </c>
      <c r="D55" s="1" t="s">
        <v>31</v>
      </c>
      <c r="E55" s="4">
        <v>4770000</v>
      </c>
      <c r="F55" s="3">
        <v>30</v>
      </c>
      <c r="G55" s="3">
        <f t="shared" si="3"/>
        <v>4770000</v>
      </c>
      <c r="H55" s="4"/>
      <c r="I55" s="4"/>
      <c r="J55" s="4"/>
      <c r="K55" s="4">
        <v>500000</v>
      </c>
      <c r="L55" s="4"/>
      <c r="M55" s="4">
        <f t="shared" si="1"/>
        <v>5270000</v>
      </c>
      <c r="N55" s="4">
        <f t="shared" si="20"/>
        <v>190800</v>
      </c>
      <c r="O55" s="4">
        <f t="shared" si="21"/>
        <v>238500</v>
      </c>
      <c r="P55" s="4"/>
      <c r="Q55" s="4"/>
      <c r="R55" s="4">
        <v>22000</v>
      </c>
      <c r="S55" s="4"/>
      <c r="T55" s="4"/>
      <c r="U55" s="4">
        <v>551399</v>
      </c>
      <c r="V55" s="4">
        <f t="shared" si="7"/>
        <v>1002699</v>
      </c>
      <c r="W55" s="5">
        <f>+M55-V55</f>
        <v>4267301</v>
      </c>
    </row>
    <row r="56" spans="1:26" ht="24.95" customHeight="1" x14ac:dyDescent="0.25">
      <c r="A56" s="65"/>
      <c r="B56" s="2">
        <v>53</v>
      </c>
      <c r="C56" s="1" t="s">
        <v>69</v>
      </c>
      <c r="D56" s="1" t="s">
        <v>31</v>
      </c>
      <c r="E56" s="4">
        <v>6000000</v>
      </c>
      <c r="F56" s="3">
        <v>30</v>
      </c>
      <c r="G56" s="3">
        <f>+E56-L56</f>
        <v>6000000</v>
      </c>
      <c r="H56" s="4"/>
      <c r="I56" s="4"/>
      <c r="J56" s="4"/>
      <c r="K56" s="4"/>
      <c r="L56" s="4"/>
      <c r="M56" s="4">
        <f t="shared" si="1"/>
        <v>6000000</v>
      </c>
      <c r="N56" s="4">
        <f t="shared" si="20"/>
        <v>240000</v>
      </c>
      <c r="O56" s="4">
        <f t="shared" si="21"/>
        <v>300000</v>
      </c>
      <c r="P56" s="4">
        <v>0</v>
      </c>
      <c r="Q56" s="4"/>
      <c r="R56" s="4">
        <v>0</v>
      </c>
      <c r="S56" s="4"/>
      <c r="T56" s="4"/>
      <c r="U56" s="4"/>
      <c r="V56" s="4">
        <f t="shared" si="7"/>
        <v>540000</v>
      </c>
      <c r="W56" s="5">
        <f>M56-V56</f>
        <v>5460000</v>
      </c>
      <c r="Z56" s="62">
        <v>321831000</v>
      </c>
    </row>
    <row r="57" spans="1:26" ht="24.95" customHeight="1" x14ac:dyDescent="0.25">
      <c r="A57" s="65"/>
      <c r="B57" s="2" t="s">
        <v>186</v>
      </c>
      <c r="C57" s="1" t="s">
        <v>70</v>
      </c>
      <c r="D57" s="1" t="s">
        <v>31</v>
      </c>
      <c r="E57" s="4">
        <v>7800000</v>
      </c>
      <c r="F57" s="3">
        <v>30</v>
      </c>
      <c r="G57" s="3">
        <f t="shared" si="3"/>
        <v>7800000</v>
      </c>
      <c r="H57" s="4"/>
      <c r="I57" s="4"/>
      <c r="J57" s="4"/>
      <c r="K57" s="4">
        <v>1200000</v>
      </c>
      <c r="L57" s="4">
        <v>3900000</v>
      </c>
      <c r="M57" s="4">
        <f t="shared" si="1"/>
        <v>12900000</v>
      </c>
      <c r="N57" s="4">
        <f>E57*4/100+156000</f>
        <v>468000</v>
      </c>
      <c r="O57" s="4">
        <f>+E57*0.05+156000+39000</f>
        <v>585000</v>
      </c>
      <c r="P57" s="4"/>
      <c r="Q57" s="4"/>
      <c r="R57" s="4">
        <v>302000</v>
      </c>
      <c r="S57" s="4"/>
      <c r="T57" s="4"/>
      <c r="U57" s="4"/>
      <c r="V57" s="4">
        <f t="shared" si="7"/>
        <v>1355000</v>
      </c>
      <c r="W57" s="5">
        <f>+M57-V57</f>
        <v>11545000</v>
      </c>
      <c r="Z57" s="62">
        <f>+Z56/2</f>
        <v>160915500</v>
      </c>
    </row>
    <row r="58" spans="1:26" ht="24.95" customHeight="1" x14ac:dyDescent="0.25">
      <c r="A58" s="65"/>
      <c r="B58" s="2">
        <v>55</v>
      </c>
      <c r="C58" s="9" t="s">
        <v>169</v>
      </c>
      <c r="D58" s="1" t="s">
        <v>31</v>
      </c>
      <c r="E58" s="4">
        <v>7700000</v>
      </c>
      <c r="F58" s="3">
        <v>30</v>
      </c>
      <c r="G58" s="3">
        <f t="shared" si="3"/>
        <v>7700000</v>
      </c>
      <c r="H58" s="4"/>
      <c r="I58" s="4"/>
      <c r="J58" s="4"/>
      <c r="K58" s="4">
        <f>+(800000/30)*F58</f>
        <v>800000</v>
      </c>
      <c r="L58" s="11"/>
      <c r="M58" s="4">
        <f>+G58+H58+J58+K58+L58+I58</f>
        <v>8500000</v>
      </c>
      <c r="N58" s="4">
        <f>G58*4/100</f>
        <v>308000</v>
      </c>
      <c r="O58" s="4">
        <f>+G58*0.05</f>
        <v>385000</v>
      </c>
      <c r="P58" s="4"/>
      <c r="Q58" s="4"/>
      <c r="R58" s="4">
        <v>182000</v>
      </c>
      <c r="S58" s="4">
        <v>2165000</v>
      </c>
      <c r="T58" s="4"/>
      <c r="U58" s="4"/>
      <c r="V58" s="4">
        <f t="shared" ref="V58" si="27">SUM(N58:U58)</f>
        <v>3040000</v>
      </c>
      <c r="W58" s="5">
        <f>M58-V58</f>
        <v>5460000</v>
      </c>
    </row>
    <row r="59" spans="1:26" ht="24.95" customHeight="1" x14ac:dyDescent="0.25">
      <c r="A59" s="65"/>
      <c r="B59" s="2">
        <v>56</v>
      </c>
      <c r="C59" s="9" t="s">
        <v>72</v>
      </c>
      <c r="D59" s="1" t="s">
        <v>31</v>
      </c>
      <c r="E59" s="4">
        <v>7000000</v>
      </c>
      <c r="F59" s="3">
        <v>30</v>
      </c>
      <c r="G59" s="3">
        <f>+E59-L59</f>
        <v>7000000</v>
      </c>
      <c r="H59" s="4"/>
      <c r="I59" s="4"/>
      <c r="J59" s="4">
        <v>0</v>
      </c>
      <c r="K59" s="4"/>
      <c r="L59" s="4"/>
      <c r="M59" s="4">
        <f t="shared" si="1"/>
        <v>7000000</v>
      </c>
      <c r="N59" s="4">
        <f t="shared" si="20"/>
        <v>280000</v>
      </c>
      <c r="O59" s="4">
        <f t="shared" si="21"/>
        <v>350000</v>
      </c>
      <c r="P59" s="4"/>
      <c r="Q59" s="4"/>
      <c r="R59" s="4">
        <v>208000</v>
      </c>
      <c r="S59" s="4"/>
      <c r="T59" s="4"/>
      <c r="U59" s="4"/>
      <c r="V59" s="4">
        <f t="shared" si="7"/>
        <v>838000</v>
      </c>
      <c r="W59" s="5">
        <f>M59-V59</f>
        <v>6162000</v>
      </c>
    </row>
    <row r="60" spans="1:26" ht="24.95" customHeight="1" x14ac:dyDescent="0.25">
      <c r="A60" s="65"/>
      <c r="B60" s="2">
        <v>57</v>
      </c>
      <c r="C60" s="1" t="s">
        <v>73</v>
      </c>
      <c r="D60" s="1" t="s">
        <v>31</v>
      </c>
      <c r="E60" s="4">
        <v>5350000</v>
      </c>
      <c r="F60" s="3">
        <v>30</v>
      </c>
      <c r="G60" s="3">
        <f t="shared" si="3"/>
        <v>5350000</v>
      </c>
      <c r="H60" s="4"/>
      <c r="I60" s="4"/>
      <c r="J60" s="4"/>
      <c r="K60" s="4"/>
      <c r="L60" s="4"/>
      <c r="M60" s="4">
        <f t="shared" si="1"/>
        <v>5350000</v>
      </c>
      <c r="N60" s="4">
        <f t="shared" si="20"/>
        <v>214000</v>
      </c>
      <c r="O60" s="4">
        <f t="shared" si="21"/>
        <v>267500</v>
      </c>
      <c r="P60" s="4"/>
      <c r="Q60" s="4"/>
      <c r="R60" s="4">
        <v>95000</v>
      </c>
      <c r="S60" s="4"/>
      <c r="T60" s="4"/>
      <c r="U60" s="4"/>
      <c r="V60" s="4">
        <f t="shared" si="7"/>
        <v>576500</v>
      </c>
      <c r="W60" s="5">
        <f t="shared" ref="W60:W67" si="28">+M60-V60</f>
        <v>4773500</v>
      </c>
    </row>
    <row r="61" spans="1:26" ht="24.95" customHeight="1" x14ac:dyDescent="0.25">
      <c r="A61" s="65"/>
      <c r="B61" s="2">
        <v>58</v>
      </c>
      <c r="C61" s="1" t="s">
        <v>74</v>
      </c>
      <c r="D61" s="2" t="s">
        <v>31</v>
      </c>
      <c r="E61" s="4">
        <v>4500000</v>
      </c>
      <c r="F61" s="3">
        <v>30</v>
      </c>
      <c r="G61" s="3">
        <f>+E61-L61</f>
        <v>4500000</v>
      </c>
      <c r="H61" s="4"/>
      <c r="I61" s="4"/>
      <c r="J61" s="4"/>
      <c r="K61" s="4"/>
      <c r="L61" s="4"/>
      <c r="M61" s="4">
        <f t="shared" si="1"/>
        <v>4500000</v>
      </c>
      <c r="N61" s="4">
        <f t="shared" si="20"/>
        <v>180000</v>
      </c>
      <c r="O61" s="4">
        <f t="shared" si="21"/>
        <v>225000</v>
      </c>
      <c r="P61" s="4"/>
      <c r="Q61" s="4"/>
      <c r="R61" s="4">
        <v>0</v>
      </c>
      <c r="S61" s="4"/>
      <c r="T61" s="4"/>
      <c r="U61" s="4"/>
      <c r="V61" s="4">
        <f t="shared" si="7"/>
        <v>405000</v>
      </c>
      <c r="W61" s="5">
        <f t="shared" si="28"/>
        <v>4095000</v>
      </c>
    </row>
    <row r="62" spans="1:26" ht="24.95" customHeight="1" x14ac:dyDescent="0.25">
      <c r="A62" s="65"/>
      <c r="B62" s="2">
        <v>59</v>
      </c>
      <c r="C62" s="1" t="s">
        <v>75</v>
      </c>
      <c r="D62" s="1" t="s">
        <v>31</v>
      </c>
      <c r="E62" s="4">
        <v>4770000</v>
      </c>
      <c r="F62" s="3">
        <v>30</v>
      </c>
      <c r="G62" s="3">
        <f t="shared" si="3"/>
        <v>4770000</v>
      </c>
      <c r="H62" s="4"/>
      <c r="I62" s="4"/>
      <c r="J62" s="4"/>
      <c r="K62" s="4"/>
      <c r="L62" s="4"/>
      <c r="M62" s="4">
        <f t="shared" si="1"/>
        <v>4770000</v>
      </c>
      <c r="N62" s="4">
        <f>M62*4/100</f>
        <v>190800</v>
      </c>
      <c r="O62" s="4">
        <f>+M62*0.05</f>
        <v>238500</v>
      </c>
      <c r="P62" s="4"/>
      <c r="Q62" s="4"/>
      <c r="R62" s="4">
        <v>0</v>
      </c>
      <c r="S62" s="4"/>
      <c r="T62" s="4"/>
      <c r="U62" s="4">
        <v>317224</v>
      </c>
      <c r="V62" s="4">
        <f t="shared" si="7"/>
        <v>746524</v>
      </c>
      <c r="W62" s="5">
        <f t="shared" si="28"/>
        <v>4023476</v>
      </c>
    </row>
    <row r="63" spans="1:26" ht="24.95" customHeight="1" x14ac:dyDescent="0.25">
      <c r="A63" s="65"/>
      <c r="B63" s="2">
        <v>60</v>
      </c>
      <c r="C63" s="1" t="s">
        <v>163</v>
      </c>
      <c r="D63" s="1" t="s">
        <v>31</v>
      </c>
      <c r="E63" s="4">
        <v>6800000</v>
      </c>
      <c r="F63" s="3">
        <v>30</v>
      </c>
      <c r="G63" s="3">
        <f t="shared" si="3"/>
        <v>6800000</v>
      </c>
      <c r="H63" s="4"/>
      <c r="I63" s="4"/>
      <c r="J63" s="4"/>
      <c r="K63" s="4"/>
      <c r="L63" s="4"/>
      <c r="M63" s="4">
        <f t="shared" si="1"/>
        <v>6800000</v>
      </c>
      <c r="N63" s="4">
        <f>+G63*4%</f>
        <v>272000</v>
      </c>
      <c r="O63" s="4">
        <f>+G63*0.05</f>
        <v>340000</v>
      </c>
      <c r="P63" s="4"/>
      <c r="Q63" s="4"/>
      <c r="R63" s="4">
        <v>115000</v>
      </c>
      <c r="S63" s="4"/>
      <c r="T63" s="4"/>
      <c r="U63" s="4"/>
      <c r="V63" s="4">
        <f t="shared" ref="V63" si="29">SUM(N63:U63)</f>
        <v>727000</v>
      </c>
      <c r="W63" s="5">
        <f t="shared" si="28"/>
        <v>6073000</v>
      </c>
    </row>
    <row r="64" spans="1:26" ht="24.95" customHeight="1" x14ac:dyDescent="0.25">
      <c r="A64" s="65"/>
      <c r="B64" s="2">
        <v>61</v>
      </c>
      <c r="C64" s="1" t="s">
        <v>76</v>
      </c>
      <c r="D64" s="1" t="s">
        <v>31</v>
      </c>
      <c r="E64" s="4">
        <v>5200000</v>
      </c>
      <c r="F64" s="3">
        <v>30</v>
      </c>
      <c r="G64" s="3">
        <f>+E64-L64</f>
        <v>5200000</v>
      </c>
      <c r="H64" s="4"/>
      <c r="I64" s="4"/>
      <c r="J64" s="4"/>
      <c r="K64" s="4"/>
      <c r="L64" s="4"/>
      <c r="M64" s="4">
        <f t="shared" si="1"/>
        <v>5200000</v>
      </c>
      <c r="N64" s="4">
        <f>E64*4/100</f>
        <v>208000</v>
      </c>
      <c r="O64" s="4">
        <f>+E64*0.05</f>
        <v>260000</v>
      </c>
      <c r="P64" s="4"/>
      <c r="Q64" s="4"/>
      <c r="R64" s="4">
        <v>55000</v>
      </c>
      <c r="S64" s="4"/>
      <c r="T64" s="4"/>
      <c r="U64" s="4">
        <v>1198791</v>
      </c>
      <c r="V64" s="4">
        <f t="shared" si="7"/>
        <v>1721791</v>
      </c>
      <c r="W64" s="5">
        <f t="shared" si="28"/>
        <v>3478209</v>
      </c>
    </row>
    <row r="65" spans="1:23" ht="24.95" customHeight="1" x14ac:dyDescent="0.25">
      <c r="A65" s="65"/>
      <c r="B65" s="2">
        <v>62</v>
      </c>
      <c r="C65" s="1" t="s">
        <v>77</v>
      </c>
      <c r="D65" s="1" t="s">
        <v>31</v>
      </c>
      <c r="E65" s="4">
        <v>4400000</v>
      </c>
      <c r="F65" s="3">
        <v>30</v>
      </c>
      <c r="G65" s="3">
        <f>+E65-L65</f>
        <v>4400000</v>
      </c>
      <c r="H65" s="4"/>
      <c r="I65" s="4"/>
      <c r="J65" s="4"/>
      <c r="K65" s="4"/>
      <c r="L65" s="4"/>
      <c r="M65" s="4">
        <f t="shared" si="1"/>
        <v>4400000</v>
      </c>
      <c r="N65" s="4">
        <f>E65*4/100</f>
        <v>176000</v>
      </c>
      <c r="O65" s="4">
        <f>+E65*0.05</f>
        <v>220000</v>
      </c>
      <c r="P65" s="4"/>
      <c r="Q65" s="4"/>
      <c r="R65" s="4">
        <v>0</v>
      </c>
      <c r="S65" s="4"/>
      <c r="T65" s="4"/>
      <c r="U65" s="4">
        <v>141077</v>
      </c>
      <c r="V65" s="4">
        <f t="shared" si="7"/>
        <v>537077</v>
      </c>
      <c r="W65" s="5">
        <f t="shared" si="28"/>
        <v>3862923</v>
      </c>
    </row>
    <row r="66" spans="1:23" ht="24.95" customHeight="1" x14ac:dyDescent="0.25">
      <c r="A66" s="65"/>
      <c r="B66" s="2">
        <v>63</v>
      </c>
      <c r="C66" s="1" t="s">
        <v>78</v>
      </c>
      <c r="D66" s="1" t="s">
        <v>31</v>
      </c>
      <c r="E66" s="4">
        <v>7800000</v>
      </c>
      <c r="F66" s="3">
        <v>30</v>
      </c>
      <c r="G66" s="3">
        <f t="shared" si="3"/>
        <v>7800000</v>
      </c>
      <c r="H66" s="4"/>
      <c r="I66" s="4"/>
      <c r="J66" s="4"/>
      <c r="K66" s="4">
        <v>400000</v>
      </c>
      <c r="L66" s="4"/>
      <c r="M66" s="4">
        <f t="shared" si="1"/>
        <v>8200000</v>
      </c>
      <c r="N66" s="4">
        <f>E66*4/100</f>
        <v>312000</v>
      </c>
      <c r="O66" s="4">
        <f>+E66*0.05</f>
        <v>390000</v>
      </c>
      <c r="P66" s="4"/>
      <c r="Q66" s="4"/>
      <c r="R66" s="4">
        <v>315000</v>
      </c>
      <c r="S66" s="4"/>
      <c r="T66" s="4"/>
      <c r="U66" s="4"/>
      <c r="V66" s="4">
        <f t="shared" si="7"/>
        <v>1017000</v>
      </c>
      <c r="W66" s="5">
        <f t="shared" si="28"/>
        <v>7183000</v>
      </c>
    </row>
    <row r="67" spans="1:23" ht="24.95" customHeight="1" x14ac:dyDescent="0.25">
      <c r="A67" s="65"/>
      <c r="B67" s="2">
        <v>64</v>
      </c>
      <c r="C67" s="1" t="s">
        <v>154</v>
      </c>
      <c r="D67" s="1" t="s">
        <v>31</v>
      </c>
      <c r="E67" s="4">
        <v>4000000</v>
      </c>
      <c r="F67" s="3">
        <v>30</v>
      </c>
      <c r="G67" s="3">
        <f t="shared" si="3"/>
        <v>4000000.0000000005</v>
      </c>
      <c r="H67" s="4"/>
      <c r="I67" s="4"/>
      <c r="J67" s="4"/>
      <c r="K67" s="4"/>
      <c r="L67" s="4"/>
      <c r="M67" s="4">
        <f t="shared" si="1"/>
        <v>4000000.0000000005</v>
      </c>
      <c r="N67" s="4">
        <f>G67*4/100</f>
        <v>160000.00000000003</v>
      </c>
      <c r="O67" s="4">
        <f>+G67*0.05</f>
        <v>200000.00000000003</v>
      </c>
      <c r="P67" s="4"/>
      <c r="Q67" s="4"/>
      <c r="R67" s="4"/>
      <c r="S67" s="4"/>
      <c r="T67" s="4"/>
      <c r="U67" s="4"/>
      <c r="V67" s="4">
        <f t="shared" ref="V67" si="30">SUM(N67:U67)</f>
        <v>360000.00000000006</v>
      </c>
      <c r="W67" s="5">
        <f t="shared" si="28"/>
        <v>3640000.0000000005</v>
      </c>
    </row>
    <row r="68" spans="1:23" ht="24.95" customHeight="1" x14ac:dyDescent="0.25">
      <c r="A68" s="65"/>
      <c r="B68" s="2">
        <v>65</v>
      </c>
      <c r="C68" s="1" t="s">
        <v>178</v>
      </c>
      <c r="D68" s="1" t="s">
        <v>31</v>
      </c>
      <c r="E68" s="4">
        <v>5500000</v>
      </c>
      <c r="F68" s="3">
        <v>30</v>
      </c>
      <c r="G68" s="3">
        <f t="shared" si="3"/>
        <v>5500000</v>
      </c>
      <c r="H68" s="4"/>
      <c r="I68" s="4"/>
      <c r="J68" s="4"/>
      <c r="K68" s="4"/>
      <c r="L68" s="4">
        <v>0</v>
      </c>
      <c r="M68" s="4">
        <f t="shared" si="1"/>
        <v>5500000</v>
      </c>
      <c r="N68" s="4">
        <f>G68*4/100</f>
        <v>220000</v>
      </c>
      <c r="O68" s="4">
        <f>+G68*0.05</f>
        <v>275000</v>
      </c>
      <c r="P68" s="4"/>
      <c r="Q68" s="4"/>
      <c r="R68" s="4">
        <v>146000</v>
      </c>
      <c r="S68" s="4"/>
      <c r="T68" s="4"/>
      <c r="U68" s="4"/>
      <c r="V68" s="4">
        <f t="shared" si="7"/>
        <v>641000</v>
      </c>
      <c r="W68" s="5">
        <f>M68-V68</f>
        <v>4859000</v>
      </c>
    </row>
    <row r="69" spans="1:23" ht="24.95" customHeight="1" x14ac:dyDescent="0.25">
      <c r="A69" s="65"/>
      <c r="B69" s="2">
        <v>66</v>
      </c>
      <c r="C69" s="1" t="s">
        <v>80</v>
      </c>
      <c r="D69" s="1" t="s">
        <v>31</v>
      </c>
      <c r="E69" s="4">
        <v>6000000</v>
      </c>
      <c r="F69" s="3">
        <v>30</v>
      </c>
      <c r="G69" s="3">
        <f t="shared" si="3"/>
        <v>6000000</v>
      </c>
      <c r="H69" s="4"/>
      <c r="I69" s="4"/>
      <c r="J69" s="4"/>
      <c r="K69" s="4">
        <v>400000</v>
      </c>
      <c r="L69" s="4"/>
      <c r="M69" s="4">
        <f t="shared" si="1"/>
        <v>6400000</v>
      </c>
      <c r="N69" s="4">
        <f t="shared" si="20"/>
        <v>240000</v>
      </c>
      <c r="O69" s="4">
        <f t="shared" si="21"/>
        <v>300000</v>
      </c>
      <c r="P69" s="4"/>
      <c r="Q69" s="4"/>
      <c r="R69" s="4">
        <v>120000</v>
      </c>
      <c r="S69" s="4"/>
      <c r="T69" s="4"/>
      <c r="U69" s="4"/>
      <c r="V69" s="4">
        <f t="shared" si="7"/>
        <v>660000</v>
      </c>
      <c r="W69" s="5">
        <f>M69-V69</f>
        <v>5740000</v>
      </c>
    </row>
    <row r="70" spans="1:23" ht="24.95" customHeight="1" x14ac:dyDescent="0.25">
      <c r="A70" s="65"/>
      <c r="B70" s="2">
        <v>67</v>
      </c>
      <c r="C70" s="1" t="s">
        <v>81</v>
      </c>
      <c r="D70" s="1" t="s">
        <v>31</v>
      </c>
      <c r="E70" s="4">
        <v>4800000</v>
      </c>
      <c r="F70" s="3">
        <v>30</v>
      </c>
      <c r="G70" s="3">
        <f>+E70-L70</f>
        <v>4800000</v>
      </c>
      <c r="H70" s="4"/>
      <c r="I70" s="4"/>
      <c r="J70" s="4"/>
      <c r="K70" s="4"/>
      <c r="L70" s="4"/>
      <c r="M70" s="4">
        <f t="shared" si="1"/>
        <v>4800000</v>
      </c>
      <c r="N70" s="4">
        <f>+E70*4%</f>
        <v>192000</v>
      </c>
      <c r="O70" s="4">
        <f>+E70*5%</f>
        <v>240000</v>
      </c>
      <c r="P70" s="4"/>
      <c r="Q70" s="4"/>
      <c r="R70" s="4">
        <v>0</v>
      </c>
      <c r="S70" s="4"/>
      <c r="T70" s="4"/>
      <c r="U70" s="4"/>
      <c r="V70" s="4">
        <f t="shared" si="7"/>
        <v>432000</v>
      </c>
      <c r="W70" s="5">
        <f>+M70-V70</f>
        <v>4368000</v>
      </c>
    </row>
    <row r="71" spans="1:23" ht="24.95" customHeight="1" x14ac:dyDescent="0.25">
      <c r="A71" s="65"/>
      <c r="B71" s="2">
        <v>68</v>
      </c>
      <c r="C71" s="1" t="s">
        <v>155</v>
      </c>
      <c r="D71" s="1" t="s">
        <v>31</v>
      </c>
      <c r="E71" s="4">
        <v>4500000</v>
      </c>
      <c r="F71" s="3">
        <v>30</v>
      </c>
      <c r="G71" s="3">
        <f t="shared" si="3"/>
        <v>4500000</v>
      </c>
      <c r="H71" s="4"/>
      <c r="I71" s="4"/>
      <c r="J71" s="4"/>
      <c r="K71" s="4"/>
      <c r="L71" s="4"/>
      <c r="M71" s="4">
        <f t="shared" si="1"/>
        <v>4500000</v>
      </c>
      <c r="N71" s="4">
        <f>+G71*4%</f>
        <v>180000</v>
      </c>
      <c r="O71" s="4">
        <f>+G71*5%</f>
        <v>225000</v>
      </c>
      <c r="P71" s="4"/>
      <c r="Q71" s="4"/>
      <c r="R71" s="4"/>
      <c r="S71" s="4"/>
      <c r="T71" s="4"/>
      <c r="U71" s="4"/>
      <c r="V71" s="4">
        <f t="shared" ref="V71" si="31">SUM(N71:U71)</f>
        <v>405000</v>
      </c>
      <c r="W71" s="5">
        <f>+M71-V71</f>
        <v>4095000</v>
      </c>
    </row>
    <row r="72" spans="1:23" ht="24.95" customHeight="1" x14ac:dyDescent="0.25">
      <c r="A72" s="65"/>
      <c r="B72" s="2">
        <v>69</v>
      </c>
      <c r="C72" s="1" t="s">
        <v>82</v>
      </c>
      <c r="D72" s="1" t="s">
        <v>31</v>
      </c>
      <c r="E72" s="4">
        <v>6500000</v>
      </c>
      <c r="F72" s="3">
        <v>30</v>
      </c>
      <c r="G72" s="3">
        <f t="shared" si="3"/>
        <v>6500000</v>
      </c>
      <c r="H72" s="4"/>
      <c r="I72" s="4"/>
      <c r="J72" s="4"/>
      <c r="K72" s="4"/>
      <c r="L72" s="4"/>
      <c r="M72" s="4">
        <f t="shared" si="1"/>
        <v>6500000</v>
      </c>
      <c r="N72" s="4">
        <f>+E72*0.04</f>
        <v>260000</v>
      </c>
      <c r="O72" s="4">
        <f>+E72*0.05</f>
        <v>325000</v>
      </c>
      <c r="P72" s="4"/>
      <c r="Q72" s="4">
        <v>147000</v>
      </c>
      <c r="R72" s="4">
        <v>207372</v>
      </c>
      <c r="S72" s="4"/>
      <c r="T72" s="4"/>
      <c r="U72" s="4"/>
      <c r="V72" s="4">
        <f t="shared" si="7"/>
        <v>939372</v>
      </c>
      <c r="W72" s="5">
        <f>M72-V72</f>
        <v>5560628</v>
      </c>
    </row>
    <row r="73" spans="1:23" ht="24.95" customHeight="1" x14ac:dyDescent="0.25">
      <c r="A73" s="65" t="s">
        <v>83</v>
      </c>
      <c r="B73" s="2">
        <v>1</v>
      </c>
      <c r="C73" s="1" t="s">
        <v>84</v>
      </c>
      <c r="D73" s="1" t="s">
        <v>31</v>
      </c>
      <c r="E73" s="4">
        <v>912000</v>
      </c>
      <c r="F73" s="3">
        <v>30</v>
      </c>
      <c r="G73" s="3">
        <f t="shared" si="3"/>
        <v>912000</v>
      </c>
      <c r="H73" s="4">
        <v>88211</v>
      </c>
      <c r="I73" s="4"/>
      <c r="J73" s="4"/>
      <c r="K73" s="4"/>
      <c r="L73" s="4"/>
      <c r="M73" s="4">
        <f t="shared" si="1"/>
        <v>1000211</v>
      </c>
      <c r="N73" s="4">
        <f>+E73*0.04</f>
        <v>36480</v>
      </c>
      <c r="O73" s="4">
        <f>+E73*0.04</f>
        <v>36480</v>
      </c>
      <c r="P73" s="4"/>
      <c r="Q73" s="4"/>
      <c r="R73" s="4"/>
      <c r="S73" s="4"/>
      <c r="T73" s="4"/>
      <c r="U73" s="4"/>
      <c r="V73" s="4">
        <f>SUM(N73:U73)</f>
        <v>72960</v>
      </c>
      <c r="W73" s="5">
        <f>M73-V73</f>
        <v>927251</v>
      </c>
    </row>
    <row r="74" spans="1:23" ht="24.95" customHeight="1" x14ac:dyDescent="0.25">
      <c r="A74" s="65"/>
      <c r="B74" s="2">
        <v>2</v>
      </c>
      <c r="C74" s="1" t="s">
        <v>85</v>
      </c>
      <c r="D74" s="1" t="s">
        <v>31</v>
      </c>
      <c r="E74" s="4">
        <v>3000000</v>
      </c>
      <c r="F74" s="3">
        <v>30</v>
      </c>
      <c r="G74" s="3">
        <f t="shared" si="3"/>
        <v>3000000</v>
      </c>
      <c r="H74" s="4"/>
      <c r="I74" s="4"/>
      <c r="J74" s="4"/>
      <c r="K74" s="4"/>
      <c r="L74" s="4">
        <f>+E74-G74</f>
        <v>0</v>
      </c>
      <c r="M74" s="4">
        <f t="shared" si="1"/>
        <v>3000000</v>
      </c>
      <c r="N74" s="4">
        <f>+E74*0.04</f>
        <v>120000</v>
      </c>
      <c r="O74" s="4">
        <f>+E74*0.04</f>
        <v>120000</v>
      </c>
      <c r="P74" s="4"/>
      <c r="Q74" s="4"/>
      <c r="R74" s="4"/>
      <c r="S74" s="4"/>
      <c r="T74" s="4"/>
      <c r="U74" s="4"/>
      <c r="V74" s="4">
        <f t="shared" ref="V74:V122" si="32">SUM(N74:U74)</f>
        <v>240000</v>
      </c>
      <c r="W74" s="5">
        <f>M74-V74</f>
        <v>2760000</v>
      </c>
    </row>
    <row r="75" spans="1:23" ht="24.95" customHeight="1" x14ac:dyDescent="0.25">
      <c r="A75" s="65"/>
      <c r="B75" s="2">
        <v>3</v>
      </c>
      <c r="C75" s="9" t="s">
        <v>86</v>
      </c>
      <c r="D75" s="1" t="s">
        <v>31</v>
      </c>
      <c r="E75" s="4">
        <v>2500000</v>
      </c>
      <c r="F75" s="3">
        <v>30</v>
      </c>
      <c r="G75" s="3">
        <f t="shared" si="3"/>
        <v>2500000</v>
      </c>
      <c r="H75" s="4"/>
      <c r="I75" s="4"/>
      <c r="J75" s="4">
        <v>0</v>
      </c>
      <c r="K75" s="4"/>
      <c r="L75" s="4"/>
      <c r="M75" s="4">
        <f t="shared" si="1"/>
        <v>2500000</v>
      </c>
      <c r="N75" s="4">
        <f>+E75*4%</f>
        <v>100000</v>
      </c>
      <c r="O75" s="4">
        <f>+E75*4%</f>
        <v>100000</v>
      </c>
      <c r="P75" s="4"/>
      <c r="Q75" s="4"/>
      <c r="R75" s="4"/>
      <c r="S75" s="4"/>
      <c r="T75" s="4"/>
      <c r="U75" s="4"/>
      <c r="V75" s="4">
        <f t="shared" si="32"/>
        <v>200000</v>
      </c>
      <c r="W75" s="5">
        <f>M75-V75</f>
        <v>2300000</v>
      </c>
    </row>
    <row r="76" spans="1:23" ht="24.95" customHeight="1" x14ac:dyDescent="0.25">
      <c r="A76" s="65"/>
      <c r="B76" s="2">
        <v>4</v>
      </c>
      <c r="C76" s="1" t="s">
        <v>87</v>
      </c>
      <c r="D76" s="1" t="s">
        <v>31</v>
      </c>
      <c r="E76" s="4">
        <v>3000000</v>
      </c>
      <c r="F76" s="3">
        <v>30</v>
      </c>
      <c r="G76" s="3">
        <f t="shared" si="3"/>
        <v>3000000</v>
      </c>
      <c r="H76" s="4">
        <v>0</v>
      </c>
      <c r="I76" s="4"/>
      <c r="J76" s="4"/>
      <c r="K76" s="4"/>
      <c r="L76" s="4"/>
      <c r="M76" s="4">
        <f t="shared" si="1"/>
        <v>3000000</v>
      </c>
      <c r="N76" s="4">
        <f>+E76*4%</f>
        <v>120000</v>
      </c>
      <c r="O76" s="4">
        <f>+E76*4%</f>
        <v>120000</v>
      </c>
      <c r="P76" s="4"/>
      <c r="Q76" s="4"/>
      <c r="R76" s="7"/>
      <c r="S76" s="4"/>
      <c r="T76" s="4"/>
      <c r="U76" s="4"/>
      <c r="V76" s="4">
        <f t="shared" si="32"/>
        <v>240000</v>
      </c>
      <c r="W76" s="5">
        <f t="shared" ref="W76:W86" si="33">+M76-V76</f>
        <v>2760000</v>
      </c>
    </row>
    <row r="77" spans="1:23" ht="24.95" customHeight="1" x14ac:dyDescent="0.25">
      <c r="A77" s="65"/>
      <c r="B77" s="2">
        <v>5</v>
      </c>
      <c r="C77" s="1" t="s">
        <v>156</v>
      </c>
      <c r="D77" s="1" t="s">
        <v>31</v>
      </c>
      <c r="E77" s="4">
        <v>781242</v>
      </c>
      <c r="F77" s="3">
        <v>30</v>
      </c>
      <c r="G77" s="3">
        <f t="shared" si="3"/>
        <v>781242</v>
      </c>
      <c r="H77" s="4"/>
      <c r="I77" s="4"/>
      <c r="J77" s="4"/>
      <c r="K77" s="4"/>
      <c r="L77" s="4"/>
      <c r="M77" s="4">
        <f t="shared" si="1"/>
        <v>781242</v>
      </c>
      <c r="N77" s="4">
        <v>0</v>
      </c>
      <c r="O77" s="4">
        <v>0</v>
      </c>
      <c r="P77" s="4"/>
      <c r="Q77" s="4"/>
      <c r="R77" s="7"/>
      <c r="S77" s="4"/>
      <c r="T77" s="4"/>
      <c r="U77" s="4"/>
      <c r="V77" s="4">
        <f t="shared" ref="V77" si="34">SUM(N77:U77)</f>
        <v>0</v>
      </c>
      <c r="W77" s="5">
        <f t="shared" si="33"/>
        <v>781242</v>
      </c>
    </row>
    <row r="78" spans="1:23" ht="24.95" customHeight="1" x14ac:dyDescent="0.25">
      <c r="A78" s="65"/>
      <c r="B78" s="2">
        <v>6</v>
      </c>
      <c r="C78" s="1" t="s">
        <v>89</v>
      </c>
      <c r="D78" s="1" t="s">
        <v>31</v>
      </c>
      <c r="E78" s="4">
        <v>2200000</v>
      </c>
      <c r="F78" s="3">
        <v>30</v>
      </c>
      <c r="G78" s="3">
        <f>+E78-L78</f>
        <v>2200000</v>
      </c>
      <c r="H78" s="4"/>
      <c r="I78" s="4"/>
      <c r="J78" s="4"/>
      <c r="K78" s="4"/>
      <c r="L78" s="4"/>
      <c r="M78" s="4">
        <f t="shared" si="1"/>
        <v>2200000</v>
      </c>
      <c r="N78" s="4">
        <f>+E78*4%</f>
        <v>88000</v>
      </c>
      <c r="O78" s="4">
        <f>+E78*4%</f>
        <v>88000</v>
      </c>
      <c r="P78" s="4"/>
      <c r="Q78" s="4"/>
      <c r="R78" s="7"/>
      <c r="S78" s="4"/>
      <c r="T78" s="4"/>
      <c r="U78" s="4"/>
      <c r="V78" s="4">
        <f t="shared" si="32"/>
        <v>176000</v>
      </c>
      <c r="W78" s="5">
        <f t="shared" si="33"/>
        <v>2024000</v>
      </c>
    </row>
    <row r="79" spans="1:23" ht="24.95" customHeight="1" x14ac:dyDescent="0.25">
      <c r="A79" s="65"/>
      <c r="B79" s="2">
        <v>7</v>
      </c>
      <c r="C79" s="1" t="s">
        <v>91</v>
      </c>
      <c r="D79" s="1" t="s">
        <v>31</v>
      </c>
      <c r="E79" s="4">
        <v>781242</v>
      </c>
      <c r="F79" s="3">
        <v>30</v>
      </c>
      <c r="G79" s="3">
        <f t="shared" si="3"/>
        <v>781242</v>
      </c>
      <c r="H79" s="4">
        <v>88211</v>
      </c>
      <c r="I79" s="4"/>
      <c r="J79" s="4"/>
      <c r="K79" s="4"/>
      <c r="L79" s="4"/>
      <c r="M79" s="4">
        <f t="shared" si="1"/>
        <v>869453</v>
      </c>
      <c r="N79" s="4">
        <v>31250</v>
      </c>
      <c r="O79" s="4">
        <v>31250</v>
      </c>
      <c r="P79" s="4"/>
      <c r="Q79" s="4"/>
      <c r="R79" s="7"/>
      <c r="S79" s="4"/>
      <c r="T79" s="4"/>
      <c r="U79" s="4"/>
      <c r="V79" s="4">
        <f t="shared" si="32"/>
        <v>62500</v>
      </c>
      <c r="W79" s="5">
        <f t="shared" si="33"/>
        <v>806953</v>
      </c>
    </row>
    <row r="80" spans="1:23" ht="24.95" customHeight="1" x14ac:dyDescent="0.25">
      <c r="A80" s="65"/>
      <c r="B80" s="2">
        <v>8</v>
      </c>
      <c r="C80" s="1" t="s">
        <v>92</v>
      </c>
      <c r="D80" s="1" t="s">
        <v>31</v>
      </c>
      <c r="E80" s="4">
        <v>3000000</v>
      </c>
      <c r="F80" s="3">
        <v>30</v>
      </c>
      <c r="G80" s="3">
        <f>+E80-L80</f>
        <v>3000000</v>
      </c>
      <c r="H80" s="4"/>
      <c r="I80" s="4"/>
      <c r="J80" s="4"/>
      <c r="K80" s="4"/>
      <c r="L80" s="4"/>
      <c r="M80" s="4">
        <f t="shared" si="1"/>
        <v>3000000</v>
      </c>
      <c r="N80" s="4">
        <f t="shared" ref="N80:N86" si="35">+E80*4%</f>
        <v>120000</v>
      </c>
      <c r="O80" s="4">
        <f>+E80*4%</f>
        <v>120000</v>
      </c>
      <c r="P80" s="4"/>
      <c r="Q80" s="4"/>
      <c r="R80" s="4"/>
      <c r="S80" s="4"/>
      <c r="T80" s="4"/>
      <c r="U80" s="4"/>
      <c r="V80" s="4">
        <f t="shared" si="32"/>
        <v>240000</v>
      </c>
      <c r="W80" s="5">
        <f t="shared" si="33"/>
        <v>2760000</v>
      </c>
    </row>
    <row r="81" spans="1:23" ht="24.95" customHeight="1" x14ac:dyDescent="0.25">
      <c r="A81" s="65"/>
      <c r="B81" s="2">
        <v>9</v>
      </c>
      <c r="C81" s="1" t="s">
        <v>94</v>
      </c>
      <c r="D81" s="1" t="s">
        <v>31</v>
      </c>
      <c r="E81" s="4">
        <v>2500000</v>
      </c>
      <c r="F81" s="3">
        <v>30</v>
      </c>
      <c r="G81" s="3">
        <f>+E81-L81</f>
        <v>1916667</v>
      </c>
      <c r="H81" s="4"/>
      <c r="I81" s="4"/>
      <c r="J81" s="4"/>
      <c r="K81" s="4">
        <v>700000</v>
      </c>
      <c r="L81" s="4">
        <v>583333</v>
      </c>
      <c r="M81" s="4">
        <f t="shared" si="1"/>
        <v>3200000</v>
      </c>
      <c r="N81" s="4">
        <f t="shared" si="35"/>
        <v>100000</v>
      </c>
      <c r="O81" s="4">
        <f>+E81*4%</f>
        <v>100000</v>
      </c>
      <c r="P81" s="4"/>
      <c r="Q81" s="4"/>
      <c r="R81" s="4">
        <v>0</v>
      </c>
      <c r="S81" s="4"/>
      <c r="T81" s="4"/>
      <c r="U81" s="4">
        <f>200210+224445</f>
        <v>424655</v>
      </c>
      <c r="V81" s="4">
        <f t="shared" si="32"/>
        <v>624655</v>
      </c>
      <c r="W81" s="5">
        <f t="shared" si="33"/>
        <v>2575345</v>
      </c>
    </row>
    <row r="82" spans="1:23" ht="24.95" customHeight="1" x14ac:dyDescent="0.25">
      <c r="A82" s="65"/>
      <c r="B82" s="2">
        <v>10</v>
      </c>
      <c r="C82" s="1" t="s">
        <v>187</v>
      </c>
      <c r="D82" s="1"/>
      <c r="E82" s="4">
        <v>781242</v>
      </c>
      <c r="F82" s="3">
        <v>8</v>
      </c>
      <c r="G82" s="3">
        <f t="shared" si="3"/>
        <v>208331.2</v>
      </c>
      <c r="H82" s="4">
        <f>+((88211/30)*F82)</f>
        <v>23522.933333333334</v>
      </c>
      <c r="I82" s="4"/>
      <c r="J82" s="4"/>
      <c r="K82" s="4"/>
      <c r="L82" s="4"/>
      <c r="M82" s="4">
        <f t="shared" si="1"/>
        <v>231854.13333333336</v>
      </c>
      <c r="N82" s="4">
        <f>+G82*4%</f>
        <v>8333.2480000000014</v>
      </c>
      <c r="O82" s="4">
        <f>+G82*4%</f>
        <v>8333.2480000000014</v>
      </c>
      <c r="P82" s="4"/>
      <c r="Q82" s="4"/>
      <c r="R82" s="4">
        <v>0</v>
      </c>
      <c r="S82" s="4"/>
      <c r="T82" s="4"/>
      <c r="U82" s="4"/>
      <c r="V82" s="4">
        <f t="shared" ref="V82" si="36">SUM(N82:U82)</f>
        <v>16666.496000000003</v>
      </c>
      <c r="W82" s="5">
        <f t="shared" si="33"/>
        <v>215187.63733333335</v>
      </c>
    </row>
    <row r="83" spans="1:23" ht="24.95" customHeight="1" x14ac:dyDescent="0.25">
      <c r="A83" s="65"/>
      <c r="B83" s="2">
        <v>11</v>
      </c>
      <c r="C83" s="1" t="s">
        <v>95</v>
      </c>
      <c r="D83" s="1" t="s">
        <v>31</v>
      </c>
      <c r="E83" s="4">
        <v>4000000</v>
      </c>
      <c r="F83" s="3">
        <v>30</v>
      </c>
      <c r="G83" s="3">
        <f t="shared" si="3"/>
        <v>4000000.0000000005</v>
      </c>
      <c r="H83" s="4"/>
      <c r="I83" s="4"/>
      <c r="J83" s="4"/>
      <c r="K83" s="4"/>
      <c r="L83" s="4"/>
      <c r="M83" s="4">
        <f t="shared" si="1"/>
        <v>4000000.0000000005</v>
      </c>
      <c r="N83" s="4">
        <f t="shared" si="35"/>
        <v>160000</v>
      </c>
      <c r="O83" s="4">
        <f>+E83*5%</f>
        <v>200000</v>
      </c>
      <c r="P83" s="4">
        <v>0</v>
      </c>
      <c r="Q83" s="4"/>
      <c r="R83" s="4">
        <v>0</v>
      </c>
      <c r="S83" s="4"/>
      <c r="T83" s="4"/>
      <c r="U83" s="4">
        <v>422966</v>
      </c>
      <c r="V83" s="4">
        <f t="shared" si="32"/>
        <v>782966</v>
      </c>
      <c r="W83" s="5">
        <f t="shared" si="33"/>
        <v>3217034.0000000005</v>
      </c>
    </row>
    <row r="84" spans="1:23" ht="24.95" customHeight="1" x14ac:dyDescent="0.25">
      <c r="A84" s="65"/>
      <c r="B84" s="2">
        <v>12</v>
      </c>
      <c r="C84" s="1" t="s">
        <v>96</v>
      </c>
      <c r="D84" s="1" t="s">
        <v>31</v>
      </c>
      <c r="E84" s="4">
        <v>1500000</v>
      </c>
      <c r="F84" s="3">
        <v>30</v>
      </c>
      <c r="G84" s="3">
        <f>+E84-J84</f>
        <v>1500000</v>
      </c>
      <c r="H84" s="4">
        <v>88211</v>
      </c>
      <c r="I84" s="4"/>
      <c r="J84" s="4"/>
      <c r="K84" s="4"/>
      <c r="L84" s="4"/>
      <c r="M84" s="4">
        <f t="shared" si="1"/>
        <v>1588211</v>
      </c>
      <c r="N84" s="4">
        <f>+E84*4%</f>
        <v>60000</v>
      </c>
      <c r="O84" s="4">
        <f>+E84*4%</f>
        <v>60000</v>
      </c>
      <c r="P84" s="4"/>
      <c r="Q84" s="4"/>
      <c r="R84" s="4">
        <v>0</v>
      </c>
      <c r="S84" s="4"/>
      <c r="T84" s="4"/>
      <c r="U84" s="4"/>
      <c r="V84" s="4">
        <f t="shared" si="32"/>
        <v>120000</v>
      </c>
      <c r="W84" s="5">
        <f t="shared" si="33"/>
        <v>1468211</v>
      </c>
    </row>
    <row r="85" spans="1:23" ht="24.95" customHeight="1" x14ac:dyDescent="0.25">
      <c r="A85" s="65"/>
      <c r="B85" s="2">
        <v>13</v>
      </c>
      <c r="C85" s="1" t="s">
        <v>97</v>
      </c>
      <c r="D85" s="1" t="s">
        <v>31</v>
      </c>
      <c r="E85" s="4">
        <v>3000000</v>
      </c>
      <c r="F85" s="3">
        <v>30</v>
      </c>
      <c r="G85" s="3">
        <f t="shared" si="3"/>
        <v>3000000</v>
      </c>
      <c r="H85" s="4"/>
      <c r="I85" s="4"/>
      <c r="J85" s="4"/>
      <c r="K85" s="4">
        <v>200000</v>
      </c>
      <c r="L85" s="4"/>
      <c r="M85" s="4">
        <f t="shared" si="1"/>
        <v>3200000</v>
      </c>
      <c r="N85" s="4">
        <f t="shared" si="35"/>
        <v>120000</v>
      </c>
      <c r="O85" s="4">
        <f>+E85*0.04</f>
        <v>120000</v>
      </c>
      <c r="P85" s="4"/>
      <c r="Q85" s="4"/>
      <c r="R85" s="4">
        <v>0</v>
      </c>
      <c r="S85" s="4"/>
      <c r="T85" s="4"/>
      <c r="U85" s="4"/>
      <c r="V85" s="4">
        <f t="shared" si="32"/>
        <v>240000</v>
      </c>
      <c r="W85" s="5">
        <f t="shared" si="33"/>
        <v>2960000</v>
      </c>
    </row>
    <row r="86" spans="1:23" ht="24.95" customHeight="1" x14ac:dyDescent="0.25">
      <c r="A86" s="65"/>
      <c r="B86" s="2">
        <v>14</v>
      </c>
      <c r="C86" s="1" t="s">
        <v>98</v>
      </c>
      <c r="D86" s="1" t="s">
        <v>31</v>
      </c>
      <c r="E86" s="4">
        <v>2000000</v>
      </c>
      <c r="F86" s="3">
        <v>30</v>
      </c>
      <c r="G86" s="3">
        <f t="shared" si="3"/>
        <v>2000000.0000000002</v>
      </c>
      <c r="H86" s="4"/>
      <c r="I86" s="4"/>
      <c r="J86" s="4"/>
      <c r="K86" s="4"/>
      <c r="L86" s="4"/>
      <c r="M86" s="4">
        <f t="shared" si="1"/>
        <v>2000000.0000000002</v>
      </c>
      <c r="N86" s="4">
        <f t="shared" si="35"/>
        <v>80000</v>
      </c>
      <c r="O86" s="4">
        <f>+E86*4%</f>
        <v>80000</v>
      </c>
      <c r="P86" s="4"/>
      <c r="Q86" s="4"/>
      <c r="R86" s="4">
        <v>0</v>
      </c>
      <c r="S86" s="4"/>
      <c r="T86" s="4"/>
      <c r="U86" s="4"/>
      <c r="V86" s="4">
        <f t="shared" si="32"/>
        <v>160000</v>
      </c>
      <c r="W86" s="5">
        <f t="shared" si="33"/>
        <v>1840000.0000000002</v>
      </c>
    </row>
    <row r="87" spans="1:23" ht="24.95" customHeight="1" x14ac:dyDescent="0.25">
      <c r="A87" s="65"/>
      <c r="B87" s="2">
        <v>15</v>
      </c>
      <c r="C87" s="9" t="s">
        <v>99</v>
      </c>
      <c r="D87" s="1" t="s">
        <v>31</v>
      </c>
      <c r="E87" s="4">
        <v>4500000</v>
      </c>
      <c r="F87" s="3">
        <v>30</v>
      </c>
      <c r="G87" s="3">
        <f t="shared" si="3"/>
        <v>4500000</v>
      </c>
      <c r="H87" s="4"/>
      <c r="I87" s="4"/>
      <c r="K87" s="4"/>
      <c r="L87" s="4"/>
      <c r="M87" s="4">
        <f>+G87+H87+I87+K87+L87</f>
        <v>4500000</v>
      </c>
      <c r="N87" s="4">
        <f>+M87*4%</f>
        <v>180000</v>
      </c>
      <c r="O87" s="4">
        <f>+M87*5%</f>
        <v>225000</v>
      </c>
      <c r="P87" s="4"/>
      <c r="Q87" s="4"/>
      <c r="R87" s="4">
        <v>0</v>
      </c>
      <c r="S87" s="4"/>
      <c r="T87" s="4"/>
      <c r="U87" s="4"/>
      <c r="V87" s="4">
        <f t="shared" si="32"/>
        <v>405000</v>
      </c>
      <c r="W87" s="5">
        <f t="shared" ref="W87:W96" si="37">M87-V87</f>
        <v>4095000</v>
      </c>
    </row>
    <row r="88" spans="1:23" ht="24.95" customHeight="1" x14ac:dyDescent="0.25">
      <c r="A88" s="65"/>
      <c r="B88" s="2">
        <v>16</v>
      </c>
      <c r="C88" s="1" t="s">
        <v>101</v>
      </c>
      <c r="D88" s="1" t="s">
        <v>31</v>
      </c>
      <c r="E88" s="4">
        <v>1000000</v>
      </c>
      <c r="F88" s="3">
        <v>30</v>
      </c>
      <c r="G88" s="3">
        <f t="shared" si="3"/>
        <v>1000000.0000000001</v>
      </c>
      <c r="H88" s="4">
        <v>88211</v>
      </c>
      <c r="I88" s="4"/>
      <c r="J88" s="4"/>
      <c r="K88" s="4"/>
      <c r="L88" s="4"/>
      <c r="M88" s="4">
        <f t="shared" si="1"/>
        <v>1088211</v>
      </c>
      <c r="N88" s="4">
        <f>+E88*4%</f>
        <v>40000</v>
      </c>
      <c r="O88" s="4">
        <f>+E88*4%</f>
        <v>40000</v>
      </c>
      <c r="P88" s="4"/>
      <c r="Q88" s="4"/>
      <c r="R88" s="4"/>
      <c r="S88" s="4"/>
      <c r="T88" s="4"/>
      <c r="U88" s="4">
        <v>194767</v>
      </c>
      <c r="V88" s="4">
        <f t="shared" si="32"/>
        <v>274767</v>
      </c>
      <c r="W88" s="5">
        <f t="shared" si="37"/>
        <v>813444</v>
      </c>
    </row>
    <row r="89" spans="1:23" ht="24.95" customHeight="1" x14ac:dyDescent="0.25">
      <c r="A89" s="65"/>
      <c r="B89" s="2">
        <v>17</v>
      </c>
      <c r="C89" s="1" t="s">
        <v>170</v>
      </c>
      <c r="D89" s="1" t="s">
        <v>31</v>
      </c>
      <c r="E89" s="4">
        <v>390621</v>
      </c>
      <c r="F89" s="3">
        <v>30</v>
      </c>
      <c r="G89" s="3">
        <f t="shared" si="3"/>
        <v>390621</v>
      </c>
      <c r="H89" s="4"/>
      <c r="I89" s="4"/>
      <c r="J89" s="4"/>
      <c r="K89" s="4"/>
      <c r="L89" s="4"/>
      <c r="M89" s="4">
        <f t="shared" si="1"/>
        <v>390621</v>
      </c>
      <c r="N89" s="4"/>
      <c r="O89" s="4"/>
      <c r="P89" s="4"/>
      <c r="Q89" s="4"/>
      <c r="R89" s="4"/>
      <c r="S89" s="4"/>
      <c r="T89" s="4"/>
      <c r="U89" s="4"/>
      <c r="V89" s="4"/>
      <c r="W89" s="5">
        <f t="shared" si="37"/>
        <v>390621</v>
      </c>
    </row>
    <row r="90" spans="1:23" ht="24.95" customHeight="1" x14ac:dyDescent="0.25">
      <c r="A90" s="65"/>
      <c r="B90" s="2">
        <v>18</v>
      </c>
      <c r="C90" s="1" t="s">
        <v>103</v>
      </c>
      <c r="D90" s="1" t="s">
        <v>31</v>
      </c>
      <c r="E90" s="4">
        <v>4800000</v>
      </c>
      <c r="F90" s="3">
        <v>30</v>
      </c>
      <c r="G90" s="3">
        <f t="shared" ref="G90:G121" si="38">+E90/30*F90</f>
        <v>4800000</v>
      </c>
      <c r="H90" s="4"/>
      <c r="I90" s="4"/>
      <c r="J90" s="4"/>
      <c r="K90" s="4"/>
      <c r="L90" s="4"/>
      <c r="M90" s="4">
        <f t="shared" ref="M90:M122" si="39">+G90+H90+J90+K90+L90+I90</f>
        <v>4800000</v>
      </c>
      <c r="N90" s="4">
        <f>+E90*0.04</f>
        <v>192000</v>
      </c>
      <c r="O90" s="4">
        <f>+E90*0.05</f>
        <v>240000</v>
      </c>
      <c r="P90" s="4"/>
      <c r="Q90" s="4"/>
      <c r="R90" s="4">
        <v>31000</v>
      </c>
      <c r="S90" s="4"/>
      <c r="T90" s="4"/>
      <c r="U90" s="4"/>
      <c r="V90" s="4">
        <f t="shared" si="32"/>
        <v>463000</v>
      </c>
      <c r="W90" s="5">
        <f t="shared" si="37"/>
        <v>4337000</v>
      </c>
    </row>
    <row r="91" spans="1:23" ht="24.95" customHeight="1" x14ac:dyDescent="0.25">
      <c r="A91" s="65"/>
      <c r="B91" s="2">
        <v>19</v>
      </c>
      <c r="C91" s="1" t="s">
        <v>104</v>
      </c>
      <c r="D91" s="1" t="s">
        <v>31</v>
      </c>
      <c r="E91" s="4">
        <v>2500000</v>
      </c>
      <c r="F91" s="3">
        <v>30</v>
      </c>
      <c r="G91" s="3">
        <f t="shared" si="38"/>
        <v>2500000</v>
      </c>
      <c r="H91" s="4"/>
      <c r="I91" s="4"/>
      <c r="J91" s="4"/>
      <c r="K91" s="4"/>
      <c r="L91" s="4"/>
      <c r="M91" s="4">
        <f t="shared" si="39"/>
        <v>2500000</v>
      </c>
      <c r="N91" s="4">
        <f>+E91*4%</f>
        <v>100000</v>
      </c>
      <c r="O91" s="4">
        <f>+E91*4%</f>
        <v>100000</v>
      </c>
      <c r="P91" s="4"/>
      <c r="Q91" s="4"/>
      <c r="R91" s="4"/>
      <c r="S91" s="4"/>
      <c r="T91" s="4"/>
      <c r="U91" s="4"/>
      <c r="V91" s="4">
        <f t="shared" si="32"/>
        <v>200000</v>
      </c>
      <c r="W91" s="5">
        <f t="shared" si="37"/>
        <v>2300000</v>
      </c>
    </row>
    <row r="92" spans="1:23" ht="24.95" customHeight="1" x14ac:dyDescent="0.25">
      <c r="A92" s="65"/>
      <c r="B92" s="2">
        <v>20</v>
      </c>
      <c r="C92" s="1" t="s">
        <v>105</v>
      </c>
      <c r="D92" s="1" t="s">
        <v>31</v>
      </c>
      <c r="E92" s="4">
        <v>1272000</v>
      </c>
      <c r="F92" s="3">
        <v>30</v>
      </c>
      <c r="G92" s="3">
        <f t="shared" si="38"/>
        <v>1272000</v>
      </c>
      <c r="H92" s="4">
        <v>88211</v>
      </c>
      <c r="I92" s="4"/>
      <c r="J92" s="4"/>
      <c r="K92" s="4"/>
      <c r="L92" s="4"/>
      <c r="M92" s="4">
        <f t="shared" si="39"/>
        <v>1360211</v>
      </c>
      <c r="N92" s="4">
        <f>+E92*4%</f>
        <v>50880</v>
      </c>
      <c r="O92" s="4">
        <f>+E92*4%</f>
        <v>50880</v>
      </c>
      <c r="P92" s="4"/>
      <c r="Q92" s="4"/>
      <c r="R92" s="4"/>
      <c r="S92" s="4"/>
      <c r="T92" s="4"/>
      <c r="U92" s="4"/>
      <c r="V92" s="4">
        <f t="shared" si="32"/>
        <v>101760</v>
      </c>
      <c r="W92" s="5">
        <f t="shared" si="37"/>
        <v>1258451</v>
      </c>
    </row>
    <row r="93" spans="1:23" ht="24.95" customHeight="1" x14ac:dyDescent="0.25">
      <c r="A93" s="65"/>
      <c r="B93" s="2">
        <v>21</v>
      </c>
      <c r="C93" s="1" t="s">
        <v>106</v>
      </c>
      <c r="D93" s="1" t="s">
        <v>31</v>
      </c>
      <c r="E93" s="4">
        <v>2500000</v>
      </c>
      <c r="F93" s="3">
        <v>30</v>
      </c>
      <c r="G93" s="3">
        <f>+E93-L93</f>
        <v>1916667</v>
      </c>
      <c r="H93" s="4"/>
      <c r="I93" s="4"/>
      <c r="J93" s="4"/>
      <c r="K93" s="4"/>
      <c r="L93" s="4">
        <v>583333</v>
      </c>
      <c r="M93" s="4">
        <f t="shared" si="39"/>
        <v>2500000</v>
      </c>
      <c r="N93" s="4">
        <f>+E93*4%</f>
        <v>100000</v>
      </c>
      <c r="O93" s="4">
        <f>+E93*4%</f>
        <v>100000</v>
      </c>
      <c r="P93" s="4"/>
      <c r="Q93" s="4"/>
      <c r="R93" s="4">
        <v>0</v>
      </c>
      <c r="S93" s="4"/>
      <c r="T93" s="4"/>
      <c r="U93" s="4"/>
      <c r="V93" s="4">
        <f t="shared" si="32"/>
        <v>200000</v>
      </c>
      <c r="W93" s="5">
        <f t="shared" si="37"/>
        <v>2300000</v>
      </c>
    </row>
    <row r="94" spans="1:23" ht="24.95" customHeight="1" x14ac:dyDescent="0.25">
      <c r="A94" s="65"/>
      <c r="B94" s="2">
        <v>22</v>
      </c>
      <c r="C94" s="1" t="s">
        <v>107</v>
      </c>
      <c r="D94" s="1" t="s">
        <v>31</v>
      </c>
      <c r="E94" s="4">
        <v>781242</v>
      </c>
      <c r="F94" s="3">
        <v>30</v>
      </c>
      <c r="G94" s="3">
        <f t="shared" si="38"/>
        <v>781242</v>
      </c>
      <c r="H94" s="4"/>
      <c r="I94" s="4"/>
      <c r="J94" s="4"/>
      <c r="K94" s="4"/>
      <c r="L94" s="4"/>
      <c r="M94" s="4">
        <f t="shared" si="39"/>
        <v>781242</v>
      </c>
      <c r="N94" s="4"/>
      <c r="O94" s="4"/>
      <c r="P94" s="4"/>
      <c r="Q94" s="4"/>
      <c r="R94" s="4"/>
      <c r="S94" s="4"/>
      <c r="T94" s="4"/>
      <c r="U94" s="4"/>
      <c r="V94" s="4">
        <f t="shared" si="32"/>
        <v>0</v>
      </c>
      <c r="W94" s="5">
        <f t="shared" si="37"/>
        <v>781242</v>
      </c>
    </row>
    <row r="95" spans="1:23" ht="24.95" customHeight="1" x14ac:dyDescent="0.25">
      <c r="A95" s="65"/>
      <c r="B95" s="2">
        <v>23</v>
      </c>
      <c r="C95" s="9" t="s">
        <v>109</v>
      </c>
      <c r="D95" s="1" t="s">
        <v>31</v>
      </c>
      <c r="E95" s="4">
        <v>3000000</v>
      </c>
      <c r="F95" s="3">
        <v>29</v>
      </c>
      <c r="G95" s="3">
        <f t="shared" si="38"/>
        <v>2900000</v>
      </c>
      <c r="H95" s="4"/>
      <c r="I95" s="4"/>
      <c r="J95" s="4"/>
      <c r="K95" s="4"/>
      <c r="L95" s="4">
        <v>100000</v>
      </c>
      <c r="M95" s="4">
        <f t="shared" si="39"/>
        <v>3000000</v>
      </c>
      <c r="N95" s="4">
        <f t="shared" ref="N95:N103" si="40">+E95*4%</f>
        <v>120000</v>
      </c>
      <c r="O95" s="4">
        <f>+E95*4%</f>
        <v>120000</v>
      </c>
      <c r="P95" s="4"/>
      <c r="Q95" s="4"/>
      <c r="R95" s="4"/>
      <c r="S95" s="4"/>
      <c r="T95" s="4"/>
      <c r="U95" s="4"/>
      <c r="V95" s="4">
        <f t="shared" si="32"/>
        <v>240000</v>
      </c>
      <c r="W95" s="5">
        <f t="shared" si="37"/>
        <v>2760000</v>
      </c>
    </row>
    <row r="96" spans="1:23" ht="24.95" customHeight="1" x14ac:dyDescent="0.25">
      <c r="A96" s="65"/>
      <c r="B96" s="2">
        <v>24</v>
      </c>
      <c r="C96" s="9" t="s">
        <v>110</v>
      </c>
      <c r="D96" s="1" t="s">
        <v>31</v>
      </c>
      <c r="E96" s="4">
        <v>2400000</v>
      </c>
      <c r="F96" s="3">
        <v>30</v>
      </c>
      <c r="G96" s="3">
        <f t="shared" si="38"/>
        <v>2400000</v>
      </c>
      <c r="H96" s="4"/>
      <c r="I96" s="4"/>
      <c r="J96" s="4"/>
      <c r="K96" s="4"/>
      <c r="L96" s="4">
        <f>+E96-G96</f>
        <v>0</v>
      </c>
      <c r="M96" s="4">
        <f t="shared" si="39"/>
        <v>2400000</v>
      </c>
      <c r="N96" s="4">
        <f t="shared" si="40"/>
        <v>96000</v>
      </c>
      <c r="O96" s="4">
        <f>+E96*4%</f>
        <v>96000</v>
      </c>
      <c r="P96" s="4"/>
      <c r="Q96" s="4"/>
      <c r="R96" s="4"/>
      <c r="S96" s="4"/>
      <c r="T96" s="4"/>
      <c r="U96" s="4">
        <v>242074</v>
      </c>
      <c r="V96" s="4">
        <f t="shared" si="32"/>
        <v>434074</v>
      </c>
      <c r="W96" s="5">
        <f t="shared" si="37"/>
        <v>1965926</v>
      </c>
    </row>
    <row r="97" spans="1:23" ht="24.95" customHeight="1" x14ac:dyDescent="0.25">
      <c r="A97" s="65"/>
      <c r="B97" s="2">
        <v>25</v>
      </c>
      <c r="C97" s="1" t="s">
        <v>111</v>
      </c>
      <c r="D97" s="1" t="s">
        <v>31</v>
      </c>
      <c r="E97" s="4">
        <v>2200000</v>
      </c>
      <c r="F97" s="3">
        <v>30</v>
      </c>
      <c r="G97" s="3">
        <f t="shared" si="38"/>
        <v>2200000</v>
      </c>
      <c r="H97" s="4"/>
      <c r="I97" s="4"/>
      <c r="J97" s="4"/>
      <c r="K97" s="4"/>
      <c r="L97" s="4"/>
      <c r="M97" s="4">
        <f t="shared" si="39"/>
        <v>2200000</v>
      </c>
      <c r="N97" s="4">
        <f t="shared" si="40"/>
        <v>88000</v>
      </c>
      <c r="O97" s="4">
        <f>+E97*4%</f>
        <v>88000</v>
      </c>
      <c r="P97" s="4"/>
      <c r="Q97" s="4"/>
      <c r="R97" s="4">
        <v>0</v>
      </c>
      <c r="S97" s="4"/>
      <c r="T97" s="4"/>
      <c r="U97" s="4"/>
      <c r="V97" s="4">
        <f t="shared" si="32"/>
        <v>176000</v>
      </c>
      <c r="W97" s="5">
        <f>+M97-V97</f>
        <v>2024000</v>
      </c>
    </row>
    <row r="98" spans="1:23" ht="24.95" customHeight="1" x14ac:dyDescent="0.25">
      <c r="A98" s="65"/>
      <c r="B98" s="2">
        <v>26</v>
      </c>
      <c r="C98" s="1" t="s">
        <v>114</v>
      </c>
      <c r="D98" s="1" t="s">
        <v>31</v>
      </c>
      <c r="E98" s="4">
        <v>5500000</v>
      </c>
      <c r="F98" s="3">
        <v>30</v>
      </c>
      <c r="G98" s="3">
        <f>+E98-L98</f>
        <v>5500000</v>
      </c>
      <c r="H98" s="4"/>
      <c r="I98" s="4"/>
      <c r="J98" s="4"/>
      <c r="K98" s="4">
        <v>500000</v>
      </c>
      <c r="L98" s="4"/>
      <c r="M98" s="4">
        <f t="shared" si="39"/>
        <v>6000000</v>
      </c>
      <c r="N98" s="4">
        <f>+E98*4%</f>
        <v>220000</v>
      </c>
      <c r="O98" s="4">
        <f>+E98*5%</f>
        <v>275000</v>
      </c>
      <c r="P98" s="4"/>
      <c r="Q98" s="4">
        <v>490000</v>
      </c>
      <c r="R98" s="7">
        <v>69147</v>
      </c>
      <c r="S98" s="4"/>
      <c r="T98" s="4"/>
      <c r="U98" s="4">
        <v>480989</v>
      </c>
      <c r="V98" s="4">
        <f t="shared" si="32"/>
        <v>1535136</v>
      </c>
      <c r="W98" s="5">
        <f t="shared" ref="W98:W102" si="41">+M98-V98</f>
        <v>4464864</v>
      </c>
    </row>
    <row r="99" spans="1:23" ht="24.95" customHeight="1" x14ac:dyDescent="0.25">
      <c r="A99" s="65"/>
      <c r="B99" s="2">
        <v>27</v>
      </c>
      <c r="C99" s="1" t="s">
        <v>188</v>
      </c>
      <c r="D99" s="1"/>
      <c r="E99" s="4">
        <v>781242</v>
      </c>
      <c r="F99" s="3">
        <v>8</v>
      </c>
      <c r="G99" s="3">
        <f t="shared" si="38"/>
        <v>208331.2</v>
      </c>
      <c r="H99" s="4">
        <f>+((88211/30)*F99)</f>
        <v>23522.933333333334</v>
      </c>
      <c r="I99" s="4"/>
      <c r="J99" s="4"/>
      <c r="K99" s="4"/>
      <c r="L99" s="4"/>
      <c r="M99" s="4">
        <f>+G99+H99+J99+K99+L99+I99</f>
        <v>231854.13333333336</v>
      </c>
      <c r="N99" s="4">
        <f>+G99*4%</f>
        <v>8333.2480000000014</v>
      </c>
      <c r="O99" s="4">
        <f>+G99*4%</f>
        <v>8333.2480000000014</v>
      </c>
      <c r="P99" s="4"/>
      <c r="Q99" s="4"/>
      <c r="R99" s="7"/>
      <c r="S99" s="4"/>
      <c r="T99" s="4"/>
      <c r="U99" s="4"/>
      <c r="V99" s="4">
        <f t="shared" si="32"/>
        <v>16666.496000000003</v>
      </c>
      <c r="W99" s="5">
        <f t="shared" si="41"/>
        <v>215187.63733333335</v>
      </c>
    </row>
    <row r="100" spans="1:23" ht="24.95" customHeight="1" x14ac:dyDescent="0.25">
      <c r="A100" s="65"/>
      <c r="B100" s="2">
        <v>28</v>
      </c>
      <c r="C100" s="1" t="s">
        <v>116</v>
      </c>
      <c r="D100" s="1" t="s">
        <v>31</v>
      </c>
      <c r="E100" s="4">
        <v>781242</v>
      </c>
      <c r="F100" s="3">
        <v>30</v>
      </c>
      <c r="G100" s="3">
        <f t="shared" si="38"/>
        <v>781242</v>
      </c>
      <c r="H100" s="4">
        <v>88211</v>
      </c>
      <c r="I100" s="4"/>
      <c r="J100" s="4"/>
      <c r="K100" s="4"/>
      <c r="L100" s="4"/>
      <c r="M100" s="4">
        <f t="shared" si="39"/>
        <v>869453</v>
      </c>
      <c r="N100" s="4">
        <f t="shared" si="40"/>
        <v>31249.68</v>
      </c>
      <c r="O100" s="4">
        <f>+E100*4%</f>
        <v>31249.68</v>
      </c>
      <c r="P100" s="4"/>
      <c r="Q100" s="4"/>
      <c r="R100" s="7"/>
      <c r="S100" s="4"/>
      <c r="T100" s="4"/>
      <c r="U100" s="4"/>
      <c r="V100" s="4">
        <f t="shared" si="32"/>
        <v>62499.360000000001</v>
      </c>
      <c r="W100" s="5">
        <f t="shared" si="41"/>
        <v>806953.64</v>
      </c>
    </row>
    <row r="101" spans="1:23" ht="24.95" customHeight="1" x14ac:dyDescent="0.25">
      <c r="A101" s="65"/>
      <c r="B101" s="2">
        <v>29</v>
      </c>
      <c r="C101" s="1" t="s">
        <v>61</v>
      </c>
      <c r="D101" s="1" t="s">
        <v>31</v>
      </c>
      <c r="E101" s="4">
        <v>3500000</v>
      </c>
      <c r="F101" s="3">
        <v>30</v>
      </c>
      <c r="G101" s="3">
        <f>+E101-L101</f>
        <v>3500000</v>
      </c>
      <c r="H101" s="4"/>
      <c r="I101" s="4"/>
      <c r="J101" s="4"/>
      <c r="K101" s="4"/>
      <c r="L101" s="4"/>
      <c r="M101" s="4">
        <f>+G101+H101+J101+K101+L101+I101</f>
        <v>3500000</v>
      </c>
      <c r="N101" s="4">
        <f t="shared" ref="N101" si="42">E101*4/100</f>
        <v>140000</v>
      </c>
      <c r="O101" s="4">
        <f t="shared" ref="O101" si="43">+E101*0.05</f>
        <v>175000</v>
      </c>
      <c r="P101" s="4"/>
      <c r="Q101" s="4"/>
      <c r="R101" s="7">
        <v>0</v>
      </c>
      <c r="S101" s="4"/>
      <c r="T101" s="4">
        <v>111000</v>
      </c>
      <c r="U101" s="4"/>
      <c r="V101" s="4">
        <f t="shared" si="32"/>
        <v>426000</v>
      </c>
      <c r="W101" s="5">
        <f>M101-V101</f>
        <v>3074000</v>
      </c>
    </row>
    <row r="102" spans="1:23" ht="24.95" customHeight="1" x14ac:dyDescent="0.25">
      <c r="A102" s="65"/>
      <c r="B102" s="2">
        <v>30</v>
      </c>
      <c r="C102" s="1" t="s">
        <v>118</v>
      </c>
      <c r="D102" s="1" t="s">
        <v>31</v>
      </c>
      <c r="E102" s="4">
        <v>2200000</v>
      </c>
      <c r="F102" s="3">
        <v>30</v>
      </c>
      <c r="G102" s="3">
        <f t="shared" si="38"/>
        <v>2200000</v>
      </c>
      <c r="H102" s="4"/>
      <c r="I102" s="4"/>
      <c r="J102" s="4"/>
      <c r="K102" s="4"/>
      <c r="L102" s="4"/>
      <c r="M102" s="4">
        <f t="shared" si="39"/>
        <v>2200000</v>
      </c>
      <c r="N102" s="4">
        <f t="shared" si="40"/>
        <v>88000</v>
      </c>
      <c r="O102" s="4">
        <f>+E102*4%</f>
        <v>88000</v>
      </c>
      <c r="P102" s="4"/>
      <c r="Q102" s="4"/>
      <c r="R102" s="7">
        <v>0</v>
      </c>
      <c r="S102" s="4"/>
      <c r="T102" s="4"/>
      <c r="U102" s="4"/>
      <c r="V102" s="4">
        <f t="shared" si="32"/>
        <v>176000</v>
      </c>
      <c r="W102" s="5">
        <f t="shared" si="41"/>
        <v>2024000</v>
      </c>
    </row>
    <row r="103" spans="1:23" ht="24.95" customHeight="1" x14ac:dyDescent="0.25">
      <c r="A103" s="65"/>
      <c r="B103" s="2">
        <v>31</v>
      </c>
      <c r="C103" s="1" t="s">
        <v>122</v>
      </c>
      <c r="D103" s="1" t="s">
        <v>31</v>
      </c>
      <c r="E103" s="4">
        <v>3500000</v>
      </c>
      <c r="F103" s="3">
        <v>30</v>
      </c>
      <c r="G103" s="3">
        <f t="shared" si="38"/>
        <v>3500000</v>
      </c>
      <c r="H103" s="4"/>
      <c r="I103" s="4"/>
      <c r="J103" s="4"/>
      <c r="K103" s="4"/>
      <c r="L103" s="4"/>
      <c r="M103" s="4">
        <f t="shared" si="39"/>
        <v>3500000</v>
      </c>
      <c r="N103" s="4">
        <f t="shared" si="40"/>
        <v>140000</v>
      </c>
      <c r="O103" s="4">
        <f>+E103*5%</f>
        <v>175000</v>
      </c>
      <c r="P103" s="4">
        <v>0</v>
      </c>
      <c r="Q103" s="4"/>
      <c r="R103" s="4">
        <v>0</v>
      </c>
      <c r="S103" s="4"/>
      <c r="T103" s="4"/>
      <c r="U103" s="4"/>
      <c r="V103" s="4">
        <f t="shared" si="32"/>
        <v>315000</v>
      </c>
      <c r="W103" s="5">
        <f t="shared" ref="W103:W107" si="44">M103-V103</f>
        <v>3185000</v>
      </c>
    </row>
    <row r="104" spans="1:23" ht="24.95" customHeight="1" x14ac:dyDescent="0.25">
      <c r="A104" s="65"/>
      <c r="B104" s="2">
        <v>32</v>
      </c>
      <c r="C104" s="9" t="s">
        <v>124</v>
      </c>
      <c r="D104" s="1" t="s">
        <v>31</v>
      </c>
      <c r="E104" s="4">
        <v>781242</v>
      </c>
      <c r="F104" s="3">
        <v>30</v>
      </c>
      <c r="G104" s="3">
        <f>+E104</f>
        <v>781242</v>
      </c>
      <c r="H104" s="4">
        <v>88211</v>
      </c>
      <c r="I104" s="4">
        <v>83816</v>
      </c>
      <c r="J104" s="4"/>
      <c r="K104" s="4"/>
      <c r="L104" s="4"/>
      <c r="M104" s="4">
        <f>+G104+H104+J104+K104+L104+I104</f>
        <v>953269</v>
      </c>
      <c r="N104" s="4">
        <f>+E104*0.04</f>
        <v>31249.68</v>
      </c>
      <c r="O104" s="4">
        <f>+E104*0.04</f>
        <v>31249.68</v>
      </c>
      <c r="P104" s="4"/>
      <c r="Q104" s="4"/>
      <c r="R104" s="4">
        <v>0</v>
      </c>
      <c r="S104" s="4"/>
      <c r="T104" s="4"/>
      <c r="U104" s="4"/>
      <c r="V104" s="4">
        <f t="shared" si="32"/>
        <v>62499.360000000001</v>
      </c>
      <c r="W104" s="5">
        <f t="shared" si="44"/>
        <v>890769.64</v>
      </c>
    </row>
    <row r="105" spans="1:23" ht="24.95" customHeight="1" x14ac:dyDescent="0.25">
      <c r="A105" s="65"/>
      <c r="B105" s="2">
        <v>33</v>
      </c>
      <c r="C105" s="1" t="s">
        <v>157</v>
      </c>
      <c r="D105" s="1" t="s">
        <v>31</v>
      </c>
      <c r="E105" s="4">
        <v>781242</v>
      </c>
      <c r="F105" s="3">
        <v>30</v>
      </c>
      <c r="G105" s="3">
        <f t="shared" ref="G105" si="45">+E105/30*F105</f>
        <v>781242</v>
      </c>
      <c r="H105" s="4"/>
      <c r="I105" s="4"/>
      <c r="J105" s="4"/>
      <c r="K105" s="4"/>
      <c r="L105" s="4"/>
      <c r="M105" s="4">
        <f t="shared" ref="M105" si="46">+G105+H105+J105+K105+L105+I105</f>
        <v>781242</v>
      </c>
      <c r="N105" s="4">
        <v>0</v>
      </c>
      <c r="O105" s="4">
        <v>0</v>
      </c>
      <c r="P105" s="4">
        <v>0</v>
      </c>
      <c r="Q105" s="4"/>
      <c r="R105" s="4">
        <v>0</v>
      </c>
      <c r="S105" s="4"/>
      <c r="T105" s="4"/>
      <c r="U105" s="4"/>
      <c r="V105" s="4">
        <f t="shared" ref="V105" si="47">SUM(N105:U105)</f>
        <v>0</v>
      </c>
      <c r="W105" s="5">
        <f t="shared" si="44"/>
        <v>781242</v>
      </c>
    </row>
    <row r="106" spans="1:23" ht="24.95" customHeight="1" x14ac:dyDescent="0.25">
      <c r="A106" s="65"/>
      <c r="B106" s="2">
        <v>34</v>
      </c>
      <c r="C106" s="9" t="s">
        <v>125</v>
      </c>
      <c r="D106" s="1" t="s">
        <v>31</v>
      </c>
      <c r="E106" s="4">
        <v>2100000</v>
      </c>
      <c r="F106" s="3">
        <v>30</v>
      </c>
      <c r="G106" s="3">
        <f>+E106-L106</f>
        <v>2100000</v>
      </c>
      <c r="H106" s="4"/>
      <c r="I106" s="4"/>
      <c r="J106" s="4"/>
      <c r="K106" s="4"/>
      <c r="L106" s="4"/>
      <c r="M106" s="4">
        <f t="shared" si="39"/>
        <v>2100000</v>
      </c>
      <c r="N106" s="4">
        <f>+E106*0.04</f>
        <v>84000</v>
      </c>
      <c r="O106" s="4">
        <f>+E106*0.04</f>
        <v>84000</v>
      </c>
      <c r="P106" s="4"/>
      <c r="Q106" s="4"/>
      <c r="R106" s="4">
        <v>0</v>
      </c>
      <c r="S106" s="4"/>
      <c r="T106" s="4"/>
      <c r="U106" s="4"/>
      <c r="V106" s="4">
        <f t="shared" si="32"/>
        <v>168000</v>
      </c>
      <c r="W106" s="5">
        <f t="shared" si="44"/>
        <v>1932000</v>
      </c>
    </row>
    <row r="107" spans="1:23" ht="24.95" customHeight="1" x14ac:dyDescent="0.25">
      <c r="A107" s="65"/>
      <c r="B107" s="2">
        <v>35</v>
      </c>
      <c r="C107" s="9" t="s">
        <v>127</v>
      </c>
      <c r="D107" s="1" t="s">
        <v>31</v>
      </c>
      <c r="E107" s="4">
        <v>781242</v>
      </c>
      <c r="F107" s="3">
        <v>30</v>
      </c>
      <c r="G107" s="3">
        <f t="shared" si="38"/>
        <v>781242</v>
      </c>
      <c r="H107" s="4">
        <v>88211</v>
      </c>
      <c r="I107" s="4"/>
      <c r="J107" s="4"/>
      <c r="K107" s="4"/>
      <c r="L107" s="4"/>
      <c r="M107" s="4">
        <f t="shared" si="39"/>
        <v>869453</v>
      </c>
      <c r="N107" s="4">
        <f>+E107*4%</f>
        <v>31249.68</v>
      </c>
      <c r="O107" s="4">
        <f>+E107*4%</f>
        <v>31249.68</v>
      </c>
      <c r="P107" s="4"/>
      <c r="Q107" s="4"/>
      <c r="R107" s="4"/>
      <c r="S107" s="4"/>
      <c r="T107" s="4"/>
      <c r="U107" s="4"/>
      <c r="V107" s="4">
        <f t="shared" si="32"/>
        <v>62499.360000000001</v>
      </c>
      <c r="W107" s="5">
        <f t="shared" si="44"/>
        <v>806953.64</v>
      </c>
    </row>
    <row r="108" spans="1:23" ht="24.95" customHeight="1" x14ac:dyDescent="0.25">
      <c r="A108" s="65"/>
      <c r="B108" s="2">
        <v>36</v>
      </c>
      <c r="C108" s="1" t="s">
        <v>128</v>
      </c>
      <c r="D108" s="1" t="s">
        <v>31</v>
      </c>
      <c r="E108" s="4">
        <v>15400000</v>
      </c>
      <c r="F108" s="3">
        <v>30</v>
      </c>
      <c r="G108" s="3">
        <f t="shared" si="38"/>
        <v>15400000</v>
      </c>
      <c r="H108" s="4"/>
      <c r="I108" s="4"/>
      <c r="J108" s="4"/>
      <c r="K108" s="4">
        <v>600000</v>
      </c>
      <c r="L108" s="4">
        <f>+E108-G108</f>
        <v>0</v>
      </c>
      <c r="M108" s="4">
        <f t="shared" si="39"/>
        <v>16000000</v>
      </c>
      <c r="N108" s="4">
        <v>616000</v>
      </c>
      <c r="O108" s="4">
        <f>616000+308000</f>
        <v>924000</v>
      </c>
      <c r="P108" s="4">
        <v>112700</v>
      </c>
      <c r="Q108" s="4">
        <v>228000</v>
      </c>
      <c r="R108" s="4">
        <v>916000</v>
      </c>
      <c r="S108" s="4">
        <v>5000000</v>
      </c>
      <c r="T108" s="4"/>
      <c r="U108" s="4">
        <v>2314715</v>
      </c>
      <c r="V108" s="4">
        <f t="shared" si="32"/>
        <v>10111415</v>
      </c>
      <c r="W108" s="5">
        <f>+M108-V108</f>
        <v>5888585</v>
      </c>
    </row>
    <row r="109" spans="1:23" ht="24.95" customHeight="1" x14ac:dyDescent="0.25">
      <c r="A109" s="65"/>
      <c r="B109" s="2">
        <v>37</v>
      </c>
      <c r="C109" s="1" t="s">
        <v>129</v>
      </c>
      <c r="D109" s="1" t="s">
        <v>31</v>
      </c>
      <c r="E109" s="4">
        <v>5500000</v>
      </c>
      <c r="F109" s="3">
        <v>30</v>
      </c>
      <c r="G109" s="3">
        <f t="shared" si="38"/>
        <v>5500000</v>
      </c>
      <c r="H109" s="4"/>
      <c r="I109" s="4"/>
      <c r="J109" s="4">
        <v>122430</v>
      </c>
      <c r="K109" s="4">
        <v>500000</v>
      </c>
      <c r="L109" s="4">
        <f>+E109-G109</f>
        <v>0</v>
      </c>
      <c r="M109" s="4">
        <f t="shared" si="39"/>
        <v>6122430</v>
      </c>
      <c r="N109" s="4">
        <f>+E109*0.04</f>
        <v>220000</v>
      </c>
      <c r="O109" s="4">
        <f>+E109*0.05</f>
        <v>275000</v>
      </c>
      <c r="P109" s="4"/>
      <c r="Q109" s="4"/>
      <c r="R109" s="4">
        <v>120000</v>
      </c>
      <c r="S109" s="4"/>
      <c r="T109" s="4"/>
      <c r="U109" s="4">
        <f>979498+371043</f>
        <v>1350541</v>
      </c>
      <c r="V109" s="4">
        <f t="shared" si="32"/>
        <v>1965541</v>
      </c>
      <c r="W109" s="5">
        <f>+M109-V109</f>
        <v>4156889</v>
      </c>
    </row>
    <row r="110" spans="1:23" ht="24.95" customHeight="1" x14ac:dyDescent="0.25">
      <c r="A110" s="65"/>
      <c r="B110" s="2">
        <v>38</v>
      </c>
      <c r="C110" s="1" t="s">
        <v>130</v>
      </c>
      <c r="D110" s="1" t="s">
        <v>31</v>
      </c>
      <c r="E110" s="4">
        <v>1800000</v>
      </c>
      <c r="F110" s="3">
        <v>30</v>
      </c>
      <c r="G110" s="3">
        <f t="shared" si="38"/>
        <v>1800000</v>
      </c>
      <c r="H110" s="4"/>
      <c r="I110" s="4"/>
      <c r="J110" s="4"/>
      <c r="K110" s="4">
        <v>200000</v>
      </c>
      <c r="L110" s="4">
        <f>+E110-G110</f>
        <v>0</v>
      </c>
      <c r="M110" s="4">
        <f t="shared" si="39"/>
        <v>2000000</v>
      </c>
      <c r="N110" s="4">
        <f>+E110*4%</f>
        <v>72000</v>
      </c>
      <c r="O110" s="4">
        <f>+E110*4%</f>
        <v>72000</v>
      </c>
      <c r="P110" s="4"/>
      <c r="Q110" s="4"/>
      <c r="R110" s="4"/>
      <c r="S110" s="4"/>
      <c r="T110" s="4"/>
      <c r="U110" s="4"/>
      <c r="V110" s="4">
        <f t="shared" si="32"/>
        <v>144000</v>
      </c>
      <c r="W110" s="5">
        <f>+M110-V110</f>
        <v>1856000</v>
      </c>
    </row>
    <row r="111" spans="1:23" ht="24.95" customHeight="1" x14ac:dyDescent="0.25">
      <c r="A111" s="65"/>
      <c r="B111" s="2">
        <v>39</v>
      </c>
      <c r="C111" s="9" t="s">
        <v>132</v>
      </c>
      <c r="D111" s="1" t="s">
        <v>31</v>
      </c>
      <c r="E111" s="4">
        <v>4000000</v>
      </c>
      <c r="F111" s="3">
        <v>30</v>
      </c>
      <c r="G111" s="3">
        <f t="shared" si="38"/>
        <v>4000000.0000000005</v>
      </c>
      <c r="H111" s="4"/>
      <c r="I111" s="4"/>
      <c r="K111" s="4"/>
      <c r="L111" s="4"/>
      <c r="M111" s="4">
        <f>+G111+H111+I111+K111+L111</f>
        <v>4000000.0000000005</v>
      </c>
      <c r="N111" s="4">
        <f>+M111*0.04</f>
        <v>160000.00000000003</v>
      </c>
      <c r="O111" s="4">
        <f>+M111*0.05</f>
        <v>200000.00000000003</v>
      </c>
      <c r="P111" s="4"/>
      <c r="Q111" s="4"/>
      <c r="R111" s="4">
        <v>0</v>
      </c>
      <c r="S111" s="4"/>
      <c r="T111" s="4"/>
      <c r="U111" s="4">
        <v>514771</v>
      </c>
      <c r="V111" s="4">
        <f t="shared" si="32"/>
        <v>874771</v>
      </c>
      <c r="W111" s="5">
        <f>M111-V111</f>
        <v>3125229.0000000005</v>
      </c>
    </row>
    <row r="112" spans="1:23" ht="24.95" customHeight="1" x14ac:dyDescent="0.25">
      <c r="A112" s="65"/>
      <c r="B112" s="2">
        <v>40</v>
      </c>
      <c r="C112" s="1" t="s">
        <v>135</v>
      </c>
      <c r="D112" s="1" t="s">
        <v>31</v>
      </c>
      <c r="E112" s="4">
        <v>3850220</v>
      </c>
      <c r="F112" s="3">
        <v>30</v>
      </c>
      <c r="G112" s="3">
        <f t="shared" si="38"/>
        <v>3850220</v>
      </c>
      <c r="H112" s="4"/>
      <c r="I112" s="4"/>
      <c r="J112" s="4"/>
      <c r="K112" s="4">
        <v>676390</v>
      </c>
      <c r="L112" s="4">
        <v>0</v>
      </c>
      <c r="M112" s="4">
        <f t="shared" si="39"/>
        <v>4526610</v>
      </c>
      <c r="N112" s="4">
        <f>+E112*4%</f>
        <v>154008.80000000002</v>
      </c>
      <c r="O112" s="4">
        <f>+E112*5%</f>
        <v>192511</v>
      </c>
      <c r="P112" s="4"/>
      <c r="Q112" s="4"/>
      <c r="R112" s="4"/>
      <c r="S112" s="4"/>
      <c r="T112" s="4"/>
      <c r="U112" s="4"/>
      <c r="V112" s="4">
        <f t="shared" si="32"/>
        <v>346519.80000000005</v>
      </c>
      <c r="W112" s="5">
        <f>+M112-V112</f>
        <v>4180090.2</v>
      </c>
    </row>
    <row r="113" spans="1:25" ht="24.95" customHeight="1" x14ac:dyDescent="0.25">
      <c r="A113" s="65"/>
      <c r="B113" s="2">
        <v>41</v>
      </c>
      <c r="C113" s="1" t="s">
        <v>136</v>
      </c>
      <c r="D113" s="1" t="s">
        <v>31</v>
      </c>
      <c r="E113" s="4">
        <v>4500000</v>
      </c>
      <c r="F113" s="3">
        <v>30</v>
      </c>
      <c r="G113" s="3">
        <f t="shared" si="38"/>
        <v>4500000</v>
      </c>
      <c r="H113" s="4"/>
      <c r="I113" s="4"/>
      <c r="J113" s="4"/>
      <c r="K113" s="4" t="s">
        <v>1</v>
      </c>
      <c r="L113" s="4"/>
      <c r="M113" s="4">
        <f>+G113+H113</f>
        <v>4500000</v>
      </c>
      <c r="N113" s="4">
        <f t="shared" ref="N113:N117" si="48">+E113*4%</f>
        <v>180000</v>
      </c>
      <c r="O113" s="4">
        <f>+E113*5%</f>
        <v>225000</v>
      </c>
      <c r="P113" s="4"/>
      <c r="Q113" s="4"/>
      <c r="R113" s="4"/>
      <c r="S113" s="4"/>
      <c r="T113" s="4"/>
      <c r="U113" s="4"/>
      <c r="V113" s="4">
        <f>SUM(N113:U113)</f>
        <v>405000</v>
      </c>
      <c r="W113" s="5">
        <f>+M113-V113</f>
        <v>4095000</v>
      </c>
    </row>
    <row r="114" spans="1:25" ht="24.95" customHeight="1" x14ac:dyDescent="0.25">
      <c r="A114" s="65"/>
      <c r="B114" s="2">
        <v>42</v>
      </c>
      <c r="C114" s="1" t="s">
        <v>164</v>
      </c>
      <c r="D114" s="1" t="s">
        <v>31</v>
      </c>
      <c r="E114" s="4">
        <v>781242</v>
      </c>
      <c r="F114" s="3">
        <v>30</v>
      </c>
      <c r="G114" s="3">
        <f t="shared" si="38"/>
        <v>781242</v>
      </c>
      <c r="H114" s="4"/>
      <c r="I114" s="4"/>
      <c r="J114" s="4"/>
      <c r="K114" s="4"/>
      <c r="L114" s="4"/>
      <c r="M114" s="4">
        <f>+G114+H114+J114+K114+L114+I114</f>
        <v>781242</v>
      </c>
      <c r="N114" s="4"/>
      <c r="O114" s="4"/>
      <c r="P114" s="4"/>
      <c r="Q114" s="4"/>
      <c r="R114" s="7"/>
      <c r="S114" s="4"/>
      <c r="T114" s="4"/>
      <c r="U114" s="4"/>
      <c r="V114" s="4">
        <f t="shared" ref="V114" si="49">SUM(N114:U114)</f>
        <v>0</v>
      </c>
      <c r="W114" s="5">
        <f>+M114-V114</f>
        <v>781242</v>
      </c>
    </row>
    <row r="115" spans="1:25" ht="24.95" customHeight="1" x14ac:dyDescent="0.25">
      <c r="A115" s="65"/>
      <c r="B115" s="2">
        <v>43</v>
      </c>
      <c r="C115" s="9" t="s">
        <v>138</v>
      </c>
      <c r="D115" s="1" t="s">
        <v>31</v>
      </c>
      <c r="E115" s="4">
        <v>1600000</v>
      </c>
      <c r="F115" s="3">
        <v>30</v>
      </c>
      <c r="G115" s="3">
        <f t="shared" si="38"/>
        <v>1600000</v>
      </c>
      <c r="H115" s="4"/>
      <c r="I115" s="4"/>
      <c r="J115" s="4">
        <v>0</v>
      </c>
      <c r="K115" s="4"/>
      <c r="L115" s="4"/>
      <c r="M115" s="4">
        <f t="shared" si="39"/>
        <v>1600000</v>
      </c>
      <c r="N115" s="4">
        <f t="shared" si="48"/>
        <v>64000</v>
      </c>
      <c r="O115" s="4">
        <f>+E115*0.04</f>
        <v>64000</v>
      </c>
      <c r="P115" s="4"/>
      <c r="Q115" s="4"/>
      <c r="R115" s="4">
        <v>0</v>
      </c>
      <c r="S115" s="4"/>
      <c r="T115" s="4"/>
      <c r="U115" s="4"/>
      <c r="V115" s="4">
        <f t="shared" si="32"/>
        <v>128000</v>
      </c>
      <c r="W115" s="5">
        <f>M115-V115</f>
        <v>1472000</v>
      </c>
    </row>
    <row r="116" spans="1:25" ht="24.95" customHeight="1" x14ac:dyDescent="0.25">
      <c r="A116" s="65"/>
      <c r="B116" s="2">
        <v>44</v>
      </c>
      <c r="C116" s="9" t="s">
        <v>148</v>
      </c>
      <c r="D116" s="1" t="s">
        <v>31</v>
      </c>
      <c r="E116" s="4">
        <v>1500000</v>
      </c>
      <c r="F116" s="3">
        <v>30</v>
      </c>
      <c r="G116" s="3">
        <f t="shared" si="38"/>
        <v>1500000</v>
      </c>
      <c r="H116" s="4">
        <v>88211</v>
      </c>
      <c r="I116" s="4"/>
      <c r="J116" s="4"/>
      <c r="K116" s="4"/>
      <c r="L116" s="4"/>
      <c r="M116" s="4">
        <f t="shared" si="39"/>
        <v>1588211</v>
      </c>
      <c r="N116" s="4">
        <f>+E116*4%</f>
        <v>60000</v>
      </c>
      <c r="O116" s="4">
        <f>+E116*0.04</f>
        <v>60000</v>
      </c>
      <c r="P116" s="4"/>
      <c r="Q116" s="4"/>
      <c r="R116" s="4">
        <v>0</v>
      </c>
      <c r="S116" s="4"/>
      <c r="T116" s="4">
        <v>0</v>
      </c>
      <c r="U116" s="4"/>
      <c r="V116" s="4">
        <f t="shared" si="32"/>
        <v>120000</v>
      </c>
      <c r="W116" s="5">
        <f>M116-V116</f>
        <v>1468211</v>
      </c>
    </row>
    <row r="117" spans="1:25" ht="24.95" customHeight="1" x14ac:dyDescent="0.25">
      <c r="A117" s="65"/>
      <c r="B117" s="2">
        <v>45</v>
      </c>
      <c r="C117" s="1" t="s">
        <v>139</v>
      </c>
      <c r="D117" s="1" t="s">
        <v>31</v>
      </c>
      <c r="E117" s="4">
        <v>2300000</v>
      </c>
      <c r="F117" s="3">
        <v>30</v>
      </c>
      <c r="G117" s="3">
        <f t="shared" si="38"/>
        <v>2300000</v>
      </c>
      <c r="H117" s="4"/>
      <c r="I117" s="4"/>
      <c r="J117" s="4"/>
      <c r="K117" s="4"/>
      <c r="L117" s="4"/>
      <c r="M117" s="4">
        <f t="shared" si="39"/>
        <v>2300000</v>
      </c>
      <c r="N117" s="4">
        <f t="shared" si="48"/>
        <v>92000</v>
      </c>
      <c r="O117" s="4">
        <f>+E117*4%</f>
        <v>92000</v>
      </c>
      <c r="P117" s="4"/>
      <c r="Q117" s="4"/>
      <c r="R117" s="4">
        <v>0</v>
      </c>
      <c r="S117" s="4"/>
      <c r="T117" s="4"/>
      <c r="U117" s="4"/>
      <c r="V117" s="4">
        <f t="shared" si="32"/>
        <v>184000</v>
      </c>
      <c r="W117" s="5">
        <f t="shared" ref="W117:W122" si="50">+M117-V117</f>
        <v>2116000</v>
      </c>
    </row>
    <row r="118" spans="1:25" ht="24.95" customHeight="1" x14ac:dyDescent="0.25">
      <c r="A118" s="65"/>
      <c r="B118" s="2">
        <v>46</v>
      </c>
      <c r="C118" s="1" t="s">
        <v>179</v>
      </c>
      <c r="D118" s="1" t="s">
        <v>31</v>
      </c>
      <c r="E118" s="4">
        <v>781242</v>
      </c>
      <c r="F118" s="3">
        <v>30</v>
      </c>
      <c r="G118" s="3">
        <f t="shared" si="38"/>
        <v>781242</v>
      </c>
      <c r="H118" s="4">
        <f>+(88211/30)*F118</f>
        <v>88211</v>
      </c>
      <c r="I118" s="4">
        <v>71611</v>
      </c>
      <c r="J118" s="4"/>
      <c r="K118" s="4"/>
      <c r="L118" s="4"/>
      <c r="M118" s="4">
        <f t="shared" si="39"/>
        <v>941064</v>
      </c>
      <c r="N118" s="4">
        <f>+G118*4%</f>
        <v>31249.68</v>
      </c>
      <c r="O118" s="4">
        <f>+G118*4%</f>
        <v>31249.68</v>
      </c>
      <c r="P118" s="4"/>
      <c r="Q118" s="4"/>
      <c r="R118" s="4"/>
      <c r="S118" s="4"/>
      <c r="T118" s="4"/>
      <c r="U118" s="4"/>
      <c r="V118" s="4">
        <f t="shared" ref="V118" si="51">SUM(N118:U118)</f>
        <v>62499.360000000001</v>
      </c>
      <c r="W118" s="5">
        <f t="shared" si="50"/>
        <v>878564.64</v>
      </c>
    </row>
    <row r="119" spans="1:25" ht="24.95" customHeight="1" x14ac:dyDescent="0.25">
      <c r="A119" s="65"/>
      <c r="B119" s="2">
        <v>47</v>
      </c>
      <c r="C119" s="1" t="s">
        <v>140</v>
      </c>
      <c r="D119" s="1" t="s">
        <v>31</v>
      </c>
      <c r="E119" s="4">
        <v>1300000</v>
      </c>
      <c r="F119" s="3">
        <v>30</v>
      </c>
      <c r="G119" s="3">
        <f t="shared" si="38"/>
        <v>1300000</v>
      </c>
      <c r="H119" s="4">
        <v>88211</v>
      </c>
      <c r="I119" s="4"/>
      <c r="J119" s="4">
        <v>0</v>
      </c>
      <c r="K119" s="4"/>
      <c r="L119" s="4"/>
      <c r="M119" s="4">
        <f t="shared" si="39"/>
        <v>1388211</v>
      </c>
      <c r="N119" s="4">
        <f>+E119*0.04</f>
        <v>52000</v>
      </c>
      <c r="O119" s="4">
        <f>+E119*0.04</f>
        <v>52000</v>
      </c>
      <c r="P119" s="4"/>
      <c r="Q119" s="4"/>
      <c r="R119" s="4"/>
      <c r="S119" s="4"/>
      <c r="T119" s="4"/>
      <c r="U119" s="4"/>
      <c r="V119" s="4">
        <f>SUM(N119:U119)</f>
        <v>104000</v>
      </c>
      <c r="W119" s="5">
        <f>+M119-V119</f>
        <v>1284211</v>
      </c>
    </row>
    <row r="120" spans="1:25" ht="24.95" customHeight="1" x14ac:dyDescent="0.25">
      <c r="A120" s="65"/>
      <c r="B120" s="2">
        <v>48</v>
      </c>
      <c r="C120" s="1" t="s">
        <v>141</v>
      </c>
      <c r="D120" s="1" t="s">
        <v>31</v>
      </c>
      <c r="E120" s="4">
        <v>2700000</v>
      </c>
      <c r="F120" s="3">
        <v>30</v>
      </c>
      <c r="G120" s="3">
        <f>+E120-L120</f>
        <v>2700000</v>
      </c>
      <c r="H120" s="4"/>
      <c r="I120" s="4"/>
      <c r="J120" s="4"/>
      <c r="K120" s="4"/>
      <c r="L120" s="4"/>
      <c r="M120" s="4">
        <f t="shared" si="39"/>
        <v>2700000</v>
      </c>
      <c r="N120" s="4">
        <f>+E120*0.04</f>
        <v>108000</v>
      </c>
      <c r="O120" s="4">
        <f>+E120*0.04</f>
        <v>108000</v>
      </c>
      <c r="P120" s="4">
        <v>611800</v>
      </c>
      <c r="Q120" s="4">
        <v>95000</v>
      </c>
      <c r="R120" s="4"/>
      <c r="S120" s="4"/>
      <c r="T120" s="4"/>
      <c r="U120" s="4"/>
      <c r="V120" s="4">
        <f t="shared" si="32"/>
        <v>922800</v>
      </c>
      <c r="W120" s="5">
        <f t="shared" si="50"/>
        <v>1777200</v>
      </c>
    </row>
    <row r="121" spans="1:25" ht="24.95" customHeight="1" x14ac:dyDescent="0.25">
      <c r="A121" s="65"/>
      <c r="B121" s="2">
        <v>49</v>
      </c>
      <c r="C121" s="1" t="s">
        <v>142</v>
      </c>
      <c r="D121" s="1" t="s">
        <v>31</v>
      </c>
      <c r="E121" s="4">
        <v>2000000</v>
      </c>
      <c r="F121" s="3">
        <v>30</v>
      </c>
      <c r="G121" s="3">
        <f t="shared" si="38"/>
        <v>2000000.0000000002</v>
      </c>
      <c r="H121" s="4"/>
      <c r="I121" s="4"/>
      <c r="J121" s="4"/>
      <c r="K121" s="4"/>
      <c r="L121" s="4"/>
      <c r="M121" s="4">
        <f t="shared" si="39"/>
        <v>2000000.0000000002</v>
      </c>
      <c r="N121" s="4">
        <f>+E121*4%</f>
        <v>80000</v>
      </c>
      <c r="O121" s="4">
        <f>+E121*4%</f>
        <v>80000</v>
      </c>
      <c r="P121" s="4"/>
      <c r="Q121" s="4"/>
      <c r="R121" s="4">
        <v>0</v>
      </c>
      <c r="S121" s="4"/>
      <c r="T121" s="4"/>
      <c r="U121" s="4"/>
      <c r="V121" s="4">
        <f t="shared" si="32"/>
        <v>160000</v>
      </c>
      <c r="W121" s="5">
        <f t="shared" si="50"/>
        <v>1840000.0000000002</v>
      </c>
    </row>
    <row r="122" spans="1:25" ht="17.25" customHeight="1" x14ac:dyDescent="0.25">
      <c r="A122" s="65"/>
      <c r="B122" s="2">
        <v>50</v>
      </c>
      <c r="C122" s="1" t="s">
        <v>144</v>
      </c>
      <c r="D122" s="1" t="s">
        <v>31</v>
      </c>
      <c r="E122" s="4">
        <v>1200000</v>
      </c>
      <c r="F122" s="3">
        <v>30</v>
      </c>
      <c r="G122" s="3">
        <f>+E122-J122</f>
        <v>1200000</v>
      </c>
      <c r="H122" s="4">
        <v>88211</v>
      </c>
      <c r="I122" s="4"/>
      <c r="J122" s="4"/>
      <c r="K122" s="4"/>
      <c r="L122" s="4"/>
      <c r="M122" s="4">
        <f t="shared" si="39"/>
        <v>1288211</v>
      </c>
      <c r="N122" s="4">
        <f>+E122*4%</f>
        <v>48000</v>
      </c>
      <c r="O122" s="4">
        <f>+E122*4%</f>
        <v>48000</v>
      </c>
      <c r="P122" s="4">
        <v>66000</v>
      </c>
      <c r="Q122" s="4">
        <v>58000</v>
      </c>
      <c r="R122" s="4">
        <v>0</v>
      </c>
      <c r="S122" s="4"/>
      <c r="T122" s="4"/>
      <c r="U122" s="4"/>
      <c r="V122" s="4">
        <f t="shared" si="32"/>
        <v>220000</v>
      </c>
      <c r="W122" s="5">
        <f t="shared" si="50"/>
        <v>1068211</v>
      </c>
    </row>
    <row r="123" spans="1:25" x14ac:dyDescent="0.25">
      <c r="B123" s="63"/>
      <c r="C123" s="63"/>
      <c r="D123" s="8"/>
      <c r="E123" s="4">
        <f>SUM(E4:E122)</f>
        <v>494939503</v>
      </c>
      <c r="F123" s="4"/>
      <c r="G123" s="4">
        <f t="shared" ref="G123:W123" si="52">SUM(G4:G122)</f>
        <v>473238238.0666666</v>
      </c>
      <c r="H123" s="4">
        <f t="shared" si="52"/>
        <v>2505647.8666666667</v>
      </c>
      <c r="I123" s="4">
        <f t="shared" si="52"/>
        <v>155427</v>
      </c>
      <c r="J123" s="4">
        <f t="shared" si="52"/>
        <v>122430</v>
      </c>
      <c r="K123" s="4">
        <f t="shared" si="52"/>
        <v>14602302</v>
      </c>
      <c r="L123" s="4">
        <f t="shared" si="52"/>
        <v>14073777</v>
      </c>
      <c r="M123" s="4" t="e">
        <f t="shared" si="52"/>
        <v>#VALUE!</v>
      </c>
      <c r="N123" s="4">
        <f t="shared" si="52"/>
        <v>19435857.349333331</v>
      </c>
      <c r="O123" s="4">
        <f t="shared" si="52"/>
        <v>23809486.215999998</v>
      </c>
      <c r="P123" s="4">
        <f t="shared" si="52"/>
        <v>790500</v>
      </c>
      <c r="Q123" s="4">
        <f t="shared" si="52"/>
        <v>1435000</v>
      </c>
      <c r="R123" s="4">
        <f t="shared" si="52"/>
        <v>5771253</v>
      </c>
      <c r="S123" s="4">
        <f t="shared" si="52"/>
        <v>14180000</v>
      </c>
      <c r="T123" s="4">
        <f t="shared" si="52"/>
        <v>344614</v>
      </c>
      <c r="U123" s="4">
        <f t="shared" si="52"/>
        <v>15322307</v>
      </c>
      <c r="V123" s="4">
        <f t="shared" si="52"/>
        <v>81089017.565333337</v>
      </c>
      <c r="W123" s="4" t="e">
        <f t="shared" si="52"/>
        <v>#VALUE!</v>
      </c>
    </row>
    <row r="124" spans="1:25" x14ac:dyDescent="0.25">
      <c r="D124" s="68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66"/>
    </row>
    <row r="125" spans="1:25" x14ac:dyDescent="0.25">
      <c r="D125" s="68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T125" s="12"/>
      <c r="U125" s="12"/>
      <c r="V125" s="12"/>
      <c r="W125" s="66"/>
    </row>
    <row r="126" spans="1:25" x14ac:dyDescent="0.25">
      <c r="C126" s="72"/>
      <c r="D126" s="68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T126" s="12"/>
      <c r="U126" s="12"/>
      <c r="V126" s="12"/>
      <c r="W126" s="68"/>
    </row>
    <row r="127" spans="1:25" x14ac:dyDescent="0.25">
      <c r="C127" s="72"/>
      <c r="D127" s="68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68"/>
      <c r="X127" s="68"/>
      <c r="Y127" s="68"/>
    </row>
    <row r="128" spans="1:25" x14ac:dyDescent="0.25">
      <c r="B128" s="68"/>
      <c r="C128" s="72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12"/>
      <c r="Q128" s="74"/>
      <c r="R128" s="74"/>
      <c r="S128" s="74"/>
      <c r="T128" s="74"/>
      <c r="U128" s="74"/>
      <c r="V128" s="74"/>
      <c r="W128" s="74"/>
      <c r="X128" s="68"/>
      <c r="Y128" s="68"/>
    </row>
    <row r="129" spans="2:25" x14ac:dyDescent="0.25">
      <c r="B129" s="68"/>
      <c r="C129" s="72"/>
      <c r="D129" s="68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68"/>
      <c r="X129" s="68"/>
      <c r="Y129" s="68"/>
    </row>
    <row r="130" spans="2:25" x14ac:dyDescent="0.25">
      <c r="B130" s="68"/>
      <c r="C130" s="72"/>
      <c r="D130" s="68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68"/>
      <c r="X130" s="68"/>
      <c r="Y130" s="68"/>
    </row>
    <row r="131" spans="2:25" x14ac:dyDescent="0.25">
      <c r="B131" s="68"/>
      <c r="C131" s="72"/>
      <c r="D131" s="68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68"/>
      <c r="X131" s="68"/>
      <c r="Y131" s="68"/>
    </row>
    <row r="132" spans="2:25" x14ac:dyDescent="0.25">
      <c r="B132" s="68"/>
      <c r="C132" s="75"/>
      <c r="D132" s="75"/>
      <c r="E132" s="75"/>
      <c r="F132" s="75"/>
      <c r="G132" s="91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68"/>
      <c r="Y132" s="68"/>
    </row>
    <row r="133" spans="2:25" x14ac:dyDescent="0.25">
      <c r="B133" s="78"/>
      <c r="C133" s="92"/>
      <c r="D133" s="76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6"/>
      <c r="X133" s="68"/>
      <c r="Y133" s="68"/>
    </row>
    <row r="134" spans="2:25" x14ac:dyDescent="0.25">
      <c r="B134" s="68"/>
      <c r="C134" s="93"/>
      <c r="D134" s="68"/>
      <c r="E134" s="12"/>
      <c r="F134" s="12"/>
      <c r="G134" s="80"/>
      <c r="H134" s="12"/>
      <c r="I134" s="12"/>
      <c r="J134" s="12"/>
      <c r="K134" s="12"/>
      <c r="L134" s="12"/>
      <c r="M134" s="12"/>
      <c r="N134" s="12"/>
      <c r="O134" s="12"/>
      <c r="P134" s="81"/>
      <c r="Q134" s="81"/>
      <c r="R134" s="81"/>
      <c r="S134" s="81"/>
      <c r="T134" s="81"/>
      <c r="U134" s="12"/>
      <c r="V134" s="12"/>
      <c r="W134" s="68"/>
      <c r="X134" s="68"/>
      <c r="Y134" s="68"/>
    </row>
    <row r="135" spans="2:25" x14ac:dyDescent="0.25">
      <c r="B135" s="68"/>
      <c r="C135" s="82"/>
      <c r="D135" s="76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6"/>
      <c r="X135" s="68"/>
      <c r="Y135" s="68"/>
    </row>
    <row r="136" spans="2:25" x14ac:dyDescent="0.25">
      <c r="B136" s="76"/>
      <c r="C136" s="82"/>
      <c r="D136" s="76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6"/>
      <c r="X136" s="68"/>
      <c r="Y136" s="68"/>
    </row>
    <row r="137" spans="2:25" x14ac:dyDescent="0.25">
      <c r="B137" s="68"/>
      <c r="C137" s="82"/>
      <c r="D137" s="76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66"/>
      <c r="X137" s="68"/>
      <c r="Y137" s="68"/>
    </row>
    <row r="138" spans="2:25" x14ac:dyDescent="0.25">
      <c r="C138" s="82"/>
      <c r="D138" s="76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66"/>
      <c r="X138" s="68"/>
      <c r="Y138" s="68"/>
    </row>
    <row r="139" spans="2:25" x14ac:dyDescent="0.25">
      <c r="C139" s="82"/>
      <c r="D139" s="76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66"/>
      <c r="X139" s="68"/>
      <c r="Y139" s="68"/>
    </row>
    <row r="140" spans="2:25" x14ac:dyDescent="0.25">
      <c r="C140" s="82"/>
      <c r="D140" s="76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66"/>
      <c r="X140" s="68"/>
      <c r="Y140" s="68"/>
    </row>
    <row r="141" spans="2:25" x14ac:dyDescent="0.25">
      <c r="C141" s="82"/>
      <c r="D141" s="76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66"/>
      <c r="X141" s="68"/>
      <c r="Y141" s="68"/>
    </row>
    <row r="142" spans="2:25" x14ac:dyDescent="0.25">
      <c r="C142" s="82"/>
      <c r="D142" s="76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66"/>
      <c r="X142" s="68"/>
      <c r="Y142" s="68"/>
    </row>
    <row r="143" spans="2:25" x14ac:dyDescent="0.25">
      <c r="C143" s="72"/>
      <c r="D143" s="68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66"/>
      <c r="X143" s="68"/>
      <c r="Y143" s="68"/>
    </row>
    <row r="144" spans="2:25" x14ac:dyDescent="0.25">
      <c r="C144" s="82"/>
      <c r="D144" s="68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66"/>
      <c r="X144" s="68"/>
      <c r="Y144" s="68"/>
    </row>
    <row r="145" spans="2:25" x14ac:dyDescent="0.25">
      <c r="C145" s="82"/>
      <c r="D145" s="68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66"/>
      <c r="X145" s="68"/>
      <c r="Y145" s="68"/>
    </row>
    <row r="146" spans="2:25" x14ac:dyDescent="0.25">
      <c r="C146" s="82"/>
      <c r="D146" s="68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66"/>
      <c r="X146" s="68"/>
      <c r="Y146" s="68"/>
    </row>
    <row r="147" spans="2:25" x14ac:dyDescent="0.25">
      <c r="C147" s="82"/>
      <c r="D147" s="68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66"/>
      <c r="X147" s="68"/>
      <c r="Y147" s="68"/>
    </row>
    <row r="148" spans="2:25" x14ac:dyDescent="0.25">
      <c r="C148" s="82"/>
      <c r="D148" s="68"/>
      <c r="E148" s="12"/>
      <c r="F148" s="12"/>
      <c r="G148" s="12"/>
      <c r="H148" s="12"/>
      <c r="I148" s="12"/>
      <c r="J148" s="12"/>
      <c r="K148" s="12"/>
      <c r="L148" s="12"/>
      <c r="M148" s="12">
        <f>737717*4</f>
        <v>2950868</v>
      </c>
      <c r="N148" s="12">
        <f>737717*2</f>
        <v>1475434</v>
      </c>
      <c r="O148" s="12"/>
      <c r="P148" s="12"/>
      <c r="Q148" s="12"/>
      <c r="R148" s="12"/>
      <c r="S148" s="12"/>
      <c r="T148" s="12"/>
      <c r="U148" s="12"/>
      <c r="V148" s="12"/>
      <c r="W148" s="66"/>
      <c r="X148" s="68"/>
      <c r="Y148" s="68"/>
    </row>
    <row r="149" spans="2:25" x14ac:dyDescent="0.25">
      <c r="C149" s="82"/>
      <c r="D149" s="68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66"/>
      <c r="X149" s="68"/>
      <c r="Y149" s="68"/>
    </row>
    <row r="150" spans="2:25" x14ac:dyDescent="0.25">
      <c r="C150" s="82"/>
      <c r="D150" s="68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66"/>
      <c r="X150" s="68"/>
      <c r="Y150" s="68"/>
    </row>
    <row r="151" spans="2:25" x14ac:dyDescent="0.25">
      <c r="C151" s="82"/>
      <c r="D151" s="68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66"/>
      <c r="X151" s="68"/>
      <c r="Y151" s="68"/>
    </row>
    <row r="152" spans="2:25" x14ac:dyDescent="0.25">
      <c r="C152" s="82"/>
      <c r="D152" s="68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66"/>
      <c r="X152" s="68"/>
      <c r="Y152" s="68"/>
    </row>
    <row r="153" spans="2:25" x14ac:dyDescent="0.25">
      <c r="C153" s="82"/>
      <c r="D153" s="68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66"/>
      <c r="X153" s="68"/>
      <c r="Y153" s="68"/>
    </row>
    <row r="154" spans="2:25" x14ac:dyDescent="0.25">
      <c r="C154" s="82"/>
      <c r="D154" s="68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66"/>
      <c r="X154" s="68"/>
      <c r="Y154" s="68"/>
    </row>
    <row r="155" spans="2:25" x14ac:dyDescent="0.25">
      <c r="C155" s="72"/>
      <c r="D155" s="68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68"/>
      <c r="X155" s="68"/>
      <c r="Y155" s="68"/>
    </row>
    <row r="156" spans="2:25" x14ac:dyDescent="0.25">
      <c r="C156" s="72"/>
      <c r="D156" s="68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68"/>
      <c r="U156" s="12"/>
      <c r="V156" s="12"/>
      <c r="W156" s="68"/>
      <c r="X156" s="68"/>
      <c r="Y156" s="68"/>
    </row>
    <row r="157" spans="2:25" x14ac:dyDescent="0.25">
      <c r="B157" s="68"/>
      <c r="C157" s="72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68"/>
      <c r="Y157" s="68"/>
    </row>
    <row r="158" spans="2:25" x14ac:dyDescent="0.25">
      <c r="B158" s="68"/>
      <c r="C158" s="72"/>
      <c r="D158" s="68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6"/>
      <c r="X158" s="68"/>
      <c r="Y158" s="68"/>
    </row>
    <row r="159" spans="2:25" x14ac:dyDescent="0.25">
      <c r="B159" s="68"/>
      <c r="C159" s="82"/>
      <c r="D159" s="76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6"/>
    </row>
    <row r="160" spans="2:25" x14ac:dyDescent="0.25">
      <c r="B160" s="85"/>
      <c r="C160" s="82"/>
      <c r="D160" s="76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6"/>
    </row>
    <row r="161" spans="2:23" x14ac:dyDescent="0.25">
      <c r="C161" s="82"/>
      <c r="D161" s="76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66"/>
    </row>
    <row r="162" spans="2:23" x14ac:dyDescent="0.25">
      <c r="C162" s="82"/>
      <c r="D162" s="76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66"/>
    </row>
    <row r="163" spans="2:23" x14ac:dyDescent="0.25">
      <c r="C163" s="82"/>
      <c r="D163" s="76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66"/>
    </row>
    <row r="164" spans="2:23" x14ac:dyDescent="0.25">
      <c r="C164" s="72"/>
      <c r="D164" s="68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66"/>
    </row>
    <row r="165" spans="2:23" x14ac:dyDescent="0.25">
      <c r="C165" s="82"/>
      <c r="D165" s="68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66"/>
    </row>
    <row r="166" spans="2:23" x14ac:dyDescent="0.25">
      <c r="C166" s="72"/>
      <c r="D166" s="68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68"/>
    </row>
    <row r="167" spans="2:23" x14ac:dyDescent="0.25">
      <c r="C167" s="72"/>
      <c r="D167" s="68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66"/>
    </row>
    <row r="168" spans="2:23" x14ac:dyDescent="0.25">
      <c r="B168" s="68"/>
      <c r="C168" s="72"/>
      <c r="D168" s="68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68"/>
    </row>
    <row r="169" spans="2:23" x14ac:dyDescent="0.25">
      <c r="B169" s="68"/>
      <c r="C169" s="72"/>
      <c r="D169" s="68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68"/>
    </row>
    <row r="170" spans="2:23" x14ac:dyDescent="0.25">
      <c r="B170" s="68"/>
      <c r="C170" s="72"/>
      <c r="D170" s="68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86"/>
    </row>
    <row r="171" spans="2:23" x14ac:dyDescent="0.25">
      <c r="B171" s="68"/>
      <c r="C171" s="72"/>
      <c r="D171" s="68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87"/>
    </row>
    <row r="172" spans="2:23" x14ac:dyDescent="0.25">
      <c r="C172" s="72"/>
      <c r="D172" s="68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68"/>
    </row>
    <row r="173" spans="2:23" x14ac:dyDescent="0.25">
      <c r="C173" s="72"/>
      <c r="D173" s="68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68"/>
    </row>
    <row r="174" spans="2:23" x14ac:dyDescent="0.25">
      <c r="C174" s="72"/>
      <c r="D174" s="68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68"/>
    </row>
    <row r="175" spans="2:23" x14ac:dyDescent="0.25">
      <c r="C175" s="72"/>
      <c r="D175" s="68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68"/>
    </row>
    <row r="176" spans="2:23" x14ac:dyDescent="0.25">
      <c r="C176" s="72"/>
      <c r="D176" s="68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68"/>
    </row>
    <row r="177" spans="3:23" x14ac:dyDescent="0.25">
      <c r="C177" s="72"/>
      <c r="D177" s="68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68"/>
    </row>
    <row r="178" spans="3:23" x14ac:dyDescent="0.25">
      <c r="C178" s="72"/>
      <c r="D178" s="68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68"/>
    </row>
    <row r="179" spans="3:23" x14ac:dyDescent="0.25">
      <c r="C179" s="72"/>
      <c r="D179" s="68"/>
      <c r="E179" s="12"/>
      <c r="F179" s="12"/>
      <c r="G179" s="12"/>
      <c r="H179" s="12"/>
      <c r="I179" s="12"/>
      <c r="J179" s="12"/>
      <c r="K179" s="12"/>
      <c r="L179" s="12"/>
      <c r="M179" s="12"/>
      <c r="N179" s="12">
        <v>3003000</v>
      </c>
      <c r="O179" s="12"/>
      <c r="P179" s="12"/>
      <c r="Q179" s="12"/>
      <c r="R179" s="12"/>
      <c r="S179" s="12"/>
      <c r="T179" s="12"/>
      <c r="U179" s="12"/>
      <c r="V179" s="12"/>
      <c r="W179" s="68"/>
    </row>
    <row r="180" spans="3:23" x14ac:dyDescent="0.25">
      <c r="C180" s="82"/>
      <c r="D180" s="68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68"/>
    </row>
    <row r="181" spans="3:23" x14ac:dyDescent="0.25">
      <c r="C181" s="82"/>
      <c r="D181" s="68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68"/>
    </row>
    <row r="182" spans="3:23" x14ac:dyDescent="0.25">
      <c r="C182" s="82"/>
      <c r="D182" s="68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68"/>
    </row>
    <row r="183" spans="3:23" x14ac:dyDescent="0.25">
      <c r="C183" s="82"/>
      <c r="D183" s="68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68"/>
    </row>
    <row r="184" spans="3:23" x14ac:dyDescent="0.25">
      <c r="C184" s="72">
        <v>42614840</v>
      </c>
      <c r="D184" s="68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>
        <v>412608</v>
      </c>
      <c r="W184" s="68"/>
    </row>
    <row r="185" spans="3:23" x14ac:dyDescent="0.25">
      <c r="C185" s="72">
        <v>9675182</v>
      </c>
      <c r="D185" s="68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>
        <v>1880000</v>
      </c>
      <c r="W185" s="68"/>
    </row>
    <row r="186" spans="3:23" x14ac:dyDescent="0.25">
      <c r="C186" s="72">
        <v>17903600</v>
      </c>
      <c r="D186" s="68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68"/>
    </row>
    <row r="187" spans="3:23" x14ac:dyDescent="0.25">
      <c r="C187" s="72">
        <f>SUM(C184:C186)</f>
        <v>70193622</v>
      </c>
      <c r="D187" s="68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68"/>
    </row>
    <row r="188" spans="3:23" x14ac:dyDescent="0.25">
      <c r="C188" s="72">
        <v>400000</v>
      </c>
      <c r="D188" s="68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68"/>
    </row>
    <row r="189" spans="3:23" x14ac:dyDescent="0.25">
      <c r="C189" s="72">
        <f>+C187+C188</f>
        <v>70593622</v>
      </c>
      <c r="D189" s="68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68"/>
    </row>
    <row r="193" spans="3:3" x14ac:dyDescent="0.25">
      <c r="C193" s="13">
        <v>11000000</v>
      </c>
    </row>
    <row r="194" spans="3:3" x14ac:dyDescent="0.25">
      <c r="C194" s="13">
        <f>+C192+C193</f>
        <v>11000000</v>
      </c>
    </row>
    <row r="199" spans="3:3" x14ac:dyDescent="0.25">
      <c r="C199" s="13">
        <v>3185000</v>
      </c>
    </row>
    <row r="200" spans="3:3" x14ac:dyDescent="0.25">
      <c r="C200" s="13">
        <v>1080000</v>
      </c>
    </row>
    <row r="201" spans="3:3" x14ac:dyDescent="0.25">
      <c r="C201" s="13">
        <v>4850100</v>
      </c>
    </row>
    <row r="202" spans="3:3" x14ac:dyDescent="0.25">
      <c r="C202" s="13">
        <v>5027500</v>
      </c>
    </row>
    <row r="203" spans="3:3" x14ac:dyDescent="0.25">
      <c r="C203" s="13">
        <v>4566000</v>
      </c>
    </row>
    <row r="204" spans="3:3" x14ac:dyDescent="0.25">
      <c r="C204" s="13">
        <v>1050000</v>
      </c>
    </row>
    <row r="205" spans="3:3" x14ac:dyDescent="0.25">
      <c r="C205" s="13">
        <v>3877333</v>
      </c>
    </row>
    <row r="206" spans="3:3" x14ac:dyDescent="0.25">
      <c r="C206" s="13">
        <v>6732440</v>
      </c>
    </row>
    <row r="207" spans="3:3" x14ac:dyDescent="0.25">
      <c r="C207" s="13">
        <v>3460000</v>
      </c>
    </row>
    <row r="208" spans="3:3" x14ac:dyDescent="0.25">
      <c r="C208" s="13">
        <v>588800</v>
      </c>
    </row>
    <row r="209" spans="3:3" x14ac:dyDescent="0.25">
      <c r="C209" s="13">
        <v>1868000</v>
      </c>
    </row>
    <row r="210" spans="3:3" x14ac:dyDescent="0.25">
      <c r="C210" s="13">
        <v>10313000</v>
      </c>
    </row>
    <row r="211" spans="3:3" x14ac:dyDescent="0.25">
      <c r="C211" s="13">
        <v>3443800</v>
      </c>
    </row>
    <row r="212" spans="3:3" x14ac:dyDescent="0.25">
      <c r="C212" s="13">
        <v>8136400</v>
      </c>
    </row>
    <row r="213" spans="3:3" x14ac:dyDescent="0.25">
      <c r="C213" s="13">
        <v>9675183</v>
      </c>
    </row>
    <row r="214" spans="3:3" x14ac:dyDescent="0.25">
      <c r="C214" s="13">
        <f>SUM(C198:C213)</f>
        <v>67853556</v>
      </c>
    </row>
  </sheetData>
  <mergeCells count="8">
    <mergeCell ref="E156:S156"/>
    <mergeCell ref="D157:W157"/>
    <mergeCell ref="A1:W1"/>
    <mergeCell ref="A2:M2"/>
    <mergeCell ref="N2:V2"/>
    <mergeCell ref="A4:A72"/>
    <mergeCell ref="A73:A122"/>
    <mergeCell ref="B123:C123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A60A-01FF-441E-8C8B-DACDAB223728}">
  <dimension ref="A1:AE209"/>
  <sheetViews>
    <sheetView workbookViewId="0">
      <selection sqref="A1:XFD1048576"/>
    </sheetView>
  </sheetViews>
  <sheetFormatPr baseColWidth="10" defaultRowHeight="12" x14ac:dyDescent="0.25"/>
  <cols>
    <col min="1" max="1" width="6.7109375" style="62" customWidth="1"/>
    <col min="2" max="2" width="4.85546875" style="62" customWidth="1"/>
    <col min="3" max="3" width="32.28515625" style="13" customWidth="1"/>
    <col min="4" max="4" width="8.5703125" style="62" customWidth="1"/>
    <col min="5" max="5" width="11" style="62" customWidth="1"/>
    <col min="6" max="9" width="11" style="62" hidden="1" customWidth="1"/>
    <col min="10" max="10" width="15" style="71" customWidth="1"/>
    <col min="11" max="11" width="4.42578125" style="71" customWidth="1"/>
    <col min="12" max="12" width="15.5703125" style="71" customWidth="1"/>
    <col min="13" max="13" width="11.28515625" style="71" customWidth="1"/>
    <col min="14" max="14" width="13.140625" style="71" customWidth="1"/>
    <col min="15" max="15" width="9.5703125" style="71" customWidth="1"/>
    <col min="16" max="16" width="12.28515625" style="71" customWidth="1"/>
    <col min="17" max="17" width="12.5703125" style="71" customWidth="1"/>
    <col min="18" max="18" width="16" style="71" customWidth="1"/>
    <col min="19" max="19" width="12.28515625" style="71" customWidth="1"/>
    <col min="20" max="20" width="14.140625" style="71" customWidth="1"/>
    <col min="21" max="22" width="11.28515625" style="71" customWidth="1"/>
    <col min="23" max="23" width="14.140625" style="71" customWidth="1"/>
    <col min="24" max="24" width="12.28515625" style="71" customWidth="1"/>
    <col min="25" max="25" width="11.28515625" style="71" customWidth="1"/>
    <col min="26" max="26" width="15.7109375" style="71" customWidth="1"/>
    <col min="27" max="27" width="12.42578125" style="71" customWidth="1"/>
    <col min="28" max="28" width="18" style="62" bestFit="1" customWidth="1"/>
    <col min="29" max="29" width="11.85546875" style="62" bestFit="1" customWidth="1"/>
    <col min="30" max="248" width="11.42578125" style="62"/>
    <col min="249" max="249" width="10.5703125" style="62" customWidth="1"/>
    <col min="250" max="250" width="4.85546875" style="62" customWidth="1"/>
    <col min="251" max="251" width="32.42578125" style="62" customWidth="1"/>
    <col min="252" max="252" width="9.85546875" style="62" customWidth="1"/>
    <col min="253" max="253" width="10.140625" style="62" customWidth="1"/>
    <col min="254" max="254" width="12.28515625" style="62" customWidth="1"/>
    <col min="255" max="255" width="15.42578125" style="62" customWidth="1"/>
    <col min="256" max="256" width="11.85546875" style="62" customWidth="1"/>
    <col min="257" max="257" width="13.28515625" style="62" customWidth="1"/>
    <col min="258" max="258" width="15.28515625" style="62" customWidth="1"/>
    <col min="259" max="259" width="11.85546875" style="62" customWidth="1"/>
    <col min="260" max="260" width="6.140625" style="62" customWidth="1"/>
    <col min="261" max="261" width="11.85546875" style="62" customWidth="1"/>
    <col min="262" max="262" width="9.42578125" style="62" customWidth="1"/>
    <col min="263" max="263" width="14.7109375" style="62" customWidth="1"/>
    <col min="264" max="264" width="11.5703125" style="62" customWidth="1"/>
    <col min="265" max="265" width="0.42578125" style="62" customWidth="1"/>
    <col min="266" max="266" width="10.5703125" style="62" bestFit="1" customWidth="1"/>
    <col min="267" max="267" width="12.28515625" style="62" customWidth="1"/>
    <col min="268" max="268" width="12.5703125" style="62" customWidth="1"/>
    <col min="269" max="269" width="10.5703125" style="62" customWidth="1"/>
    <col min="270" max="270" width="10.140625" style="62" customWidth="1"/>
    <col min="271" max="271" width="8.42578125" style="62" customWidth="1"/>
    <col min="272" max="272" width="18.85546875" style="62" customWidth="1"/>
    <col min="273" max="273" width="10.28515625" style="62" customWidth="1"/>
    <col min="274" max="274" width="11.42578125" style="62"/>
    <col min="275" max="275" width="12.140625" style="62" customWidth="1"/>
    <col min="276" max="276" width="10.5703125" style="62" customWidth="1"/>
    <col min="277" max="277" width="12.42578125" style="62" customWidth="1"/>
    <col min="278" max="278" width="15.140625" style="62" customWidth="1"/>
    <col min="279" max="279" width="13.5703125" style="62" customWidth="1"/>
    <col min="280" max="280" width="13.140625" style="62" customWidth="1"/>
    <col min="281" max="281" width="15.7109375" style="62" customWidth="1"/>
    <col min="282" max="282" width="37.5703125" style="62" customWidth="1"/>
    <col min="283" max="504" width="11.42578125" style="62"/>
    <col min="505" max="505" width="10.5703125" style="62" customWidth="1"/>
    <col min="506" max="506" width="4.85546875" style="62" customWidth="1"/>
    <col min="507" max="507" width="32.42578125" style="62" customWidth="1"/>
    <col min="508" max="508" width="9.85546875" style="62" customWidth="1"/>
    <col min="509" max="509" width="10.140625" style="62" customWidth="1"/>
    <col min="510" max="510" width="12.28515625" style="62" customWidth="1"/>
    <col min="511" max="511" width="15.42578125" style="62" customWidth="1"/>
    <col min="512" max="512" width="11.85546875" style="62" customWidth="1"/>
    <col min="513" max="513" width="13.28515625" style="62" customWidth="1"/>
    <col min="514" max="514" width="15.28515625" style="62" customWidth="1"/>
    <col min="515" max="515" width="11.85546875" style="62" customWidth="1"/>
    <col min="516" max="516" width="6.140625" style="62" customWidth="1"/>
    <col min="517" max="517" width="11.85546875" style="62" customWidth="1"/>
    <col min="518" max="518" width="9.42578125" style="62" customWidth="1"/>
    <col min="519" max="519" width="14.7109375" style="62" customWidth="1"/>
    <col min="520" max="520" width="11.5703125" style="62" customWidth="1"/>
    <col min="521" max="521" width="0.42578125" style="62" customWidth="1"/>
    <col min="522" max="522" width="10.5703125" style="62" bestFit="1" customWidth="1"/>
    <col min="523" max="523" width="12.28515625" style="62" customWidth="1"/>
    <col min="524" max="524" width="12.5703125" style="62" customWidth="1"/>
    <col min="525" max="525" width="10.5703125" style="62" customWidth="1"/>
    <col min="526" max="526" width="10.140625" style="62" customWidth="1"/>
    <col min="527" max="527" width="8.42578125" style="62" customWidth="1"/>
    <col min="528" max="528" width="18.85546875" style="62" customWidth="1"/>
    <col min="529" max="529" width="10.28515625" style="62" customWidth="1"/>
    <col min="530" max="530" width="11.42578125" style="62"/>
    <col min="531" max="531" width="12.140625" style="62" customWidth="1"/>
    <col min="532" max="532" width="10.5703125" style="62" customWidth="1"/>
    <col min="533" max="533" width="12.42578125" style="62" customWidth="1"/>
    <col min="534" max="534" width="15.140625" style="62" customWidth="1"/>
    <col min="535" max="535" width="13.5703125" style="62" customWidth="1"/>
    <col min="536" max="536" width="13.140625" style="62" customWidth="1"/>
    <col min="537" max="537" width="15.7109375" style="62" customWidth="1"/>
    <col min="538" max="538" width="37.5703125" style="62" customWidth="1"/>
    <col min="539" max="760" width="11.42578125" style="62"/>
    <col min="761" max="761" width="10.5703125" style="62" customWidth="1"/>
    <col min="762" max="762" width="4.85546875" style="62" customWidth="1"/>
    <col min="763" max="763" width="32.42578125" style="62" customWidth="1"/>
    <col min="764" max="764" width="9.85546875" style="62" customWidth="1"/>
    <col min="765" max="765" width="10.140625" style="62" customWidth="1"/>
    <col min="766" max="766" width="12.28515625" style="62" customWidth="1"/>
    <col min="767" max="767" width="15.42578125" style="62" customWidth="1"/>
    <col min="768" max="768" width="11.85546875" style="62" customWidth="1"/>
    <col min="769" max="769" width="13.28515625" style="62" customWidth="1"/>
    <col min="770" max="770" width="15.28515625" style="62" customWidth="1"/>
    <col min="771" max="771" width="11.85546875" style="62" customWidth="1"/>
    <col min="772" max="772" width="6.140625" style="62" customWidth="1"/>
    <col min="773" max="773" width="11.85546875" style="62" customWidth="1"/>
    <col min="774" max="774" width="9.42578125" style="62" customWidth="1"/>
    <col min="775" max="775" width="14.7109375" style="62" customWidth="1"/>
    <col min="776" max="776" width="11.5703125" style="62" customWidth="1"/>
    <col min="777" max="777" width="0.42578125" style="62" customWidth="1"/>
    <col min="778" max="778" width="10.5703125" style="62" bestFit="1" customWidth="1"/>
    <col min="779" max="779" width="12.28515625" style="62" customWidth="1"/>
    <col min="780" max="780" width="12.5703125" style="62" customWidth="1"/>
    <col min="781" max="781" width="10.5703125" style="62" customWidth="1"/>
    <col min="782" max="782" width="10.140625" style="62" customWidth="1"/>
    <col min="783" max="783" width="8.42578125" style="62" customWidth="1"/>
    <col min="784" max="784" width="18.85546875" style="62" customWidth="1"/>
    <col min="785" max="785" width="10.28515625" style="62" customWidth="1"/>
    <col min="786" max="786" width="11.42578125" style="62"/>
    <col min="787" max="787" width="12.140625" style="62" customWidth="1"/>
    <col min="788" max="788" width="10.5703125" style="62" customWidth="1"/>
    <col min="789" max="789" width="12.42578125" style="62" customWidth="1"/>
    <col min="790" max="790" width="15.140625" style="62" customWidth="1"/>
    <col min="791" max="791" width="13.5703125" style="62" customWidth="1"/>
    <col min="792" max="792" width="13.140625" style="62" customWidth="1"/>
    <col min="793" max="793" width="15.7109375" style="62" customWidth="1"/>
    <col min="794" max="794" width="37.5703125" style="62" customWidth="1"/>
    <col min="795" max="1016" width="11.42578125" style="62"/>
    <col min="1017" max="1017" width="10.5703125" style="62" customWidth="1"/>
    <col min="1018" max="1018" width="4.85546875" style="62" customWidth="1"/>
    <col min="1019" max="1019" width="32.42578125" style="62" customWidth="1"/>
    <col min="1020" max="1020" width="9.85546875" style="62" customWidth="1"/>
    <col min="1021" max="1021" width="10.140625" style="62" customWidth="1"/>
    <col min="1022" max="1022" width="12.28515625" style="62" customWidth="1"/>
    <col min="1023" max="1023" width="15.42578125" style="62" customWidth="1"/>
    <col min="1024" max="1024" width="11.85546875" style="62" customWidth="1"/>
    <col min="1025" max="1025" width="13.28515625" style="62" customWidth="1"/>
    <col min="1026" max="1026" width="15.28515625" style="62" customWidth="1"/>
    <col min="1027" max="1027" width="11.85546875" style="62" customWidth="1"/>
    <col min="1028" max="1028" width="6.140625" style="62" customWidth="1"/>
    <col min="1029" max="1029" width="11.85546875" style="62" customWidth="1"/>
    <col min="1030" max="1030" width="9.42578125" style="62" customWidth="1"/>
    <col min="1031" max="1031" width="14.7109375" style="62" customWidth="1"/>
    <col min="1032" max="1032" width="11.5703125" style="62" customWidth="1"/>
    <col min="1033" max="1033" width="0.42578125" style="62" customWidth="1"/>
    <col min="1034" max="1034" width="10.5703125" style="62" bestFit="1" customWidth="1"/>
    <col min="1035" max="1035" width="12.28515625" style="62" customWidth="1"/>
    <col min="1036" max="1036" width="12.5703125" style="62" customWidth="1"/>
    <col min="1037" max="1037" width="10.5703125" style="62" customWidth="1"/>
    <col min="1038" max="1038" width="10.140625" style="62" customWidth="1"/>
    <col min="1039" max="1039" width="8.42578125" style="62" customWidth="1"/>
    <col min="1040" max="1040" width="18.85546875" style="62" customWidth="1"/>
    <col min="1041" max="1041" width="10.28515625" style="62" customWidth="1"/>
    <col min="1042" max="1042" width="11.42578125" style="62"/>
    <col min="1043" max="1043" width="12.140625" style="62" customWidth="1"/>
    <col min="1044" max="1044" width="10.5703125" style="62" customWidth="1"/>
    <col min="1045" max="1045" width="12.42578125" style="62" customWidth="1"/>
    <col min="1046" max="1046" width="15.140625" style="62" customWidth="1"/>
    <col min="1047" max="1047" width="13.5703125" style="62" customWidth="1"/>
    <col min="1048" max="1048" width="13.140625" style="62" customWidth="1"/>
    <col min="1049" max="1049" width="15.7109375" style="62" customWidth="1"/>
    <col min="1050" max="1050" width="37.5703125" style="62" customWidth="1"/>
    <col min="1051" max="1272" width="11.42578125" style="62"/>
    <col min="1273" max="1273" width="10.5703125" style="62" customWidth="1"/>
    <col min="1274" max="1274" width="4.85546875" style="62" customWidth="1"/>
    <col min="1275" max="1275" width="32.42578125" style="62" customWidth="1"/>
    <col min="1276" max="1276" width="9.85546875" style="62" customWidth="1"/>
    <col min="1277" max="1277" width="10.140625" style="62" customWidth="1"/>
    <col min="1278" max="1278" width="12.28515625" style="62" customWidth="1"/>
    <col min="1279" max="1279" width="15.42578125" style="62" customWidth="1"/>
    <col min="1280" max="1280" width="11.85546875" style="62" customWidth="1"/>
    <col min="1281" max="1281" width="13.28515625" style="62" customWidth="1"/>
    <col min="1282" max="1282" width="15.28515625" style="62" customWidth="1"/>
    <col min="1283" max="1283" width="11.85546875" style="62" customWidth="1"/>
    <col min="1284" max="1284" width="6.140625" style="62" customWidth="1"/>
    <col min="1285" max="1285" width="11.85546875" style="62" customWidth="1"/>
    <col min="1286" max="1286" width="9.42578125" style="62" customWidth="1"/>
    <col min="1287" max="1287" width="14.7109375" style="62" customWidth="1"/>
    <col min="1288" max="1288" width="11.5703125" style="62" customWidth="1"/>
    <col min="1289" max="1289" width="0.42578125" style="62" customWidth="1"/>
    <col min="1290" max="1290" width="10.5703125" style="62" bestFit="1" customWidth="1"/>
    <col min="1291" max="1291" width="12.28515625" style="62" customWidth="1"/>
    <col min="1292" max="1292" width="12.5703125" style="62" customWidth="1"/>
    <col min="1293" max="1293" width="10.5703125" style="62" customWidth="1"/>
    <col min="1294" max="1294" width="10.140625" style="62" customWidth="1"/>
    <col min="1295" max="1295" width="8.42578125" style="62" customWidth="1"/>
    <col min="1296" max="1296" width="18.85546875" style="62" customWidth="1"/>
    <col min="1297" max="1297" width="10.28515625" style="62" customWidth="1"/>
    <col min="1298" max="1298" width="11.42578125" style="62"/>
    <col min="1299" max="1299" width="12.140625" style="62" customWidth="1"/>
    <col min="1300" max="1300" width="10.5703125" style="62" customWidth="1"/>
    <col min="1301" max="1301" width="12.42578125" style="62" customWidth="1"/>
    <col min="1302" max="1302" width="15.140625" style="62" customWidth="1"/>
    <col min="1303" max="1303" width="13.5703125" style="62" customWidth="1"/>
    <col min="1304" max="1304" width="13.140625" style="62" customWidth="1"/>
    <col min="1305" max="1305" width="15.7109375" style="62" customWidth="1"/>
    <col min="1306" max="1306" width="37.5703125" style="62" customWidth="1"/>
    <col min="1307" max="1528" width="11.42578125" style="62"/>
    <col min="1529" max="1529" width="10.5703125" style="62" customWidth="1"/>
    <col min="1530" max="1530" width="4.85546875" style="62" customWidth="1"/>
    <col min="1531" max="1531" width="32.42578125" style="62" customWidth="1"/>
    <col min="1532" max="1532" width="9.85546875" style="62" customWidth="1"/>
    <col min="1533" max="1533" width="10.140625" style="62" customWidth="1"/>
    <col min="1534" max="1534" width="12.28515625" style="62" customWidth="1"/>
    <col min="1535" max="1535" width="15.42578125" style="62" customWidth="1"/>
    <col min="1536" max="1536" width="11.85546875" style="62" customWidth="1"/>
    <col min="1537" max="1537" width="13.28515625" style="62" customWidth="1"/>
    <col min="1538" max="1538" width="15.28515625" style="62" customWidth="1"/>
    <col min="1539" max="1539" width="11.85546875" style="62" customWidth="1"/>
    <col min="1540" max="1540" width="6.140625" style="62" customWidth="1"/>
    <col min="1541" max="1541" width="11.85546875" style="62" customWidth="1"/>
    <col min="1542" max="1542" width="9.42578125" style="62" customWidth="1"/>
    <col min="1543" max="1543" width="14.7109375" style="62" customWidth="1"/>
    <col min="1544" max="1544" width="11.5703125" style="62" customWidth="1"/>
    <col min="1545" max="1545" width="0.42578125" style="62" customWidth="1"/>
    <col min="1546" max="1546" width="10.5703125" style="62" bestFit="1" customWidth="1"/>
    <col min="1547" max="1547" width="12.28515625" style="62" customWidth="1"/>
    <col min="1548" max="1548" width="12.5703125" style="62" customWidth="1"/>
    <col min="1549" max="1549" width="10.5703125" style="62" customWidth="1"/>
    <col min="1550" max="1550" width="10.140625" style="62" customWidth="1"/>
    <col min="1551" max="1551" width="8.42578125" style="62" customWidth="1"/>
    <col min="1552" max="1552" width="18.85546875" style="62" customWidth="1"/>
    <col min="1553" max="1553" width="10.28515625" style="62" customWidth="1"/>
    <col min="1554" max="1554" width="11.42578125" style="62"/>
    <col min="1555" max="1555" width="12.140625" style="62" customWidth="1"/>
    <col min="1556" max="1556" width="10.5703125" style="62" customWidth="1"/>
    <col min="1557" max="1557" width="12.42578125" style="62" customWidth="1"/>
    <col min="1558" max="1558" width="15.140625" style="62" customWidth="1"/>
    <col min="1559" max="1559" width="13.5703125" style="62" customWidth="1"/>
    <col min="1560" max="1560" width="13.140625" style="62" customWidth="1"/>
    <col min="1561" max="1561" width="15.7109375" style="62" customWidth="1"/>
    <col min="1562" max="1562" width="37.5703125" style="62" customWidth="1"/>
    <col min="1563" max="1784" width="11.42578125" style="62"/>
    <col min="1785" max="1785" width="10.5703125" style="62" customWidth="1"/>
    <col min="1786" max="1786" width="4.85546875" style="62" customWidth="1"/>
    <col min="1787" max="1787" width="32.42578125" style="62" customWidth="1"/>
    <col min="1788" max="1788" width="9.85546875" style="62" customWidth="1"/>
    <col min="1789" max="1789" width="10.140625" style="62" customWidth="1"/>
    <col min="1790" max="1790" width="12.28515625" style="62" customWidth="1"/>
    <col min="1791" max="1791" width="15.42578125" style="62" customWidth="1"/>
    <col min="1792" max="1792" width="11.85546875" style="62" customWidth="1"/>
    <col min="1793" max="1793" width="13.28515625" style="62" customWidth="1"/>
    <col min="1794" max="1794" width="15.28515625" style="62" customWidth="1"/>
    <col min="1795" max="1795" width="11.85546875" style="62" customWidth="1"/>
    <col min="1796" max="1796" width="6.140625" style="62" customWidth="1"/>
    <col min="1797" max="1797" width="11.85546875" style="62" customWidth="1"/>
    <col min="1798" max="1798" width="9.42578125" style="62" customWidth="1"/>
    <col min="1799" max="1799" width="14.7109375" style="62" customWidth="1"/>
    <col min="1800" max="1800" width="11.5703125" style="62" customWidth="1"/>
    <col min="1801" max="1801" width="0.42578125" style="62" customWidth="1"/>
    <col min="1802" max="1802" width="10.5703125" style="62" bestFit="1" customWidth="1"/>
    <col min="1803" max="1803" width="12.28515625" style="62" customWidth="1"/>
    <col min="1804" max="1804" width="12.5703125" style="62" customWidth="1"/>
    <col min="1805" max="1805" width="10.5703125" style="62" customWidth="1"/>
    <col min="1806" max="1806" width="10.140625" style="62" customWidth="1"/>
    <col min="1807" max="1807" width="8.42578125" style="62" customWidth="1"/>
    <col min="1808" max="1808" width="18.85546875" style="62" customWidth="1"/>
    <col min="1809" max="1809" width="10.28515625" style="62" customWidth="1"/>
    <col min="1810" max="1810" width="11.42578125" style="62"/>
    <col min="1811" max="1811" width="12.140625" style="62" customWidth="1"/>
    <col min="1812" max="1812" width="10.5703125" style="62" customWidth="1"/>
    <col min="1813" max="1813" width="12.42578125" style="62" customWidth="1"/>
    <col min="1814" max="1814" width="15.140625" style="62" customWidth="1"/>
    <col min="1815" max="1815" width="13.5703125" style="62" customWidth="1"/>
    <col min="1816" max="1816" width="13.140625" style="62" customWidth="1"/>
    <col min="1817" max="1817" width="15.7109375" style="62" customWidth="1"/>
    <col min="1818" max="1818" width="37.5703125" style="62" customWidth="1"/>
    <col min="1819" max="2040" width="11.42578125" style="62"/>
    <col min="2041" max="2041" width="10.5703125" style="62" customWidth="1"/>
    <col min="2042" max="2042" width="4.85546875" style="62" customWidth="1"/>
    <col min="2043" max="2043" width="32.42578125" style="62" customWidth="1"/>
    <col min="2044" max="2044" width="9.85546875" style="62" customWidth="1"/>
    <col min="2045" max="2045" width="10.140625" style="62" customWidth="1"/>
    <col min="2046" max="2046" width="12.28515625" style="62" customWidth="1"/>
    <col min="2047" max="2047" width="15.42578125" style="62" customWidth="1"/>
    <col min="2048" max="2048" width="11.85546875" style="62" customWidth="1"/>
    <col min="2049" max="2049" width="13.28515625" style="62" customWidth="1"/>
    <col min="2050" max="2050" width="15.28515625" style="62" customWidth="1"/>
    <col min="2051" max="2051" width="11.85546875" style="62" customWidth="1"/>
    <col min="2052" max="2052" width="6.140625" style="62" customWidth="1"/>
    <col min="2053" max="2053" width="11.85546875" style="62" customWidth="1"/>
    <col min="2054" max="2054" width="9.42578125" style="62" customWidth="1"/>
    <col min="2055" max="2055" width="14.7109375" style="62" customWidth="1"/>
    <col min="2056" max="2056" width="11.5703125" style="62" customWidth="1"/>
    <col min="2057" max="2057" width="0.42578125" style="62" customWidth="1"/>
    <col min="2058" max="2058" width="10.5703125" style="62" bestFit="1" customWidth="1"/>
    <col min="2059" max="2059" width="12.28515625" style="62" customWidth="1"/>
    <col min="2060" max="2060" width="12.5703125" style="62" customWidth="1"/>
    <col min="2061" max="2061" width="10.5703125" style="62" customWidth="1"/>
    <col min="2062" max="2062" width="10.140625" style="62" customWidth="1"/>
    <col min="2063" max="2063" width="8.42578125" style="62" customWidth="1"/>
    <col min="2064" max="2064" width="18.85546875" style="62" customWidth="1"/>
    <col min="2065" max="2065" width="10.28515625" style="62" customWidth="1"/>
    <col min="2066" max="2066" width="11.42578125" style="62"/>
    <col min="2067" max="2067" width="12.140625" style="62" customWidth="1"/>
    <col min="2068" max="2068" width="10.5703125" style="62" customWidth="1"/>
    <col min="2069" max="2069" width="12.42578125" style="62" customWidth="1"/>
    <col min="2070" max="2070" width="15.140625" style="62" customWidth="1"/>
    <col min="2071" max="2071" width="13.5703125" style="62" customWidth="1"/>
    <col min="2072" max="2072" width="13.140625" style="62" customWidth="1"/>
    <col min="2073" max="2073" width="15.7109375" style="62" customWidth="1"/>
    <col min="2074" max="2074" width="37.5703125" style="62" customWidth="1"/>
    <col min="2075" max="2296" width="11.42578125" style="62"/>
    <col min="2297" max="2297" width="10.5703125" style="62" customWidth="1"/>
    <col min="2298" max="2298" width="4.85546875" style="62" customWidth="1"/>
    <col min="2299" max="2299" width="32.42578125" style="62" customWidth="1"/>
    <col min="2300" max="2300" width="9.85546875" style="62" customWidth="1"/>
    <col min="2301" max="2301" width="10.140625" style="62" customWidth="1"/>
    <col min="2302" max="2302" width="12.28515625" style="62" customWidth="1"/>
    <col min="2303" max="2303" width="15.42578125" style="62" customWidth="1"/>
    <col min="2304" max="2304" width="11.85546875" style="62" customWidth="1"/>
    <col min="2305" max="2305" width="13.28515625" style="62" customWidth="1"/>
    <col min="2306" max="2306" width="15.28515625" style="62" customWidth="1"/>
    <col min="2307" max="2307" width="11.85546875" style="62" customWidth="1"/>
    <col min="2308" max="2308" width="6.140625" style="62" customWidth="1"/>
    <col min="2309" max="2309" width="11.85546875" style="62" customWidth="1"/>
    <col min="2310" max="2310" width="9.42578125" style="62" customWidth="1"/>
    <col min="2311" max="2311" width="14.7109375" style="62" customWidth="1"/>
    <col min="2312" max="2312" width="11.5703125" style="62" customWidth="1"/>
    <col min="2313" max="2313" width="0.42578125" style="62" customWidth="1"/>
    <col min="2314" max="2314" width="10.5703125" style="62" bestFit="1" customWidth="1"/>
    <col min="2315" max="2315" width="12.28515625" style="62" customWidth="1"/>
    <col min="2316" max="2316" width="12.5703125" style="62" customWidth="1"/>
    <col min="2317" max="2317" width="10.5703125" style="62" customWidth="1"/>
    <col min="2318" max="2318" width="10.140625" style="62" customWidth="1"/>
    <col min="2319" max="2319" width="8.42578125" style="62" customWidth="1"/>
    <col min="2320" max="2320" width="18.85546875" style="62" customWidth="1"/>
    <col min="2321" max="2321" width="10.28515625" style="62" customWidth="1"/>
    <col min="2322" max="2322" width="11.42578125" style="62"/>
    <col min="2323" max="2323" width="12.140625" style="62" customWidth="1"/>
    <col min="2324" max="2324" width="10.5703125" style="62" customWidth="1"/>
    <col min="2325" max="2325" width="12.42578125" style="62" customWidth="1"/>
    <col min="2326" max="2326" width="15.140625" style="62" customWidth="1"/>
    <col min="2327" max="2327" width="13.5703125" style="62" customWidth="1"/>
    <col min="2328" max="2328" width="13.140625" style="62" customWidth="1"/>
    <col min="2329" max="2329" width="15.7109375" style="62" customWidth="1"/>
    <col min="2330" max="2330" width="37.5703125" style="62" customWidth="1"/>
    <col min="2331" max="2552" width="11.42578125" style="62"/>
    <col min="2553" max="2553" width="10.5703125" style="62" customWidth="1"/>
    <col min="2554" max="2554" width="4.85546875" style="62" customWidth="1"/>
    <col min="2555" max="2555" width="32.42578125" style="62" customWidth="1"/>
    <col min="2556" max="2556" width="9.85546875" style="62" customWidth="1"/>
    <col min="2557" max="2557" width="10.140625" style="62" customWidth="1"/>
    <col min="2558" max="2558" width="12.28515625" style="62" customWidth="1"/>
    <col min="2559" max="2559" width="15.42578125" style="62" customWidth="1"/>
    <col min="2560" max="2560" width="11.85546875" style="62" customWidth="1"/>
    <col min="2561" max="2561" width="13.28515625" style="62" customWidth="1"/>
    <col min="2562" max="2562" width="15.28515625" style="62" customWidth="1"/>
    <col min="2563" max="2563" width="11.85546875" style="62" customWidth="1"/>
    <col min="2564" max="2564" width="6.140625" style="62" customWidth="1"/>
    <col min="2565" max="2565" width="11.85546875" style="62" customWidth="1"/>
    <col min="2566" max="2566" width="9.42578125" style="62" customWidth="1"/>
    <col min="2567" max="2567" width="14.7109375" style="62" customWidth="1"/>
    <col min="2568" max="2568" width="11.5703125" style="62" customWidth="1"/>
    <col min="2569" max="2569" width="0.42578125" style="62" customWidth="1"/>
    <col min="2570" max="2570" width="10.5703125" style="62" bestFit="1" customWidth="1"/>
    <col min="2571" max="2571" width="12.28515625" style="62" customWidth="1"/>
    <col min="2572" max="2572" width="12.5703125" style="62" customWidth="1"/>
    <col min="2573" max="2573" width="10.5703125" style="62" customWidth="1"/>
    <col min="2574" max="2574" width="10.140625" style="62" customWidth="1"/>
    <col min="2575" max="2575" width="8.42578125" style="62" customWidth="1"/>
    <col min="2576" max="2576" width="18.85546875" style="62" customWidth="1"/>
    <col min="2577" max="2577" width="10.28515625" style="62" customWidth="1"/>
    <col min="2578" max="2578" width="11.42578125" style="62"/>
    <col min="2579" max="2579" width="12.140625" style="62" customWidth="1"/>
    <col min="2580" max="2580" width="10.5703125" style="62" customWidth="1"/>
    <col min="2581" max="2581" width="12.42578125" style="62" customWidth="1"/>
    <col min="2582" max="2582" width="15.140625" style="62" customWidth="1"/>
    <col min="2583" max="2583" width="13.5703125" style="62" customWidth="1"/>
    <col min="2584" max="2584" width="13.140625" style="62" customWidth="1"/>
    <col min="2585" max="2585" width="15.7109375" style="62" customWidth="1"/>
    <col min="2586" max="2586" width="37.5703125" style="62" customWidth="1"/>
    <col min="2587" max="2808" width="11.42578125" style="62"/>
    <col min="2809" max="2809" width="10.5703125" style="62" customWidth="1"/>
    <col min="2810" max="2810" width="4.85546875" style="62" customWidth="1"/>
    <col min="2811" max="2811" width="32.42578125" style="62" customWidth="1"/>
    <col min="2812" max="2812" width="9.85546875" style="62" customWidth="1"/>
    <col min="2813" max="2813" width="10.140625" style="62" customWidth="1"/>
    <col min="2814" max="2814" width="12.28515625" style="62" customWidth="1"/>
    <col min="2815" max="2815" width="15.42578125" style="62" customWidth="1"/>
    <col min="2816" max="2816" width="11.85546875" style="62" customWidth="1"/>
    <col min="2817" max="2817" width="13.28515625" style="62" customWidth="1"/>
    <col min="2818" max="2818" width="15.28515625" style="62" customWidth="1"/>
    <col min="2819" max="2819" width="11.85546875" style="62" customWidth="1"/>
    <col min="2820" max="2820" width="6.140625" style="62" customWidth="1"/>
    <col min="2821" max="2821" width="11.85546875" style="62" customWidth="1"/>
    <col min="2822" max="2822" width="9.42578125" style="62" customWidth="1"/>
    <col min="2823" max="2823" width="14.7109375" style="62" customWidth="1"/>
    <col min="2824" max="2824" width="11.5703125" style="62" customWidth="1"/>
    <col min="2825" max="2825" width="0.42578125" style="62" customWidth="1"/>
    <col min="2826" max="2826" width="10.5703125" style="62" bestFit="1" customWidth="1"/>
    <col min="2827" max="2827" width="12.28515625" style="62" customWidth="1"/>
    <col min="2828" max="2828" width="12.5703125" style="62" customWidth="1"/>
    <col min="2829" max="2829" width="10.5703125" style="62" customWidth="1"/>
    <col min="2830" max="2830" width="10.140625" style="62" customWidth="1"/>
    <col min="2831" max="2831" width="8.42578125" style="62" customWidth="1"/>
    <col min="2832" max="2832" width="18.85546875" style="62" customWidth="1"/>
    <col min="2833" max="2833" width="10.28515625" style="62" customWidth="1"/>
    <col min="2834" max="2834" width="11.42578125" style="62"/>
    <col min="2835" max="2835" width="12.140625" style="62" customWidth="1"/>
    <col min="2836" max="2836" width="10.5703125" style="62" customWidth="1"/>
    <col min="2837" max="2837" width="12.42578125" style="62" customWidth="1"/>
    <col min="2838" max="2838" width="15.140625" style="62" customWidth="1"/>
    <col min="2839" max="2839" width="13.5703125" style="62" customWidth="1"/>
    <col min="2840" max="2840" width="13.140625" style="62" customWidth="1"/>
    <col min="2841" max="2841" width="15.7109375" style="62" customWidth="1"/>
    <col min="2842" max="2842" width="37.5703125" style="62" customWidth="1"/>
    <col min="2843" max="3064" width="11.42578125" style="62"/>
    <col min="3065" max="3065" width="10.5703125" style="62" customWidth="1"/>
    <col min="3066" max="3066" width="4.85546875" style="62" customWidth="1"/>
    <col min="3067" max="3067" width="32.42578125" style="62" customWidth="1"/>
    <col min="3068" max="3068" width="9.85546875" style="62" customWidth="1"/>
    <col min="3069" max="3069" width="10.140625" style="62" customWidth="1"/>
    <col min="3070" max="3070" width="12.28515625" style="62" customWidth="1"/>
    <col min="3071" max="3071" width="15.42578125" style="62" customWidth="1"/>
    <col min="3072" max="3072" width="11.85546875" style="62" customWidth="1"/>
    <col min="3073" max="3073" width="13.28515625" style="62" customWidth="1"/>
    <col min="3074" max="3074" width="15.28515625" style="62" customWidth="1"/>
    <col min="3075" max="3075" width="11.85546875" style="62" customWidth="1"/>
    <col min="3076" max="3076" width="6.140625" style="62" customWidth="1"/>
    <col min="3077" max="3077" width="11.85546875" style="62" customWidth="1"/>
    <col min="3078" max="3078" width="9.42578125" style="62" customWidth="1"/>
    <col min="3079" max="3079" width="14.7109375" style="62" customWidth="1"/>
    <col min="3080" max="3080" width="11.5703125" style="62" customWidth="1"/>
    <col min="3081" max="3081" width="0.42578125" style="62" customWidth="1"/>
    <col min="3082" max="3082" width="10.5703125" style="62" bestFit="1" customWidth="1"/>
    <col min="3083" max="3083" width="12.28515625" style="62" customWidth="1"/>
    <col min="3084" max="3084" width="12.5703125" style="62" customWidth="1"/>
    <col min="3085" max="3085" width="10.5703125" style="62" customWidth="1"/>
    <col min="3086" max="3086" width="10.140625" style="62" customWidth="1"/>
    <col min="3087" max="3087" width="8.42578125" style="62" customWidth="1"/>
    <col min="3088" max="3088" width="18.85546875" style="62" customWidth="1"/>
    <col min="3089" max="3089" width="10.28515625" style="62" customWidth="1"/>
    <col min="3090" max="3090" width="11.42578125" style="62"/>
    <col min="3091" max="3091" width="12.140625" style="62" customWidth="1"/>
    <col min="3092" max="3092" width="10.5703125" style="62" customWidth="1"/>
    <col min="3093" max="3093" width="12.42578125" style="62" customWidth="1"/>
    <col min="3094" max="3094" width="15.140625" style="62" customWidth="1"/>
    <col min="3095" max="3095" width="13.5703125" style="62" customWidth="1"/>
    <col min="3096" max="3096" width="13.140625" style="62" customWidth="1"/>
    <col min="3097" max="3097" width="15.7109375" style="62" customWidth="1"/>
    <col min="3098" max="3098" width="37.5703125" style="62" customWidth="1"/>
    <col min="3099" max="3320" width="11.42578125" style="62"/>
    <col min="3321" max="3321" width="10.5703125" style="62" customWidth="1"/>
    <col min="3322" max="3322" width="4.85546875" style="62" customWidth="1"/>
    <col min="3323" max="3323" width="32.42578125" style="62" customWidth="1"/>
    <col min="3324" max="3324" width="9.85546875" style="62" customWidth="1"/>
    <col min="3325" max="3325" width="10.140625" style="62" customWidth="1"/>
    <col min="3326" max="3326" width="12.28515625" style="62" customWidth="1"/>
    <col min="3327" max="3327" width="15.42578125" style="62" customWidth="1"/>
    <col min="3328" max="3328" width="11.85546875" style="62" customWidth="1"/>
    <col min="3329" max="3329" width="13.28515625" style="62" customWidth="1"/>
    <col min="3330" max="3330" width="15.28515625" style="62" customWidth="1"/>
    <col min="3331" max="3331" width="11.85546875" style="62" customWidth="1"/>
    <col min="3332" max="3332" width="6.140625" style="62" customWidth="1"/>
    <col min="3333" max="3333" width="11.85546875" style="62" customWidth="1"/>
    <col min="3334" max="3334" width="9.42578125" style="62" customWidth="1"/>
    <col min="3335" max="3335" width="14.7109375" style="62" customWidth="1"/>
    <col min="3336" max="3336" width="11.5703125" style="62" customWidth="1"/>
    <col min="3337" max="3337" width="0.42578125" style="62" customWidth="1"/>
    <col min="3338" max="3338" width="10.5703125" style="62" bestFit="1" customWidth="1"/>
    <col min="3339" max="3339" width="12.28515625" style="62" customWidth="1"/>
    <col min="3340" max="3340" width="12.5703125" style="62" customWidth="1"/>
    <col min="3341" max="3341" width="10.5703125" style="62" customWidth="1"/>
    <col min="3342" max="3342" width="10.140625" style="62" customWidth="1"/>
    <col min="3343" max="3343" width="8.42578125" style="62" customWidth="1"/>
    <col min="3344" max="3344" width="18.85546875" style="62" customWidth="1"/>
    <col min="3345" max="3345" width="10.28515625" style="62" customWidth="1"/>
    <col min="3346" max="3346" width="11.42578125" style="62"/>
    <col min="3347" max="3347" width="12.140625" style="62" customWidth="1"/>
    <col min="3348" max="3348" width="10.5703125" style="62" customWidth="1"/>
    <col min="3349" max="3349" width="12.42578125" style="62" customWidth="1"/>
    <col min="3350" max="3350" width="15.140625" style="62" customWidth="1"/>
    <col min="3351" max="3351" width="13.5703125" style="62" customWidth="1"/>
    <col min="3352" max="3352" width="13.140625" style="62" customWidth="1"/>
    <col min="3353" max="3353" width="15.7109375" style="62" customWidth="1"/>
    <col min="3354" max="3354" width="37.5703125" style="62" customWidth="1"/>
    <col min="3355" max="3576" width="11.42578125" style="62"/>
    <col min="3577" max="3577" width="10.5703125" style="62" customWidth="1"/>
    <col min="3578" max="3578" width="4.85546875" style="62" customWidth="1"/>
    <col min="3579" max="3579" width="32.42578125" style="62" customWidth="1"/>
    <col min="3580" max="3580" width="9.85546875" style="62" customWidth="1"/>
    <col min="3581" max="3581" width="10.140625" style="62" customWidth="1"/>
    <col min="3582" max="3582" width="12.28515625" style="62" customWidth="1"/>
    <col min="3583" max="3583" width="15.42578125" style="62" customWidth="1"/>
    <col min="3584" max="3584" width="11.85546875" style="62" customWidth="1"/>
    <col min="3585" max="3585" width="13.28515625" style="62" customWidth="1"/>
    <col min="3586" max="3586" width="15.28515625" style="62" customWidth="1"/>
    <col min="3587" max="3587" width="11.85546875" style="62" customWidth="1"/>
    <col min="3588" max="3588" width="6.140625" style="62" customWidth="1"/>
    <col min="3589" max="3589" width="11.85546875" style="62" customWidth="1"/>
    <col min="3590" max="3590" width="9.42578125" style="62" customWidth="1"/>
    <col min="3591" max="3591" width="14.7109375" style="62" customWidth="1"/>
    <col min="3592" max="3592" width="11.5703125" style="62" customWidth="1"/>
    <col min="3593" max="3593" width="0.42578125" style="62" customWidth="1"/>
    <col min="3594" max="3594" width="10.5703125" style="62" bestFit="1" customWidth="1"/>
    <col min="3595" max="3595" width="12.28515625" style="62" customWidth="1"/>
    <col min="3596" max="3596" width="12.5703125" style="62" customWidth="1"/>
    <col min="3597" max="3597" width="10.5703125" style="62" customWidth="1"/>
    <col min="3598" max="3598" width="10.140625" style="62" customWidth="1"/>
    <col min="3599" max="3599" width="8.42578125" style="62" customWidth="1"/>
    <col min="3600" max="3600" width="18.85546875" style="62" customWidth="1"/>
    <col min="3601" max="3601" width="10.28515625" style="62" customWidth="1"/>
    <col min="3602" max="3602" width="11.42578125" style="62"/>
    <col min="3603" max="3603" width="12.140625" style="62" customWidth="1"/>
    <col min="3604" max="3604" width="10.5703125" style="62" customWidth="1"/>
    <col min="3605" max="3605" width="12.42578125" style="62" customWidth="1"/>
    <col min="3606" max="3606" width="15.140625" style="62" customWidth="1"/>
    <col min="3607" max="3607" width="13.5703125" style="62" customWidth="1"/>
    <col min="3608" max="3608" width="13.140625" style="62" customWidth="1"/>
    <col min="3609" max="3609" width="15.7109375" style="62" customWidth="1"/>
    <col min="3610" max="3610" width="37.5703125" style="62" customWidth="1"/>
    <col min="3611" max="3832" width="11.42578125" style="62"/>
    <col min="3833" max="3833" width="10.5703125" style="62" customWidth="1"/>
    <col min="3834" max="3834" width="4.85546875" style="62" customWidth="1"/>
    <col min="3835" max="3835" width="32.42578125" style="62" customWidth="1"/>
    <col min="3836" max="3836" width="9.85546875" style="62" customWidth="1"/>
    <col min="3837" max="3837" width="10.140625" style="62" customWidth="1"/>
    <col min="3838" max="3838" width="12.28515625" style="62" customWidth="1"/>
    <col min="3839" max="3839" width="15.42578125" style="62" customWidth="1"/>
    <col min="3840" max="3840" width="11.85546875" style="62" customWidth="1"/>
    <col min="3841" max="3841" width="13.28515625" style="62" customWidth="1"/>
    <col min="3842" max="3842" width="15.28515625" style="62" customWidth="1"/>
    <col min="3843" max="3843" width="11.85546875" style="62" customWidth="1"/>
    <col min="3844" max="3844" width="6.140625" style="62" customWidth="1"/>
    <col min="3845" max="3845" width="11.85546875" style="62" customWidth="1"/>
    <col min="3846" max="3846" width="9.42578125" style="62" customWidth="1"/>
    <col min="3847" max="3847" width="14.7109375" style="62" customWidth="1"/>
    <col min="3848" max="3848" width="11.5703125" style="62" customWidth="1"/>
    <col min="3849" max="3849" width="0.42578125" style="62" customWidth="1"/>
    <col min="3850" max="3850" width="10.5703125" style="62" bestFit="1" customWidth="1"/>
    <col min="3851" max="3851" width="12.28515625" style="62" customWidth="1"/>
    <col min="3852" max="3852" width="12.5703125" style="62" customWidth="1"/>
    <col min="3853" max="3853" width="10.5703125" style="62" customWidth="1"/>
    <col min="3854" max="3854" width="10.140625" style="62" customWidth="1"/>
    <col min="3855" max="3855" width="8.42578125" style="62" customWidth="1"/>
    <col min="3856" max="3856" width="18.85546875" style="62" customWidth="1"/>
    <col min="3857" max="3857" width="10.28515625" style="62" customWidth="1"/>
    <col min="3858" max="3858" width="11.42578125" style="62"/>
    <col min="3859" max="3859" width="12.140625" style="62" customWidth="1"/>
    <col min="3860" max="3860" width="10.5703125" style="62" customWidth="1"/>
    <col min="3861" max="3861" width="12.42578125" style="62" customWidth="1"/>
    <col min="3862" max="3862" width="15.140625" style="62" customWidth="1"/>
    <col min="3863" max="3863" width="13.5703125" style="62" customWidth="1"/>
    <col min="3864" max="3864" width="13.140625" style="62" customWidth="1"/>
    <col min="3865" max="3865" width="15.7109375" style="62" customWidth="1"/>
    <col min="3866" max="3866" width="37.5703125" style="62" customWidth="1"/>
    <col min="3867" max="4088" width="11.42578125" style="62"/>
    <col min="4089" max="4089" width="10.5703125" style="62" customWidth="1"/>
    <col min="4090" max="4090" width="4.85546875" style="62" customWidth="1"/>
    <col min="4091" max="4091" width="32.42578125" style="62" customWidth="1"/>
    <col min="4092" max="4092" width="9.85546875" style="62" customWidth="1"/>
    <col min="4093" max="4093" width="10.140625" style="62" customWidth="1"/>
    <col min="4094" max="4094" width="12.28515625" style="62" customWidth="1"/>
    <col min="4095" max="4095" width="15.42578125" style="62" customWidth="1"/>
    <col min="4096" max="4096" width="11.85546875" style="62" customWidth="1"/>
    <col min="4097" max="4097" width="13.28515625" style="62" customWidth="1"/>
    <col min="4098" max="4098" width="15.28515625" style="62" customWidth="1"/>
    <col min="4099" max="4099" width="11.85546875" style="62" customWidth="1"/>
    <col min="4100" max="4100" width="6.140625" style="62" customWidth="1"/>
    <col min="4101" max="4101" width="11.85546875" style="62" customWidth="1"/>
    <col min="4102" max="4102" width="9.42578125" style="62" customWidth="1"/>
    <col min="4103" max="4103" width="14.7109375" style="62" customWidth="1"/>
    <col min="4104" max="4104" width="11.5703125" style="62" customWidth="1"/>
    <col min="4105" max="4105" width="0.42578125" style="62" customWidth="1"/>
    <col min="4106" max="4106" width="10.5703125" style="62" bestFit="1" customWidth="1"/>
    <col min="4107" max="4107" width="12.28515625" style="62" customWidth="1"/>
    <col min="4108" max="4108" width="12.5703125" style="62" customWidth="1"/>
    <col min="4109" max="4109" width="10.5703125" style="62" customWidth="1"/>
    <col min="4110" max="4110" width="10.140625" style="62" customWidth="1"/>
    <col min="4111" max="4111" width="8.42578125" style="62" customWidth="1"/>
    <col min="4112" max="4112" width="18.85546875" style="62" customWidth="1"/>
    <col min="4113" max="4113" width="10.28515625" style="62" customWidth="1"/>
    <col min="4114" max="4114" width="11.42578125" style="62"/>
    <col min="4115" max="4115" width="12.140625" style="62" customWidth="1"/>
    <col min="4116" max="4116" width="10.5703125" style="62" customWidth="1"/>
    <col min="4117" max="4117" width="12.42578125" style="62" customWidth="1"/>
    <col min="4118" max="4118" width="15.140625" style="62" customWidth="1"/>
    <col min="4119" max="4119" width="13.5703125" style="62" customWidth="1"/>
    <col min="4120" max="4120" width="13.140625" style="62" customWidth="1"/>
    <col min="4121" max="4121" width="15.7109375" style="62" customWidth="1"/>
    <col min="4122" max="4122" width="37.5703125" style="62" customWidth="1"/>
    <col min="4123" max="4344" width="11.42578125" style="62"/>
    <col min="4345" max="4345" width="10.5703125" style="62" customWidth="1"/>
    <col min="4346" max="4346" width="4.85546875" style="62" customWidth="1"/>
    <col min="4347" max="4347" width="32.42578125" style="62" customWidth="1"/>
    <col min="4348" max="4348" width="9.85546875" style="62" customWidth="1"/>
    <col min="4349" max="4349" width="10.140625" style="62" customWidth="1"/>
    <col min="4350" max="4350" width="12.28515625" style="62" customWidth="1"/>
    <col min="4351" max="4351" width="15.42578125" style="62" customWidth="1"/>
    <col min="4352" max="4352" width="11.85546875" style="62" customWidth="1"/>
    <col min="4353" max="4353" width="13.28515625" style="62" customWidth="1"/>
    <col min="4354" max="4354" width="15.28515625" style="62" customWidth="1"/>
    <col min="4355" max="4355" width="11.85546875" style="62" customWidth="1"/>
    <col min="4356" max="4356" width="6.140625" style="62" customWidth="1"/>
    <col min="4357" max="4357" width="11.85546875" style="62" customWidth="1"/>
    <col min="4358" max="4358" width="9.42578125" style="62" customWidth="1"/>
    <col min="4359" max="4359" width="14.7109375" style="62" customWidth="1"/>
    <col min="4360" max="4360" width="11.5703125" style="62" customWidth="1"/>
    <col min="4361" max="4361" width="0.42578125" style="62" customWidth="1"/>
    <col min="4362" max="4362" width="10.5703125" style="62" bestFit="1" customWidth="1"/>
    <col min="4363" max="4363" width="12.28515625" style="62" customWidth="1"/>
    <col min="4364" max="4364" width="12.5703125" style="62" customWidth="1"/>
    <col min="4365" max="4365" width="10.5703125" style="62" customWidth="1"/>
    <col min="4366" max="4366" width="10.140625" style="62" customWidth="1"/>
    <col min="4367" max="4367" width="8.42578125" style="62" customWidth="1"/>
    <col min="4368" max="4368" width="18.85546875" style="62" customWidth="1"/>
    <col min="4369" max="4369" width="10.28515625" style="62" customWidth="1"/>
    <col min="4370" max="4370" width="11.42578125" style="62"/>
    <col min="4371" max="4371" width="12.140625" style="62" customWidth="1"/>
    <col min="4372" max="4372" width="10.5703125" style="62" customWidth="1"/>
    <col min="4373" max="4373" width="12.42578125" style="62" customWidth="1"/>
    <col min="4374" max="4374" width="15.140625" style="62" customWidth="1"/>
    <col min="4375" max="4375" width="13.5703125" style="62" customWidth="1"/>
    <col min="4376" max="4376" width="13.140625" style="62" customWidth="1"/>
    <col min="4377" max="4377" width="15.7109375" style="62" customWidth="1"/>
    <col min="4378" max="4378" width="37.5703125" style="62" customWidth="1"/>
    <col min="4379" max="4600" width="11.42578125" style="62"/>
    <col min="4601" max="4601" width="10.5703125" style="62" customWidth="1"/>
    <col min="4602" max="4602" width="4.85546875" style="62" customWidth="1"/>
    <col min="4603" max="4603" width="32.42578125" style="62" customWidth="1"/>
    <col min="4604" max="4604" width="9.85546875" style="62" customWidth="1"/>
    <col min="4605" max="4605" width="10.140625" style="62" customWidth="1"/>
    <col min="4606" max="4606" width="12.28515625" style="62" customWidth="1"/>
    <col min="4607" max="4607" width="15.42578125" style="62" customWidth="1"/>
    <col min="4608" max="4608" width="11.85546875" style="62" customWidth="1"/>
    <col min="4609" max="4609" width="13.28515625" style="62" customWidth="1"/>
    <col min="4610" max="4610" width="15.28515625" style="62" customWidth="1"/>
    <col min="4611" max="4611" width="11.85546875" style="62" customWidth="1"/>
    <col min="4612" max="4612" width="6.140625" style="62" customWidth="1"/>
    <col min="4613" max="4613" width="11.85546875" style="62" customWidth="1"/>
    <col min="4614" max="4614" width="9.42578125" style="62" customWidth="1"/>
    <col min="4615" max="4615" width="14.7109375" style="62" customWidth="1"/>
    <col min="4616" max="4616" width="11.5703125" style="62" customWidth="1"/>
    <col min="4617" max="4617" width="0.42578125" style="62" customWidth="1"/>
    <col min="4618" max="4618" width="10.5703125" style="62" bestFit="1" customWidth="1"/>
    <col min="4619" max="4619" width="12.28515625" style="62" customWidth="1"/>
    <col min="4620" max="4620" width="12.5703125" style="62" customWidth="1"/>
    <col min="4621" max="4621" width="10.5703125" style="62" customWidth="1"/>
    <col min="4622" max="4622" width="10.140625" style="62" customWidth="1"/>
    <col min="4623" max="4623" width="8.42578125" style="62" customWidth="1"/>
    <col min="4624" max="4624" width="18.85546875" style="62" customWidth="1"/>
    <col min="4625" max="4625" width="10.28515625" style="62" customWidth="1"/>
    <col min="4626" max="4626" width="11.42578125" style="62"/>
    <col min="4627" max="4627" width="12.140625" style="62" customWidth="1"/>
    <col min="4628" max="4628" width="10.5703125" style="62" customWidth="1"/>
    <col min="4629" max="4629" width="12.42578125" style="62" customWidth="1"/>
    <col min="4630" max="4630" width="15.140625" style="62" customWidth="1"/>
    <col min="4631" max="4631" width="13.5703125" style="62" customWidth="1"/>
    <col min="4632" max="4632" width="13.140625" style="62" customWidth="1"/>
    <col min="4633" max="4633" width="15.7109375" style="62" customWidth="1"/>
    <col min="4634" max="4634" width="37.5703125" style="62" customWidth="1"/>
    <col min="4635" max="4856" width="11.42578125" style="62"/>
    <col min="4857" max="4857" width="10.5703125" style="62" customWidth="1"/>
    <col min="4858" max="4858" width="4.85546875" style="62" customWidth="1"/>
    <col min="4859" max="4859" width="32.42578125" style="62" customWidth="1"/>
    <col min="4860" max="4860" width="9.85546875" style="62" customWidth="1"/>
    <col min="4861" max="4861" width="10.140625" style="62" customWidth="1"/>
    <col min="4862" max="4862" width="12.28515625" style="62" customWidth="1"/>
    <col min="4863" max="4863" width="15.42578125" style="62" customWidth="1"/>
    <col min="4864" max="4864" width="11.85546875" style="62" customWidth="1"/>
    <col min="4865" max="4865" width="13.28515625" style="62" customWidth="1"/>
    <col min="4866" max="4866" width="15.28515625" style="62" customWidth="1"/>
    <col min="4867" max="4867" width="11.85546875" style="62" customWidth="1"/>
    <col min="4868" max="4868" width="6.140625" style="62" customWidth="1"/>
    <col min="4869" max="4869" width="11.85546875" style="62" customWidth="1"/>
    <col min="4870" max="4870" width="9.42578125" style="62" customWidth="1"/>
    <col min="4871" max="4871" width="14.7109375" style="62" customWidth="1"/>
    <col min="4872" max="4872" width="11.5703125" style="62" customWidth="1"/>
    <col min="4873" max="4873" width="0.42578125" style="62" customWidth="1"/>
    <col min="4874" max="4874" width="10.5703125" style="62" bestFit="1" customWidth="1"/>
    <col min="4875" max="4875" width="12.28515625" style="62" customWidth="1"/>
    <col min="4876" max="4876" width="12.5703125" style="62" customWidth="1"/>
    <col min="4877" max="4877" width="10.5703125" style="62" customWidth="1"/>
    <col min="4878" max="4878" width="10.140625" style="62" customWidth="1"/>
    <col min="4879" max="4879" width="8.42578125" style="62" customWidth="1"/>
    <col min="4880" max="4880" width="18.85546875" style="62" customWidth="1"/>
    <col min="4881" max="4881" width="10.28515625" style="62" customWidth="1"/>
    <col min="4882" max="4882" width="11.42578125" style="62"/>
    <col min="4883" max="4883" width="12.140625" style="62" customWidth="1"/>
    <col min="4884" max="4884" width="10.5703125" style="62" customWidth="1"/>
    <col min="4885" max="4885" width="12.42578125" style="62" customWidth="1"/>
    <col min="4886" max="4886" width="15.140625" style="62" customWidth="1"/>
    <col min="4887" max="4887" width="13.5703125" style="62" customWidth="1"/>
    <col min="4888" max="4888" width="13.140625" style="62" customWidth="1"/>
    <col min="4889" max="4889" width="15.7109375" style="62" customWidth="1"/>
    <col min="4890" max="4890" width="37.5703125" style="62" customWidth="1"/>
    <col min="4891" max="5112" width="11.42578125" style="62"/>
    <col min="5113" max="5113" width="10.5703125" style="62" customWidth="1"/>
    <col min="5114" max="5114" width="4.85546875" style="62" customWidth="1"/>
    <col min="5115" max="5115" width="32.42578125" style="62" customWidth="1"/>
    <col min="5116" max="5116" width="9.85546875" style="62" customWidth="1"/>
    <col min="5117" max="5117" width="10.140625" style="62" customWidth="1"/>
    <col min="5118" max="5118" width="12.28515625" style="62" customWidth="1"/>
    <col min="5119" max="5119" width="15.42578125" style="62" customWidth="1"/>
    <col min="5120" max="5120" width="11.85546875" style="62" customWidth="1"/>
    <col min="5121" max="5121" width="13.28515625" style="62" customWidth="1"/>
    <col min="5122" max="5122" width="15.28515625" style="62" customWidth="1"/>
    <col min="5123" max="5123" width="11.85546875" style="62" customWidth="1"/>
    <col min="5124" max="5124" width="6.140625" style="62" customWidth="1"/>
    <col min="5125" max="5125" width="11.85546875" style="62" customWidth="1"/>
    <col min="5126" max="5126" width="9.42578125" style="62" customWidth="1"/>
    <col min="5127" max="5127" width="14.7109375" style="62" customWidth="1"/>
    <col min="5128" max="5128" width="11.5703125" style="62" customWidth="1"/>
    <col min="5129" max="5129" width="0.42578125" style="62" customWidth="1"/>
    <col min="5130" max="5130" width="10.5703125" style="62" bestFit="1" customWidth="1"/>
    <col min="5131" max="5131" width="12.28515625" style="62" customWidth="1"/>
    <col min="5132" max="5132" width="12.5703125" style="62" customWidth="1"/>
    <col min="5133" max="5133" width="10.5703125" style="62" customWidth="1"/>
    <col min="5134" max="5134" width="10.140625" style="62" customWidth="1"/>
    <col min="5135" max="5135" width="8.42578125" style="62" customWidth="1"/>
    <col min="5136" max="5136" width="18.85546875" style="62" customWidth="1"/>
    <col min="5137" max="5137" width="10.28515625" style="62" customWidth="1"/>
    <col min="5138" max="5138" width="11.42578125" style="62"/>
    <col min="5139" max="5139" width="12.140625" style="62" customWidth="1"/>
    <col min="5140" max="5140" width="10.5703125" style="62" customWidth="1"/>
    <col min="5141" max="5141" width="12.42578125" style="62" customWidth="1"/>
    <col min="5142" max="5142" width="15.140625" style="62" customWidth="1"/>
    <col min="5143" max="5143" width="13.5703125" style="62" customWidth="1"/>
    <col min="5144" max="5144" width="13.140625" style="62" customWidth="1"/>
    <col min="5145" max="5145" width="15.7109375" style="62" customWidth="1"/>
    <col min="5146" max="5146" width="37.5703125" style="62" customWidth="1"/>
    <col min="5147" max="5368" width="11.42578125" style="62"/>
    <col min="5369" max="5369" width="10.5703125" style="62" customWidth="1"/>
    <col min="5370" max="5370" width="4.85546875" style="62" customWidth="1"/>
    <col min="5371" max="5371" width="32.42578125" style="62" customWidth="1"/>
    <col min="5372" max="5372" width="9.85546875" style="62" customWidth="1"/>
    <col min="5373" max="5373" width="10.140625" style="62" customWidth="1"/>
    <col min="5374" max="5374" width="12.28515625" style="62" customWidth="1"/>
    <col min="5375" max="5375" width="15.42578125" style="62" customWidth="1"/>
    <col min="5376" max="5376" width="11.85546875" style="62" customWidth="1"/>
    <col min="5377" max="5377" width="13.28515625" style="62" customWidth="1"/>
    <col min="5378" max="5378" width="15.28515625" style="62" customWidth="1"/>
    <col min="5379" max="5379" width="11.85546875" style="62" customWidth="1"/>
    <col min="5380" max="5380" width="6.140625" style="62" customWidth="1"/>
    <col min="5381" max="5381" width="11.85546875" style="62" customWidth="1"/>
    <col min="5382" max="5382" width="9.42578125" style="62" customWidth="1"/>
    <col min="5383" max="5383" width="14.7109375" style="62" customWidth="1"/>
    <col min="5384" max="5384" width="11.5703125" style="62" customWidth="1"/>
    <col min="5385" max="5385" width="0.42578125" style="62" customWidth="1"/>
    <col min="5386" max="5386" width="10.5703125" style="62" bestFit="1" customWidth="1"/>
    <col min="5387" max="5387" width="12.28515625" style="62" customWidth="1"/>
    <col min="5388" max="5388" width="12.5703125" style="62" customWidth="1"/>
    <col min="5389" max="5389" width="10.5703125" style="62" customWidth="1"/>
    <col min="5390" max="5390" width="10.140625" style="62" customWidth="1"/>
    <col min="5391" max="5391" width="8.42578125" style="62" customWidth="1"/>
    <col min="5392" max="5392" width="18.85546875" style="62" customWidth="1"/>
    <col min="5393" max="5393" width="10.28515625" style="62" customWidth="1"/>
    <col min="5394" max="5394" width="11.42578125" style="62"/>
    <col min="5395" max="5395" width="12.140625" style="62" customWidth="1"/>
    <col min="5396" max="5396" width="10.5703125" style="62" customWidth="1"/>
    <col min="5397" max="5397" width="12.42578125" style="62" customWidth="1"/>
    <col min="5398" max="5398" width="15.140625" style="62" customWidth="1"/>
    <col min="5399" max="5399" width="13.5703125" style="62" customWidth="1"/>
    <col min="5400" max="5400" width="13.140625" style="62" customWidth="1"/>
    <col min="5401" max="5401" width="15.7109375" style="62" customWidth="1"/>
    <col min="5402" max="5402" width="37.5703125" style="62" customWidth="1"/>
    <col min="5403" max="5624" width="11.42578125" style="62"/>
    <col min="5625" max="5625" width="10.5703125" style="62" customWidth="1"/>
    <col min="5626" max="5626" width="4.85546875" style="62" customWidth="1"/>
    <col min="5627" max="5627" width="32.42578125" style="62" customWidth="1"/>
    <col min="5628" max="5628" width="9.85546875" style="62" customWidth="1"/>
    <col min="5629" max="5629" width="10.140625" style="62" customWidth="1"/>
    <col min="5630" max="5630" width="12.28515625" style="62" customWidth="1"/>
    <col min="5631" max="5631" width="15.42578125" style="62" customWidth="1"/>
    <col min="5632" max="5632" width="11.85546875" style="62" customWidth="1"/>
    <col min="5633" max="5633" width="13.28515625" style="62" customWidth="1"/>
    <col min="5634" max="5634" width="15.28515625" style="62" customWidth="1"/>
    <col min="5635" max="5635" width="11.85546875" style="62" customWidth="1"/>
    <col min="5636" max="5636" width="6.140625" style="62" customWidth="1"/>
    <col min="5637" max="5637" width="11.85546875" style="62" customWidth="1"/>
    <col min="5638" max="5638" width="9.42578125" style="62" customWidth="1"/>
    <col min="5639" max="5639" width="14.7109375" style="62" customWidth="1"/>
    <col min="5640" max="5640" width="11.5703125" style="62" customWidth="1"/>
    <col min="5641" max="5641" width="0.42578125" style="62" customWidth="1"/>
    <col min="5642" max="5642" width="10.5703125" style="62" bestFit="1" customWidth="1"/>
    <col min="5643" max="5643" width="12.28515625" style="62" customWidth="1"/>
    <col min="5644" max="5644" width="12.5703125" style="62" customWidth="1"/>
    <col min="5645" max="5645" width="10.5703125" style="62" customWidth="1"/>
    <col min="5646" max="5646" width="10.140625" style="62" customWidth="1"/>
    <col min="5647" max="5647" width="8.42578125" style="62" customWidth="1"/>
    <col min="5648" max="5648" width="18.85546875" style="62" customWidth="1"/>
    <col min="5649" max="5649" width="10.28515625" style="62" customWidth="1"/>
    <col min="5650" max="5650" width="11.42578125" style="62"/>
    <col min="5651" max="5651" width="12.140625" style="62" customWidth="1"/>
    <col min="5652" max="5652" width="10.5703125" style="62" customWidth="1"/>
    <col min="5653" max="5653" width="12.42578125" style="62" customWidth="1"/>
    <col min="5654" max="5654" width="15.140625" style="62" customWidth="1"/>
    <col min="5655" max="5655" width="13.5703125" style="62" customWidth="1"/>
    <col min="5656" max="5656" width="13.140625" style="62" customWidth="1"/>
    <col min="5657" max="5657" width="15.7109375" style="62" customWidth="1"/>
    <col min="5658" max="5658" width="37.5703125" style="62" customWidth="1"/>
    <col min="5659" max="5880" width="11.42578125" style="62"/>
    <col min="5881" max="5881" width="10.5703125" style="62" customWidth="1"/>
    <col min="5882" max="5882" width="4.85546875" style="62" customWidth="1"/>
    <col min="5883" max="5883" width="32.42578125" style="62" customWidth="1"/>
    <col min="5884" max="5884" width="9.85546875" style="62" customWidth="1"/>
    <col min="5885" max="5885" width="10.140625" style="62" customWidth="1"/>
    <col min="5886" max="5886" width="12.28515625" style="62" customWidth="1"/>
    <col min="5887" max="5887" width="15.42578125" style="62" customWidth="1"/>
    <col min="5888" max="5888" width="11.85546875" style="62" customWidth="1"/>
    <col min="5889" max="5889" width="13.28515625" style="62" customWidth="1"/>
    <col min="5890" max="5890" width="15.28515625" style="62" customWidth="1"/>
    <col min="5891" max="5891" width="11.85546875" style="62" customWidth="1"/>
    <col min="5892" max="5892" width="6.140625" style="62" customWidth="1"/>
    <col min="5893" max="5893" width="11.85546875" style="62" customWidth="1"/>
    <col min="5894" max="5894" width="9.42578125" style="62" customWidth="1"/>
    <col min="5895" max="5895" width="14.7109375" style="62" customWidth="1"/>
    <col min="5896" max="5896" width="11.5703125" style="62" customWidth="1"/>
    <col min="5897" max="5897" width="0.42578125" style="62" customWidth="1"/>
    <col min="5898" max="5898" width="10.5703125" style="62" bestFit="1" customWidth="1"/>
    <col min="5899" max="5899" width="12.28515625" style="62" customWidth="1"/>
    <col min="5900" max="5900" width="12.5703125" style="62" customWidth="1"/>
    <col min="5901" max="5901" width="10.5703125" style="62" customWidth="1"/>
    <col min="5902" max="5902" width="10.140625" style="62" customWidth="1"/>
    <col min="5903" max="5903" width="8.42578125" style="62" customWidth="1"/>
    <col min="5904" max="5904" width="18.85546875" style="62" customWidth="1"/>
    <col min="5905" max="5905" width="10.28515625" style="62" customWidth="1"/>
    <col min="5906" max="5906" width="11.42578125" style="62"/>
    <col min="5907" max="5907" width="12.140625" style="62" customWidth="1"/>
    <col min="5908" max="5908" width="10.5703125" style="62" customWidth="1"/>
    <col min="5909" max="5909" width="12.42578125" style="62" customWidth="1"/>
    <col min="5910" max="5910" width="15.140625" style="62" customWidth="1"/>
    <col min="5911" max="5911" width="13.5703125" style="62" customWidth="1"/>
    <col min="5912" max="5912" width="13.140625" style="62" customWidth="1"/>
    <col min="5913" max="5913" width="15.7109375" style="62" customWidth="1"/>
    <col min="5914" max="5914" width="37.5703125" style="62" customWidth="1"/>
    <col min="5915" max="6136" width="11.42578125" style="62"/>
    <col min="6137" max="6137" width="10.5703125" style="62" customWidth="1"/>
    <col min="6138" max="6138" width="4.85546875" style="62" customWidth="1"/>
    <col min="6139" max="6139" width="32.42578125" style="62" customWidth="1"/>
    <col min="6140" max="6140" width="9.85546875" style="62" customWidth="1"/>
    <col min="6141" max="6141" width="10.140625" style="62" customWidth="1"/>
    <col min="6142" max="6142" width="12.28515625" style="62" customWidth="1"/>
    <col min="6143" max="6143" width="15.42578125" style="62" customWidth="1"/>
    <col min="6144" max="6144" width="11.85546875" style="62" customWidth="1"/>
    <col min="6145" max="6145" width="13.28515625" style="62" customWidth="1"/>
    <col min="6146" max="6146" width="15.28515625" style="62" customWidth="1"/>
    <col min="6147" max="6147" width="11.85546875" style="62" customWidth="1"/>
    <col min="6148" max="6148" width="6.140625" style="62" customWidth="1"/>
    <col min="6149" max="6149" width="11.85546875" style="62" customWidth="1"/>
    <col min="6150" max="6150" width="9.42578125" style="62" customWidth="1"/>
    <col min="6151" max="6151" width="14.7109375" style="62" customWidth="1"/>
    <col min="6152" max="6152" width="11.5703125" style="62" customWidth="1"/>
    <col min="6153" max="6153" width="0.42578125" style="62" customWidth="1"/>
    <col min="6154" max="6154" width="10.5703125" style="62" bestFit="1" customWidth="1"/>
    <col min="6155" max="6155" width="12.28515625" style="62" customWidth="1"/>
    <col min="6156" max="6156" width="12.5703125" style="62" customWidth="1"/>
    <col min="6157" max="6157" width="10.5703125" style="62" customWidth="1"/>
    <col min="6158" max="6158" width="10.140625" style="62" customWidth="1"/>
    <col min="6159" max="6159" width="8.42578125" style="62" customWidth="1"/>
    <col min="6160" max="6160" width="18.85546875" style="62" customWidth="1"/>
    <col min="6161" max="6161" width="10.28515625" style="62" customWidth="1"/>
    <col min="6162" max="6162" width="11.42578125" style="62"/>
    <col min="6163" max="6163" width="12.140625" style="62" customWidth="1"/>
    <col min="6164" max="6164" width="10.5703125" style="62" customWidth="1"/>
    <col min="6165" max="6165" width="12.42578125" style="62" customWidth="1"/>
    <col min="6166" max="6166" width="15.140625" style="62" customWidth="1"/>
    <col min="6167" max="6167" width="13.5703125" style="62" customWidth="1"/>
    <col min="6168" max="6168" width="13.140625" style="62" customWidth="1"/>
    <col min="6169" max="6169" width="15.7109375" style="62" customWidth="1"/>
    <col min="6170" max="6170" width="37.5703125" style="62" customWidth="1"/>
    <col min="6171" max="6392" width="11.42578125" style="62"/>
    <col min="6393" max="6393" width="10.5703125" style="62" customWidth="1"/>
    <col min="6394" max="6394" width="4.85546875" style="62" customWidth="1"/>
    <col min="6395" max="6395" width="32.42578125" style="62" customWidth="1"/>
    <col min="6396" max="6396" width="9.85546875" style="62" customWidth="1"/>
    <col min="6397" max="6397" width="10.140625" style="62" customWidth="1"/>
    <col min="6398" max="6398" width="12.28515625" style="62" customWidth="1"/>
    <col min="6399" max="6399" width="15.42578125" style="62" customWidth="1"/>
    <col min="6400" max="6400" width="11.85546875" style="62" customWidth="1"/>
    <col min="6401" max="6401" width="13.28515625" style="62" customWidth="1"/>
    <col min="6402" max="6402" width="15.28515625" style="62" customWidth="1"/>
    <col min="6403" max="6403" width="11.85546875" style="62" customWidth="1"/>
    <col min="6404" max="6404" width="6.140625" style="62" customWidth="1"/>
    <col min="6405" max="6405" width="11.85546875" style="62" customWidth="1"/>
    <col min="6406" max="6406" width="9.42578125" style="62" customWidth="1"/>
    <col min="6407" max="6407" width="14.7109375" style="62" customWidth="1"/>
    <col min="6408" max="6408" width="11.5703125" style="62" customWidth="1"/>
    <col min="6409" max="6409" width="0.42578125" style="62" customWidth="1"/>
    <col min="6410" max="6410" width="10.5703125" style="62" bestFit="1" customWidth="1"/>
    <col min="6411" max="6411" width="12.28515625" style="62" customWidth="1"/>
    <col min="6412" max="6412" width="12.5703125" style="62" customWidth="1"/>
    <col min="6413" max="6413" width="10.5703125" style="62" customWidth="1"/>
    <col min="6414" max="6414" width="10.140625" style="62" customWidth="1"/>
    <col min="6415" max="6415" width="8.42578125" style="62" customWidth="1"/>
    <col min="6416" max="6416" width="18.85546875" style="62" customWidth="1"/>
    <col min="6417" max="6417" width="10.28515625" style="62" customWidth="1"/>
    <col min="6418" max="6418" width="11.42578125" style="62"/>
    <col min="6419" max="6419" width="12.140625" style="62" customWidth="1"/>
    <col min="6420" max="6420" width="10.5703125" style="62" customWidth="1"/>
    <col min="6421" max="6421" width="12.42578125" style="62" customWidth="1"/>
    <col min="6422" max="6422" width="15.140625" style="62" customWidth="1"/>
    <col min="6423" max="6423" width="13.5703125" style="62" customWidth="1"/>
    <col min="6424" max="6424" width="13.140625" style="62" customWidth="1"/>
    <col min="6425" max="6425" width="15.7109375" style="62" customWidth="1"/>
    <col min="6426" max="6426" width="37.5703125" style="62" customWidth="1"/>
    <col min="6427" max="6648" width="11.42578125" style="62"/>
    <col min="6649" max="6649" width="10.5703125" style="62" customWidth="1"/>
    <col min="6650" max="6650" width="4.85546875" style="62" customWidth="1"/>
    <col min="6651" max="6651" width="32.42578125" style="62" customWidth="1"/>
    <col min="6652" max="6652" width="9.85546875" style="62" customWidth="1"/>
    <col min="6653" max="6653" width="10.140625" style="62" customWidth="1"/>
    <col min="6654" max="6654" width="12.28515625" style="62" customWidth="1"/>
    <col min="6655" max="6655" width="15.42578125" style="62" customWidth="1"/>
    <col min="6656" max="6656" width="11.85546875" style="62" customWidth="1"/>
    <col min="6657" max="6657" width="13.28515625" style="62" customWidth="1"/>
    <col min="6658" max="6658" width="15.28515625" style="62" customWidth="1"/>
    <col min="6659" max="6659" width="11.85546875" style="62" customWidth="1"/>
    <col min="6660" max="6660" width="6.140625" style="62" customWidth="1"/>
    <col min="6661" max="6661" width="11.85546875" style="62" customWidth="1"/>
    <col min="6662" max="6662" width="9.42578125" style="62" customWidth="1"/>
    <col min="6663" max="6663" width="14.7109375" style="62" customWidth="1"/>
    <col min="6664" max="6664" width="11.5703125" style="62" customWidth="1"/>
    <col min="6665" max="6665" width="0.42578125" style="62" customWidth="1"/>
    <col min="6666" max="6666" width="10.5703125" style="62" bestFit="1" customWidth="1"/>
    <col min="6667" max="6667" width="12.28515625" style="62" customWidth="1"/>
    <col min="6668" max="6668" width="12.5703125" style="62" customWidth="1"/>
    <col min="6669" max="6669" width="10.5703125" style="62" customWidth="1"/>
    <col min="6670" max="6670" width="10.140625" style="62" customWidth="1"/>
    <col min="6671" max="6671" width="8.42578125" style="62" customWidth="1"/>
    <col min="6672" max="6672" width="18.85546875" style="62" customWidth="1"/>
    <col min="6673" max="6673" width="10.28515625" style="62" customWidth="1"/>
    <col min="6674" max="6674" width="11.42578125" style="62"/>
    <col min="6675" max="6675" width="12.140625" style="62" customWidth="1"/>
    <col min="6676" max="6676" width="10.5703125" style="62" customWidth="1"/>
    <col min="6677" max="6677" width="12.42578125" style="62" customWidth="1"/>
    <col min="6678" max="6678" width="15.140625" style="62" customWidth="1"/>
    <col min="6679" max="6679" width="13.5703125" style="62" customWidth="1"/>
    <col min="6680" max="6680" width="13.140625" style="62" customWidth="1"/>
    <col min="6681" max="6681" width="15.7109375" style="62" customWidth="1"/>
    <col min="6682" max="6682" width="37.5703125" style="62" customWidth="1"/>
    <col min="6683" max="6904" width="11.42578125" style="62"/>
    <col min="6905" max="6905" width="10.5703125" style="62" customWidth="1"/>
    <col min="6906" max="6906" width="4.85546875" style="62" customWidth="1"/>
    <col min="6907" max="6907" width="32.42578125" style="62" customWidth="1"/>
    <col min="6908" max="6908" width="9.85546875" style="62" customWidth="1"/>
    <col min="6909" max="6909" width="10.140625" style="62" customWidth="1"/>
    <col min="6910" max="6910" width="12.28515625" style="62" customWidth="1"/>
    <col min="6911" max="6911" width="15.42578125" style="62" customWidth="1"/>
    <col min="6912" max="6912" width="11.85546875" style="62" customWidth="1"/>
    <col min="6913" max="6913" width="13.28515625" style="62" customWidth="1"/>
    <col min="6914" max="6914" width="15.28515625" style="62" customWidth="1"/>
    <col min="6915" max="6915" width="11.85546875" style="62" customWidth="1"/>
    <col min="6916" max="6916" width="6.140625" style="62" customWidth="1"/>
    <col min="6917" max="6917" width="11.85546875" style="62" customWidth="1"/>
    <col min="6918" max="6918" width="9.42578125" style="62" customWidth="1"/>
    <col min="6919" max="6919" width="14.7109375" style="62" customWidth="1"/>
    <col min="6920" max="6920" width="11.5703125" style="62" customWidth="1"/>
    <col min="6921" max="6921" width="0.42578125" style="62" customWidth="1"/>
    <col min="6922" max="6922" width="10.5703125" style="62" bestFit="1" customWidth="1"/>
    <col min="6923" max="6923" width="12.28515625" style="62" customWidth="1"/>
    <col min="6924" max="6924" width="12.5703125" style="62" customWidth="1"/>
    <col min="6925" max="6925" width="10.5703125" style="62" customWidth="1"/>
    <col min="6926" max="6926" width="10.140625" style="62" customWidth="1"/>
    <col min="6927" max="6927" width="8.42578125" style="62" customWidth="1"/>
    <col min="6928" max="6928" width="18.85546875" style="62" customWidth="1"/>
    <col min="6929" max="6929" width="10.28515625" style="62" customWidth="1"/>
    <col min="6930" max="6930" width="11.42578125" style="62"/>
    <col min="6931" max="6931" width="12.140625" style="62" customWidth="1"/>
    <col min="6932" max="6932" width="10.5703125" style="62" customWidth="1"/>
    <col min="6933" max="6933" width="12.42578125" style="62" customWidth="1"/>
    <col min="6934" max="6934" width="15.140625" style="62" customWidth="1"/>
    <col min="6935" max="6935" width="13.5703125" style="62" customWidth="1"/>
    <col min="6936" max="6936" width="13.140625" style="62" customWidth="1"/>
    <col min="6937" max="6937" width="15.7109375" style="62" customWidth="1"/>
    <col min="6938" max="6938" width="37.5703125" style="62" customWidth="1"/>
    <col min="6939" max="7160" width="11.42578125" style="62"/>
    <col min="7161" max="7161" width="10.5703125" style="62" customWidth="1"/>
    <col min="7162" max="7162" width="4.85546875" style="62" customWidth="1"/>
    <col min="7163" max="7163" width="32.42578125" style="62" customWidth="1"/>
    <col min="7164" max="7164" width="9.85546875" style="62" customWidth="1"/>
    <col min="7165" max="7165" width="10.140625" style="62" customWidth="1"/>
    <col min="7166" max="7166" width="12.28515625" style="62" customWidth="1"/>
    <col min="7167" max="7167" width="15.42578125" style="62" customWidth="1"/>
    <col min="7168" max="7168" width="11.85546875" style="62" customWidth="1"/>
    <col min="7169" max="7169" width="13.28515625" style="62" customWidth="1"/>
    <col min="7170" max="7170" width="15.28515625" style="62" customWidth="1"/>
    <col min="7171" max="7171" width="11.85546875" style="62" customWidth="1"/>
    <col min="7172" max="7172" width="6.140625" style="62" customWidth="1"/>
    <col min="7173" max="7173" width="11.85546875" style="62" customWidth="1"/>
    <col min="7174" max="7174" width="9.42578125" style="62" customWidth="1"/>
    <col min="7175" max="7175" width="14.7109375" style="62" customWidth="1"/>
    <col min="7176" max="7176" width="11.5703125" style="62" customWidth="1"/>
    <col min="7177" max="7177" width="0.42578125" style="62" customWidth="1"/>
    <col min="7178" max="7178" width="10.5703125" style="62" bestFit="1" customWidth="1"/>
    <col min="7179" max="7179" width="12.28515625" style="62" customWidth="1"/>
    <col min="7180" max="7180" width="12.5703125" style="62" customWidth="1"/>
    <col min="7181" max="7181" width="10.5703125" style="62" customWidth="1"/>
    <col min="7182" max="7182" width="10.140625" style="62" customWidth="1"/>
    <col min="7183" max="7183" width="8.42578125" style="62" customWidth="1"/>
    <col min="7184" max="7184" width="18.85546875" style="62" customWidth="1"/>
    <col min="7185" max="7185" width="10.28515625" style="62" customWidth="1"/>
    <col min="7186" max="7186" width="11.42578125" style="62"/>
    <col min="7187" max="7187" width="12.140625" style="62" customWidth="1"/>
    <col min="7188" max="7188" width="10.5703125" style="62" customWidth="1"/>
    <col min="7189" max="7189" width="12.42578125" style="62" customWidth="1"/>
    <col min="7190" max="7190" width="15.140625" style="62" customWidth="1"/>
    <col min="7191" max="7191" width="13.5703125" style="62" customWidth="1"/>
    <col min="7192" max="7192" width="13.140625" style="62" customWidth="1"/>
    <col min="7193" max="7193" width="15.7109375" style="62" customWidth="1"/>
    <col min="7194" max="7194" width="37.5703125" style="62" customWidth="1"/>
    <col min="7195" max="7416" width="11.42578125" style="62"/>
    <col min="7417" max="7417" width="10.5703125" style="62" customWidth="1"/>
    <col min="7418" max="7418" width="4.85546875" style="62" customWidth="1"/>
    <col min="7419" max="7419" width="32.42578125" style="62" customWidth="1"/>
    <col min="7420" max="7420" width="9.85546875" style="62" customWidth="1"/>
    <col min="7421" max="7421" width="10.140625" style="62" customWidth="1"/>
    <col min="7422" max="7422" width="12.28515625" style="62" customWidth="1"/>
    <col min="7423" max="7423" width="15.42578125" style="62" customWidth="1"/>
    <col min="7424" max="7424" width="11.85546875" style="62" customWidth="1"/>
    <col min="7425" max="7425" width="13.28515625" style="62" customWidth="1"/>
    <col min="7426" max="7426" width="15.28515625" style="62" customWidth="1"/>
    <col min="7427" max="7427" width="11.85546875" style="62" customWidth="1"/>
    <col min="7428" max="7428" width="6.140625" style="62" customWidth="1"/>
    <col min="7429" max="7429" width="11.85546875" style="62" customWidth="1"/>
    <col min="7430" max="7430" width="9.42578125" style="62" customWidth="1"/>
    <col min="7431" max="7431" width="14.7109375" style="62" customWidth="1"/>
    <col min="7432" max="7432" width="11.5703125" style="62" customWidth="1"/>
    <col min="7433" max="7433" width="0.42578125" style="62" customWidth="1"/>
    <col min="7434" max="7434" width="10.5703125" style="62" bestFit="1" customWidth="1"/>
    <col min="7435" max="7435" width="12.28515625" style="62" customWidth="1"/>
    <col min="7436" max="7436" width="12.5703125" style="62" customWidth="1"/>
    <col min="7437" max="7437" width="10.5703125" style="62" customWidth="1"/>
    <col min="7438" max="7438" width="10.140625" style="62" customWidth="1"/>
    <col min="7439" max="7439" width="8.42578125" style="62" customWidth="1"/>
    <col min="7440" max="7440" width="18.85546875" style="62" customWidth="1"/>
    <col min="7441" max="7441" width="10.28515625" style="62" customWidth="1"/>
    <col min="7442" max="7442" width="11.42578125" style="62"/>
    <col min="7443" max="7443" width="12.140625" style="62" customWidth="1"/>
    <col min="7444" max="7444" width="10.5703125" style="62" customWidth="1"/>
    <col min="7445" max="7445" width="12.42578125" style="62" customWidth="1"/>
    <col min="7446" max="7446" width="15.140625" style="62" customWidth="1"/>
    <col min="7447" max="7447" width="13.5703125" style="62" customWidth="1"/>
    <col min="7448" max="7448" width="13.140625" style="62" customWidth="1"/>
    <col min="7449" max="7449" width="15.7109375" style="62" customWidth="1"/>
    <col min="7450" max="7450" width="37.5703125" style="62" customWidth="1"/>
    <col min="7451" max="7672" width="11.42578125" style="62"/>
    <col min="7673" max="7673" width="10.5703125" style="62" customWidth="1"/>
    <col min="7674" max="7674" width="4.85546875" style="62" customWidth="1"/>
    <col min="7675" max="7675" width="32.42578125" style="62" customWidth="1"/>
    <col min="7676" max="7676" width="9.85546875" style="62" customWidth="1"/>
    <col min="7677" max="7677" width="10.140625" style="62" customWidth="1"/>
    <col min="7678" max="7678" width="12.28515625" style="62" customWidth="1"/>
    <col min="7679" max="7679" width="15.42578125" style="62" customWidth="1"/>
    <col min="7680" max="7680" width="11.85546875" style="62" customWidth="1"/>
    <col min="7681" max="7681" width="13.28515625" style="62" customWidth="1"/>
    <col min="7682" max="7682" width="15.28515625" style="62" customWidth="1"/>
    <col min="7683" max="7683" width="11.85546875" style="62" customWidth="1"/>
    <col min="7684" max="7684" width="6.140625" style="62" customWidth="1"/>
    <col min="7685" max="7685" width="11.85546875" style="62" customWidth="1"/>
    <col min="7686" max="7686" width="9.42578125" style="62" customWidth="1"/>
    <col min="7687" max="7687" width="14.7109375" style="62" customWidth="1"/>
    <col min="7688" max="7688" width="11.5703125" style="62" customWidth="1"/>
    <col min="7689" max="7689" width="0.42578125" style="62" customWidth="1"/>
    <col min="7690" max="7690" width="10.5703125" style="62" bestFit="1" customWidth="1"/>
    <col min="7691" max="7691" width="12.28515625" style="62" customWidth="1"/>
    <col min="7692" max="7692" width="12.5703125" style="62" customWidth="1"/>
    <col min="7693" max="7693" width="10.5703125" style="62" customWidth="1"/>
    <col min="7694" max="7694" width="10.140625" style="62" customWidth="1"/>
    <col min="7695" max="7695" width="8.42578125" style="62" customWidth="1"/>
    <col min="7696" max="7696" width="18.85546875" style="62" customWidth="1"/>
    <col min="7697" max="7697" width="10.28515625" style="62" customWidth="1"/>
    <col min="7698" max="7698" width="11.42578125" style="62"/>
    <col min="7699" max="7699" width="12.140625" style="62" customWidth="1"/>
    <col min="7700" max="7700" width="10.5703125" style="62" customWidth="1"/>
    <col min="7701" max="7701" width="12.42578125" style="62" customWidth="1"/>
    <col min="7702" max="7702" width="15.140625" style="62" customWidth="1"/>
    <col min="7703" max="7703" width="13.5703125" style="62" customWidth="1"/>
    <col min="7704" max="7704" width="13.140625" style="62" customWidth="1"/>
    <col min="7705" max="7705" width="15.7109375" style="62" customWidth="1"/>
    <col min="7706" max="7706" width="37.5703125" style="62" customWidth="1"/>
    <col min="7707" max="7928" width="11.42578125" style="62"/>
    <col min="7929" max="7929" width="10.5703125" style="62" customWidth="1"/>
    <col min="7930" max="7930" width="4.85546875" style="62" customWidth="1"/>
    <col min="7931" max="7931" width="32.42578125" style="62" customWidth="1"/>
    <col min="7932" max="7932" width="9.85546875" style="62" customWidth="1"/>
    <col min="7933" max="7933" width="10.140625" style="62" customWidth="1"/>
    <col min="7934" max="7934" width="12.28515625" style="62" customWidth="1"/>
    <col min="7935" max="7935" width="15.42578125" style="62" customWidth="1"/>
    <col min="7936" max="7936" width="11.85546875" style="62" customWidth="1"/>
    <col min="7937" max="7937" width="13.28515625" style="62" customWidth="1"/>
    <col min="7938" max="7938" width="15.28515625" style="62" customWidth="1"/>
    <col min="7939" max="7939" width="11.85546875" style="62" customWidth="1"/>
    <col min="7940" max="7940" width="6.140625" style="62" customWidth="1"/>
    <col min="7941" max="7941" width="11.85546875" style="62" customWidth="1"/>
    <col min="7942" max="7942" width="9.42578125" style="62" customWidth="1"/>
    <col min="7943" max="7943" width="14.7109375" style="62" customWidth="1"/>
    <col min="7944" max="7944" width="11.5703125" style="62" customWidth="1"/>
    <col min="7945" max="7945" width="0.42578125" style="62" customWidth="1"/>
    <col min="7946" max="7946" width="10.5703125" style="62" bestFit="1" customWidth="1"/>
    <col min="7947" max="7947" width="12.28515625" style="62" customWidth="1"/>
    <col min="7948" max="7948" width="12.5703125" style="62" customWidth="1"/>
    <col min="7949" max="7949" width="10.5703125" style="62" customWidth="1"/>
    <col min="7950" max="7950" width="10.140625" style="62" customWidth="1"/>
    <col min="7951" max="7951" width="8.42578125" style="62" customWidth="1"/>
    <col min="7952" max="7952" width="18.85546875" style="62" customWidth="1"/>
    <col min="7953" max="7953" width="10.28515625" style="62" customWidth="1"/>
    <col min="7954" max="7954" width="11.42578125" style="62"/>
    <col min="7955" max="7955" width="12.140625" style="62" customWidth="1"/>
    <col min="7956" max="7956" width="10.5703125" style="62" customWidth="1"/>
    <col min="7957" max="7957" width="12.42578125" style="62" customWidth="1"/>
    <col min="7958" max="7958" width="15.140625" style="62" customWidth="1"/>
    <col min="7959" max="7959" width="13.5703125" style="62" customWidth="1"/>
    <col min="7960" max="7960" width="13.140625" style="62" customWidth="1"/>
    <col min="7961" max="7961" width="15.7109375" style="62" customWidth="1"/>
    <col min="7962" max="7962" width="37.5703125" style="62" customWidth="1"/>
    <col min="7963" max="8184" width="11.42578125" style="62"/>
    <col min="8185" max="8185" width="10.5703125" style="62" customWidth="1"/>
    <col min="8186" max="8186" width="4.85546875" style="62" customWidth="1"/>
    <col min="8187" max="8187" width="32.42578125" style="62" customWidth="1"/>
    <col min="8188" max="8188" width="9.85546875" style="62" customWidth="1"/>
    <col min="8189" max="8189" width="10.140625" style="62" customWidth="1"/>
    <col min="8190" max="8190" width="12.28515625" style="62" customWidth="1"/>
    <col min="8191" max="8191" width="15.42578125" style="62" customWidth="1"/>
    <col min="8192" max="8192" width="11.85546875" style="62" customWidth="1"/>
    <col min="8193" max="8193" width="13.28515625" style="62" customWidth="1"/>
    <col min="8194" max="8194" width="15.28515625" style="62" customWidth="1"/>
    <col min="8195" max="8195" width="11.85546875" style="62" customWidth="1"/>
    <col min="8196" max="8196" width="6.140625" style="62" customWidth="1"/>
    <col min="8197" max="8197" width="11.85546875" style="62" customWidth="1"/>
    <col min="8198" max="8198" width="9.42578125" style="62" customWidth="1"/>
    <col min="8199" max="8199" width="14.7109375" style="62" customWidth="1"/>
    <col min="8200" max="8200" width="11.5703125" style="62" customWidth="1"/>
    <col min="8201" max="8201" width="0.42578125" style="62" customWidth="1"/>
    <col min="8202" max="8202" width="10.5703125" style="62" bestFit="1" customWidth="1"/>
    <col min="8203" max="8203" width="12.28515625" style="62" customWidth="1"/>
    <col min="8204" max="8204" width="12.5703125" style="62" customWidth="1"/>
    <col min="8205" max="8205" width="10.5703125" style="62" customWidth="1"/>
    <col min="8206" max="8206" width="10.140625" style="62" customWidth="1"/>
    <col min="8207" max="8207" width="8.42578125" style="62" customWidth="1"/>
    <col min="8208" max="8208" width="18.85546875" style="62" customWidth="1"/>
    <col min="8209" max="8209" width="10.28515625" style="62" customWidth="1"/>
    <col min="8210" max="8210" width="11.42578125" style="62"/>
    <col min="8211" max="8211" width="12.140625" style="62" customWidth="1"/>
    <col min="8212" max="8212" width="10.5703125" style="62" customWidth="1"/>
    <col min="8213" max="8213" width="12.42578125" style="62" customWidth="1"/>
    <col min="8214" max="8214" width="15.140625" style="62" customWidth="1"/>
    <col min="8215" max="8215" width="13.5703125" style="62" customWidth="1"/>
    <col min="8216" max="8216" width="13.140625" style="62" customWidth="1"/>
    <col min="8217" max="8217" width="15.7109375" style="62" customWidth="1"/>
    <col min="8218" max="8218" width="37.5703125" style="62" customWidth="1"/>
    <col min="8219" max="8440" width="11.42578125" style="62"/>
    <col min="8441" max="8441" width="10.5703125" style="62" customWidth="1"/>
    <col min="8442" max="8442" width="4.85546875" style="62" customWidth="1"/>
    <col min="8443" max="8443" width="32.42578125" style="62" customWidth="1"/>
    <col min="8444" max="8444" width="9.85546875" style="62" customWidth="1"/>
    <col min="8445" max="8445" width="10.140625" style="62" customWidth="1"/>
    <col min="8446" max="8446" width="12.28515625" style="62" customWidth="1"/>
    <col min="8447" max="8447" width="15.42578125" style="62" customWidth="1"/>
    <col min="8448" max="8448" width="11.85546875" style="62" customWidth="1"/>
    <col min="8449" max="8449" width="13.28515625" style="62" customWidth="1"/>
    <col min="8450" max="8450" width="15.28515625" style="62" customWidth="1"/>
    <col min="8451" max="8451" width="11.85546875" style="62" customWidth="1"/>
    <col min="8452" max="8452" width="6.140625" style="62" customWidth="1"/>
    <col min="8453" max="8453" width="11.85546875" style="62" customWidth="1"/>
    <col min="8454" max="8454" width="9.42578125" style="62" customWidth="1"/>
    <col min="8455" max="8455" width="14.7109375" style="62" customWidth="1"/>
    <col min="8456" max="8456" width="11.5703125" style="62" customWidth="1"/>
    <col min="8457" max="8457" width="0.42578125" style="62" customWidth="1"/>
    <col min="8458" max="8458" width="10.5703125" style="62" bestFit="1" customWidth="1"/>
    <col min="8459" max="8459" width="12.28515625" style="62" customWidth="1"/>
    <col min="8460" max="8460" width="12.5703125" style="62" customWidth="1"/>
    <col min="8461" max="8461" width="10.5703125" style="62" customWidth="1"/>
    <col min="8462" max="8462" width="10.140625" style="62" customWidth="1"/>
    <col min="8463" max="8463" width="8.42578125" style="62" customWidth="1"/>
    <col min="8464" max="8464" width="18.85546875" style="62" customWidth="1"/>
    <col min="8465" max="8465" width="10.28515625" style="62" customWidth="1"/>
    <col min="8466" max="8466" width="11.42578125" style="62"/>
    <col min="8467" max="8467" width="12.140625" style="62" customWidth="1"/>
    <col min="8468" max="8468" width="10.5703125" style="62" customWidth="1"/>
    <col min="8469" max="8469" width="12.42578125" style="62" customWidth="1"/>
    <col min="8470" max="8470" width="15.140625" style="62" customWidth="1"/>
    <col min="8471" max="8471" width="13.5703125" style="62" customWidth="1"/>
    <col min="8472" max="8472" width="13.140625" style="62" customWidth="1"/>
    <col min="8473" max="8473" width="15.7109375" style="62" customWidth="1"/>
    <col min="8474" max="8474" width="37.5703125" style="62" customWidth="1"/>
    <col min="8475" max="8696" width="11.42578125" style="62"/>
    <col min="8697" max="8697" width="10.5703125" style="62" customWidth="1"/>
    <col min="8698" max="8698" width="4.85546875" style="62" customWidth="1"/>
    <col min="8699" max="8699" width="32.42578125" style="62" customWidth="1"/>
    <col min="8700" max="8700" width="9.85546875" style="62" customWidth="1"/>
    <col min="8701" max="8701" width="10.140625" style="62" customWidth="1"/>
    <col min="8702" max="8702" width="12.28515625" style="62" customWidth="1"/>
    <col min="8703" max="8703" width="15.42578125" style="62" customWidth="1"/>
    <col min="8704" max="8704" width="11.85546875" style="62" customWidth="1"/>
    <col min="8705" max="8705" width="13.28515625" style="62" customWidth="1"/>
    <col min="8706" max="8706" width="15.28515625" style="62" customWidth="1"/>
    <col min="8707" max="8707" width="11.85546875" style="62" customWidth="1"/>
    <col min="8708" max="8708" width="6.140625" style="62" customWidth="1"/>
    <col min="8709" max="8709" width="11.85546875" style="62" customWidth="1"/>
    <col min="8710" max="8710" width="9.42578125" style="62" customWidth="1"/>
    <col min="8711" max="8711" width="14.7109375" style="62" customWidth="1"/>
    <col min="8712" max="8712" width="11.5703125" style="62" customWidth="1"/>
    <col min="8713" max="8713" width="0.42578125" style="62" customWidth="1"/>
    <col min="8714" max="8714" width="10.5703125" style="62" bestFit="1" customWidth="1"/>
    <col min="8715" max="8715" width="12.28515625" style="62" customWidth="1"/>
    <col min="8716" max="8716" width="12.5703125" style="62" customWidth="1"/>
    <col min="8717" max="8717" width="10.5703125" style="62" customWidth="1"/>
    <col min="8718" max="8718" width="10.140625" style="62" customWidth="1"/>
    <col min="8719" max="8719" width="8.42578125" style="62" customWidth="1"/>
    <col min="8720" max="8720" width="18.85546875" style="62" customWidth="1"/>
    <col min="8721" max="8721" width="10.28515625" style="62" customWidth="1"/>
    <col min="8722" max="8722" width="11.42578125" style="62"/>
    <col min="8723" max="8723" width="12.140625" style="62" customWidth="1"/>
    <col min="8724" max="8724" width="10.5703125" style="62" customWidth="1"/>
    <col min="8725" max="8725" width="12.42578125" style="62" customWidth="1"/>
    <col min="8726" max="8726" width="15.140625" style="62" customWidth="1"/>
    <col min="8727" max="8727" width="13.5703125" style="62" customWidth="1"/>
    <col min="8728" max="8728" width="13.140625" style="62" customWidth="1"/>
    <col min="8729" max="8729" width="15.7109375" style="62" customWidth="1"/>
    <col min="8730" max="8730" width="37.5703125" style="62" customWidth="1"/>
    <col min="8731" max="8952" width="11.42578125" style="62"/>
    <col min="8953" max="8953" width="10.5703125" style="62" customWidth="1"/>
    <col min="8954" max="8954" width="4.85546875" style="62" customWidth="1"/>
    <col min="8955" max="8955" width="32.42578125" style="62" customWidth="1"/>
    <col min="8956" max="8956" width="9.85546875" style="62" customWidth="1"/>
    <col min="8957" max="8957" width="10.140625" style="62" customWidth="1"/>
    <col min="8958" max="8958" width="12.28515625" style="62" customWidth="1"/>
    <col min="8959" max="8959" width="15.42578125" style="62" customWidth="1"/>
    <col min="8960" max="8960" width="11.85546875" style="62" customWidth="1"/>
    <col min="8961" max="8961" width="13.28515625" style="62" customWidth="1"/>
    <col min="8962" max="8962" width="15.28515625" style="62" customWidth="1"/>
    <col min="8963" max="8963" width="11.85546875" style="62" customWidth="1"/>
    <col min="8964" max="8964" width="6.140625" style="62" customWidth="1"/>
    <col min="8965" max="8965" width="11.85546875" style="62" customWidth="1"/>
    <col min="8966" max="8966" width="9.42578125" style="62" customWidth="1"/>
    <col min="8967" max="8967" width="14.7109375" style="62" customWidth="1"/>
    <col min="8968" max="8968" width="11.5703125" style="62" customWidth="1"/>
    <col min="8969" max="8969" width="0.42578125" style="62" customWidth="1"/>
    <col min="8970" max="8970" width="10.5703125" style="62" bestFit="1" customWidth="1"/>
    <col min="8971" max="8971" width="12.28515625" style="62" customWidth="1"/>
    <col min="8972" max="8972" width="12.5703125" style="62" customWidth="1"/>
    <col min="8973" max="8973" width="10.5703125" style="62" customWidth="1"/>
    <col min="8974" max="8974" width="10.140625" style="62" customWidth="1"/>
    <col min="8975" max="8975" width="8.42578125" style="62" customWidth="1"/>
    <col min="8976" max="8976" width="18.85546875" style="62" customWidth="1"/>
    <col min="8977" max="8977" width="10.28515625" style="62" customWidth="1"/>
    <col min="8978" max="8978" width="11.42578125" style="62"/>
    <col min="8979" max="8979" width="12.140625" style="62" customWidth="1"/>
    <col min="8980" max="8980" width="10.5703125" style="62" customWidth="1"/>
    <col min="8981" max="8981" width="12.42578125" style="62" customWidth="1"/>
    <col min="8982" max="8982" width="15.140625" style="62" customWidth="1"/>
    <col min="8983" max="8983" width="13.5703125" style="62" customWidth="1"/>
    <col min="8984" max="8984" width="13.140625" style="62" customWidth="1"/>
    <col min="8985" max="8985" width="15.7109375" style="62" customWidth="1"/>
    <col min="8986" max="8986" width="37.5703125" style="62" customWidth="1"/>
    <col min="8987" max="9208" width="11.42578125" style="62"/>
    <col min="9209" max="9209" width="10.5703125" style="62" customWidth="1"/>
    <col min="9210" max="9210" width="4.85546875" style="62" customWidth="1"/>
    <col min="9211" max="9211" width="32.42578125" style="62" customWidth="1"/>
    <col min="9212" max="9212" width="9.85546875" style="62" customWidth="1"/>
    <col min="9213" max="9213" width="10.140625" style="62" customWidth="1"/>
    <col min="9214" max="9214" width="12.28515625" style="62" customWidth="1"/>
    <col min="9215" max="9215" width="15.42578125" style="62" customWidth="1"/>
    <col min="9216" max="9216" width="11.85546875" style="62" customWidth="1"/>
    <col min="9217" max="9217" width="13.28515625" style="62" customWidth="1"/>
    <col min="9218" max="9218" width="15.28515625" style="62" customWidth="1"/>
    <col min="9219" max="9219" width="11.85546875" style="62" customWidth="1"/>
    <col min="9220" max="9220" width="6.140625" style="62" customWidth="1"/>
    <col min="9221" max="9221" width="11.85546875" style="62" customWidth="1"/>
    <col min="9222" max="9222" width="9.42578125" style="62" customWidth="1"/>
    <col min="9223" max="9223" width="14.7109375" style="62" customWidth="1"/>
    <col min="9224" max="9224" width="11.5703125" style="62" customWidth="1"/>
    <col min="9225" max="9225" width="0.42578125" style="62" customWidth="1"/>
    <col min="9226" max="9226" width="10.5703125" style="62" bestFit="1" customWidth="1"/>
    <col min="9227" max="9227" width="12.28515625" style="62" customWidth="1"/>
    <col min="9228" max="9228" width="12.5703125" style="62" customWidth="1"/>
    <col min="9229" max="9229" width="10.5703125" style="62" customWidth="1"/>
    <col min="9230" max="9230" width="10.140625" style="62" customWidth="1"/>
    <col min="9231" max="9231" width="8.42578125" style="62" customWidth="1"/>
    <col min="9232" max="9232" width="18.85546875" style="62" customWidth="1"/>
    <col min="9233" max="9233" width="10.28515625" style="62" customWidth="1"/>
    <col min="9234" max="9234" width="11.42578125" style="62"/>
    <col min="9235" max="9235" width="12.140625" style="62" customWidth="1"/>
    <col min="9236" max="9236" width="10.5703125" style="62" customWidth="1"/>
    <col min="9237" max="9237" width="12.42578125" style="62" customWidth="1"/>
    <col min="9238" max="9238" width="15.140625" style="62" customWidth="1"/>
    <col min="9239" max="9239" width="13.5703125" style="62" customWidth="1"/>
    <col min="9240" max="9240" width="13.140625" style="62" customWidth="1"/>
    <col min="9241" max="9241" width="15.7109375" style="62" customWidth="1"/>
    <col min="9242" max="9242" width="37.5703125" style="62" customWidth="1"/>
    <col min="9243" max="9464" width="11.42578125" style="62"/>
    <col min="9465" max="9465" width="10.5703125" style="62" customWidth="1"/>
    <col min="9466" max="9466" width="4.85546875" style="62" customWidth="1"/>
    <col min="9467" max="9467" width="32.42578125" style="62" customWidth="1"/>
    <col min="9468" max="9468" width="9.85546875" style="62" customWidth="1"/>
    <col min="9469" max="9469" width="10.140625" style="62" customWidth="1"/>
    <col min="9470" max="9470" width="12.28515625" style="62" customWidth="1"/>
    <col min="9471" max="9471" width="15.42578125" style="62" customWidth="1"/>
    <col min="9472" max="9472" width="11.85546875" style="62" customWidth="1"/>
    <col min="9473" max="9473" width="13.28515625" style="62" customWidth="1"/>
    <col min="9474" max="9474" width="15.28515625" style="62" customWidth="1"/>
    <col min="9475" max="9475" width="11.85546875" style="62" customWidth="1"/>
    <col min="9476" max="9476" width="6.140625" style="62" customWidth="1"/>
    <col min="9477" max="9477" width="11.85546875" style="62" customWidth="1"/>
    <col min="9478" max="9478" width="9.42578125" style="62" customWidth="1"/>
    <col min="9479" max="9479" width="14.7109375" style="62" customWidth="1"/>
    <col min="9480" max="9480" width="11.5703125" style="62" customWidth="1"/>
    <col min="9481" max="9481" width="0.42578125" style="62" customWidth="1"/>
    <col min="9482" max="9482" width="10.5703125" style="62" bestFit="1" customWidth="1"/>
    <col min="9483" max="9483" width="12.28515625" style="62" customWidth="1"/>
    <col min="9484" max="9484" width="12.5703125" style="62" customWidth="1"/>
    <col min="9485" max="9485" width="10.5703125" style="62" customWidth="1"/>
    <col min="9486" max="9486" width="10.140625" style="62" customWidth="1"/>
    <col min="9487" max="9487" width="8.42578125" style="62" customWidth="1"/>
    <col min="9488" max="9488" width="18.85546875" style="62" customWidth="1"/>
    <col min="9489" max="9489" width="10.28515625" style="62" customWidth="1"/>
    <col min="9490" max="9490" width="11.42578125" style="62"/>
    <col min="9491" max="9491" width="12.140625" style="62" customWidth="1"/>
    <col min="9492" max="9492" width="10.5703125" style="62" customWidth="1"/>
    <col min="9493" max="9493" width="12.42578125" style="62" customWidth="1"/>
    <col min="9494" max="9494" width="15.140625" style="62" customWidth="1"/>
    <col min="9495" max="9495" width="13.5703125" style="62" customWidth="1"/>
    <col min="9496" max="9496" width="13.140625" style="62" customWidth="1"/>
    <col min="9497" max="9497" width="15.7109375" style="62" customWidth="1"/>
    <col min="9498" max="9498" width="37.5703125" style="62" customWidth="1"/>
    <col min="9499" max="9720" width="11.42578125" style="62"/>
    <col min="9721" max="9721" width="10.5703125" style="62" customWidth="1"/>
    <col min="9722" max="9722" width="4.85546875" style="62" customWidth="1"/>
    <col min="9723" max="9723" width="32.42578125" style="62" customWidth="1"/>
    <col min="9724" max="9724" width="9.85546875" style="62" customWidth="1"/>
    <col min="9725" max="9725" width="10.140625" style="62" customWidth="1"/>
    <col min="9726" max="9726" width="12.28515625" style="62" customWidth="1"/>
    <col min="9727" max="9727" width="15.42578125" style="62" customWidth="1"/>
    <col min="9728" max="9728" width="11.85546875" style="62" customWidth="1"/>
    <col min="9729" max="9729" width="13.28515625" style="62" customWidth="1"/>
    <col min="9730" max="9730" width="15.28515625" style="62" customWidth="1"/>
    <col min="9731" max="9731" width="11.85546875" style="62" customWidth="1"/>
    <col min="9732" max="9732" width="6.140625" style="62" customWidth="1"/>
    <col min="9733" max="9733" width="11.85546875" style="62" customWidth="1"/>
    <col min="9734" max="9734" width="9.42578125" style="62" customWidth="1"/>
    <col min="9735" max="9735" width="14.7109375" style="62" customWidth="1"/>
    <col min="9736" max="9736" width="11.5703125" style="62" customWidth="1"/>
    <col min="9737" max="9737" width="0.42578125" style="62" customWidth="1"/>
    <col min="9738" max="9738" width="10.5703125" style="62" bestFit="1" customWidth="1"/>
    <col min="9739" max="9739" width="12.28515625" style="62" customWidth="1"/>
    <col min="9740" max="9740" width="12.5703125" style="62" customWidth="1"/>
    <col min="9741" max="9741" width="10.5703125" style="62" customWidth="1"/>
    <col min="9742" max="9742" width="10.140625" style="62" customWidth="1"/>
    <col min="9743" max="9743" width="8.42578125" style="62" customWidth="1"/>
    <col min="9744" max="9744" width="18.85546875" style="62" customWidth="1"/>
    <col min="9745" max="9745" width="10.28515625" style="62" customWidth="1"/>
    <col min="9746" max="9746" width="11.42578125" style="62"/>
    <col min="9747" max="9747" width="12.140625" style="62" customWidth="1"/>
    <col min="9748" max="9748" width="10.5703125" style="62" customWidth="1"/>
    <col min="9749" max="9749" width="12.42578125" style="62" customWidth="1"/>
    <col min="9750" max="9750" width="15.140625" style="62" customWidth="1"/>
    <col min="9751" max="9751" width="13.5703125" style="62" customWidth="1"/>
    <col min="9752" max="9752" width="13.140625" style="62" customWidth="1"/>
    <col min="9753" max="9753" width="15.7109375" style="62" customWidth="1"/>
    <col min="9754" max="9754" width="37.5703125" style="62" customWidth="1"/>
    <col min="9755" max="9976" width="11.42578125" style="62"/>
    <col min="9977" max="9977" width="10.5703125" style="62" customWidth="1"/>
    <col min="9978" max="9978" width="4.85546875" style="62" customWidth="1"/>
    <col min="9979" max="9979" width="32.42578125" style="62" customWidth="1"/>
    <col min="9980" max="9980" width="9.85546875" style="62" customWidth="1"/>
    <col min="9981" max="9981" width="10.140625" style="62" customWidth="1"/>
    <col min="9982" max="9982" width="12.28515625" style="62" customWidth="1"/>
    <col min="9983" max="9983" width="15.42578125" style="62" customWidth="1"/>
    <col min="9984" max="9984" width="11.85546875" style="62" customWidth="1"/>
    <col min="9985" max="9985" width="13.28515625" style="62" customWidth="1"/>
    <col min="9986" max="9986" width="15.28515625" style="62" customWidth="1"/>
    <col min="9987" max="9987" width="11.85546875" style="62" customWidth="1"/>
    <col min="9988" max="9988" width="6.140625" style="62" customWidth="1"/>
    <col min="9989" max="9989" width="11.85546875" style="62" customWidth="1"/>
    <col min="9990" max="9990" width="9.42578125" style="62" customWidth="1"/>
    <col min="9991" max="9991" width="14.7109375" style="62" customWidth="1"/>
    <col min="9992" max="9992" width="11.5703125" style="62" customWidth="1"/>
    <col min="9993" max="9993" width="0.42578125" style="62" customWidth="1"/>
    <col min="9994" max="9994" width="10.5703125" style="62" bestFit="1" customWidth="1"/>
    <col min="9995" max="9995" width="12.28515625" style="62" customWidth="1"/>
    <col min="9996" max="9996" width="12.5703125" style="62" customWidth="1"/>
    <col min="9997" max="9997" width="10.5703125" style="62" customWidth="1"/>
    <col min="9998" max="9998" width="10.140625" style="62" customWidth="1"/>
    <col min="9999" max="9999" width="8.42578125" style="62" customWidth="1"/>
    <col min="10000" max="10000" width="18.85546875" style="62" customWidth="1"/>
    <col min="10001" max="10001" width="10.28515625" style="62" customWidth="1"/>
    <col min="10002" max="10002" width="11.42578125" style="62"/>
    <col min="10003" max="10003" width="12.140625" style="62" customWidth="1"/>
    <col min="10004" max="10004" width="10.5703125" style="62" customWidth="1"/>
    <col min="10005" max="10005" width="12.42578125" style="62" customWidth="1"/>
    <col min="10006" max="10006" width="15.140625" style="62" customWidth="1"/>
    <col min="10007" max="10007" width="13.5703125" style="62" customWidth="1"/>
    <col min="10008" max="10008" width="13.140625" style="62" customWidth="1"/>
    <col min="10009" max="10009" width="15.7109375" style="62" customWidth="1"/>
    <col min="10010" max="10010" width="37.5703125" style="62" customWidth="1"/>
    <col min="10011" max="10232" width="11.42578125" style="62"/>
    <col min="10233" max="10233" width="10.5703125" style="62" customWidth="1"/>
    <col min="10234" max="10234" width="4.85546875" style="62" customWidth="1"/>
    <col min="10235" max="10235" width="32.42578125" style="62" customWidth="1"/>
    <col min="10236" max="10236" width="9.85546875" style="62" customWidth="1"/>
    <col min="10237" max="10237" width="10.140625" style="62" customWidth="1"/>
    <col min="10238" max="10238" width="12.28515625" style="62" customWidth="1"/>
    <col min="10239" max="10239" width="15.42578125" style="62" customWidth="1"/>
    <col min="10240" max="10240" width="11.85546875" style="62" customWidth="1"/>
    <col min="10241" max="10241" width="13.28515625" style="62" customWidth="1"/>
    <col min="10242" max="10242" width="15.28515625" style="62" customWidth="1"/>
    <col min="10243" max="10243" width="11.85546875" style="62" customWidth="1"/>
    <col min="10244" max="10244" width="6.140625" style="62" customWidth="1"/>
    <col min="10245" max="10245" width="11.85546875" style="62" customWidth="1"/>
    <col min="10246" max="10246" width="9.42578125" style="62" customWidth="1"/>
    <col min="10247" max="10247" width="14.7109375" style="62" customWidth="1"/>
    <col min="10248" max="10248" width="11.5703125" style="62" customWidth="1"/>
    <col min="10249" max="10249" width="0.42578125" style="62" customWidth="1"/>
    <col min="10250" max="10250" width="10.5703125" style="62" bestFit="1" customWidth="1"/>
    <col min="10251" max="10251" width="12.28515625" style="62" customWidth="1"/>
    <col min="10252" max="10252" width="12.5703125" style="62" customWidth="1"/>
    <col min="10253" max="10253" width="10.5703125" style="62" customWidth="1"/>
    <col min="10254" max="10254" width="10.140625" style="62" customWidth="1"/>
    <col min="10255" max="10255" width="8.42578125" style="62" customWidth="1"/>
    <col min="10256" max="10256" width="18.85546875" style="62" customWidth="1"/>
    <col min="10257" max="10257" width="10.28515625" style="62" customWidth="1"/>
    <col min="10258" max="10258" width="11.42578125" style="62"/>
    <col min="10259" max="10259" width="12.140625" style="62" customWidth="1"/>
    <col min="10260" max="10260" width="10.5703125" style="62" customWidth="1"/>
    <col min="10261" max="10261" width="12.42578125" style="62" customWidth="1"/>
    <col min="10262" max="10262" width="15.140625" style="62" customWidth="1"/>
    <col min="10263" max="10263" width="13.5703125" style="62" customWidth="1"/>
    <col min="10264" max="10264" width="13.140625" style="62" customWidth="1"/>
    <col min="10265" max="10265" width="15.7109375" style="62" customWidth="1"/>
    <col min="10266" max="10266" width="37.5703125" style="62" customWidth="1"/>
    <col min="10267" max="10488" width="11.42578125" style="62"/>
    <col min="10489" max="10489" width="10.5703125" style="62" customWidth="1"/>
    <col min="10490" max="10490" width="4.85546875" style="62" customWidth="1"/>
    <col min="10491" max="10491" width="32.42578125" style="62" customWidth="1"/>
    <col min="10492" max="10492" width="9.85546875" style="62" customWidth="1"/>
    <col min="10493" max="10493" width="10.140625" style="62" customWidth="1"/>
    <col min="10494" max="10494" width="12.28515625" style="62" customWidth="1"/>
    <col min="10495" max="10495" width="15.42578125" style="62" customWidth="1"/>
    <col min="10496" max="10496" width="11.85546875" style="62" customWidth="1"/>
    <col min="10497" max="10497" width="13.28515625" style="62" customWidth="1"/>
    <col min="10498" max="10498" width="15.28515625" style="62" customWidth="1"/>
    <col min="10499" max="10499" width="11.85546875" style="62" customWidth="1"/>
    <col min="10500" max="10500" width="6.140625" style="62" customWidth="1"/>
    <col min="10501" max="10501" width="11.85546875" style="62" customWidth="1"/>
    <col min="10502" max="10502" width="9.42578125" style="62" customWidth="1"/>
    <col min="10503" max="10503" width="14.7109375" style="62" customWidth="1"/>
    <col min="10504" max="10504" width="11.5703125" style="62" customWidth="1"/>
    <col min="10505" max="10505" width="0.42578125" style="62" customWidth="1"/>
    <col min="10506" max="10506" width="10.5703125" style="62" bestFit="1" customWidth="1"/>
    <col min="10507" max="10507" width="12.28515625" style="62" customWidth="1"/>
    <col min="10508" max="10508" width="12.5703125" style="62" customWidth="1"/>
    <col min="10509" max="10509" width="10.5703125" style="62" customWidth="1"/>
    <col min="10510" max="10510" width="10.140625" style="62" customWidth="1"/>
    <col min="10511" max="10511" width="8.42578125" style="62" customWidth="1"/>
    <col min="10512" max="10512" width="18.85546875" style="62" customWidth="1"/>
    <col min="10513" max="10513" width="10.28515625" style="62" customWidth="1"/>
    <col min="10514" max="10514" width="11.42578125" style="62"/>
    <col min="10515" max="10515" width="12.140625" style="62" customWidth="1"/>
    <col min="10516" max="10516" width="10.5703125" style="62" customWidth="1"/>
    <col min="10517" max="10517" width="12.42578125" style="62" customWidth="1"/>
    <col min="10518" max="10518" width="15.140625" style="62" customWidth="1"/>
    <col min="10519" max="10519" width="13.5703125" style="62" customWidth="1"/>
    <col min="10520" max="10520" width="13.140625" style="62" customWidth="1"/>
    <col min="10521" max="10521" width="15.7109375" style="62" customWidth="1"/>
    <col min="10522" max="10522" width="37.5703125" style="62" customWidth="1"/>
    <col min="10523" max="10744" width="11.42578125" style="62"/>
    <col min="10745" max="10745" width="10.5703125" style="62" customWidth="1"/>
    <col min="10746" max="10746" width="4.85546875" style="62" customWidth="1"/>
    <col min="10747" max="10747" width="32.42578125" style="62" customWidth="1"/>
    <col min="10748" max="10748" width="9.85546875" style="62" customWidth="1"/>
    <col min="10749" max="10749" width="10.140625" style="62" customWidth="1"/>
    <col min="10750" max="10750" width="12.28515625" style="62" customWidth="1"/>
    <col min="10751" max="10751" width="15.42578125" style="62" customWidth="1"/>
    <col min="10752" max="10752" width="11.85546875" style="62" customWidth="1"/>
    <col min="10753" max="10753" width="13.28515625" style="62" customWidth="1"/>
    <col min="10754" max="10754" width="15.28515625" style="62" customWidth="1"/>
    <col min="10755" max="10755" width="11.85546875" style="62" customWidth="1"/>
    <col min="10756" max="10756" width="6.140625" style="62" customWidth="1"/>
    <col min="10757" max="10757" width="11.85546875" style="62" customWidth="1"/>
    <col min="10758" max="10758" width="9.42578125" style="62" customWidth="1"/>
    <col min="10759" max="10759" width="14.7109375" style="62" customWidth="1"/>
    <col min="10760" max="10760" width="11.5703125" style="62" customWidth="1"/>
    <col min="10761" max="10761" width="0.42578125" style="62" customWidth="1"/>
    <col min="10762" max="10762" width="10.5703125" style="62" bestFit="1" customWidth="1"/>
    <col min="10763" max="10763" width="12.28515625" style="62" customWidth="1"/>
    <col min="10764" max="10764" width="12.5703125" style="62" customWidth="1"/>
    <col min="10765" max="10765" width="10.5703125" style="62" customWidth="1"/>
    <col min="10766" max="10766" width="10.140625" style="62" customWidth="1"/>
    <col min="10767" max="10767" width="8.42578125" style="62" customWidth="1"/>
    <col min="10768" max="10768" width="18.85546875" style="62" customWidth="1"/>
    <col min="10769" max="10769" width="10.28515625" style="62" customWidth="1"/>
    <col min="10770" max="10770" width="11.42578125" style="62"/>
    <col min="10771" max="10771" width="12.140625" style="62" customWidth="1"/>
    <col min="10772" max="10772" width="10.5703125" style="62" customWidth="1"/>
    <col min="10773" max="10773" width="12.42578125" style="62" customWidth="1"/>
    <col min="10774" max="10774" width="15.140625" style="62" customWidth="1"/>
    <col min="10775" max="10775" width="13.5703125" style="62" customWidth="1"/>
    <col min="10776" max="10776" width="13.140625" style="62" customWidth="1"/>
    <col min="10777" max="10777" width="15.7109375" style="62" customWidth="1"/>
    <col min="10778" max="10778" width="37.5703125" style="62" customWidth="1"/>
    <col min="10779" max="11000" width="11.42578125" style="62"/>
    <col min="11001" max="11001" width="10.5703125" style="62" customWidth="1"/>
    <col min="11002" max="11002" width="4.85546875" style="62" customWidth="1"/>
    <col min="11003" max="11003" width="32.42578125" style="62" customWidth="1"/>
    <col min="11004" max="11004" width="9.85546875" style="62" customWidth="1"/>
    <col min="11005" max="11005" width="10.140625" style="62" customWidth="1"/>
    <col min="11006" max="11006" width="12.28515625" style="62" customWidth="1"/>
    <col min="11007" max="11007" width="15.42578125" style="62" customWidth="1"/>
    <col min="11008" max="11008" width="11.85546875" style="62" customWidth="1"/>
    <col min="11009" max="11009" width="13.28515625" style="62" customWidth="1"/>
    <col min="11010" max="11010" width="15.28515625" style="62" customWidth="1"/>
    <col min="11011" max="11011" width="11.85546875" style="62" customWidth="1"/>
    <col min="11012" max="11012" width="6.140625" style="62" customWidth="1"/>
    <col min="11013" max="11013" width="11.85546875" style="62" customWidth="1"/>
    <col min="11014" max="11014" width="9.42578125" style="62" customWidth="1"/>
    <col min="11015" max="11015" width="14.7109375" style="62" customWidth="1"/>
    <col min="11016" max="11016" width="11.5703125" style="62" customWidth="1"/>
    <col min="11017" max="11017" width="0.42578125" style="62" customWidth="1"/>
    <col min="11018" max="11018" width="10.5703125" style="62" bestFit="1" customWidth="1"/>
    <col min="11019" max="11019" width="12.28515625" style="62" customWidth="1"/>
    <col min="11020" max="11020" width="12.5703125" style="62" customWidth="1"/>
    <col min="11021" max="11021" width="10.5703125" style="62" customWidth="1"/>
    <col min="11022" max="11022" width="10.140625" style="62" customWidth="1"/>
    <col min="11023" max="11023" width="8.42578125" style="62" customWidth="1"/>
    <col min="11024" max="11024" width="18.85546875" style="62" customWidth="1"/>
    <col min="11025" max="11025" width="10.28515625" style="62" customWidth="1"/>
    <col min="11026" max="11026" width="11.42578125" style="62"/>
    <col min="11027" max="11027" width="12.140625" style="62" customWidth="1"/>
    <col min="11028" max="11028" width="10.5703125" style="62" customWidth="1"/>
    <col min="11029" max="11029" width="12.42578125" style="62" customWidth="1"/>
    <col min="11030" max="11030" width="15.140625" style="62" customWidth="1"/>
    <col min="11031" max="11031" width="13.5703125" style="62" customWidth="1"/>
    <col min="11032" max="11032" width="13.140625" style="62" customWidth="1"/>
    <col min="11033" max="11033" width="15.7109375" style="62" customWidth="1"/>
    <col min="11034" max="11034" width="37.5703125" style="62" customWidth="1"/>
    <col min="11035" max="11256" width="11.42578125" style="62"/>
    <col min="11257" max="11257" width="10.5703125" style="62" customWidth="1"/>
    <col min="11258" max="11258" width="4.85546875" style="62" customWidth="1"/>
    <col min="11259" max="11259" width="32.42578125" style="62" customWidth="1"/>
    <col min="11260" max="11260" width="9.85546875" style="62" customWidth="1"/>
    <col min="11261" max="11261" width="10.140625" style="62" customWidth="1"/>
    <col min="11262" max="11262" width="12.28515625" style="62" customWidth="1"/>
    <col min="11263" max="11263" width="15.42578125" style="62" customWidth="1"/>
    <col min="11264" max="11264" width="11.85546875" style="62" customWidth="1"/>
    <col min="11265" max="11265" width="13.28515625" style="62" customWidth="1"/>
    <col min="11266" max="11266" width="15.28515625" style="62" customWidth="1"/>
    <col min="11267" max="11267" width="11.85546875" style="62" customWidth="1"/>
    <col min="11268" max="11268" width="6.140625" style="62" customWidth="1"/>
    <col min="11269" max="11269" width="11.85546875" style="62" customWidth="1"/>
    <col min="11270" max="11270" width="9.42578125" style="62" customWidth="1"/>
    <col min="11271" max="11271" width="14.7109375" style="62" customWidth="1"/>
    <col min="11272" max="11272" width="11.5703125" style="62" customWidth="1"/>
    <col min="11273" max="11273" width="0.42578125" style="62" customWidth="1"/>
    <col min="11274" max="11274" width="10.5703125" style="62" bestFit="1" customWidth="1"/>
    <col min="11275" max="11275" width="12.28515625" style="62" customWidth="1"/>
    <col min="11276" max="11276" width="12.5703125" style="62" customWidth="1"/>
    <col min="11277" max="11277" width="10.5703125" style="62" customWidth="1"/>
    <col min="11278" max="11278" width="10.140625" style="62" customWidth="1"/>
    <col min="11279" max="11279" width="8.42578125" style="62" customWidth="1"/>
    <col min="11280" max="11280" width="18.85546875" style="62" customWidth="1"/>
    <col min="11281" max="11281" width="10.28515625" style="62" customWidth="1"/>
    <col min="11282" max="11282" width="11.42578125" style="62"/>
    <col min="11283" max="11283" width="12.140625" style="62" customWidth="1"/>
    <col min="11284" max="11284" width="10.5703125" style="62" customWidth="1"/>
    <col min="11285" max="11285" width="12.42578125" style="62" customWidth="1"/>
    <col min="11286" max="11286" width="15.140625" style="62" customWidth="1"/>
    <col min="11287" max="11287" width="13.5703125" style="62" customWidth="1"/>
    <col min="11288" max="11288" width="13.140625" style="62" customWidth="1"/>
    <col min="11289" max="11289" width="15.7109375" style="62" customWidth="1"/>
    <col min="11290" max="11290" width="37.5703125" style="62" customWidth="1"/>
    <col min="11291" max="11512" width="11.42578125" style="62"/>
    <col min="11513" max="11513" width="10.5703125" style="62" customWidth="1"/>
    <col min="11514" max="11514" width="4.85546875" style="62" customWidth="1"/>
    <col min="11515" max="11515" width="32.42578125" style="62" customWidth="1"/>
    <col min="11516" max="11516" width="9.85546875" style="62" customWidth="1"/>
    <col min="11517" max="11517" width="10.140625" style="62" customWidth="1"/>
    <col min="11518" max="11518" width="12.28515625" style="62" customWidth="1"/>
    <col min="11519" max="11519" width="15.42578125" style="62" customWidth="1"/>
    <col min="11520" max="11520" width="11.85546875" style="62" customWidth="1"/>
    <col min="11521" max="11521" width="13.28515625" style="62" customWidth="1"/>
    <col min="11522" max="11522" width="15.28515625" style="62" customWidth="1"/>
    <col min="11523" max="11523" width="11.85546875" style="62" customWidth="1"/>
    <col min="11524" max="11524" width="6.140625" style="62" customWidth="1"/>
    <col min="11525" max="11525" width="11.85546875" style="62" customWidth="1"/>
    <col min="11526" max="11526" width="9.42578125" style="62" customWidth="1"/>
    <col min="11527" max="11527" width="14.7109375" style="62" customWidth="1"/>
    <col min="11528" max="11528" width="11.5703125" style="62" customWidth="1"/>
    <col min="11529" max="11529" width="0.42578125" style="62" customWidth="1"/>
    <col min="11530" max="11530" width="10.5703125" style="62" bestFit="1" customWidth="1"/>
    <col min="11531" max="11531" width="12.28515625" style="62" customWidth="1"/>
    <col min="11532" max="11532" width="12.5703125" style="62" customWidth="1"/>
    <col min="11533" max="11533" width="10.5703125" style="62" customWidth="1"/>
    <col min="11534" max="11534" width="10.140625" style="62" customWidth="1"/>
    <col min="11535" max="11535" width="8.42578125" style="62" customWidth="1"/>
    <col min="11536" max="11536" width="18.85546875" style="62" customWidth="1"/>
    <col min="11537" max="11537" width="10.28515625" style="62" customWidth="1"/>
    <col min="11538" max="11538" width="11.42578125" style="62"/>
    <col min="11539" max="11539" width="12.140625" style="62" customWidth="1"/>
    <col min="11540" max="11540" width="10.5703125" style="62" customWidth="1"/>
    <col min="11541" max="11541" width="12.42578125" style="62" customWidth="1"/>
    <col min="11542" max="11542" width="15.140625" style="62" customWidth="1"/>
    <col min="11543" max="11543" width="13.5703125" style="62" customWidth="1"/>
    <col min="11544" max="11544" width="13.140625" style="62" customWidth="1"/>
    <col min="11545" max="11545" width="15.7109375" style="62" customWidth="1"/>
    <col min="11546" max="11546" width="37.5703125" style="62" customWidth="1"/>
    <col min="11547" max="11768" width="11.42578125" style="62"/>
    <col min="11769" max="11769" width="10.5703125" style="62" customWidth="1"/>
    <col min="11770" max="11770" width="4.85546875" style="62" customWidth="1"/>
    <col min="11771" max="11771" width="32.42578125" style="62" customWidth="1"/>
    <col min="11772" max="11772" width="9.85546875" style="62" customWidth="1"/>
    <col min="11773" max="11773" width="10.140625" style="62" customWidth="1"/>
    <col min="11774" max="11774" width="12.28515625" style="62" customWidth="1"/>
    <col min="11775" max="11775" width="15.42578125" style="62" customWidth="1"/>
    <col min="11776" max="11776" width="11.85546875" style="62" customWidth="1"/>
    <col min="11777" max="11777" width="13.28515625" style="62" customWidth="1"/>
    <col min="11778" max="11778" width="15.28515625" style="62" customWidth="1"/>
    <col min="11779" max="11779" width="11.85546875" style="62" customWidth="1"/>
    <col min="11780" max="11780" width="6.140625" style="62" customWidth="1"/>
    <col min="11781" max="11781" width="11.85546875" style="62" customWidth="1"/>
    <col min="11782" max="11782" width="9.42578125" style="62" customWidth="1"/>
    <col min="11783" max="11783" width="14.7109375" style="62" customWidth="1"/>
    <col min="11784" max="11784" width="11.5703125" style="62" customWidth="1"/>
    <col min="11785" max="11785" width="0.42578125" style="62" customWidth="1"/>
    <col min="11786" max="11786" width="10.5703125" style="62" bestFit="1" customWidth="1"/>
    <col min="11787" max="11787" width="12.28515625" style="62" customWidth="1"/>
    <col min="11788" max="11788" width="12.5703125" style="62" customWidth="1"/>
    <col min="11789" max="11789" width="10.5703125" style="62" customWidth="1"/>
    <col min="11790" max="11790" width="10.140625" style="62" customWidth="1"/>
    <col min="11791" max="11791" width="8.42578125" style="62" customWidth="1"/>
    <col min="11792" max="11792" width="18.85546875" style="62" customWidth="1"/>
    <col min="11793" max="11793" width="10.28515625" style="62" customWidth="1"/>
    <col min="11794" max="11794" width="11.42578125" style="62"/>
    <col min="11795" max="11795" width="12.140625" style="62" customWidth="1"/>
    <col min="11796" max="11796" width="10.5703125" style="62" customWidth="1"/>
    <col min="11797" max="11797" width="12.42578125" style="62" customWidth="1"/>
    <col min="11798" max="11798" width="15.140625" style="62" customWidth="1"/>
    <col min="11799" max="11799" width="13.5703125" style="62" customWidth="1"/>
    <col min="11800" max="11800" width="13.140625" style="62" customWidth="1"/>
    <col min="11801" max="11801" width="15.7109375" style="62" customWidth="1"/>
    <col min="11802" max="11802" width="37.5703125" style="62" customWidth="1"/>
    <col min="11803" max="12024" width="11.42578125" style="62"/>
    <col min="12025" max="12025" width="10.5703125" style="62" customWidth="1"/>
    <col min="12026" max="12026" width="4.85546875" style="62" customWidth="1"/>
    <col min="12027" max="12027" width="32.42578125" style="62" customWidth="1"/>
    <col min="12028" max="12028" width="9.85546875" style="62" customWidth="1"/>
    <col min="12029" max="12029" width="10.140625" style="62" customWidth="1"/>
    <col min="12030" max="12030" width="12.28515625" style="62" customWidth="1"/>
    <col min="12031" max="12031" width="15.42578125" style="62" customWidth="1"/>
    <col min="12032" max="12032" width="11.85546875" style="62" customWidth="1"/>
    <col min="12033" max="12033" width="13.28515625" style="62" customWidth="1"/>
    <col min="12034" max="12034" width="15.28515625" style="62" customWidth="1"/>
    <col min="12035" max="12035" width="11.85546875" style="62" customWidth="1"/>
    <col min="12036" max="12036" width="6.140625" style="62" customWidth="1"/>
    <col min="12037" max="12037" width="11.85546875" style="62" customWidth="1"/>
    <col min="12038" max="12038" width="9.42578125" style="62" customWidth="1"/>
    <col min="12039" max="12039" width="14.7109375" style="62" customWidth="1"/>
    <col min="12040" max="12040" width="11.5703125" style="62" customWidth="1"/>
    <col min="12041" max="12041" width="0.42578125" style="62" customWidth="1"/>
    <col min="12042" max="12042" width="10.5703125" style="62" bestFit="1" customWidth="1"/>
    <col min="12043" max="12043" width="12.28515625" style="62" customWidth="1"/>
    <col min="12044" max="12044" width="12.5703125" style="62" customWidth="1"/>
    <col min="12045" max="12045" width="10.5703125" style="62" customWidth="1"/>
    <col min="12046" max="12046" width="10.140625" style="62" customWidth="1"/>
    <col min="12047" max="12047" width="8.42578125" style="62" customWidth="1"/>
    <col min="12048" max="12048" width="18.85546875" style="62" customWidth="1"/>
    <col min="12049" max="12049" width="10.28515625" style="62" customWidth="1"/>
    <col min="12050" max="12050" width="11.42578125" style="62"/>
    <col min="12051" max="12051" width="12.140625" style="62" customWidth="1"/>
    <col min="12052" max="12052" width="10.5703125" style="62" customWidth="1"/>
    <col min="12053" max="12053" width="12.42578125" style="62" customWidth="1"/>
    <col min="12054" max="12054" width="15.140625" style="62" customWidth="1"/>
    <col min="12055" max="12055" width="13.5703125" style="62" customWidth="1"/>
    <col min="12056" max="12056" width="13.140625" style="62" customWidth="1"/>
    <col min="12057" max="12057" width="15.7109375" style="62" customWidth="1"/>
    <col min="12058" max="12058" width="37.5703125" style="62" customWidth="1"/>
    <col min="12059" max="12280" width="11.42578125" style="62"/>
    <col min="12281" max="12281" width="10.5703125" style="62" customWidth="1"/>
    <col min="12282" max="12282" width="4.85546875" style="62" customWidth="1"/>
    <col min="12283" max="12283" width="32.42578125" style="62" customWidth="1"/>
    <col min="12284" max="12284" width="9.85546875" style="62" customWidth="1"/>
    <col min="12285" max="12285" width="10.140625" style="62" customWidth="1"/>
    <col min="12286" max="12286" width="12.28515625" style="62" customWidth="1"/>
    <col min="12287" max="12287" width="15.42578125" style="62" customWidth="1"/>
    <col min="12288" max="12288" width="11.85546875" style="62" customWidth="1"/>
    <col min="12289" max="12289" width="13.28515625" style="62" customWidth="1"/>
    <col min="12290" max="12290" width="15.28515625" style="62" customWidth="1"/>
    <col min="12291" max="12291" width="11.85546875" style="62" customWidth="1"/>
    <col min="12292" max="12292" width="6.140625" style="62" customWidth="1"/>
    <col min="12293" max="12293" width="11.85546875" style="62" customWidth="1"/>
    <col min="12294" max="12294" width="9.42578125" style="62" customWidth="1"/>
    <col min="12295" max="12295" width="14.7109375" style="62" customWidth="1"/>
    <col min="12296" max="12296" width="11.5703125" style="62" customWidth="1"/>
    <col min="12297" max="12297" width="0.42578125" style="62" customWidth="1"/>
    <col min="12298" max="12298" width="10.5703125" style="62" bestFit="1" customWidth="1"/>
    <col min="12299" max="12299" width="12.28515625" style="62" customWidth="1"/>
    <col min="12300" max="12300" width="12.5703125" style="62" customWidth="1"/>
    <col min="12301" max="12301" width="10.5703125" style="62" customWidth="1"/>
    <col min="12302" max="12302" width="10.140625" style="62" customWidth="1"/>
    <col min="12303" max="12303" width="8.42578125" style="62" customWidth="1"/>
    <col min="12304" max="12304" width="18.85546875" style="62" customWidth="1"/>
    <col min="12305" max="12305" width="10.28515625" style="62" customWidth="1"/>
    <col min="12306" max="12306" width="11.42578125" style="62"/>
    <col min="12307" max="12307" width="12.140625" style="62" customWidth="1"/>
    <col min="12308" max="12308" width="10.5703125" style="62" customWidth="1"/>
    <col min="12309" max="12309" width="12.42578125" style="62" customWidth="1"/>
    <col min="12310" max="12310" width="15.140625" style="62" customWidth="1"/>
    <col min="12311" max="12311" width="13.5703125" style="62" customWidth="1"/>
    <col min="12312" max="12312" width="13.140625" style="62" customWidth="1"/>
    <col min="12313" max="12313" width="15.7109375" style="62" customWidth="1"/>
    <col min="12314" max="12314" width="37.5703125" style="62" customWidth="1"/>
    <col min="12315" max="12536" width="11.42578125" style="62"/>
    <col min="12537" max="12537" width="10.5703125" style="62" customWidth="1"/>
    <col min="12538" max="12538" width="4.85546875" style="62" customWidth="1"/>
    <col min="12539" max="12539" width="32.42578125" style="62" customWidth="1"/>
    <col min="12540" max="12540" width="9.85546875" style="62" customWidth="1"/>
    <col min="12541" max="12541" width="10.140625" style="62" customWidth="1"/>
    <col min="12542" max="12542" width="12.28515625" style="62" customWidth="1"/>
    <col min="12543" max="12543" width="15.42578125" style="62" customWidth="1"/>
    <col min="12544" max="12544" width="11.85546875" style="62" customWidth="1"/>
    <col min="12545" max="12545" width="13.28515625" style="62" customWidth="1"/>
    <col min="12546" max="12546" width="15.28515625" style="62" customWidth="1"/>
    <col min="12547" max="12547" width="11.85546875" style="62" customWidth="1"/>
    <col min="12548" max="12548" width="6.140625" style="62" customWidth="1"/>
    <col min="12549" max="12549" width="11.85546875" style="62" customWidth="1"/>
    <col min="12550" max="12550" width="9.42578125" style="62" customWidth="1"/>
    <col min="12551" max="12551" width="14.7109375" style="62" customWidth="1"/>
    <col min="12552" max="12552" width="11.5703125" style="62" customWidth="1"/>
    <col min="12553" max="12553" width="0.42578125" style="62" customWidth="1"/>
    <col min="12554" max="12554" width="10.5703125" style="62" bestFit="1" customWidth="1"/>
    <col min="12555" max="12555" width="12.28515625" style="62" customWidth="1"/>
    <col min="12556" max="12556" width="12.5703125" style="62" customWidth="1"/>
    <col min="12557" max="12557" width="10.5703125" style="62" customWidth="1"/>
    <col min="12558" max="12558" width="10.140625" style="62" customWidth="1"/>
    <col min="12559" max="12559" width="8.42578125" style="62" customWidth="1"/>
    <col min="12560" max="12560" width="18.85546875" style="62" customWidth="1"/>
    <col min="12561" max="12561" width="10.28515625" style="62" customWidth="1"/>
    <col min="12562" max="12562" width="11.42578125" style="62"/>
    <col min="12563" max="12563" width="12.140625" style="62" customWidth="1"/>
    <col min="12564" max="12564" width="10.5703125" style="62" customWidth="1"/>
    <col min="12565" max="12565" width="12.42578125" style="62" customWidth="1"/>
    <col min="12566" max="12566" width="15.140625" style="62" customWidth="1"/>
    <col min="12567" max="12567" width="13.5703125" style="62" customWidth="1"/>
    <col min="12568" max="12568" width="13.140625" style="62" customWidth="1"/>
    <col min="12569" max="12569" width="15.7109375" style="62" customWidth="1"/>
    <col min="12570" max="12570" width="37.5703125" style="62" customWidth="1"/>
    <col min="12571" max="12792" width="11.42578125" style="62"/>
    <col min="12793" max="12793" width="10.5703125" style="62" customWidth="1"/>
    <col min="12794" max="12794" width="4.85546875" style="62" customWidth="1"/>
    <col min="12795" max="12795" width="32.42578125" style="62" customWidth="1"/>
    <col min="12796" max="12796" width="9.85546875" style="62" customWidth="1"/>
    <col min="12797" max="12797" width="10.140625" style="62" customWidth="1"/>
    <col min="12798" max="12798" width="12.28515625" style="62" customWidth="1"/>
    <col min="12799" max="12799" width="15.42578125" style="62" customWidth="1"/>
    <col min="12800" max="12800" width="11.85546875" style="62" customWidth="1"/>
    <col min="12801" max="12801" width="13.28515625" style="62" customWidth="1"/>
    <col min="12802" max="12802" width="15.28515625" style="62" customWidth="1"/>
    <col min="12803" max="12803" width="11.85546875" style="62" customWidth="1"/>
    <col min="12804" max="12804" width="6.140625" style="62" customWidth="1"/>
    <col min="12805" max="12805" width="11.85546875" style="62" customWidth="1"/>
    <col min="12806" max="12806" width="9.42578125" style="62" customWidth="1"/>
    <col min="12807" max="12807" width="14.7109375" style="62" customWidth="1"/>
    <col min="12808" max="12808" width="11.5703125" style="62" customWidth="1"/>
    <col min="12809" max="12809" width="0.42578125" style="62" customWidth="1"/>
    <col min="12810" max="12810" width="10.5703125" style="62" bestFit="1" customWidth="1"/>
    <col min="12811" max="12811" width="12.28515625" style="62" customWidth="1"/>
    <col min="12812" max="12812" width="12.5703125" style="62" customWidth="1"/>
    <col min="12813" max="12813" width="10.5703125" style="62" customWidth="1"/>
    <col min="12814" max="12814" width="10.140625" style="62" customWidth="1"/>
    <col min="12815" max="12815" width="8.42578125" style="62" customWidth="1"/>
    <col min="12816" max="12816" width="18.85546875" style="62" customWidth="1"/>
    <col min="12817" max="12817" width="10.28515625" style="62" customWidth="1"/>
    <col min="12818" max="12818" width="11.42578125" style="62"/>
    <col min="12819" max="12819" width="12.140625" style="62" customWidth="1"/>
    <col min="12820" max="12820" width="10.5703125" style="62" customWidth="1"/>
    <col min="12821" max="12821" width="12.42578125" style="62" customWidth="1"/>
    <col min="12822" max="12822" width="15.140625" style="62" customWidth="1"/>
    <col min="12823" max="12823" width="13.5703125" style="62" customWidth="1"/>
    <col min="12824" max="12824" width="13.140625" style="62" customWidth="1"/>
    <col min="12825" max="12825" width="15.7109375" style="62" customWidth="1"/>
    <col min="12826" max="12826" width="37.5703125" style="62" customWidth="1"/>
    <col min="12827" max="13048" width="11.42578125" style="62"/>
    <col min="13049" max="13049" width="10.5703125" style="62" customWidth="1"/>
    <col min="13050" max="13050" width="4.85546875" style="62" customWidth="1"/>
    <col min="13051" max="13051" width="32.42578125" style="62" customWidth="1"/>
    <col min="13052" max="13052" width="9.85546875" style="62" customWidth="1"/>
    <col min="13053" max="13053" width="10.140625" style="62" customWidth="1"/>
    <col min="13054" max="13054" width="12.28515625" style="62" customWidth="1"/>
    <col min="13055" max="13055" width="15.42578125" style="62" customWidth="1"/>
    <col min="13056" max="13056" width="11.85546875" style="62" customWidth="1"/>
    <col min="13057" max="13057" width="13.28515625" style="62" customWidth="1"/>
    <col min="13058" max="13058" width="15.28515625" style="62" customWidth="1"/>
    <col min="13059" max="13059" width="11.85546875" style="62" customWidth="1"/>
    <col min="13060" max="13060" width="6.140625" style="62" customWidth="1"/>
    <col min="13061" max="13061" width="11.85546875" style="62" customWidth="1"/>
    <col min="13062" max="13062" width="9.42578125" style="62" customWidth="1"/>
    <col min="13063" max="13063" width="14.7109375" style="62" customWidth="1"/>
    <col min="13064" max="13064" width="11.5703125" style="62" customWidth="1"/>
    <col min="13065" max="13065" width="0.42578125" style="62" customWidth="1"/>
    <col min="13066" max="13066" width="10.5703125" style="62" bestFit="1" customWidth="1"/>
    <col min="13067" max="13067" width="12.28515625" style="62" customWidth="1"/>
    <col min="13068" max="13068" width="12.5703125" style="62" customWidth="1"/>
    <col min="13069" max="13069" width="10.5703125" style="62" customWidth="1"/>
    <col min="13070" max="13070" width="10.140625" style="62" customWidth="1"/>
    <col min="13071" max="13071" width="8.42578125" style="62" customWidth="1"/>
    <col min="13072" max="13072" width="18.85546875" style="62" customWidth="1"/>
    <col min="13073" max="13073" width="10.28515625" style="62" customWidth="1"/>
    <col min="13074" max="13074" width="11.42578125" style="62"/>
    <col min="13075" max="13075" width="12.140625" style="62" customWidth="1"/>
    <col min="13076" max="13076" width="10.5703125" style="62" customWidth="1"/>
    <col min="13077" max="13077" width="12.42578125" style="62" customWidth="1"/>
    <col min="13078" max="13078" width="15.140625" style="62" customWidth="1"/>
    <col min="13079" max="13079" width="13.5703125" style="62" customWidth="1"/>
    <col min="13080" max="13080" width="13.140625" style="62" customWidth="1"/>
    <col min="13081" max="13081" width="15.7109375" style="62" customWidth="1"/>
    <col min="13082" max="13082" width="37.5703125" style="62" customWidth="1"/>
    <col min="13083" max="13304" width="11.42578125" style="62"/>
    <col min="13305" max="13305" width="10.5703125" style="62" customWidth="1"/>
    <col min="13306" max="13306" width="4.85546875" style="62" customWidth="1"/>
    <col min="13307" max="13307" width="32.42578125" style="62" customWidth="1"/>
    <col min="13308" max="13308" width="9.85546875" style="62" customWidth="1"/>
    <col min="13309" max="13309" width="10.140625" style="62" customWidth="1"/>
    <col min="13310" max="13310" width="12.28515625" style="62" customWidth="1"/>
    <col min="13311" max="13311" width="15.42578125" style="62" customWidth="1"/>
    <col min="13312" max="13312" width="11.85546875" style="62" customWidth="1"/>
    <col min="13313" max="13313" width="13.28515625" style="62" customWidth="1"/>
    <col min="13314" max="13314" width="15.28515625" style="62" customWidth="1"/>
    <col min="13315" max="13315" width="11.85546875" style="62" customWidth="1"/>
    <col min="13316" max="13316" width="6.140625" style="62" customWidth="1"/>
    <col min="13317" max="13317" width="11.85546875" style="62" customWidth="1"/>
    <col min="13318" max="13318" width="9.42578125" style="62" customWidth="1"/>
    <col min="13319" max="13319" width="14.7109375" style="62" customWidth="1"/>
    <col min="13320" max="13320" width="11.5703125" style="62" customWidth="1"/>
    <col min="13321" max="13321" width="0.42578125" style="62" customWidth="1"/>
    <col min="13322" max="13322" width="10.5703125" style="62" bestFit="1" customWidth="1"/>
    <col min="13323" max="13323" width="12.28515625" style="62" customWidth="1"/>
    <col min="13324" max="13324" width="12.5703125" style="62" customWidth="1"/>
    <col min="13325" max="13325" width="10.5703125" style="62" customWidth="1"/>
    <col min="13326" max="13326" width="10.140625" style="62" customWidth="1"/>
    <col min="13327" max="13327" width="8.42578125" style="62" customWidth="1"/>
    <col min="13328" max="13328" width="18.85546875" style="62" customWidth="1"/>
    <col min="13329" max="13329" width="10.28515625" style="62" customWidth="1"/>
    <col min="13330" max="13330" width="11.42578125" style="62"/>
    <col min="13331" max="13331" width="12.140625" style="62" customWidth="1"/>
    <col min="13332" max="13332" width="10.5703125" style="62" customWidth="1"/>
    <col min="13333" max="13333" width="12.42578125" style="62" customWidth="1"/>
    <col min="13334" max="13334" width="15.140625" style="62" customWidth="1"/>
    <col min="13335" max="13335" width="13.5703125" style="62" customWidth="1"/>
    <col min="13336" max="13336" width="13.140625" style="62" customWidth="1"/>
    <col min="13337" max="13337" width="15.7109375" style="62" customWidth="1"/>
    <col min="13338" max="13338" width="37.5703125" style="62" customWidth="1"/>
    <col min="13339" max="13560" width="11.42578125" style="62"/>
    <col min="13561" max="13561" width="10.5703125" style="62" customWidth="1"/>
    <col min="13562" max="13562" width="4.85546875" style="62" customWidth="1"/>
    <col min="13563" max="13563" width="32.42578125" style="62" customWidth="1"/>
    <col min="13564" max="13564" width="9.85546875" style="62" customWidth="1"/>
    <col min="13565" max="13565" width="10.140625" style="62" customWidth="1"/>
    <col min="13566" max="13566" width="12.28515625" style="62" customWidth="1"/>
    <col min="13567" max="13567" width="15.42578125" style="62" customWidth="1"/>
    <col min="13568" max="13568" width="11.85546875" style="62" customWidth="1"/>
    <col min="13569" max="13569" width="13.28515625" style="62" customWidth="1"/>
    <col min="13570" max="13570" width="15.28515625" style="62" customWidth="1"/>
    <col min="13571" max="13571" width="11.85546875" style="62" customWidth="1"/>
    <col min="13572" max="13572" width="6.140625" style="62" customWidth="1"/>
    <col min="13573" max="13573" width="11.85546875" style="62" customWidth="1"/>
    <col min="13574" max="13574" width="9.42578125" style="62" customWidth="1"/>
    <col min="13575" max="13575" width="14.7109375" style="62" customWidth="1"/>
    <col min="13576" max="13576" width="11.5703125" style="62" customWidth="1"/>
    <col min="13577" max="13577" width="0.42578125" style="62" customWidth="1"/>
    <col min="13578" max="13578" width="10.5703125" style="62" bestFit="1" customWidth="1"/>
    <col min="13579" max="13579" width="12.28515625" style="62" customWidth="1"/>
    <col min="13580" max="13580" width="12.5703125" style="62" customWidth="1"/>
    <col min="13581" max="13581" width="10.5703125" style="62" customWidth="1"/>
    <col min="13582" max="13582" width="10.140625" style="62" customWidth="1"/>
    <col min="13583" max="13583" width="8.42578125" style="62" customWidth="1"/>
    <col min="13584" max="13584" width="18.85546875" style="62" customWidth="1"/>
    <col min="13585" max="13585" width="10.28515625" style="62" customWidth="1"/>
    <col min="13586" max="13586" width="11.42578125" style="62"/>
    <col min="13587" max="13587" width="12.140625" style="62" customWidth="1"/>
    <col min="13588" max="13588" width="10.5703125" style="62" customWidth="1"/>
    <col min="13589" max="13589" width="12.42578125" style="62" customWidth="1"/>
    <col min="13590" max="13590" width="15.140625" style="62" customWidth="1"/>
    <col min="13591" max="13591" width="13.5703125" style="62" customWidth="1"/>
    <col min="13592" max="13592" width="13.140625" style="62" customWidth="1"/>
    <col min="13593" max="13593" width="15.7109375" style="62" customWidth="1"/>
    <col min="13594" max="13594" width="37.5703125" style="62" customWidth="1"/>
    <col min="13595" max="13816" width="11.42578125" style="62"/>
    <col min="13817" max="13817" width="10.5703125" style="62" customWidth="1"/>
    <col min="13818" max="13818" width="4.85546875" style="62" customWidth="1"/>
    <col min="13819" max="13819" width="32.42578125" style="62" customWidth="1"/>
    <col min="13820" max="13820" width="9.85546875" style="62" customWidth="1"/>
    <col min="13821" max="13821" width="10.140625" style="62" customWidth="1"/>
    <col min="13822" max="13822" width="12.28515625" style="62" customWidth="1"/>
    <col min="13823" max="13823" width="15.42578125" style="62" customWidth="1"/>
    <col min="13824" max="13824" width="11.85546875" style="62" customWidth="1"/>
    <col min="13825" max="13825" width="13.28515625" style="62" customWidth="1"/>
    <col min="13826" max="13826" width="15.28515625" style="62" customWidth="1"/>
    <col min="13827" max="13827" width="11.85546875" style="62" customWidth="1"/>
    <col min="13828" max="13828" width="6.140625" style="62" customWidth="1"/>
    <col min="13829" max="13829" width="11.85546875" style="62" customWidth="1"/>
    <col min="13830" max="13830" width="9.42578125" style="62" customWidth="1"/>
    <col min="13831" max="13831" width="14.7109375" style="62" customWidth="1"/>
    <col min="13832" max="13832" width="11.5703125" style="62" customWidth="1"/>
    <col min="13833" max="13833" width="0.42578125" style="62" customWidth="1"/>
    <col min="13834" max="13834" width="10.5703125" style="62" bestFit="1" customWidth="1"/>
    <col min="13835" max="13835" width="12.28515625" style="62" customWidth="1"/>
    <col min="13836" max="13836" width="12.5703125" style="62" customWidth="1"/>
    <col min="13837" max="13837" width="10.5703125" style="62" customWidth="1"/>
    <col min="13838" max="13838" width="10.140625" style="62" customWidth="1"/>
    <col min="13839" max="13839" width="8.42578125" style="62" customWidth="1"/>
    <col min="13840" max="13840" width="18.85546875" style="62" customWidth="1"/>
    <col min="13841" max="13841" width="10.28515625" style="62" customWidth="1"/>
    <col min="13842" max="13842" width="11.42578125" style="62"/>
    <col min="13843" max="13843" width="12.140625" style="62" customWidth="1"/>
    <col min="13844" max="13844" width="10.5703125" style="62" customWidth="1"/>
    <col min="13845" max="13845" width="12.42578125" style="62" customWidth="1"/>
    <col min="13846" max="13846" width="15.140625" style="62" customWidth="1"/>
    <col min="13847" max="13847" width="13.5703125" style="62" customWidth="1"/>
    <col min="13848" max="13848" width="13.140625" style="62" customWidth="1"/>
    <col min="13849" max="13849" width="15.7109375" style="62" customWidth="1"/>
    <col min="13850" max="13850" width="37.5703125" style="62" customWidth="1"/>
    <col min="13851" max="14072" width="11.42578125" style="62"/>
    <col min="14073" max="14073" width="10.5703125" style="62" customWidth="1"/>
    <col min="14074" max="14074" width="4.85546875" style="62" customWidth="1"/>
    <col min="14075" max="14075" width="32.42578125" style="62" customWidth="1"/>
    <col min="14076" max="14076" width="9.85546875" style="62" customWidth="1"/>
    <col min="14077" max="14077" width="10.140625" style="62" customWidth="1"/>
    <col min="14078" max="14078" width="12.28515625" style="62" customWidth="1"/>
    <col min="14079" max="14079" width="15.42578125" style="62" customWidth="1"/>
    <col min="14080" max="14080" width="11.85546875" style="62" customWidth="1"/>
    <col min="14081" max="14081" width="13.28515625" style="62" customWidth="1"/>
    <col min="14082" max="14082" width="15.28515625" style="62" customWidth="1"/>
    <col min="14083" max="14083" width="11.85546875" style="62" customWidth="1"/>
    <col min="14084" max="14084" width="6.140625" style="62" customWidth="1"/>
    <col min="14085" max="14085" width="11.85546875" style="62" customWidth="1"/>
    <col min="14086" max="14086" width="9.42578125" style="62" customWidth="1"/>
    <col min="14087" max="14087" width="14.7109375" style="62" customWidth="1"/>
    <col min="14088" max="14088" width="11.5703125" style="62" customWidth="1"/>
    <col min="14089" max="14089" width="0.42578125" style="62" customWidth="1"/>
    <col min="14090" max="14090" width="10.5703125" style="62" bestFit="1" customWidth="1"/>
    <col min="14091" max="14091" width="12.28515625" style="62" customWidth="1"/>
    <col min="14092" max="14092" width="12.5703125" style="62" customWidth="1"/>
    <col min="14093" max="14093" width="10.5703125" style="62" customWidth="1"/>
    <col min="14094" max="14094" width="10.140625" style="62" customWidth="1"/>
    <col min="14095" max="14095" width="8.42578125" style="62" customWidth="1"/>
    <col min="14096" max="14096" width="18.85546875" style="62" customWidth="1"/>
    <col min="14097" max="14097" width="10.28515625" style="62" customWidth="1"/>
    <col min="14098" max="14098" width="11.42578125" style="62"/>
    <col min="14099" max="14099" width="12.140625" style="62" customWidth="1"/>
    <col min="14100" max="14100" width="10.5703125" style="62" customWidth="1"/>
    <col min="14101" max="14101" width="12.42578125" style="62" customWidth="1"/>
    <col min="14102" max="14102" width="15.140625" style="62" customWidth="1"/>
    <col min="14103" max="14103" width="13.5703125" style="62" customWidth="1"/>
    <col min="14104" max="14104" width="13.140625" style="62" customWidth="1"/>
    <col min="14105" max="14105" width="15.7109375" style="62" customWidth="1"/>
    <col min="14106" max="14106" width="37.5703125" style="62" customWidth="1"/>
    <col min="14107" max="14328" width="11.42578125" style="62"/>
    <col min="14329" max="14329" width="10.5703125" style="62" customWidth="1"/>
    <col min="14330" max="14330" width="4.85546875" style="62" customWidth="1"/>
    <col min="14331" max="14331" width="32.42578125" style="62" customWidth="1"/>
    <col min="14332" max="14332" width="9.85546875" style="62" customWidth="1"/>
    <col min="14333" max="14333" width="10.140625" style="62" customWidth="1"/>
    <col min="14334" max="14334" width="12.28515625" style="62" customWidth="1"/>
    <col min="14335" max="14335" width="15.42578125" style="62" customWidth="1"/>
    <col min="14336" max="14336" width="11.85546875" style="62" customWidth="1"/>
    <col min="14337" max="14337" width="13.28515625" style="62" customWidth="1"/>
    <col min="14338" max="14338" width="15.28515625" style="62" customWidth="1"/>
    <col min="14339" max="14339" width="11.85546875" style="62" customWidth="1"/>
    <col min="14340" max="14340" width="6.140625" style="62" customWidth="1"/>
    <col min="14341" max="14341" width="11.85546875" style="62" customWidth="1"/>
    <col min="14342" max="14342" width="9.42578125" style="62" customWidth="1"/>
    <col min="14343" max="14343" width="14.7109375" style="62" customWidth="1"/>
    <col min="14344" max="14344" width="11.5703125" style="62" customWidth="1"/>
    <col min="14345" max="14345" width="0.42578125" style="62" customWidth="1"/>
    <col min="14346" max="14346" width="10.5703125" style="62" bestFit="1" customWidth="1"/>
    <col min="14347" max="14347" width="12.28515625" style="62" customWidth="1"/>
    <col min="14348" max="14348" width="12.5703125" style="62" customWidth="1"/>
    <col min="14349" max="14349" width="10.5703125" style="62" customWidth="1"/>
    <col min="14350" max="14350" width="10.140625" style="62" customWidth="1"/>
    <col min="14351" max="14351" width="8.42578125" style="62" customWidth="1"/>
    <col min="14352" max="14352" width="18.85546875" style="62" customWidth="1"/>
    <col min="14353" max="14353" width="10.28515625" style="62" customWidth="1"/>
    <col min="14354" max="14354" width="11.42578125" style="62"/>
    <col min="14355" max="14355" width="12.140625" style="62" customWidth="1"/>
    <col min="14356" max="14356" width="10.5703125" style="62" customWidth="1"/>
    <col min="14357" max="14357" width="12.42578125" style="62" customWidth="1"/>
    <col min="14358" max="14358" width="15.140625" style="62" customWidth="1"/>
    <col min="14359" max="14359" width="13.5703125" style="62" customWidth="1"/>
    <col min="14360" max="14360" width="13.140625" style="62" customWidth="1"/>
    <col min="14361" max="14361" width="15.7109375" style="62" customWidth="1"/>
    <col min="14362" max="14362" width="37.5703125" style="62" customWidth="1"/>
    <col min="14363" max="14584" width="11.42578125" style="62"/>
    <col min="14585" max="14585" width="10.5703125" style="62" customWidth="1"/>
    <col min="14586" max="14586" width="4.85546875" style="62" customWidth="1"/>
    <col min="14587" max="14587" width="32.42578125" style="62" customWidth="1"/>
    <col min="14588" max="14588" width="9.85546875" style="62" customWidth="1"/>
    <col min="14589" max="14589" width="10.140625" style="62" customWidth="1"/>
    <col min="14590" max="14590" width="12.28515625" style="62" customWidth="1"/>
    <col min="14591" max="14591" width="15.42578125" style="62" customWidth="1"/>
    <col min="14592" max="14592" width="11.85546875" style="62" customWidth="1"/>
    <col min="14593" max="14593" width="13.28515625" style="62" customWidth="1"/>
    <col min="14594" max="14594" width="15.28515625" style="62" customWidth="1"/>
    <col min="14595" max="14595" width="11.85546875" style="62" customWidth="1"/>
    <col min="14596" max="14596" width="6.140625" style="62" customWidth="1"/>
    <col min="14597" max="14597" width="11.85546875" style="62" customWidth="1"/>
    <col min="14598" max="14598" width="9.42578125" style="62" customWidth="1"/>
    <col min="14599" max="14599" width="14.7109375" style="62" customWidth="1"/>
    <col min="14600" max="14600" width="11.5703125" style="62" customWidth="1"/>
    <col min="14601" max="14601" width="0.42578125" style="62" customWidth="1"/>
    <col min="14602" max="14602" width="10.5703125" style="62" bestFit="1" customWidth="1"/>
    <col min="14603" max="14603" width="12.28515625" style="62" customWidth="1"/>
    <col min="14604" max="14604" width="12.5703125" style="62" customWidth="1"/>
    <col min="14605" max="14605" width="10.5703125" style="62" customWidth="1"/>
    <col min="14606" max="14606" width="10.140625" style="62" customWidth="1"/>
    <col min="14607" max="14607" width="8.42578125" style="62" customWidth="1"/>
    <col min="14608" max="14608" width="18.85546875" style="62" customWidth="1"/>
    <col min="14609" max="14609" width="10.28515625" style="62" customWidth="1"/>
    <col min="14610" max="14610" width="11.42578125" style="62"/>
    <col min="14611" max="14611" width="12.140625" style="62" customWidth="1"/>
    <col min="14612" max="14612" width="10.5703125" style="62" customWidth="1"/>
    <col min="14613" max="14613" width="12.42578125" style="62" customWidth="1"/>
    <col min="14614" max="14614" width="15.140625" style="62" customWidth="1"/>
    <col min="14615" max="14615" width="13.5703125" style="62" customWidth="1"/>
    <col min="14616" max="14616" width="13.140625" style="62" customWidth="1"/>
    <col min="14617" max="14617" width="15.7109375" style="62" customWidth="1"/>
    <col min="14618" max="14618" width="37.5703125" style="62" customWidth="1"/>
    <col min="14619" max="14840" width="11.42578125" style="62"/>
    <col min="14841" max="14841" width="10.5703125" style="62" customWidth="1"/>
    <col min="14842" max="14842" width="4.85546875" style="62" customWidth="1"/>
    <col min="14843" max="14843" width="32.42578125" style="62" customWidth="1"/>
    <col min="14844" max="14844" width="9.85546875" style="62" customWidth="1"/>
    <col min="14845" max="14845" width="10.140625" style="62" customWidth="1"/>
    <col min="14846" max="14846" width="12.28515625" style="62" customWidth="1"/>
    <col min="14847" max="14847" width="15.42578125" style="62" customWidth="1"/>
    <col min="14848" max="14848" width="11.85546875" style="62" customWidth="1"/>
    <col min="14849" max="14849" width="13.28515625" style="62" customWidth="1"/>
    <col min="14850" max="14850" width="15.28515625" style="62" customWidth="1"/>
    <col min="14851" max="14851" width="11.85546875" style="62" customWidth="1"/>
    <col min="14852" max="14852" width="6.140625" style="62" customWidth="1"/>
    <col min="14853" max="14853" width="11.85546875" style="62" customWidth="1"/>
    <col min="14854" max="14854" width="9.42578125" style="62" customWidth="1"/>
    <col min="14855" max="14855" width="14.7109375" style="62" customWidth="1"/>
    <col min="14856" max="14856" width="11.5703125" style="62" customWidth="1"/>
    <col min="14857" max="14857" width="0.42578125" style="62" customWidth="1"/>
    <col min="14858" max="14858" width="10.5703125" style="62" bestFit="1" customWidth="1"/>
    <col min="14859" max="14859" width="12.28515625" style="62" customWidth="1"/>
    <col min="14860" max="14860" width="12.5703125" style="62" customWidth="1"/>
    <col min="14861" max="14861" width="10.5703125" style="62" customWidth="1"/>
    <col min="14862" max="14862" width="10.140625" style="62" customWidth="1"/>
    <col min="14863" max="14863" width="8.42578125" style="62" customWidth="1"/>
    <col min="14864" max="14864" width="18.85546875" style="62" customWidth="1"/>
    <col min="14865" max="14865" width="10.28515625" style="62" customWidth="1"/>
    <col min="14866" max="14866" width="11.42578125" style="62"/>
    <col min="14867" max="14867" width="12.140625" style="62" customWidth="1"/>
    <col min="14868" max="14868" width="10.5703125" style="62" customWidth="1"/>
    <col min="14869" max="14869" width="12.42578125" style="62" customWidth="1"/>
    <col min="14870" max="14870" width="15.140625" style="62" customWidth="1"/>
    <col min="14871" max="14871" width="13.5703125" style="62" customWidth="1"/>
    <col min="14872" max="14872" width="13.140625" style="62" customWidth="1"/>
    <col min="14873" max="14873" width="15.7109375" style="62" customWidth="1"/>
    <col min="14874" max="14874" width="37.5703125" style="62" customWidth="1"/>
    <col min="14875" max="15096" width="11.42578125" style="62"/>
    <col min="15097" max="15097" width="10.5703125" style="62" customWidth="1"/>
    <col min="15098" max="15098" width="4.85546875" style="62" customWidth="1"/>
    <col min="15099" max="15099" width="32.42578125" style="62" customWidth="1"/>
    <col min="15100" max="15100" width="9.85546875" style="62" customWidth="1"/>
    <col min="15101" max="15101" width="10.140625" style="62" customWidth="1"/>
    <col min="15102" max="15102" width="12.28515625" style="62" customWidth="1"/>
    <col min="15103" max="15103" width="15.42578125" style="62" customWidth="1"/>
    <col min="15104" max="15104" width="11.85546875" style="62" customWidth="1"/>
    <col min="15105" max="15105" width="13.28515625" style="62" customWidth="1"/>
    <col min="15106" max="15106" width="15.28515625" style="62" customWidth="1"/>
    <col min="15107" max="15107" width="11.85546875" style="62" customWidth="1"/>
    <col min="15108" max="15108" width="6.140625" style="62" customWidth="1"/>
    <col min="15109" max="15109" width="11.85546875" style="62" customWidth="1"/>
    <col min="15110" max="15110" width="9.42578125" style="62" customWidth="1"/>
    <col min="15111" max="15111" width="14.7109375" style="62" customWidth="1"/>
    <col min="15112" max="15112" width="11.5703125" style="62" customWidth="1"/>
    <col min="15113" max="15113" width="0.42578125" style="62" customWidth="1"/>
    <col min="15114" max="15114" width="10.5703125" style="62" bestFit="1" customWidth="1"/>
    <col min="15115" max="15115" width="12.28515625" style="62" customWidth="1"/>
    <col min="15116" max="15116" width="12.5703125" style="62" customWidth="1"/>
    <col min="15117" max="15117" width="10.5703125" style="62" customWidth="1"/>
    <col min="15118" max="15118" width="10.140625" style="62" customWidth="1"/>
    <col min="15119" max="15119" width="8.42578125" style="62" customWidth="1"/>
    <col min="15120" max="15120" width="18.85546875" style="62" customWidth="1"/>
    <col min="15121" max="15121" width="10.28515625" style="62" customWidth="1"/>
    <col min="15122" max="15122" width="11.42578125" style="62"/>
    <col min="15123" max="15123" width="12.140625" style="62" customWidth="1"/>
    <col min="15124" max="15124" width="10.5703125" style="62" customWidth="1"/>
    <col min="15125" max="15125" width="12.42578125" style="62" customWidth="1"/>
    <col min="15126" max="15126" width="15.140625" style="62" customWidth="1"/>
    <col min="15127" max="15127" width="13.5703125" style="62" customWidth="1"/>
    <col min="15128" max="15128" width="13.140625" style="62" customWidth="1"/>
    <col min="15129" max="15129" width="15.7109375" style="62" customWidth="1"/>
    <col min="15130" max="15130" width="37.5703125" style="62" customWidth="1"/>
    <col min="15131" max="15352" width="11.42578125" style="62"/>
    <col min="15353" max="15353" width="10.5703125" style="62" customWidth="1"/>
    <col min="15354" max="15354" width="4.85546875" style="62" customWidth="1"/>
    <col min="15355" max="15355" width="32.42578125" style="62" customWidth="1"/>
    <col min="15356" max="15356" width="9.85546875" style="62" customWidth="1"/>
    <col min="15357" max="15357" width="10.140625" style="62" customWidth="1"/>
    <col min="15358" max="15358" width="12.28515625" style="62" customWidth="1"/>
    <col min="15359" max="15359" width="15.42578125" style="62" customWidth="1"/>
    <col min="15360" max="15360" width="11.85546875" style="62" customWidth="1"/>
    <col min="15361" max="15361" width="13.28515625" style="62" customWidth="1"/>
    <col min="15362" max="15362" width="15.28515625" style="62" customWidth="1"/>
    <col min="15363" max="15363" width="11.85546875" style="62" customWidth="1"/>
    <col min="15364" max="15364" width="6.140625" style="62" customWidth="1"/>
    <col min="15365" max="15365" width="11.85546875" style="62" customWidth="1"/>
    <col min="15366" max="15366" width="9.42578125" style="62" customWidth="1"/>
    <col min="15367" max="15367" width="14.7109375" style="62" customWidth="1"/>
    <col min="15368" max="15368" width="11.5703125" style="62" customWidth="1"/>
    <col min="15369" max="15369" width="0.42578125" style="62" customWidth="1"/>
    <col min="15370" max="15370" width="10.5703125" style="62" bestFit="1" customWidth="1"/>
    <col min="15371" max="15371" width="12.28515625" style="62" customWidth="1"/>
    <col min="15372" max="15372" width="12.5703125" style="62" customWidth="1"/>
    <col min="15373" max="15373" width="10.5703125" style="62" customWidth="1"/>
    <col min="15374" max="15374" width="10.140625" style="62" customWidth="1"/>
    <col min="15375" max="15375" width="8.42578125" style="62" customWidth="1"/>
    <col min="15376" max="15376" width="18.85546875" style="62" customWidth="1"/>
    <col min="15377" max="15377" width="10.28515625" style="62" customWidth="1"/>
    <col min="15378" max="15378" width="11.42578125" style="62"/>
    <col min="15379" max="15379" width="12.140625" style="62" customWidth="1"/>
    <col min="15380" max="15380" width="10.5703125" style="62" customWidth="1"/>
    <col min="15381" max="15381" width="12.42578125" style="62" customWidth="1"/>
    <col min="15382" max="15382" width="15.140625" style="62" customWidth="1"/>
    <col min="15383" max="15383" width="13.5703125" style="62" customWidth="1"/>
    <col min="15384" max="15384" width="13.140625" style="62" customWidth="1"/>
    <col min="15385" max="15385" width="15.7109375" style="62" customWidth="1"/>
    <col min="15386" max="15386" width="37.5703125" style="62" customWidth="1"/>
    <col min="15387" max="15608" width="11.42578125" style="62"/>
    <col min="15609" max="15609" width="10.5703125" style="62" customWidth="1"/>
    <col min="15610" max="15610" width="4.85546875" style="62" customWidth="1"/>
    <col min="15611" max="15611" width="32.42578125" style="62" customWidth="1"/>
    <col min="15612" max="15612" width="9.85546875" style="62" customWidth="1"/>
    <col min="15613" max="15613" width="10.140625" style="62" customWidth="1"/>
    <col min="15614" max="15614" width="12.28515625" style="62" customWidth="1"/>
    <col min="15615" max="15615" width="15.42578125" style="62" customWidth="1"/>
    <col min="15616" max="15616" width="11.85546875" style="62" customWidth="1"/>
    <col min="15617" max="15617" width="13.28515625" style="62" customWidth="1"/>
    <col min="15618" max="15618" width="15.28515625" style="62" customWidth="1"/>
    <col min="15619" max="15619" width="11.85546875" style="62" customWidth="1"/>
    <col min="15620" max="15620" width="6.140625" style="62" customWidth="1"/>
    <col min="15621" max="15621" width="11.85546875" style="62" customWidth="1"/>
    <col min="15622" max="15622" width="9.42578125" style="62" customWidth="1"/>
    <col min="15623" max="15623" width="14.7109375" style="62" customWidth="1"/>
    <col min="15624" max="15624" width="11.5703125" style="62" customWidth="1"/>
    <col min="15625" max="15625" width="0.42578125" style="62" customWidth="1"/>
    <col min="15626" max="15626" width="10.5703125" style="62" bestFit="1" customWidth="1"/>
    <col min="15627" max="15627" width="12.28515625" style="62" customWidth="1"/>
    <col min="15628" max="15628" width="12.5703125" style="62" customWidth="1"/>
    <col min="15629" max="15629" width="10.5703125" style="62" customWidth="1"/>
    <col min="15630" max="15630" width="10.140625" style="62" customWidth="1"/>
    <col min="15631" max="15631" width="8.42578125" style="62" customWidth="1"/>
    <col min="15632" max="15632" width="18.85546875" style="62" customWidth="1"/>
    <col min="15633" max="15633" width="10.28515625" style="62" customWidth="1"/>
    <col min="15634" max="15634" width="11.42578125" style="62"/>
    <col min="15635" max="15635" width="12.140625" style="62" customWidth="1"/>
    <col min="15636" max="15636" width="10.5703125" style="62" customWidth="1"/>
    <col min="15637" max="15637" width="12.42578125" style="62" customWidth="1"/>
    <col min="15638" max="15638" width="15.140625" style="62" customWidth="1"/>
    <col min="15639" max="15639" width="13.5703125" style="62" customWidth="1"/>
    <col min="15640" max="15640" width="13.140625" style="62" customWidth="1"/>
    <col min="15641" max="15641" width="15.7109375" style="62" customWidth="1"/>
    <col min="15642" max="15642" width="37.5703125" style="62" customWidth="1"/>
    <col min="15643" max="15864" width="11.42578125" style="62"/>
    <col min="15865" max="15865" width="10.5703125" style="62" customWidth="1"/>
    <col min="15866" max="15866" width="4.85546875" style="62" customWidth="1"/>
    <col min="15867" max="15867" width="32.42578125" style="62" customWidth="1"/>
    <col min="15868" max="15868" width="9.85546875" style="62" customWidth="1"/>
    <col min="15869" max="15869" width="10.140625" style="62" customWidth="1"/>
    <col min="15870" max="15870" width="12.28515625" style="62" customWidth="1"/>
    <col min="15871" max="15871" width="15.42578125" style="62" customWidth="1"/>
    <col min="15872" max="15872" width="11.85546875" style="62" customWidth="1"/>
    <col min="15873" max="15873" width="13.28515625" style="62" customWidth="1"/>
    <col min="15874" max="15874" width="15.28515625" style="62" customWidth="1"/>
    <col min="15875" max="15875" width="11.85546875" style="62" customWidth="1"/>
    <col min="15876" max="15876" width="6.140625" style="62" customWidth="1"/>
    <col min="15877" max="15877" width="11.85546875" style="62" customWidth="1"/>
    <col min="15878" max="15878" width="9.42578125" style="62" customWidth="1"/>
    <col min="15879" max="15879" width="14.7109375" style="62" customWidth="1"/>
    <col min="15880" max="15880" width="11.5703125" style="62" customWidth="1"/>
    <col min="15881" max="15881" width="0.42578125" style="62" customWidth="1"/>
    <col min="15882" max="15882" width="10.5703125" style="62" bestFit="1" customWidth="1"/>
    <col min="15883" max="15883" width="12.28515625" style="62" customWidth="1"/>
    <col min="15884" max="15884" width="12.5703125" style="62" customWidth="1"/>
    <col min="15885" max="15885" width="10.5703125" style="62" customWidth="1"/>
    <col min="15886" max="15886" width="10.140625" style="62" customWidth="1"/>
    <col min="15887" max="15887" width="8.42578125" style="62" customWidth="1"/>
    <col min="15888" max="15888" width="18.85546875" style="62" customWidth="1"/>
    <col min="15889" max="15889" width="10.28515625" style="62" customWidth="1"/>
    <col min="15890" max="15890" width="11.42578125" style="62"/>
    <col min="15891" max="15891" width="12.140625" style="62" customWidth="1"/>
    <col min="15892" max="15892" width="10.5703125" style="62" customWidth="1"/>
    <col min="15893" max="15893" width="12.42578125" style="62" customWidth="1"/>
    <col min="15894" max="15894" width="15.140625" style="62" customWidth="1"/>
    <col min="15895" max="15895" width="13.5703125" style="62" customWidth="1"/>
    <col min="15896" max="15896" width="13.140625" style="62" customWidth="1"/>
    <col min="15897" max="15897" width="15.7109375" style="62" customWidth="1"/>
    <col min="15898" max="15898" width="37.5703125" style="62" customWidth="1"/>
    <col min="15899" max="16120" width="11.42578125" style="62"/>
    <col min="16121" max="16121" width="10.5703125" style="62" customWidth="1"/>
    <col min="16122" max="16122" width="4.85546875" style="62" customWidth="1"/>
    <col min="16123" max="16123" width="32.42578125" style="62" customWidth="1"/>
    <col min="16124" max="16124" width="9.85546875" style="62" customWidth="1"/>
    <col min="16125" max="16125" width="10.140625" style="62" customWidth="1"/>
    <col min="16126" max="16126" width="12.28515625" style="62" customWidth="1"/>
    <col min="16127" max="16127" width="15.42578125" style="62" customWidth="1"/>
    <col min="16128" max="16128" width="11.85546875" style="62" customWidth="1"/>
    <col min="16129" max="16129" width="13.28515625" style="62" customWidth="1"/>
    <col min="16130" max="16130" width="15.28515625" style="62" customWidth="1"/>
    <col min="16131" max="16131" width="11.85546875" style="62" customWidth="1"/>
    <col min="16132" max="16132" width="6.140625" style="62" customWidth="1"/>
    <col min="16133" max="16133" width="11.85546875" style="62" customWidth="1"/>
    <col min="16134" max="16134" width="9.42578125" style="62" customWidth="1"/>
    <col min="16135" max="16135" width="14.7109375" style="62" customWidth="1"/>
    <col min="16136" max="16136" width="11.5703125" style="62" customWidth="1"/>
    <col min="16137" max="16137" width="0.42578125" style="62" customWidth="1"/>
    <col min="16138" max="16138" width="10.5703125" style="62" bestFit="1" customWidth="1"/>
    <col min="16139" max="16139" width="12.28515625" style="62" customWidth="1"/>
    <col min="16140" max="16140" width="12.5703125" style="62" customWidth="1"/>
    <col min="16141" max="16141" width="10.5703125" style="62" customWidth="1"/>
    <col min="16142" max="16142" width="10.140625" style="62" customWidth="1"/>
    <col min="16143" max="16143" width="8.42578125" style="62" customWidth="1"/>
    <col min="16144" max="16144" width="18.85546875" style="62" customWidth="1"/>
    <col min="16145" max="16145" width="10.28515625" style="62" customWidth="1"/>
    <col min="16146" max="16146" width="11.42578125" style="62"/>
    <col min="16147" max="16147" width="12.140625" style="62" customWidth="1"/>
    <col min="16148" max="16148" width="10.5703125" style="62" customWidth="1"/>
    <col min="16149" max="16149" width="12.42578125" style="62" customWidth="1"/>
    <col min="16150" max="16150" width="15.140625" style="62" customWidth="1"/>
    <col min="16151" max="16151" width="13.5703125" style="62" customWidth="1"/>
    <col min="16152" max="16152" width="13.140625" style="62" customWidth="1"/>
    <col min="16153" max="16153" width="15.7109375" style="62" customWidth="1"/>
    <col min="16154" max="16154" width="37.5703125" style="62" customWidth="1"/>
    <col min="16155" max="16384" width="11.42578125" style="62"/>
  </cols>
  <sheetData>
    <row r="1" spans="1:28" ht="15" customHeight="1" x14ac:dyDescent="0.25">
      <c r="A1" s="110" t="s">
        <v>189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2"/>
    </row>
    <row r="2" spans="1:28" ht="15" customHeight="1" x14ac:dyDescent="0.25">
      <c r="A2" s="113" t="s">
        <v>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5"/>
      <c r="S2" s="96" t="s">
        <v>3</v>
      </c>
      <c r="T2" s="97"/>
      <c r="U2" s="97"/>
      <c r="V2" s="97"/>
      <c r="W2" s="97"/>
      <c r="X2" s="97"/>
      <c r="Y2" s="97"/>
      <c r="Z2" s="97"/>
      <c r="AA2" s="98"/>
      <c r="AB2" s="114"/>
    </row>
    <row r="3" spans="1:28" ht="24.95" customHeight="1" x14ac:dyDescent="0.25">
      <c r="A3" s="115"/>
      <c r="B3" s="2" t="s">
        <v>4</v>
      </c>
      <c r="C3" s="2" t="s">
        <v>5</v>
      </c>
      <c r="D3" s="2" t="s">
        <v>6</v>
      </c>
      <c r="E3" s="2" t="s">
        <v>7</v>
      </c>
      <c r="F3" s="2" t="s">
        <v>190</v>
      </c>
      <c r="G3" s="2" t="s">
        <v>8</v>
      </c>
      <c r="H3" s="2" t="s">
        <v>191</v>
      </c>
      <c r="I3" s="2"/>
      <c r="J3" s="3" t="s">
        <v>9</v>
      </c>
      <c r="K3" s="3" t="s">
        <v>10</v>
      </c>
      <c r="L3" s="3" t="s">
        <v>11</v>
      </c>
      <c r="M3" s="3" t="s">
        <v>12</v>
      </c>
      <c r="N3" s="3" t="s">
        <v>172</v>
      </c>
      <c r="O3" s="3" t="s">
        <v>173</v>
      </c>
      <c r="P3" s="3" t="s">
        <v>14</v>
      </c>
      <c r="Q3" s="3" t="s">
        <v>174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159</v>
      </c>
      <c r="W3" s="3" t="s">
        <v>22</v>
      </c>
      <c r="X3" s="3" t="s">
        <v>23</v>
      </c>
      <c r="Y3" s="3" t="s">
        <v>180</v>
      </c>
      <c r="Z3" s="3" t="s">
        <v>25</v>
      </c>
      <c r="AA3" s="3" t="s">
        <v>26</v>
      </c>
      <c r="AB3" s="116" t="s">
        <v>27</v>
      </c>
    </row>
    <row r="4" spans="1:28" s="13" customFormat="1" ht="24.95" customHeight="1" x14ac:dyDescent="0.25">
      <c r="A4" s="117" t="s">
        <v>29</v>
      </c>
      <c r="B4" s="2">
        <v>1</v>
      </c>
      <c r="C4" s="1" t="s">
        <v>147</v>
      </c>
      <c r="D4" s="1" t="s">
        <v>31</v>
      </c>
      <c r="E4" s="2" t="s">
        <v>32</v>
      </c>
      <c r="F4" s="103" t="e">
        <f>INT(YEARFRAC('[1]Perfil Sociodemografico'!F109,'[1]Perfil Sociodemografico'!G109))</f>
        <v>#VALUE!</v>
      </c>
      <c r="G4" s="104" t="s">
        <v>192</v>
      </c>
      <c r="H4" s="104" t="s">
        <v>193</v>
      </c>
      <c r="I4" s="2" t="s">
        <v>194</v>
      </c>
      <c r="J4" s="3">
        <v>4500000</v>
      </c>
      <c r="K4" s="3">
        <v>30</v>
      </c>
      <c r="L4" s="3">
        <f>+J4/30*K4</f>
        <v>4500000</v>
      </c>
      <c r="M4" s="3"/>
      <c r="N4" s="3"/>
      <c r="O4" s="3"/>
      <c r="P4" s="3"/>
      <c r="Q4" s="3"/>
      <c r="R4" s="3">
        <f>+L4+Q4+P4+O4+N4+M4</f>
        <v>4500000</v>
      </c>
      <c r="S4" s="3">
        <f>+J4*0.04</f>
        <v>180000</v>
      </c>
      <c r="T4" s="3">
        <f>+J4*0.05</f>
        <v>225000</v>
      </c>
      <c r="U4" s="3"/>
      <c r="V4" s="3"/>
      <c r="W4" s="3">
        <v>11000</v>
      </c>
      <c r="X4" s="3"/>
      <c r="Y4" s="3"/>
      <c r="Z4" s="3"/>
      <c r="AA4" s="4">
        <f>SUM(S4:Z4)</f>
        <v>416000</v>
      </c>
      <c r="AB4" s="118">
        <f>+R4-AA4</f>
        <v>4084000</v>
      </c>
    </row>
    <row r="5" spans="1:28" ht="24.95" customHeight="1" x14ac:dyDescent="0.25">
      <c r="A5" s="117"/>
      <c r="B5" s="2">
        <v>2</v>
      </c>
      <c r="C5" s="1" t="s">
        <v>30</v>
      </c>
      <c r="D5" s="1" t="s">
        <v>31</v>
      </c>
      <c r="E5" s="2" t="s">
        <v>32</v>
      </c>
      <c r="F5" s="103" t="e">
        <f>INT(YEARFRAC('[1]Perfil Sociodemografico'!F11,'[1]Perfil Sociodemografico'!G11))</f>
        <v>#VALUE!</v>
      </c>
      <c r="G5" s="104" t="s">
        <v>192</v>
      </c>
      <c r="H5" s="104" t="s">
        <v>193</v>
      </c>
      <c r="I5" s="2" t="s">
        <v>195</v>
      </c>
      <c r="J5" s="4">
        <v>5000000</v>
      </c>
      <c r="K5" s="3">
        <v>30</v>
      </c>
      <c r="L5" s="3">
        <f>+J5-N5</f>
        <v>3833333</v>
      </c>
      <c r="M5" s="4"/>
      <c r="N5" s="4">
        <v>1166667</v>
      </c>
      <c r="O5" s="4"/>
      <c r="P5" s="4">
        <v>500000</v>
      </c>
      <c r="Q5" s="4"/>
      <c r="R5" s="4">
        <f>+L5+M5+O5+P5+Q5+N5</f>
        <v>5500000</v>
      </c>
      <c r="S5" s="4">
        <f>+(J5+Q5)*4%</f>
        <v>200000</v>
      </c>
      <c r="T5" s="4">
        <f>+(J5+Q5)*5%</f>
        <v>250000</v>
      </c>
      <c r="U5" s="4"/>
      <c r="V5" s="4"/>
      <c r="W5" s="4">
        <v>30672</v>
      </c>
      <c r="X5" s="4"/>
      <c r="Y5" s="4"/>
      <c r="Z5" s="4"/>
      <c r="AA5" s="4">
        <f t="shared" ref="AA5:AA10" si="0">SUM(S5:Z5)</f>
        <v>480672</v>
      </c>
      <c r="AB5" s="118">
        <f>+R5-AA5</f>
        <v>5019328</v>
      </c>
    </row>
    <row r="6" spans="1:28" ht="24.95" customHeight="1" x14ac:dyDescent="0.25">
      <c r="A6" s="117"/>
      <c r="B6" s="2">
        <v>3</v>
      </c>
      <c r="C6" s="1" t="s">
        <v>33</v>
      </c>
      <c r="D6" s="1" t="s">
        <v>31</v>
      </c>
      <c r="E6" s="2" t="s">
        <v>32</v>
      </c>
      <c r="F6" s="103" t="e">
        <f>INT(YEARFRAC('[1]Perfil Sociodemografico'!F113,'[1]Perfil Sociodemografico'!G113))</f>
        <v>#VALUE!</v>
      </c>
      <c r="G6" s="105" t="s">
        <v>192</v>
      </c>
      <c r="H6" s="105" t="s">
        <v>193</v>
      </c>
      <c r="I6" s="2" t="s">
        <v>195</v>
      </c>
      <c r="J6" s="4">
        <v>6000000</v>
      </c>
      <c r="K6" s="3">
        <v>30</v>
      </c>
      <c r="L6" s="3">
        <f>+J6-N6</f>
        <v>4900000</v>
      </c>
      <c r="M6" s="4"/>
      <c r="N6" s="4">
        <v>1100000</v>
      </c>
      <c r="O6" s="4"/>
      <c r="P6" s="4">
        <v>600000</v>
      </c>
      <c r="Q6" s="4"/>
      <c r="R6" s="4">
        <f t="shared" ref="R6:R88" si="1">+L6+M6+O6+P6+Q6+N6</f>
        <v>6600000</v>
      </c>
      <c r="S6" s="4">
        <f>J6*4%</f>
        <v>240000</v>
      </c>
      <c r="T6" s="4">
        <f>J6*5%</f>
        <v>300000</v>
      </c>
      <c r="U6" s="4"/>
      <c r="V6" s="4"/>
      <c r="W6" s="4">
        <v>102000</v>
      </c>
      <c r="X6" s="4"/>
      <c r="Y6" s="4"/>
      <c r="Z6" s="4">
        <v>1212777</v>
      </c>
      <c r="AA6" s="4">
        <f t="shared" si="0"/>
        <v>1854777</v>
      </c>
      <c r="AB6" s="118">
        <f t="shared" ref="AB6:AB7" si="2">+R6-AA6</f>
        <v>4745223</v>
      </c>
    </row>
    <row r="7" spans="1:28" ht="24.95" customHeight="1" x14ac:dyDescent="0.25">
      <c r="A7" s="117"/>
      <c r="B7" s="2">
        <v>4</v>
      </c>
      <c r="C7" s="1" t="s">
        <v>34</v>
      </c>
      <c r="D7" s="1" t="s">
        <v>31</v>
      </c>
      <c r="E7" s="2" t="s">
        <v>32</v>
      </c>
      <c r="F7" s="103" t="e">
        <f>INT(YEARFRAC('[1]Perfil Sociodemografico'!F14,'[1]Perfil Sociodemografico'!G14))</f>
        <v>#VALUE!</v>
      </c>
      <c r="G7" s="105" t="s">
        <v>192</v>
      </c>
      <c r="H7" s="105" t="s">
        <v>193</v>
      </c>
      <c r="I7" s="2" t="s">
        <v>194</v>
      </c>
      <c r="J7" s="4">
        <v>6000000</v>
      </c>
      <c r="K7" s="3">
        <v>30</v>
      </c>
      <c r="L7" s="3">
        <f>+J7-Q7</f>
        <v>6000000</v>
      </c>
      <c r="M7" s="4"/>
      <c r="N7" s="4"/>
      <c r="O7" s="4"/>
      <c r="P7" s="4"/>
      <c r="Q7" s="4"/>
      <c r="R7" s="4">
        <f t="shared" si="1"/>
        <v>6000000</v>
      </c>
      <c r="S7" s="4">
        <f>+R7*4%</f>
        <v>240000</v>
      </c>
      <c r="T7" s="4">
        <f>+R7*5%</f>
        <v>300000</v>
      </c>
      <c r="U7" s="4"/>
      <c r="V7" s="4"/>
      <c r="W7" s="7">
        <v>98000</v>
      </c>
      <c r="X7" s="4"/>
      <c r="Y7" s="4"/>
      <c r="Z7" s="4">
        <v>726520</v>
      </c>
      <c r="AA7" s="4">
        <f t="shared" si="0"/>
        <v>1364520</v>
      </c>
      <c r="AB7" s="118">
        <f t="shared" si="2"/>
        <v>4635480</v>
      </c>
    </row>
    <row r="8" spans="1:28" ht="24.95" customHeight="1" x14ac:dyDescent="0.25">
      <c r="A8" s="117"/>
      <c r="B8" s="2">
        <v>5</v>
      </c>
      <c r="C8" s="1" t="s">
        <v>35</v>
      </c>
      <c r="D8" s="1" t="s">
        <v>31</v>
      </c>
      <c r="E8" s="2" t="s">
        <v>32</v>
      </c>
      <c r="F8" s="103" t="e">
        <f>INT(YEARFRAC('[1]Perfil Sociodemografico'!F18,'[1]Perfil Sociodemografico'!G18))</f>
        <v>#VALUE!</v>
      </c>
      <c r="G8" s="104" t="s">
        <v>196</v>
      </c>
      <c r="H8" s="104" t="s">
        <v>193</v>
      </c>
      <c r="I8" s="2" t="s">
        <v>194</v>
      </c>
      <c r="J8" s="4">
        <v>5000000</v>
      </c>
      <c r="K8" s="3">
        <v>30</v>
      </c>
      <c r="L8" s="3">
        <f>+J8-N8</f>
        <v>4333333</v>
      </c>
      <c r="M8" s="4"/>
      <c r="N8" s="4">
        <v>666667</v>
      </c>
      <c r="O8" s="4"/>
      <c r="P8" s="4"/>
      <c r="Q8" s="4"/>
      <c r="R8" s="4">
        <f t="shared" si="1"/>
        <v>5000000</v>
      </c>
      <c r="S8" s="4">
        <f t="shared" ref="S8:S18" si="3">+J8*4%</f>
        <v>200000</v>
      </c>
      <c r="T8" s="4">
        <f t="shared" ref="T8:T16" si="4">+J8*5%</f>
        <v>250000</v>
      </c>
      <c r="U8" s="4"/>
      <c r="V8" s="4"/>
      <c r="W8" s="7">
        <v>21409</v>
      </c>
      <c r="X8" s="4">
        <v>500000</v>
      </c>
      <c r="Y8" s="4">
        <v>111000</v>
      </c>
      <c r="Z8" s="4"/>
      <c r="AA8" s="4">
        <f t="shared" si="0"/>
        <v>1082409</v>
      </c>
      <c r="AB8" s="118">
        <f>+R8-AA8</f>
        <v>3917591</v>
      </c>
    </row>
    <row r="9" spans="1:28" ht="24.95" customHeight="1" x14ac:dyDescent="0.25">
      <c r="A9" s="117"/>
      <c r="B9" s="2">
        <v>6</v>
      </c>
      <c r="C9" s="1" t="s">
        <v>36</v>
      </c>
      <c r="D9" s="1" t="s">
        <v>31</v>
      </c>
      <c r="E9" s="2" t="s">
        <v>32</v>
      </c>
      <c r="F9" s="103" t="e">
        <f>INT(YEARFRAC('[1]Perfil Sociodemografico'!F49,'[1]Perfil Sociodemografico'!G49))</f>
        <v>#VALUE!</v>
      </c>
      <c r="G9" s="105" t="s">
        <v>192</v>
      </c>
      <c r="H9" s="105" t="s">
        <v>193</v>
      </c>
      <c r="I9" s="2" t="s">
        <v>195</v>
      </c>
      <c r="J9" s="4">
        <v>5300000</v>
      </c>
      <c r="K9" s="3">
        <v>30</v>
      </c>
      <c r="L9" s="3">
        <f t="shared" ref="L9:L88" si="5">+J9/30*K9</f>
        <v>5300000</v>
      </c>
      <c r="M9" s="4"/>
      <c r="N9" s="4"/>
      <c r="O9" s="4"/>
      <c r="P9" s="4">
        <v>2012670</v>
      </c>
      <c r="Q9" s="4"/>
      <c r="R9" s="4">
        <f t="shared" si="1"/>
        <v>7312670</v>
      </c>
      <c r="S9" s="4">
        <f t="shared" si="3"/>
        <v>212000</v>
      </c>
      <c r="T9" s="4">
        <f t="shared" si="4"/>
        <v>265000</v>
      </c>
      <c r="U9" s="4"/>
      <c r="V9" s="4"/>
      <c r="W9" s="4">
        <v>50000</v>
      </c>
      <c r="X9" s="4">
        <v>700000</v>
      </c>
      <c r="Y9" s="4"/>
      <c r="Z9" s="4"/>
      <c r="AA9" s="4">
        <f t="shared" si="0"/>
        <v>1227000</v>
      </c>
      <c r="AB9" s="118">
        <f>+R9-AA9</f>
        <v>6085670</v>
      </c>
    </row>
    <row r="10" spans="1:28" ht="24.95" customHeight="1" x14ac:dyDescent="0.25">
      <c r="A10" s="117"/>
      <c r="B10" s="2">
        <v>7</v>
      </c>
      <c r="C10" s="1" t="s">
        <v>37</v>
      </c>
      <c r="D10" s="1" t="s">
        <v>31</v>
      </c>
      <c r="E10" s="2" t="s">
        <v>32</v>
      </c>
      <c r="F10" s="103" t="e">
        <f>INT(YEARFRAC('[1]Perfil Sociodemografico'!F95,'[1]Perfil Sociodemografico'!G95))</f>
        <v>#VALUE!</v>
      </c>
      <c r="G10" s="104" t="s">
        <v>192</v>
      </c>
      <c r="H10" s="104" t="s">
        <v>193</v>
      </c>
      <c r="I10" s="2" t="s">
        <v>194</v>
      </c>
      <c r="J10" s="4">
        <v>5200000</v>
      </c>
      <c r="K10" s="3">
        <v>30</v>
      </c>
      <c r="L10" s="3">
        <f>+J10-Q10</f>
        <v>5200000</v>
      </c>
      <c r="M10" s="4"/>
      <c r="N10" s="4"/>
      <c r="O10" s="4"/>
      <c r="P10" s="4">
        <v>89000</v>
      </c>
      <c r="Q10" s="4"/>
      <c r="R10" s="4">
        <f t="shared" si="1"/>
        <v>5289000</v>
      </c>
      <c r="S10" s="4">
        <f>+J10*4%</f>
        <v>208000</v>
      </c>
      <c r="T10" s="4">
        <f>+J10*5%</f>
        <v>260000</v>
      </c>
      <c r="U10" s="4"/>
      <c r="V10" s="4"/>
      <c r="W10" s="4">
        <v>0</v>
      </c>
      <c r="X10" s="4"/>
      <c r="Y10" s="4"/>
      <c r="Z10" s="4">
        <f>945750+420786</f>
        <v>1366536</v>
      </c>
      <c r="AA10" s="4">
        <f t="shared" si="0"/>
        <v>1834536</v>
      </c>
      <c r="AB10" s="118">
        <f>R10-AA10</f>
        <v>3454464</v>
      </c>
    </row>
    <row r="11" spans="1:28" ht="24.95" customHeight="1" x14ac:dyDescent="0.25">
      <c r="A11" s="117"/>
      <c r="B11" s="2">
        <v>8</v>
      </c>
      <c r="C11" s="1" t="s">
        <v>39</v>
      </c>
      <c r="D11" s="1" t="s">
        <v>31</v>
      </c>
      <c r="E11" s="2" t="s">
        <v>32</v>
      </c>
      <c r="F11" s="103" t="e">
        <f>INT(YEARFRAC('[1]Perfil Sociodemografico'!F116,'[1]Perfil Sociodemografico'!G116))</f>
        <v>#VALUE!</v>
      </c>
      <c r="G11" s="104" t="s">
        <v>192</v>
      </c>
      <c r="H11" s="104" t="s">
        <v>193</v>
      </c>
      <c r="I11" s="2" t="s">
        <v>194</v>
      </c>
      <c r="J11" s="4">
        <v>5184000</v>
      </c>
      <c r="K11" s="3">
        <v>30</v>
      </c>
      <c r="L11" s="3">
        <f t="shared" si="5"/>
        <v>5184000</v>
      </c>
      <c r="M11" s="4"/>
      <c r="N11" s="4"/>
      <c r="O11" s="4"/>
      <c r="P11" s="4"/>
      <c r="Q11" s="4"/>
      <c r="R11" s="4">
        <f t="shared" si="1"/>
        <v>5184000</v>
      </c>
      <c r="S11" s="4">
        <f>+L11*4%</f>
        <v>207360</v>
      </c>
      <c r="T11" s="4">
        <f>+L11*5%</f>
        <v>259200</v>
      </c>
      <c r="U11" s="4"/>
      <c r="V11" s="4"/>
      <c r="W11" s="4">
        <v>78000</v>
      </c>
      <c r="X11" s="4"/>
      <c r="Y11" s="4"/>
      <c r="Z11" s="4"/>
      <c r="AA11" s="4">
        <f t="shared" ref="AA11:AA71" si="6">SUM(S11:Z11)</f>
        <v>544560</v>
      </c>
      <c r="AB11" s="118">
        <f>R11-AA11</f>
        <v>4639440</v>
      </c>
    </row>
    <row r="12" spans="1:28" ht="24.95" customHeight="1" x14ac:dyDescent="0.25">
      <c r="A12" s="117"/>
      <c r="B12" s="2">
        <v>9</v>
      </c>
      <c r="C12" s="1" t="s">
        <v>160</v>
      </c>
      <c r="D12" s="1" t="s">
        <v>45</v>
      </c>
      <c r="E12" s="2" t="s">
        <v>32</v>
      </c>
      <c r="F12" s="103" t="e">
        <f>INT(YEARFRAC('[1]Perfil Sociodemografico'!F123,'[1]Perfil Sociodemografico'!G123))</f>
        <v>#VALUE!</v>
      </c>
      <c r="G12" s="105" t="s">
        <v>197</v>
      </c>
      <c r="H12" s="105" t="s">
        <v>193</v>
      </c>
      <c r="I12" s="2" t="s">
        <v>194</v>
      </c>
      <c r="J12" s="4">
        <v>3700000</v>
      </c>
      <c r="K12" s="3">
        <v>30</v>
      </c>
      <c r="L12" s="3">
        <f t="shared" si="5"/>
        <v>3700000</v>
      </c>
      <c r="M12" s="4"/>
      <c r="N12" s="4"/>
      <c r="O12" s="4"/>
      <c r="P12" s="4"/>
      <c r="Q12" s="4"/>
      <c r="R12" s="4">
        <f t="shared" si="1"/>
        <v>3700000</v>
      </c>
      <c r="S12" s="4">
        <f>+L12*4%</f>
        <v>148000</v>
      </c>
      <c r="T12" s="4">
        <f>+L12*5%</f>
        <v>185000</v>
      </c>
      <c r="U12" s="4"/>
      <c r="V12" s="4"/>
      <c r="W12" s="4"/>
      <c r="X12" s="4"/>
      <c r="Y12" s="4"/>
      <c r="Z12" s="4"/>
      <c r="AA12" s="4">
        <f t="shared" ref="AA12:AA15" si="7">SUM(S12:Z12)</f>
        <v>333000</v>
      </c>
      <c r="AB12" s="118">
        <f>R12-AA12</f>
        <v>3367000</v>
      </c>
    </row>
    <row r="13" spans="1:28" ht="24.95" customHeight="1" x14ac:dyDescent="0.25">
      <c r="A13" s="117"/>
      <c r="B13" s="2">
        <v>10</v>
      </c>
      <c r="C13" s="1" t="s">
        <v>181</v>
      </c>
      <c r="D13" s="1" t="s">
        <v>31</v>
      </c>
      <c r="E13" s="2" t="s">
        <v>32</v>
      </c>
      <c r="F13" s="103">
        <v>38</v>
      </c>
      <c r="G13" s="105" t="s">
        <v>197</v>
      </c>
      <c r="H13" s="105" t="s">
        <v>193</v>
      </c>
      <c r="I13" s="2" t="s">
        <v>195</v>
      </c>
      <c r="J13" s="4">
        <v>5600000</v>
      </c>
      <c r="K13" s="3">
        <v>30</v>
      </c>
      <c r="L13" s="3">
        <f t="shared" si="5"/>
        <v>5600000</v>
      </c>
      <c r="M13" s="4"/>
      <c r="N13" s="4"/>
      <c r="O13" s="4"/>
      <c r="P13" s="4"/>
      <c r="Q13" s="4"/>
      <c r="R13" s="4">
        <f t="shared" si="1"/>
        <v>5600000</v>
      </c>
      <c r="S13" s="4">
        <f t="shared" ref="S13:S14" si="8">+L13*4%</f>
        <v>224000</v>
      </c>
      <c r="T13" s="4">
        <f>+L13*5%</f>
        <v>280000</v>
      </c>
      <c r="U13" s="4"/>
      <c r="V13" s="4"/>
      <c r="W13" s="4">
        <v>36000</v>
      </c>
      <c r="X13" s="4"/>
      <c r="Y13" s="4"/>
      <c r="Z13" s="4"/>
      <c r="AA13" s="4">
        <f t="shared" si="7"/>
        <v>540000</v>
      </c>
      <c r="AB13" s="118">
        <f t="shared" ref="AB13:AB14" si="9">R13-AA13</f>
        <v>5060000</v>
      </c>
    </row>
    <row r="14" spans="1:28" ht="24.95" customHeight="1" x14ac:dyDescent="0.25">
      <c r="A14" s="117"/>
      <c r="B14" s="2">
        <v>11</v>
      </c>
      <c r="C14" s="1" t="s">
        <v>182</v>
      </c>
      <c r="D14" s="1" t="s">
        <v>31</v>
      </c>
      <c r="E14" s="2" t="s">
        <v>32</v>
      </c>
      <c r="F14" s="103" t="e">
        <f>INT(YEARFRAC('[1]Perfil Sociodemografico'!F88,'[1]Perfil Sociodemografico'!G88))</f>
        <v>#VALUE!</v>
      </c>
      <c r="G14" s="104" t="s">
        <v>198</v>
      </c>
      <c r="H14" s="104" t="s">
        <v>193</v>
      </c>
      <c r="I14" s="2" t="s">
        <v>195</v>
      </c>
      <c r="J14" s="4">
        <v>4750000</v>
      </c>
      <c r="K14" s="3">
        <v>30</v>
      </c>
      <c r="L14" s="3">
        <f t="shared" si="5"/>
        <v>4750000</v>
      </c>
      <c r="M14" s="4"/>
      <c r="N14" s="4"/>
      <c r="O14" s="4"/>
      <c r="P14" s="4"/>
      <c r="Q14" s="4"/>
      <c r="R14" s="4">
        <f t="shared" si="1"/>
        <v>4750000</v>
      </c>
      <c r="S14" s="4">
        <f t="shared" si="8"/>
        <v>190000</v>
      </c>
      <c r="T14" s="4">
        <f t="shared" ref="T14" si="10">+L14*5%</f>
        <v>237500</v>
      </c>
      <c r="U14" s="4"/>
      <c r="V14" s="4"/>
      <c r="W14" s="4">
        <v>11000</v>
      </c>
      <c r="X14" s="4"/>
      <c r="Y14" s="4"/>
      <c r="Z14" s="4"/>
      <c r="AA14" s="4">
        <f t="shared" si="7"/>
        <v>438500</v>
      </c>
      <c r="AB14" s="118">
        <f t="shared" si="9"/>
        <v>4311500</v>
      </c>
    </row>
    <row r="15" spans="1:28" ht="24.95" customHeight="1" x14ac:dyDescent="0.25">
      <c r="A15" s="117"/>
      <c r="B15" s="2">
        <v>12</v>
      </c>
      <c r="C15" s="1" t="s">
        <v>166</v>
      </c>
      <c r="D15" s="1" t="s">
        <v>45</v>
      </c>
      <c r="E15" s="2" t="s">
        <v>32</v>
      </c>
      <c r="F15" s="103" t="e">
        <f>INT(YEARFRAC('[1]Perfil Sociodemografico'!F64,'[1]Perfil Sociodemografico'!G64))</f>
        <v>#VALUE!</v>
      </c>
      <c r="G15" s="104" t="s">
        <v>197</v>
      </c>
      <c r="H15" s="104" t="s">
        <v>199</v>
      </c>
      <c r="I15" s="2" t="s">
        <v>195</v>
      </c>
      <c r="J15" s="4">
        <v>4000000</v>
      </c>
      <c r="K15" s="3">
        <v>30</v>
      </c>
      <c r="L15" s="3">
        <f t="shared" si="5"/>
        <v>4000000.0000000005</v>
      </c>
      <c r="M15" s="4"/>
      <c r="N15" s="4"/>
      <c r="O15" s="4"/>
      <c r="P15" s="4"/>
      <c r="Q15" s="4"/>
      <c r="R15" s="4">
        <f t="shared" si="1"/>
        <v>4000000.0000000005</v>
      </c>
      <c r="S15" s="4">
        <f>+L15*4%</f>
        <v>160000.00000000003</v>
      </c>
      <c r="T15" s="4">
        <f>+L15*5%</f>
        <v>200000.00000000003</v>
      </c>
      <c r="U15" s="4"/>
      <c r="V15" s="4"/>
      <c r="W15" s="4"/>
      <c r="X15" s="4"/>
      <c r="Y15" s="4"/>
      <c r="Z15" s="4"/>
      <c r="AA15" s="4">
        <f t="shared" si="7"/>
        <v>360000.00000000006</v>
      </c>
      <c r="AB15" s="118">
        <f>R15-AA15</f>
        <v>3640000.0000000005</v>
      </c>
    </row>
    <row r="16" spans="1:28" ht="24.95" customHeight="1" x14ac:dyDescent="0.25">
      <c r="A16" s="117"/>
      <c r="B16" s="2">
        <v>13</v>
      </c>
      <c r="C16" s="1" t="s">
        <v>40</v>
      </c>
      <c r="D16" s="1" t="s">
        <v>31</v>
      </c>
      <c r="E16" s="2" t="s">
        <v>32</v>
      </c>
      <c r="F16" s="103" t="e">
        <f>INT(YEARFRAC('[1]Perfil Sociodemografico'!F91,'[1]Perfil Sociodemografico'!G91))</f>
        <v>#VALUE!</v>
      </c>
      <c r="G16" s="104" t="s">
        <v>192</v>
      </c>
      <c r="H16" s="104" t="s">
        <v>193</v>
      </c>
      <c r="I16" s="2" t="s">
        <v>194</v>
      </c>
      <c r="J16" s="4">
        <v>5725000</v>
      </c>
      <c r="K16" s="3">
        <v>30</v>
      </c>
      <c r="L16" s="3">
        <f>+J16-Q16</f>
        <v>5725000</v>
      </c>
      <c r="M16" s="4"/>
      <c r="N16" s="4"/>
      <c r="O16" s="4"/>
      <c r="P16" s="4"/>
      <c r="Q16" s="4"/>
      <c r="R16" s="4">
        <f t="shared" si="1"/>
        <v>5725000</v>
      </c>
      <c r="S16" s="4">
        <f>+J16*4%</f>
        <v>229000</v>
      </c>
      <c r="T16" s="4">
        <f t="shared" si="4"/>
        <v>286250</v>
      </c>
      <c r="U16" s="4"/>
      <c r="V16" s="4"/>
      <c r="W16" s="4">
        <v>0</v>
      </c>
      <c r="X16" s="4"/>
      <c r="Y16" s="4"/>
      <c r="Z16" s="4"/>
      <c r="AA16" s="4">
        <f t="shared" si="6"/>
        <v>515250</v>
      </c>
      <c r="AB16" s="118">
        <f t="shared" ref="AB16:AB30" si="11">+R16-AA16</f>
        <v>5209750</v>
      </c>
    </row>
    <row r="17" spans="1:28" ht="24.95" customHeight="1" x14ac:dyDescent="0.25">
      <c r="A17" s="117"/>
      <c r="B17" s="2">
        <v>14</v>
      </c>
      <c r="C17" s="1" t="s">
        <v>41</v>
      </c>
      <c r="D17" s="1" t="s">
        <v>31</v>
      </c>
      <c r="E17" s="2" t="s">
        <v>32</v>
      </c>
      <c r="F17" s="103" t="e">
        <f>INT(YEARFRAC('[1]Perfil Sociodemografico'!F65,'[1]Perfil Sociodemografico'!G65))</f>
        <v>#VALUE!</v>
      </c>
      <c r="G17" s="104" t="s">
        <v>198</v>
      </c>
      <c r="H17" s="104" t="s">
        <v>193</v>
      </c>
      <c r="I17" s="2" t="s">
        <v>195</v>
      </c>
      <c r="J17" s="4">
        <v>4500000</v>
      </c>
      <c r="K17" s="3">
        <v>30</v>
      </c>
      <c r="L17" s="3">
        <f t="shared" si="5"/>
        <v>4500000</v>
      </c>
      <c r="M17" s="4"/>
      <c r="N17" s="4"/>
      <c r="O17" s="4"/>
      <c r="P17" s="4"/>
      <c r="Q17" s="4"/>
      <c r="R17" s="4">
        <f t="shared" si="1"/>
        <v>4500000</v>
      </c>
      <c r="S17" s="4">
        <f t="shared" si="3"/>
        <v>180000</v>
      </c>
      <c r="T17" s="4">
        <v>225000</v>
      </c>
      <c r="U17" s="4"/>
      <c r="V17" s="4"/>
      <c r="W17" s="7">
        <v>0</v>
      </c>
      <c r="X17" s="4"/>
      <c r="Y17" s="4"/>
      <c r="Z17" s="4"/>
      <c r="AA17" s="4">
        <f t="shared" si="6"/>
        <v>405000</v>
      </c>
      <c r="AB17" s="118">
        <f t="shared" si="11"/>
        <v>4095000</v>
      </c>
    </row>
    <row r="18" spans="1:28" ht="24.95" customHeight="1" x14ac:dyDescent="0.25">
      <c r="A18" s="117"/>
      <c r="B18" s="2">
        <v>15</v>
      </c>
      <c r="C18" s="1" t="s">
        <v>93</v>
      </c>
      <c r="D18" s="1" t="s">
        <v>31</v>
      </c>
      <c r="E18" s="2" t="s">
        <v>32</v>
      </c>
      <c r="F18" s="103" t="e">
        <f>INT(YEARFRAC('[1]Perfil Sociodemografico'!F54,'[1]Perfil Sociodemografico'!G54))</f>
        <v>#VALUE!</v>
      </c>
      <c r="G18" s="104" t="s">
        <v>192</v>
      </c>
      <c r="H18" s="104" t="s">
        <v>193</v>
      </c>
      <c r="I18" s="2" t="s">
        <v>195</v>
      </c>
      <c r="J18" s="4">
        <v>5500000</v>
      </c>
      <c r="K18" s="3">
        <v>30</v>
      </c>
      <c r="L18" s="3">
        <f t="shared" si="5"/>
        <v>5500000</v>
      </c>
      <c r="M18" s="4"/>
      <c r="N18" s="4"/>
      <c r="O18" s="4"/>
      <c r="P18" s="4"/>
      <c r="Q18" s="4">
        <v>214844</v>
      </c>
      <c r="R18" s="4">
        <f t="shared" si="1"/>
        <v>5714844</v>
      </c>
      <c r="S18" s="4">
        <f t="shared" si="3"/>
        <v>220000</v>
      </c>
      <c r="T18" s="4">
        <f>+J18*5%</f>
        <v>275000</v>
      </c>
      <c r="U18" s="4"/>
      <c r="V18" s="4"/>
      <c r="W18" s="4">
        <v>36000</v>
      </c>
      <c r="X18" s="4"/>
      <c r="Y18" s="4"/>
      <c r="Z18" s="4">
        <v>774624</v>
      </c>
      <c r="AA18" s="4">
        <f t="shared" ref="AA18:AA20" si="12">SUM(S18:Z18)</f>
        <v>1305624</v>
      </c>
      <c r="AB18" s="118">
        <f t="shared" si="11"/>
        <v>4409220</v>
      </c>
    </row>
    <row r="19" spans="1:28" ht="24.95" customHeight="1" x14ac:dyDescent="0.25">
      <c r="A19" s="117"/>
      <c r="B19" s="2">
        <v>16</v>
      </c>
      <c r="C19" s="1" t="s">
        <v>183</v>
      </c>
      <c r="D19" s="1" t="s">
        <v>31</v>
      </c>
      <c r="E19" s="2" t="s">
        <v>32</v>
      </c>
      <c r="F19" s="103" t="e">
        <f>INT(YEARFRAC('[1]Perfil Sociodemografico'!F118,'[1]Perfil Sociodemografico'!G118))</f>
        <v>#VALUE!</v>
      </c>
      <c r="G19" s="104" t="s">
        <v>200</v>
      </c>
      <c r="H19" s="104" t="s">
        <v>193</v>
      </c>
      <c r="I19" s="2" t="s">
        <v>195</v>
      </c>
      <c r="J19" s="4">
        <v>7000000</v>
      </c>
      <c r="K19" s="3">
        <v>30</v>
      </c>
      <c r="L19" s="3">
        <f t="shared" si="5"/>
        <v>7000000</v>
      </c>
      <c r="M19" s="4"/>
      <c r="N19" s="4"/>
      <c r="O19" s="4"/>
      <c r="P19" s="4"/>
      <c r="Q19" s="4"/>
      <c r="R19" s="4">
        <f t="shared" si="1"/>
        <v>7000000</v>
      </c>
      <c r="S19" s="4">
        <f>+L19*4%</f>
        <v>280000</v>
      </c>
      <c r="T19" s="4">
        <f>+L19*5%</f>
        <v>350000</v>
      </c>
      <c r="U19" s="4"/>
      <c r="V19" s="4"/>
      <c r="W19" s="4">
        <v>0</v>
      </c>
      <c r="X19" s="4"/>
      <c r="Y19" s="4"/>
      <c r="Z19" s="4"/>
      <c r="AA19" s="4">
        <f t="shared" si="12"/>
        <v>630000</v>
      </c>
      <c r="AB19" s="118">
        <f t="shared" si="11"/>
        <v>6370000</v>
      </c>
    </row>
    <row r="20" spans="1:28" ht="24.95" customHeight="1" x14ac:dyDescent="0.25">
      <c r="A20" s="117"/>
      <c r="B20" s="2">
        <v>17</v>
      </c>
      <c r="C20" s="1" t="s">
        <v>167</v>
      </c>
      <c r="D20" s="1" t="s">
        <v>31</v>
      </c>
      <c r="E20" s="2" t="s">
        <v>32</v>
      </c>
      <c r="F20" s="106" t="e">
        <f>INT(YEARFRAC('[1]Perfil Sociodemografico'!F8,'[1]Perfil Sociodemografico'!G8))</f>
        <v>#VALUE!</v>
      </c>
      <c r="G20" s="107" t="s">
        <v>192</v>
      </c>
      <c r="H20" s="107" t="s">
        <v>193</v>
      </c>
      <c r="I20" s="2" t="s">
        <v>195</v>
      </c>
      <c r="J20" s="4">
        <v>5500000</v>
      </c>
      <c r="K20" s="3">
        <v>30</v>
      </c>
      <c r="L20" s="3">
        <f t="shared" si="5"/>
        <v>5500000</v>
      </c>
      <c r="M20" s="4"/>
      <c r="N20" s="4"/>
      <c r="O20" s="4"/>
      <c r="P20" s="4"/>
      <c r="Q20" s="4"/>
      <c r="R20" s="4">
        <f t="shared" si="1"/>
        <v>5500000</v>
      </c>
      <c r="S20" s="4">
        <f>+L20*4%</f>
        <v>220000</v>
      </c>
      <c r="T20" s="4">
        <f>+L20*5%</f>
        <v>275000</v>
      </c>
      <c r="U20" s="4"/>
      <c r="V20" s="4"/>
      <c r="W20" s="4">
        <v>21000</v>
      </c>
      <c r="X20" s="4"/>
      <c r="Y20" s="4"/>
      <c r="Z20" s="4"/>
      <c r="AA20" s="4">
        <f t="shared" si="12"/>
        <v>516000</v>
      </c>
      <c r="AB20" s="118">
        <f t="shared" si="11"/>
        <v>4984000</v>
      </c>
    </row>
    <row r="21" spans="1:28" ht="24.95" customHeight="1" x14ac:dyDescent="0.25">
      <c r="A21" s="117"/>
      <c r="B21" s="2">
        <v>18</v>
      </c>
      <c r="C21" s="9" t="s">
        <v>42</v>
      </c>
      <c r="D21" s="1" t="s">
        <v>31</v>
      </c>
      <c r="E21" s="2" t="s">
        <v>32</v>
      </c>
      <c r="F21" s="103" t="e">
        <f>INT(YEARFRAC('[1]Perfil Sociodemografico'!F75,'[1]Perfil Sociodemografico'!G75))</f>
        <v>#VALUE!</v>
      </c>
      <c r="G21" s="105" t="s">
        <v>192</v>
      </c>
      <c r="H21" s="105" t="s">
        <v>193</v>
      </c>
      <c r="I21" s="2" t="s">
        <v>195</v>
      </c>
      <c r="J21" s="4">
        <v>4800000</v>
      </c>
      <c r="K21" s="3">
        <v>30</v>
      </c>
      <c r="L21" s="3">
        <f t="shared" si="5"/>
        <v>4800000</v>
      </c>
      <c r="M21" s="4"/>
      <c r="N21" s="4"/>
      <c r="O21" s="4"/>
      <c r="P21" s="4"/>
      <c r="Q21" s="4"/>
      <c r="R21" s="4">
        <f t="shared" si="1"/>
        <v>4800000</v>
      </c>
      <c r="S21" s="4">
        <f>+L21*4%</f>
        <v>192000</v>
      </c>
      <c r="T21" s="4">
        <f>+L21*5%</f>
        <v>240000</v>
      </c>
      <c r="U21" s="4"/>
      <c r="V21" s="4"/>
      <c r="W21" s="4">
        <v>0</v>
      </c>
      <c r="X21" s="4"/>
      <c r="Y21" s="4"/>
      <c r="Z21" s="4"/>
      <c r="AA21" s="4">
        <f t="shared" si="6"/>
        <v>432000</v>
      </c>
      <c r="AB21" s="118">
        <f t="shared" si="11"/>
        <v>4368000</v>
      </c>
    </row>
    <row r="22" spans="1:28" ht="24.95" customHeight="1" x14ac:dyDescent="0.25">
      <c r="A22" s="117"/>
      <c r="B22" s="2">
        <v>19</v>
      </c>
      <c r="C22" s="9" t="s">
        <v>201</v>
      </c>
      <c r="D22" s="1" t="s">
        <v>31</v>
      </c>
      <c r="E22" s="2" t="s">
        <v>32</v>
      </c>
      <c r="F22" s="103" t="e">
        <f>INT(YEARFRAC('[1]Perfil Sociodemografico'!F103,'[1]Perfil Sociodemografico'!G103))</f>
        <v>#VALUE!</v>
      </c>
      <c r="G22" s="105" t="s">
        <v>198</v>
      </c>
      <c r="H22" s="105" t="s">
        <v>193</v>
      </c>
      <c r="I22" s="2" t="s">
        <v>195</v>
      </c>
      <c r="J22" s="4">
        <v>6200000</v>
      </c>
      <c r="K22" s="3">
        <v>16</v>
      </c>
      <c r="L22" s="3">
        <f t="shared" si="5"/>
        <v>3306666.6666666665</v>
      </c>
      <c r="M22" s="4"/>
      <c r="N22" s="4"/>
      <c r="O22" s="4"/>
      <c r="P22" s="4"/>
      <c r="Q22" s="4"/>
      <c r="R22" s="4">
        <f t="shared" si="1"/>
        <v>3306666.6666666665</v>
      </c>
      <c r="S22" s="4">
        <f>+L22*4%</f>
        <v>132266.66666666666</v>
      </c>
      <c r="T22" s="4">
        <f>+L22*0.05</f>
        <v>165333.33333333334</v>
      </c>
      <c r="U22" s="4"/>
      <c r="V22" s="4"/>
      <c r="W22" s="4">
        <v>0</v>
      </c>
      <c r="X22" s="4"/>
      <c r="Y22" s="4"/>
      <c r="Z22" s="4"/>
      <c r="AA22" s="4">
        <f t="shared" ref="AA22:AA23" si="13">SUM(S22:Z22)</f>
        <v>297600</v>
      </c>
      <c r="AB22" s="118">
        <f t="shared" si="11"/>
        <v>3009066.6666666665</v>
      </c>
    </row>
    <row r="23" spans="1:28" ht="24.95" customHeight="1" x14ac:dyDescent="0.25">
      <c r="A23" s="117"/>
      <c r="B23" s="2">
        <v>20</v>
      </c>
      <c r="C23" s="9" t="s">
        <v>161</v>
      </c>
      <c r="D23" s="1" t="s">
        <v>31</v>
      </c>
      <c r="E23" s="2" t="s">
        <v>32</v>
      </c>
      <c r="F23" s="103" t="e">
        <f>INT(YEARFRAC('[1]Perfil Sociodemografico'!F21,'[1]Perfil Sociodemografico'!G21))</f>
        <v>#VALUE!</v>
      </c>
      <c r="G23" s="104" t="s">
        <v>197</v>
      </c>
      <c r="H23" s="104" t="s">
        <v>193</v>
      </c>
      <c r="I23" s="2" t="s">
        <v>195</v>
      </c>
      <c r="J23" s="4">
        <v>4600000</v>
      </c>
      <c r="K23" s="3">
        <v>30</v>
      </c>
      <c r="L23" s="3">
        <f t="shared" si="5"/>
        <v>4600000</v>
      </c>
      <c r="M23" s="4"/>
      <c r="N23" s="4"/>
      <c r="O23" s="4"/>
      <c r="P23" s="4"/>
      <c r="Q23" s="4"/>
      <c r="R23" s="4">
        <f t="shared" si="1"/>
        <v>4600000</v>
      </c>
      <c r="S23" s="4">
        <f>+J23*4%</f>
        <v>184000</v>
      </c>
      <c r="T23" s="4">
        <f>+J23*0.05</f>
        <v>230000</v>
      </c>
      <c r="U23" s="4"/>
      <c r="V23" s="4"/>
      <c r="W23" s="4">
        <v>24000</v>
      </c>
      <c r="X23" s="4"/>
      <c r="Y23" s="4"/>
      <c r="Z23" s="4"/>
      <c r="AA23" s="4">
        <f t="shared" si="13"/>
        <v>438000</v>
      </c>
      <c r="AB23" s="118">
        <f t="shared" si="11"/>
        <v>4162000</v>
      </c>
    </row>
    <row r="24" spans="1:28" ht="24.95" customHeight="1" x14ac:dyDescent="0.25">
      <c r="A24" s="117"/>
      <c r="B24" s="2">
        <v>21</v>
      </c>
      <c r="C24" s="9" t="s">
        <v>43</v>
      </c>
      <c r="D24" s="1" t="s">
        <v>31</v>
      </c>
      <c r="E24" s="2" t="s">
        <v>32</v>
      </c>
      <c r="F24" s="103" t="e">
        <f>INT(YEARFRAC('[1]Perfil Sociodemografico'!F37,'[1]Perfil Sociodemografico'!G37))</f>
        <v>#VALUE!</v>
      </c>
      <c r="G24" s="104" t="s">
        <v>198</v>
      </c>
      <c r="H24" s="104" t="s">
        <v>193</v>
      </c>
      <c r="I24" s="2" t="s">
        <v>195</v>
      </c>
      <c r="J24" s="4">
        <v>0</v>
      </c>
      <c r="K24" s="3">
        <v>30</v>
      </c>
      <c r="L24" s="3">
        <f t="shared" si="5"/>
        <v>0</v>
      </c>
      <c r="M24" s="4"/>
      <c r="N24" s="4"/>
      <c r="O24" s="4"/>
      <c r="P24" s="4">
        <v>0</v>
      </c>
      <c r="Q24" s="4"/>
      <c r="R24" s="4">
        <f>+L24+M24+O24+P24+Q24+N24</f>
        <v>0</v>
      </c>
      <c r="S24" s="4">
        <f>+J24*4%</f>
        <v>0</v>
      </c>
      <c r="T24" s="4">
        <f>+J24*5%</f>
        <v>0</v>
      </c>
      <c r="U24" s="4"/>
      <c r="V24" s="4"/>
      <c r="W24" s="4"/>
      <c r="X24" s="4"/>
      <c r="Y24" s="4"/>
      <c r="Z24" s="4"/>
      <c r="AA24" s="4">
        <f t="shared" si="6"/>
        <v>0</v>
      </c>
      <c r="AB24" s="118">
        <f t="shared" si="11"/>
        <v>0</v>
      </c>
    </row>
    <row r="25" spans="1:28" ht="24.95" customHeight="1" x14ac:dyDescent="0.25">
      <c r="A25" s="117"/>
      <c r="B25" s="2">
        <v>22</v>
      </c>
      <c r="C25" s="9" t="s">
        <v>44</v>
      </c>
      <c r="D25" s="1" t="s">
        <v>31</v>
      </c>
      <c r="E25" s="2" t="s">
        <v>32</v>
      </c>
      <c r="F25" s="103" t="e">
        <f>INT(YEARFRAC('[1]Perfil Sociodemografico'!F112,'[1]Perfil Sociodemografico'!G112))</f>
        <v>#VALUE!</v>
      </c>
      <c r="G25" s="105" t="s">
        <v>192</v>
      </c>
      <c r="H25" s="105" t="s">
        <v>193</v>
      </c>
      <c r="I25" s="2" t="s">
        <v>195</v>
      </c>
      <c r="J25" s="4">
        <v>4400000</v>
      </c>
      <c r="K25" s="3">
        <v>30</v>
      </c>
      <c r="L25" s="3">
        <f t="shared" si="5"/>
        <v>4400000</v>
      </c>
      <c r="M25" s="4"/>
      <c r="N25" s="4"/>
      <c r="O25" s="4"/>
      <c r="P25" s="4"/>
      <c r="Q25" s="4"/>
      <c r="R25" s="4">
        <f t="shared" si="1"/>
        <v>4400000</v>
      </c>
      <c r="S25" s="4">
        <f>+J25*0.04</f>
        <v>176000</v>
      </c>
      <c r="T25" s="4">
        <f>+J25*0.05</f>
        <v>220000</v>
      </c>
      <c r="U25" s="4"/>
      <c r="V25" s="4"/>
      <c r="W25" s="4"/>
      <c r="X25" s="4"/>
      <c r="Y25" s="4"/>
      <c r="Z25" s="4"/>
      <c r="AA25" s="4">
        <f t="shared" si="6"/>
        <v>396000</v>
      </c>
      <c r="AB25" s="118">
        <f t="shared" si="11"/>
        <v>4004000</v>
      </c>
    </row>
    <row r="26" spans="1:28" ht="24.95" customHeight="1" x14ac:dyDescent="0.25">
      <c r="A26" s="117"/>
      <c r="B26" s="2">
        <v>23</v>
      </c>
      <c r="C26" s="9" t="s">
        <v>46</v>
      </c>
      <c r="D26" s="1" t="s">
        <v>31</v>
      </c>
      <c r="E26" s="2" t="s">
        <v>32</v>
      </c>
      <c r="F26" s="103" t="e">
        <f>INT(YEARFRAC('[1]Perfil Sociodemografico'!F29,'[1]Perfil Sociodemografico'!G29))</f>
        <v>#VALUE!</v>
      </c>
      <c r="G26" s="104" t="s">
        <v>192</v>
      </c>
      <c r="H26" s="104" t="s">
        <v>193</v>
      </c>
      <c r="I26" s="2" t="s">
        <v>195</v>
      </c>
      <c r="J26" s="4">
        <v>5500000</v>
      </c>
      <c r="K26" s="3">
        <v>30</v>
      </c>
      <c r="L26" s="3">
        <f>+J26-O26</f>
        <v>5500000</v>
      </c>
      <c r="M26" s="4"/>
      <c r="N26" s="4"/>
      <c r="O26" s="4"/>
      <c r="P26" s="4"/>
      <c r="Q26" s="4"/>
      <c r="R26" s="4">
        <f t="shared" si="1"/>
        <v>5500000</v>
      </c>
      <c r="S26" s="4">
        <f>+J26*0.04</f>
        <v>220000</v>
      </c>
      <c r="T26" s="4">
        <f>+J26*0.05</f>
        <v>275000</v>
      </c>
      <c r="U26" s="4"/>
      <c r="V26" s="4"/>
      <c r="W26" s="4">
        <v>83397</v>
      </c>
      <c r="X26" s="4"/>
      <c r="Y26" s="4"/>
      <c r="Z26" s="4"/>
      <c r="AA26" s="4">
        <f t="shared" si="6"/>
        <v>578397</v>
      </c>
      <c r="AB26" s="118">
        <f t="shared" si="11"/>
        <v>4921603</v>
      </c>
    </row>
    <row r="27" spans="1:28" ht="24.95" customHeight="1" x14ac:dyDescent="0.25">
      <c r="A27" s="117"/>
      <c r="B27" s="2">
        <v>24</v>
      </c>
      <c r="C27" s="9" t="s">
        <v>162</v>
      </c>
      <c r="D27" s="1" t="s">
        <v>31</v>
      </c>
      <c r="E27" s="2" t="s">
        <v>32</v>
      </c>
      <c r="F27" s="103" t="e">
        <f>INT(YEARFRAC('[1]Perfil Sociodemografico'!F78,'[1]Perfil Sociodemografico'!G78))</f>
        <v>#VALUE!</v>
      </c>
      <c r="G27" s="105" t="s">
        <v>197</v>
      </c>
      <c r="H27" s="105" t="s">
        <v>193</v>
      </c>
      <c r="I27" s="2" t="s">
        <v>195</v>
      </c>
      <c r="J27" s="4">
        <v>5000000</v>
      </c>
      <c r="K27" s="3">
        <v>30</v>
      </c>
      <c r="L27" s="3">
        <f t="shared" si="5"/>
        <v>5000000</v>
      </c>
      <c r="M27" s="4"/>
      <c r="N27" s="4"/>
      <c r="O27" s="4"/>
      <c r="P27" s="4"/>
      <c r="Q27" s="4"/>
      <c r="R27" s="4">
        <f t="shared" si="1"/>
        <v>5000000</v>
      </c>
      <c r="S27" s="4">
        <f>+L27*4%</f>
        <v>200000</v>
      </c>
      <c r="T27" s="4">
        <f>+L27*0.05</f>
        <v>250000</v>
      </c>
      <c r="U27" s="4"/>
      <c r="V27" s="4"/>
      <c r="W27" s="4">
        <v>78000</v>
      </c>
      <c r="X27" s="4"/>
      <c r="Y27" s="4"/>
      <c r="Z27" s="4"/>
      <c r="AA27" s="4">
        <f t="shared" si="6"/>
        <v>528000</v>
      </c>
      <c r="AB27" s="118">
        <f t="shared" si="11"/>
        <v>4472000</v>
      </c>
    </row>
    <row r="28" spans="1:28" ht="24.95" customHeight="1" x14ac:dyDescent="0.25">
      <c r="A28" s="117"/>
      <c r="B28" s="2">
        <v>25</v>
      </c>
      <c r="C28" s="1" t="s">
        <v>150</v>
      </c>
      <c r="D28" s="1" t="s">
        <v>31</v>
      </c>
      <c r="E28" s="2" t="s">
        <v>32</v>
      </c>
      <c r="F28" s="103" t="e">
        <f>INT(YEARFRAC('[1]Perfil Sociodemografico'!F71,'[1]Perfil Sociodemografico'!G71))</f>
        <v>#VALUE!</v>
      </c>
      <c r="G28" s="104" t="s">
        <v>202</v>
      </c>
      <c r="H28" s="104" t="s">
        <v>193</v>
      </c>
      <c r="I28" s="2" t="s">
        <v>195</v>
      </c>
      <c r="J28" s="4">
        <v>7000000</v>
      </c>
      <c r="K28" s="3">
        <v>30</v>
      </c>
      <c r="L28" s="3">
        <f>+J28/30*K28</f>
        <v>7000000</v>
      </c>
      <c r="M28" s="4"/>
      <c r="N28" s="4"/>
      <c r="O28" s="4"/>
      <c r="P28" s="4"/>
      <c r="Q28" s="4">
        <v>1594687</v>
      </c>
      <c r="R28" s="4">
        <f>+L28+M28+O28+P28+Q28+N28</f>
        <v>8594687</v>
      </c>
      <c r="S28" s="4">
        <f>R28*4%</f>
        <v>343787.48</v>
      </c>
      <c r="T28" s="4">
        <f>+R28*5%</f>
        <v>429734.35000000003</v>
      </c>
      <c r="U28" s="4"/>
      <c r="V28" s="4">
        <v>147000</v>
      </c>
      <c r="W28" s="4">
        <v>209509</v>
      </c>
      <c r="X28" s="4"/>
      <c r="Y28" s="4"/>
      <c r="Z28" s="4"/>
      <c r="AA28" s="4">
        <f>SUM(S28:Z28)</f>
        <v>1130030.83</v>
      </c>
      <c r="AB28" s="118">
        <f>R28-AA28</f>
        <v>7464656.1699999999</v>
      </c>
    </row>
    <row r="29" spans="1:28" ht="24.95" customHeight="1" x14ac:dyDescent="0.25">
      <c r="A29" s="117"/>
      <c r="B29" s="2">
        <v>26</v>
      </c>
      <c r="C29" s="9" t="s">
        <v>47</v>
      </c>
      <c r="D29" s="1" t="s">
        <v>31</v>
      </c>
      <c r="E29" s="2" t="s">
        <v>32</v>
      </c>
      <c r="F29" s="103" t="e">
        <f>INT(YEARFRAC('[1]Perfil Sociodemografico'!F23,'[1]Perfil Sociodemografico'!G23))</f>
        <v>#VALUE!</v>
      </c>
      <c r="G29" s="105" t="s">
        <v>198</v>
      </c>
      <c r="H29" s="105" t="s">
        <v>193</v>
      </c>
      <c r="I29" s="2" t="s">
        <v>195</v>
      </c>
      <c r="J29" s="4">
        <v>5200000</v>
      </c>
      <c r="K29" s="3">
        <v>30</v>
      </c>
      <c r="L29" s="3">
        <f t="shared" si="5"/>
        <v>5200000</v>
      </c>
      <c r="M29" s="4"/>
      <c r="N29" s="4"/>
      <c r="O29" s="4"/>
      <c r="P29" s="4"/>
      <c r="Q29" s="4">
        <v>958750</v>
      </c>
      <c r="R29" s="4">
        <f t="shared" si="1"/>
        <v>6158750</v>
      </c>
      <c r="S29" s="4">
        <f>+J29*4%</f>
        <v>208000</v>
      </c>
      <c r="T29" s="4">
        <f>+J29*5%</f>
        <v>260000</v>
      </c>
      <c r="U29" s="4"/>
      <c r="V29" s="4"/>
      <c r="W29" s="4">
        <v>46204</v>
      </c>
      <c r="X29" s="4"/>
      <c r="Y29" s="4"/>
      <c r="Z29" s="4"/>
      <c r="AA29" s="4">
        <f t="shared" si="6"/>
        <v>514204</v>
      </c>
      <c r="AB29" s="118">
        <f t="shared" si="11"/>
        <v>5644546</v>
      </c>
    </row>
    <row r="30" spans="1:28" ht="24.95" customHeight="1" x14ac:dyDescent="0.25">
      <c r="A30" s="117"/>
      <c r="B30" s="2">
        <v>27</v>
      </c>
      <c r="C30" s="1" t="s">
        <v>48</v>
      </c>
      <c r="D30" s="1" t="s">
        <v>31</v>
      </c>
      <c r="E30" s="2" t="s">
        <v>32</v>
      </c>
      <c r="F30" s="103" t="e">
        <f>INT(YEARFRAC('[1]Perfil Sociodemografico'!F61,'[1]Perfil Sociodemografico'!G61))</f>
        <v>#VALUE!</v>
      </c>
      <c r="G30" s="105" t="s">
        <v>198</v>
      </c>
      <c r="H30" s="105" t="s">
        <v>193</v>
      </c>
      <c r="I30" s="2" t="s">
        <v>195</v>
      </c>
      <c r="J30" s="4">
        <v>5500000</v>
      </c>
      <c r="K30" s="3">
        <v>30</v>
      </c>
      <c r="L30" s="3">
        <f>+J30-Q30</f>
        <v>3334375</v>
      </c>
      <c r="M30" s="4"/>
      <c r="N30" s="4">
        <v>2383334</v>
      </c>
      <c r="O30" s="4"/>
      <c r="P30" s="4">
        <v>450000</v>
      </c>
      <c r="Q30" s="4">
        <v>2165625</v>
      </c>
      <c r="R30" s="4">
        <f t="shared" si="1"/>
        <v>8333334</v>
      </c>
      <c r="S30" s="4">
        <f>+J30*4%</f>
        <v>220000</v>
      </c>
      <c r="T30" s="4">
        <f>+J30*5%</f>
        <v>275000</v>
      </c>
      <c r="U30" s="4"/>
      <c r="V30" s="4"/>
      <c r="W30" s="7">
        <v>150521</v>
      </c>
      <c r="X30" s="4">
        <v>1365000</v>
      </c>
      <c r="Y30" s="4"/>
      <c r="Z30" s="4"/>
      <c r="AA30" s="4">
        <f t="shared" si="6"/>
        <v>2010521</v>
      </c>
      <c r="AB30" s="118">
        <f t="shared" si="11"/>
        <v>6322813</v>
      </c>
    </row>
    <row r="31" spans="1:28" ht="24.95" customHeight="1" x14ac:dyDescent="0.25">
      <c r="A31" s="117"/>
      <c r="B31" s="2">
        <v>28</v>
      </c>
      <c r="C31" s="1" t="s">
        <v>49</v>
      </c>
      <c r="D31" s="1" t="s">
        <v>31</v>
      </c>
      <c r="E31" s="2" t="s">
        <v>32</v>
      </c>
      <c r="F31" s="103" t="e">
        <f>INT(YEARFRAC('[1]Perfil Sociodemografico'!F28,'[1]Perfil Sociodemografico'!G28))</f>
        <v>#VALUE!</v>
      </c>
      <c r="G31" s="104" t="s">
        <v>203</v>
      </c>
      <c r="H31" s="104" t="s">
        <v>193</v>
      </c>
      <c r="I31" s="2" t="s">
        <v>195</v>
      </c>
      <c r="J31" s="4">
        <v>5350000</v>
      </c>
      <c r="K31" s="3">
        <v>29</v>
      </c>
      <c r="L31" s="3">
        <f t="shared" si="5"/>
        <v>5171666.666666667</v>
      </c>
      <c r="M31" s="4">
        <v>118894</v>
      </c>
      <c r="N31" s="4"/>
      <c r="O31" s="4"/>
      <c r="P31" s="4">
        <v>1000000</v>
      </c>
      <c r="Q31" s="4"/>
      <c r="R31" s="4">
        <f t="shared" si="1"/>
        <v>6290560.666666667</v>
      </c>
      <c r="S31" s="4">
        <f>+J31*4%</f>
        <v>214000</v>
      </c>
      <c r="T31" s="4">
        <f>+J31*0.05</f>
        <v>267500</v>
      </c>
      <c r="U31" s="4"/>
      <c r="V31" s="4"/>
      <c r="W31" s="7">
        <v>96000</v>
      </c>
      <c r="X31" s="4"/>
      <c r="Y31" s="4"/>
      <c r="Z31" s="4">
        <v>810005</v>
      </c>
      <c r="AA31" s="4">
        <f t="shared" si="6"/>
        <v>1387505</v>
      </c>
      <c r="AB31" s="118">
        <f t="shared" ref="AB31:AB37" si="14">R31-AA31</f>
        <v>4903055.666666667</v>
      </c>
    </row>
    <row r="32" spans="1:28" ht="24.95" customHeight="1" x14ac:dyDescent="0.25">
      <c r="A32" s="117"/>
      <c r="B32" s="2">
        <v>29</v>
      </c>
      <c r="C32" s="1" t="s">
        <v>168</v>
      </c>
      <c r="D32" s="1" t="s">
        <v>31</v>
      </c>
      <c r="E32" s="2" t="s">
        <v>32</v>
      </c>
      <c r="F32" s="103" t="e">
        <f>INT(YEARFRAC('[1]Perfil Sociodemografico'!F122,'[1]Perfil Sociodemografico'!G122))</f>
        <v>#VALUE!</v>
      </c>
      <c r="G32" s="104" t="s">
        <v>192</v>
      </c>
      <c r="H32" s="104" t="s">
        <v>199</v>
      </c>
      <c r="I32" s="2" t="s">
        <v>195</v>
      </c>
      <c r="J32" s="4">
        <v>5000000</v>
      </c>
      <c r="K32" s="3">
        <v>30</v>
      </c>
      <c r="L32" s="3">
        <f t="shared" si="5"/>
        <v>5000000</v>
      </c>
      <c r="M32" s="4"/>
      <c r="N32" s="4"/>
      <c r="O32" s="4"/>
      <c r="P32" s="4"/>
      <c r="Q32" s="4"/>
      <c r="R32" s="4">
        <f t="shared" si="1"/>
        <v>5000000</v>
      </c>
      <c r="S32" s="4">
        <f>+L32*4%</f>
        <v>200000</v>
      </c>
      <c r="T32" s="4">
        <f>+L32*5%</f>
        <v>250000</v>
      </c>
      <c r="U32" s="4"/>
      <c r="V32" s="4"/>
      <c r="W32" s="7">
        <v>78000</v>
      </c>
      <c r="X32" s="4"/>
      <c r="Y32" s="4"/>
      <c r="Z32" s="4"/>
      <c r="AA32" s="4">
        <f t="shared" ref="AA32" si="15">SUM(S32:Z32)</f>
        <v>528000</v>
      </c>
      <c r="AB32" s="118">
        <f t="shared" si="14"/>
        <v>4472000</v>
      </c>
    </row>
    <row r="33" spans="1:29" ht="24.95" customHeight="1" x14ac:dyDescent="0.25">
      <c r="A33" s="117"/>
      <c r="B33" s="2">
        <v>30</v>
      </c>
      <c r="C33" s="1" t="s">
        <v>176</v>
      </c>
      <c r="D33" s="1" t="s">
        <v>31</v>
      </c>
      <c r="E33" s="2" t="s">
        <v>32</v>
      </c>
      <c r="F33" s="103" t="e">
        <f>INT(YEARFRAC('[1]Perfil Sociodemografico'!F82,'[1]Perfil Sociodemografico'!G82))</f>
        <v>#VALUE!</v>
      </c>
      <c r="G33" s="104" t="s">
        <v>204</v>
      </c>
      <c r="H33" s="104" t="s">
        <v>199</v>
      </c>
      <c r="I33" s="2" t="s">
        <v>195</v>
      </c>
      <c r="J33" s="4">
        <v>7000000</v>
      </c>
      <c r="K33" s="3">
        <v>30</v>
      </c>
      <c r="L33" s="3">
        <f t="shared" si="5"/>
        <v>7000000</v>
      </c>
      <c r="M33" s="4"/>
      <c r="N33" s="4"/>
      <c r="O33" s="4"/>
      <c r="P33" s="4"/>
      <c r="Q33" s="4"/>
      <c r="R33" s="4">
        <f t="shared" si="1"/>
        <v>7000000</v>
      </c>
      <c r="S33" s="4">
        <f>+R33*4%</f>
        <v>280000</v>
      </c>
      <c r="T33" s="4">
        <f>+R33*5%</f>
        <v>350000</v>
      </c>
      <c r="U33" s="4"/>
      <c r="V33" s="4"/>
      <c r="W33" s="7">
        <v>309000</v>
      </c>
      <c r="X33" s="4"/>
      <c r="Y33" s="4"/>
      <c r="Z33" s="4"/>
      <c r="AA33" s="4">
        <f t="shared" ref="AA33" si="16">SUM(S33:Z33)</f>
        <v>939000</v>
      </c>
      <c r="AB33" s="118">
        <f t="shared" si="14"/>
        <v>6061000</v>
      </c>
    </row>
    <row r="34" spans="1:29" ht="24.95" customHeight="1" x14ac:dyDescent="0.25">
      <c r="A34" s="117"/>
      <c r="B34" s="2">
        <v>31</v>
      </c>
      <c r="C34" s="1" t="s">
        <v>50</v>
      </c>
      <c r="D34" s="1" t="s">
        <v>31</v>
      </c>
      <c r="E34" s="2" t="s">
        <v>32</v>
      </c>
      <c r="F34" s="103" t="e">
        <f>INT(YEARFRAC('[1]Perfil Sociodemografico'!F102,'[1]Perfil Sociodemografico'!G102))</f>
        <v>#VALUE!</v>
      </c>
      <c r="G34" s="105" t="s">
        <v>204</v>
      </c>
      <c r="H34" s="105" t="s">
        <v>193</v>
      </c>
      <c r="I34" s="2" t="s">
        <v>195</v>
      </c>
      <c r="J34" s="4">
        <v>7000000</v>
      </c>
      <c r="K34" s="3">
        <v>30</v>
      </c>
      <c r="L34" s="3">
        <f>+J34-N34</f>
        <v>2300000</v>
      </c>
      <c r="M34" s="4"/>
      <c r="N34" s="4">
        <v>4700000</v>
      </c>
      <c r="O34" s="4"/>
      <c r="P34" s="4"/>
      <c r="Q34" s="4"/>
      <c r="R34" s="4">
        <f t="shared" si="1"/>
        <v>7000000</v>
      </c>
      <c r="S34" s="4">
        <f>+J34*4%</f>
        <v>280000</v>
      </c>
      <c r="T34" s="4">
        <f>+J34*0.05</f>
        <v>350000</v>
      </c>
      <c r="U34" s="4"/>
      <c r="V34" s="4"/>
      <c r="W34" s="7">
        <v>128000</v>
      </c>
      <c r="X34" s="4"/>
      <c r="Y34" s="4"/>
      <c r="Z34" s="4"/>
      <c r="AA34" s="4">
        <f t="shared" si="6"/>
        <v>758000</v>
      </c>
      <c r="AB34" s="118">
        <f t="shared" si="14"/>
        <v>6242000</v>
      </c>
    </row>
    <row r="35" spans="1:29" ht="24.95" customHeight="1" x14ac:dyDescent="0.25">
      <c r="A35" s="117"/>
      <c r="B35" s="2">
        <v>32</v>
      </c>
      <c r="C35" s="1" t="s">
        <v>51</v>
      </c>
      <c r="D35" s="1" t="s">
        <v>31</v>
      </c>
      <c r="E35" s="2" t="s">
        <v>32</v>
      </c>
      <c r="F35" s="103" t="e">
        <f>INT(YEARFRAC('[1]Perfil Sociodemografico'!F63,'[1]Perfil Sociodemografico'!G63))</f>
        <v>#VALUE!</v>
      </c>
      <c r="G35" s="104" t="s">
        <v>192</v>
      </c>
      <c r="H35" s="104" t="s">
        <v>193</v>
      </c>
      <c r="I35" s="2" t="s">
        <v>195</v>
      </c>
      <c r="J35" s="4">
        <v>7314000</v>
      </c>
      <c r="K35" s="3">
        <v>30</v>
      </c>
      <c r="L35" s="3">
        <f t="shared" si="5"/>
        <v>7314000</v>
      </c>
      <c r="M35" s="4"/>
      <c r="N35" s="4"/>
      <c r="O35" s="4"/>
      <c r="P35" s="4">
        <v>1400000</v>
      </c>
      <c r="Q35" s="10">
        <v>1794196</v>
      </c>
      <c r="R35" s="4">
        <f t="shared" si="1"/>
        <v>10508196</v>
      </c>
      <c r="S35" s="4">
        <f>+J35*4%</f>
        <v>292560</v>
      </c>
      <c r="T35" s="4">
        <f>+J35*5%</f>
        <v>365700</v>
      </c>
      <c r="U35" s="4"/>
      <c r="V35" s="4"/>
      <c r="W35" s="7">
        <v>162000</v>
      </c>
      <c r="X35" s="4">
        <v>1300000</v>
      </c>
      <c r="Y35" s="4"/>
      <c r="Z35" s="4"/>
      <c r="AA35" s="4">
        <f t="shared" si="6"/>
        <v>2120260</v>
      </c>
      <c r="AB35" s="118">
        <f t="shared" si="14"/>
        <v>8387936</v>
      </c>
    </row>
    <row r="36" spans="1:29" ht="24.95" customHeight="1" x14ac:dyDescent="0.25">
      <c r="A36" s="117"/>
      <c r="B36" s="2">
        <v>33</v>
      </c>
      <c r="C36" s="1" t="s">
        <v>177</v>
      </c>
      <c r="D36" s="1" t="s">
        <v>31</v>
      </c>
      <c r="E36" s="2" t="s">
        <v>32</v>
      </c>
      <c r="F36" s="103" t="e">
        <f>INT(YEARFRAC('[1]Perfil Sociodemografico'!F83,'[1]Perfil Sociodemografico'!G83))</f>
        <v>#VALUE!</v>
      </c>
      <c r="G36" s="104" t="s">
        <v>192</v>
      </c>
      <c r="H36" s="104" t="s">
        <v>199</v>
      </c>
      <c r="I36" s="2" t="s">
        <v>195</v>
      </c>
      <c r="J36" s="4">
        <v>5500000</v>
      </c>
      <c r="K36" s="3">
        <v>30</v>
      </c>
      <c r="L36" s="3">
        <f t="shared" si="5"/>
        <v>5500000</v>
      </c>
      <c r="M36" s="4"/>
      <c r="N36" s="4"/>
      <c r="O36" s="4"/>
      <c r="P36" s="4"/>
      <c r="Q36" s="10"/>
      <c r="R36" s="4">
        <f t="shared" si="1"/>
        <v>5500000</v>
      </c>
      <c r="S36" s="4">
        <f>+L36*4%</f>
        <v>220000</v>
      </c>
      <c r="T36" s="4">
        <f>+L36*5%</f>
        <v>275000</v>
      </c>
      <c r="U36" s="4"/>
      <c r="V36" s="4"/>
      <c r="W36" s="7">
        <v>36000</v>
      </c>
      <c r="X36" s="4"/>
      <c r="Y36" s="4"/>
      <c r="Z36" s="4"/>
      <c r="AA36" s="4">
        <f t="shared" ref="AA36" si="17">SUM(S36:Z36)</f>
        <v>531000</v>
      </c>
      <c r="AB36" s="118">
        <f t="shared" si="14"/>
        <v>4969000</v>
      </c>
    </row>
    <row r="37" spans="1:29" ht="24.95" customHeight="1" x14ac:dyDescent="0.25">
      <c r="A37" s="117"/>
      <c r="B37" s="2">
        <v>34</v>
      </c>
      <c r="C37" s="9" t="s">
        <v>151</v>
      </c>
      <c r="D37" s="1" t="s">
        <v>31</v>
      </c>
      <c r="E37" s="2" t="s">
        <v>32</v>
      </c>
      <c r="F37" s="103" t="e">
        <f>INT(YEARFRAC('[1]Perfil Sociodemografico'!F40,'[1]Perfil Sociodemografico'!G40))</f>
        <v>#VALUE!</v>
      </c>
      <c r="G37" s="104" t="s">
        <v>192</v>
      </c>
      <c r="H37" s="104" t="s">
        <v>193</v>
      </c>
      <c r="I37" s="2" t="s">
        <v>195</v>
      </c>
      <c r="J37" s="4">
        <v>4500000</v>
      </c>
      <c r="K37" s="3">
        <v>29</v>
      </c>
      <c r="L37" s="3">
        <v>4083333</v>
      </c>
      <c r="M37" s="4">
        <v>100005</v>
      </c>
      <c r="N37" s="4">
        <v>266667</v>
      </c>
      <c r="O37" s="4"/>
      <c r="P37" s="4"/>
      <c r="Q37" s="4"/>
      <c r="R37" s="4">
        <f>+L37+M37+O37+P37+Q37+N37</f>
        <v>4450005</v>
      </c>
      <c r="S37" s="4">
        <v>180000</v>
      </c>
      <c r="T37" s="4">
        <v>225000</v>
      </c>
      <c r="U37" s="4"/>
      <c r="V37" s="4"/>
      <c r="W37" s="4"/>
      <c r="X37" s="4"/>
      <c r="Y37" s="4"/>
      <c r="Z37" s="4"/>
      <c r="AA37" s="4">
        <f>SUM(S37:Z37)</f>
        <v>405000</v>
      </c>
      <c r="AB37" s="118">
        <f t="shared" si="14"/>
        <v>4045005</v>
      </c>
    </row>
    <row r="38" spans="1:29" ht="24.95" customHeight="1" x14ac:dyDescent="0.25">
      <c r="A38" s="117"/>
      <c r="B38" s="2">
        <v>35</v>
      </c>
      <c r="C38" s="1" t="s">
        <v>52</v>
      </c>
      <c r="D38" s="1" t="s">
        <v>31</v>
      </c>
      <c r="E38" s="2" t="s">
        <v>32</v>
      </c>
      <c r="F38" s="103" t="e">
        <f>INT(YEARFRAC('[1]Perfil Sociodemografico'!F24,'[1]Perfil Sociodemografico'!G24))</f>
        <v>#VALUE!</v>
      </c>
      <c r="G38" s="104" t="s">
        <v>192</v>
      </c>
      <c r="H38" s="104" t="s">
        <v>193</v>
      </c>
      <c r="I38" s="2" t="s">
        <v>195</v>
      </c>
      <c r="J38" s="4">
        <v>5500000</v>
      </c>
      <c r="K38" s="3">
        <v>30</v>
      </c>
      <c r="L38" s="3">
        <f t="shared" si="5"/>
        <v>5500000</v>
      </c>
      <c r="M38" s="4"/>
      <c r="N38" s="4"/>
      <c r="O38" s="4"/>
      <c r="P38" s="4"/>
      <c r="Q38" s="4"/>
      <c r="R38" s="4">
        <f t="shared" si="1"/>
        <v>5500000</v>
      </c>
      <c r="S38" s="4">
        <f>J38*4/100</f>
        <v>220000</v>
      </c>
      <c r="T38" s="4">
        <f>+L38*5%</f>
        <v>275000</v>
      </c>
      <c r="U38" s="4"/>
      <c r="V38" s="4"/>
      <c r="W38" s="4">
        <v>115000</v>
      </c>
      <c r="X38" s="4"/>
      <c r="Y38" s="4"/>
      <c r="Z38" s="4"/>
      <c r="AA38" s="4">
        <f t="shared" si="6"/>
        <v>610000</v>
      </c>
      <c r="AB38" s="118">
        <f t="shared" ref="AB38:AB43" si="18">+R38-AA38</f>
        <v>4890000</v>
      </c>
    </row>
    <row r="39" spans="1:29" ht="24.95" customHeight="1" x14ac:dyDescent="0.25">
      <c r="A39" s="117"/>
      <c r="B39" s="2">
        <v>36</v>
      </c>
      <c r="C39" s="1" t="s">
        <v>152</v>
      </c>
      <c r="D39" s="1" t="s">
        <v>31</v>
      </c>
      <c r="E39" s="2" t="s">
        <v>32</v>
      </c>
      <c r="F39" s="103" t="e">
        <f>INT(YEARFRAC('[1]Perfil Sociodemografico'!F115,'[1]Perfil Sociodemografico'!G115))</f>
        <v>#VALUE!</v>
      </c>
      <c r="G39" s="105" t="s">
        <v>192</v>
      </c>
      <c r="H39" s="105" t="s">
        <v>193</v>
      </c>
      <c r="I39" s="2" t="s">
        <v>195</v>
      </c>
      <c r="J39" s="4">
        <v>4500000</v>
      </c>
      <c r="K39" s="3">
        <v>30</v>
      </c>
      <c r="L39" s="3">
        <f>+J39/30*K39</f>
        <v>4500000</v>
      </c>
      <c r="M39" s="4"/>
      <c r="N39" s="4"/>
      <c r="O39" s="4"/>
      <c r="P39" s="4"/>
      <c r="Q39" s="4"/>
      <c r="R39" s="4">
        <f t="shared" si="1"/>
        <v>4500000</v>
      </c>
      <c r="S39" s="4">
        <f>R39*4/100</f>
        <v>180000</v>
      </c>
      <c r="T39" s="4">
        <f>+R39*0.05</f>
        <v>225000</v>
      </c>
      <c r="U39" s="4"/>
      <c r="V39" s="4"/>
      <c r="W39" s="7">
        <v>11000</v>
      </c>
      <c r="X39" s="4"/>
      <c r="Y39" s="4"/>
      <c r="Z39" s="4"/>
      <c r="AA39" s="4">
        <f>SUM(S39:Z39)</f>
        <v>416000</v>
      </c>
      <c r="AB39" s="118">
        <f t="shared" si="18"/>
        <v>4084000</v>
      </c>
    </row>
    <row r="40" spans="1:29" ht="24.95" customHeight="1" x14ac:dyDescent="0.25">
      <c r="A40" s="117"/>
      <c r="B40" s="2">
        <v>37</v>
      </c>
      <c r="C40" s="1" t="s">
        <v>53</v>
      </c>
      <c r="D40" s="1" t="s">
        <v>31</v>
      </c>
      <c r="E40" s="2" t="s">
        <v>32</v>
      </c>
      <c r="F40" s="103" t="e">
        <f>INT(YEARFRAC('[1]Perfil Sociodemografico'!F30,'[1]Perfil Sociodemografico'!G30))</f>
        <v>#VALUE!</v>
      </c>
      <c r="G40" s="104" t="s">
        <v>198</v>
      </c>
      <c r="H40" s="104" t="s">
        <v>193</v>
      </c>
      <c r="I40" s="2" t="s">
        <v>195</v>
      </c>
      <c r="J40" s="4">
        <v>5300000</v>
      </c>
      <c r="K40" s="3">
        <v>30</v>
      </c>
      <c r="L40" s="3">
        <f t="shared" si="5"/>
        <v>5300000</v>
      </c>
      <c r="M40" s="4"/>
      <c r="N40" s="4"/>
      <c r="O40" s="4"/>
      <c r="P40" s="4">
        <v>1621317</v>
      </c>
      <c r="Q40" s="4"/>
      <c r="R40" s="4">
        <f t="shared" si="1"/>
        <v>6921317</v>
      </c>
      <c r="S40" s="4">
        <f t="shared" ref="S40:S68" si="19">J40*4/100</f>
        <v>212000</v>
      </c>
      <c r="T40" s="4">
        <f t="shared" ref="T40:T68" si="20">+J40*0.05</f>
        <v>265000</v>
      </c>
      <c r="U40" s="4"/>
      <c r="V40" s="4"/>
      <c r="W40" s="7">
        <v>100000</v>
      </c>
      <c r="X40" s="4">
        <v>2000000</v>
      </c>
      <c r="Y40" s="4"/>
      <c r="Z40" s="4">
        <f>884747</f>
        <v>884747</v>
      </c>
      <c r="AA40" s="4">
        <f t="shared" si="6"/>
        <v>3461747</v>
      </c>
      <c r="AB40" s="118">
        <f t="shared" si="18"/>
        <v>3459570</v>
      </c>
    </row>
    <row r="41" spans="1:29" ht="24.95" customHeight="1" x14ac:dyDescent="0.25">
      <c r="A41" s="117"/>
      <c r="B41" s="2">
        <v>38</v>
      </c>
      <c r="C41" s="1" t="s">
        <v>54</v>
      </c>
      <c r="D41" s="1" t="s">
        <v>31</v>
      </c>
      <c r="E41" s="2" t="s">
        <v>32</v>
      </c>
      <c r="F41" s="103">
        <v>32</v>
      </c>
      <c r="G41" s="104" t="s">
        <v>198</v>
      </c>
      <c r="H41" s="104" t="s">
        <v>193</v>
      </c>
      <c r="I41" s="2" t="s">
        <v>194</v>
      </c>
      <c r="J41" s="4">
        <v>4800000</v>
      </c>
      <c r="K41" s="3">
        <v>30</v>
      </c>
      <c r="L41" s="3">
        <f t="shared" si="5"/>
        <v>4800000</v>
      </c>
      <c r="M41" s="4"/>
      <c r="N41" s="4"/>
      <c r="O41" s="4"/>
      <c r="P41" s="4">
        <v>92925</v>
      </c>
      <c r="Q41" s="4"/>
      <c r="R41" s="4">
        <f t="shared" si="1"/>
        <v>4892925</v>
      </c>
      <c r="S41" s="4">
        <f t="shared" si="19"/>
        <v>192000</v>
      </c>
      <c r="T41" s="4">
        <f t="shared" si="20"/>
        <v>240000</v>
      </c>
      <c r="U41" s="4"/>
      <c r="V41" s="4"/>
      <c r="W41" s="7">
        <v>26000</v>
      </c>
      <c r="X41" s="4"/>
      <c r="Y41" s="4"/>
      <c r="Z41" s="4"/>
      <c r="AA41" s="4">
        <f t="shared" si="6"/>
        <v>458000</v>
      </c>
      <c r="AB41" s="118">
        <f t="shared" si="18"/>
        <v>4434925</v>
      </c>
    </row>
    <row r="42" spans="1:29" ht="24.95" customHeight="1" x14ac:dyDescent="0.25">
      <c r="A42" s="117"/>
      <c r="B42" s="2">
        <v>39</v>
      </c>
      <c r="C42" s="1" t="s">
        <v>55</v>
      </c>
      <c r="D42" s="1" t="s">
        <v>31</v>
      </c>
      <c r="E42" s="2" t="s">
        <v>32</v>
      </c>
      <c r="F42" s="103" t="e">
        <f>INT(YEARFRAC('[1]Perfil Sociodemografico'!F73,'[1]Perfil Sociodemografico'!G73))</f>
        <v>#VALUE!</v>
      </c>
      <c r="G42" s="104" t="s">
        <v>192</v>
      </c>
      <c r="H42" s="104" t="s">
        <v>193</v>
      </c>
      <c r="I42" s="2" t="s">
        <v>195</v>
      </c>
      <c r="J42" s="4">
        <v>5500000</v>
      </c>
      <c r="K42" s="3">
        <v>30</v>
      </c>
      <c r="L42" s="3">
        <f t="shared" si="5"/>
        <v>5500000</v>
      </c>
      <c r="M42" s="4"/>
      <c r="N42" s="4"/>
      <c r="O42" s="4"/>
      <c r="P42" s="4"/>
      <c r="Q42" s="4"/>
      <c r="R42" s="4">
        <f t="shared" si="1"/>
        <v>5500000</v>
      </c>
      <c r="S42" s="4">
        <f t="shared" si="19"/>
        <v>220000</v>
      </c>
      <c r="T42" s="4">
        <f t="shared" si="20"/>
        <v>275000</v>
      </c>
      <c r="U42" s="4"/>
      <c r="V42" s="4"/>
      <c r="W42" s="4">
        <v>5022</v>
      </c>
      <c r="X42" s="4"/>
      <c r="Y42" s="4"/>
      <c r="Z42" s="4"/>
      <c r="AA42" s="4">
        <f t="shared" si="6"/>
        <v>500022</v>
      </c>
      <c r="AB42" s="118">
        <f t="shared" si="18"/>
        <v>4999978</v>
      </c>
    </row>
    <row r="43" spans="1:29" ht="24.95" customHeight="1" x14ac:dyDescent="0.25">
      <c r="A43" s="117"/>
      <c r="B43" s="2">
        <v>40</v>
      </c>
      <c r="C43" s="1" t="s">
        <v>56</v>
      </c>
      <c r="D43" s="1" t="s">
        <v>31</v>
      </c>
      <c r="E43" s="2" t="s">
        <v>32</v>
      </c>
      <c r="F43" s="103" t="e">
        <f>INT(YEARFRAC('[1]Perfil Sociodemografico'!F72,'[1]Perfil Sociodemografico'!G72))</f>
        <v>#VALUE!</v>
      </c>
      <c r="G43" s="104" t="s">
        <v>192</v>
      </c>
      <c r="H43" s="104" t="s">
        <v>193</v>
      </c>
      <c r="I43" s="2" t="s">
        <v>195</v>
      </c>
      <c r="J43" s="4">
        <v>5500000</v>
      </c>
      <c r="K43" s="3">
        <v>30</v>
      </c>
      <c r="L43" s="3">
        <f t="shared" si="5"/>
        <v>5500000</v>
      </c>
      <c r="M43" s="4"/>
      <c r="N43" s="4"/>
      <c r="O43" s="4"/>
      <c r="P43" s="4"/>
      <c r="Q43" s="4"/>
      <c r="R43" s="4">
        <f t="shared" si="1"/>
        <v>5500000</v>
      </c>
      <c r="S43" s="4">
        <f>J43*4/100</f>
        <v>220000</v>
      </c>
      <c r="T43" s="4">
        <f t="shared" si="20"/>
        <v>275000</v>
      </c>
      <c r="U43" s="4"/>
      <c r="V43" s="4"/>
      <c r="W43" s="7">
        <v>116000</v>
      </c>
      <c r="X43" s="4"/>
      <c r="Y43" s="4"/>
      <c r="Z43" s="4"/>
      <c r="AA43" s="4">
        <f t="shared" si="6"/>
        <v>611000</v>
      </c>
      <c r="AB43" s="118">
        <f t="shared" si="18"/>
        <v>4889000</v>
      </c>
    </row>
    <row r="44" spans="1:29" ht="24.95" customHeight="1" x14ac:dyDescent="0.25">
      <c r="A44" s="117"/>
      <c r="B44" s="2">
        <v>41</v>
      </c>
      <c r="C44" s="1" t="s">
        <v>112</v>
      </c>
      <c r="D44" s="1" t="s">
        <v>31</v>
      </c>
      <c r="E44" s="2" t="s">
        <v>32</v>
      </c>
      <c r="F44" s="103" t="e">
        <f>INT(YEARFRAC('[1]Perfil Sociodemografico'!F56,'[1]Perfil Sociodemografico'!G56))</f>
        <v>#VALUE!</v>
      </c>
      <c r="G44" s="105" t="s">
        <v>198</v>
      </c>
      <c r="H44" s="105" t="s">
        <v>193</v>
      </c>
      <c r="I44" s="2" t="s">
        <v>195</v>
      </c>
      <c r="J44" s="4">
        <v>4300000</v>
      </c>
      <c r="K44" s="3">
        <v>30</v>
      </c>
      <c r="L44" s="3">
        <f t="shared" si="5"/>
        <v>4300000</v>
      </c>
      <c r="M44" s="4"/>
      <c r="N44" s="4"/>
      <c r="O44" s="4"/>
      <c r="P44" s="4"/>
      <c r="Q44" s="4">
        <f>+J44-L44</f>
        <v>0</v>
      </c>
      <c r="R44" s="4">
        <f t="shared" si="1"/>
        <v>4300000</v>
      </c>
      <c r="S44" s="4">
        <f>+J44*4%</f>
        <v>172000</v>
      </c>
      <c r="T44" s="4">
        <f>+J44*5%</f>
        <v>215000</v>
      </c>
      <c r="U44" s="4"/>
      <c r="V44" s="4"/>
      <c r="W44" s="7">
        <v>0</v>
      </c>
      <c r="X44" s="4"/>
      <c r="Y44" s="4">
        <v>0</v>
      </c>
      <c r="Z44" s="4">
        <v>709704</v>
      </c>
      <c r="AA44" s="4">
        <f t="shared" ref="AA44" si="21">SUM(S44:Z44)</f>
        <v>1096704</v>
      </c>
      <c r="AB44" s="118">
        <f>+R44-AA44</f>
        <v>3203296</v>
      </c>
      <c r="AC44" s="67"/>
    </row>
    <row r="45" spans="1:29" ht="24.95" customHeight="1" x14ac:dyDescent="0.25">
      <c r="A45" s="117"/>
      <c r="B45" s="2">
        <v>42</v>
      </c>
      <c r="C45" s="1" t="s">
        <v>59</v>
      </c>
      <c r="D45" s="1" t="s">
        <v>31</v>
      </c>
      <c r="E45" s="2" t="s">
        <v>32</v>
      </c>
      <c r="F45" s="103" t="e">
        <f>INT(YEARFRAC('[1]Perfil Sociodemografico'!F70,'[1]Perfil Sociodemografico'!G70))</f>
        <v>#VALUE!</v>
      </c>
      <c r="G45" s="104" t="s">
        <v>204</v>
      </c>
      <c r="H45" s="104" t="s">
        <v>193</v>
      </c>
      <c r="I45" s="2" t="s">
        <v>195</v>
      </c>
      <c r="J45" s="4">
        <v>6600000</v>
      </c>
      <c r="K45" s="3">
        <v>30</v>
      </c>
      <c r="L45" s="3">
        <f t="shared" si="5"/>
        <v>6600000</v>
      </c>
      <c r="M45" s="4"/>
      <c r="N45" s="4"/>
      <c r="O45" s="4"/>
      <c r="P45" s="4"/>
      <c r="Q45" s="10"/>
      <c r="R45" s="4">
        <f t="shared" si="1"/>
        <v>6600000</v>
      </c>
      <c r="S45" s="4">
        <f t="shared" si="19"/>
        <v>264000</v>
      </c>
      <c r="T45" s="4">
        <f t="shared" si="20"/>
        <v>330000</v>
      </c>
      <c r="U45" s="4"/>
      <c r="V45" s="4"/>
      <c r="W45" s="7">
        <v>86000</v>
      </c>
      <c r="X45" s="4"/>
      <c r="Y45" s="4"/>
      <c r="Z45" s="4"/>
      <c r="AA45" s="4">
        <f t="shared" si="6"/>
        <v>680000</v>
      </c>
      <c r="AB45" s="118">
        <f>R45-AA45</f>
        <v>5920000</v>
      </c>
    </row>
    <row r="46" spans="1:29" ht="24.95" customHeight="1" x14ac:dyDescent="0.25">
      <c r="A46" s="117"/>
      <c r="B46" s="2">
        <v>43</v>
      </c>
      <c r="C46" s="1" t="s">
        <v>113</v>
      </c>
      <c r="D46" s="1" t="s">
        <v>31</v>
      </c>
      <c r="E46" s="2" t="s">
        <v>32</v>
      </c>
      <c r="F46" s="103" t="e">
        <f>INT(YEARFRAC('[1]Perfil Sociodemografico'!F92,'[1]Perfil Sociodemografico'!G92))</f>
        <v>#VALUE!</v>
      </c>
      <c r="G46" s="104" t="s">
        <v>198</v>
      </c>
      <c r="H46" s="104" t="s">
        <v>193</v>
      </c>
      <c r="I46" s="2" t="s">
        <v>195</v>
      </c>
      <c r="J46" s="4">
        <v>4770000</v>
      </c>
      <c r="K46" s="3">
        <v>30</v>
      </c>
      <c r="L46" s="3">
        <f>+J46-N46</f>
        <v>2703000</v>
      </c>
      <c r="M46" s="4"/>
      <c r="N46" s="4">
        <v>2067000</v>
      </c>
      <c r="O46" s="4"/>
      <c r="P46" s="4">
        <v>160000</v>
      </c>
      <c r="Q46" s="4">
        <v>417368</v>
      </c>
      <c r="R46" s="4">
        <f t="shared" si="1"/>
        <v>5347368</v>
      </c>
      <c r="S46" s="4">
        <f t="shared" ref="S46" si="22">+J46*4%</f>
        <v>190800</v>
      </c>
      <c r="T46" s="4">
        <f>+J46*5%</f>
        <v>238500</v>
      </c>
      <c r="U46" s="4"/>
      <c r="V46" s="4"/>
      <c r="W46" s="7">
        <v>0</v>
      </c>
      <c r="X46" s="4"/>
      <c r="Y46" s="4"/>
      <c r="Z46" s="4"/>
      <c r="AA46" s="4">
        <f t="shared" si="6"/>
        <v>429300</v>
      </c>
      <c r="AB46" s="118">
        <f t="shared" ref="AB46" si="23">+R46-AA46</f>
        <v>4918068</v>
      </c>
    </row>
    <row r="47" spans="1:29" ht="24.95" customHeight="1" x14ac:dyDescent="0.25">
      <c r="A47" s="117"/>
      <c r="B47" s="2">
        <v>44</v>
      </c>
      <c r="C47" s="1" t="s">
        <v>60</v>
      </c>
      <c r="D47" s="1" t="s">
        <v>31</v>
      </c>
      <c r="E47" s="2" t="s">
        <v>32</v>
      </c>
      <c r="F47" s="103" t="e">
        <f>INT(YEARFRAC('[1]Perfil Sociodemografico'!F34,'[1]Perfil Sociodemografico'!G34))</f>
        <v>#VALUE!</v>
      </c>
      <c r="G47" s="104" t="s">
        <v>202</v>
      </c>
      <c r="H47" s="104" t="s">
        <v>193</v>
      </c>
      <c r="I47" s="2" t="s">
        <v>195</v>
      </c>
      <c r="J47" s="4">
        <v>7000000</v>
      </c>
      <c r="K47" s="3">
        <v>30</v>
      </c>
      <c r="L47" s="3">
        <f t="shared" si="5"/>
        <v>7000000</v>
      </c>
      <c r="M47" s="4"/>
      <c r="N47" s="4"/>
      <c r="O47" s="4"/>
      <c r="P47" s="4"/>
      <c r="Q47" s="11"/>
      <c r="R47" s="4">
        <f t="shared" si="1"/>
        <v>7000000</v>
      </c>
      <c r="S47" s="4">
        <f t="shared" si="19"/>
        <v>280000</v>
      </c>
      <c r="T47" s="4">
        <f t="shared" si="20"/>
        <v>350000</v>
      </c>
      <c r="U47" s="4"/>
      <c r="V47" s="4"/>
      <c r="W47" s="7">
        <v>86000</v>
      </c>
      <c r="X47" s="4"/>
      <c r="Y47" s="4"/>
      <c r="Z47" s="4"/>
      <c r="AA47" s="4">
        <f t="shared" si="6"/>
        <v>716000</v>
      </c>
      <c r="AB47" s="118">
        <f>R47-AA47</f>
        <v>6284000</v>
      </c>
    </row>
    <row r="48" spans="1:29" ht="24.95" customHeight="1" x14ac:dyDescent="0.25">
      <c r="A48" s="117"/>
      <c r="B48" s="2">
        <v>45</v>
      </c>
      <c r="C48" s="1" t="s">
        <v>62</v>
      </c>
      <c r="D48" s="1" t="s">
        <v>31</v>
      </c>
      <c r="E48" s="2" t="s">
        <v>32</v>
      </c>
      <c r="F48" s="103" t="e">
        <f>INT(YEARFRAC('[1]Perfil Sociodemografico'!F19,'[1]Perfil Sociodemografico'!G19))</f>
        <v>#VALUE!</v>
      </c>
      <c r="G48" s="105" t="s">
        <v>192</v>
      </c>
      <c r="H48" s="105" t="s">
        <v>193</v>
      </c>
      <c r="I48" s="2" t="s">
        <v>195</v>
      </c>
      <c r="J48" s="4">
        <v>5088000</v>
      </c>
      <c r="K48" s="3">
        <v>30</v>
      </c>
      <c r="L48" s="3">
        <f t="shared" si="5"/>
        <v>5088000</v>
      </c>
      <c r="M48" s="4"/>
      <c r="N48" s="4"/>
      <c r="O48" s="4"/>
      <c r="P48" s="4"/>
      <c r="Q48" s="4"/>
      <c r="R48" s="4">
        <f t="shared" si="1"/>
        <v>5088000</v>
      </c>
      <c r="S48" s="4">
        <f>J48*4/100</f>
        <v>203520</v>
      </c>
      <c r="T48" s="4">
        <f>+J48*0.05</f>
        <v>254400</v>
      </c>
      <c r="U48" s="4"/>
      <c r="V48" s="4"/>
      <c r="W48" s="4">
        <v>0</v>
      </c>
      <c r="X48" s="4">
        <f>1150000</f>
        <v>1150000</v>
      </c>
      <c r="Y48" s="4"/>
      <c r="Z48" s="4">
        <f>209579</f>
        <v>209579</v>
      </c>
      <c r="AA48" s="4">
        <f t="shared" si="6"/>
        <v>1817499</v>
      </c>
      <c r="AB48" s="118">
        <f>R48-AA48</f>
        <v>3270501</v>
      </c>
    </row>
    <row r="49" spans="1:31" ht="24.95" customHeight="1" x14ac:dyDescent="0.25">
      <c r="A49" s="117"/>
      <c r="B49" s="2">
        <v>46</v>
      </c>
      <c r="C49" s="1" t="s">
        <v>63</v>
      </c>
      <c r="D49" s="1" t="s">
        <v>31</v>
      </c>
      <c r="E49" s="2" t="s">
        <v>32</v>
      </c>
      <c r="F49" s="103" t="e">
        <f>INT(YEARFRAC('[1]Perfil Sociodemografico'!F93,'[1]Perfil Sociodemografico'!G93))</f>
        <v>#VALUE!</v>
      </c>
      <c r="G49" s="105" t="s">
        <v>198</v>
      </c>
      <c r="H49" s="105" t="s">
        <v>193</v>
      </c>
      <c r="I49" s="2" t="s">
        <v>195</v>
      </c>
      <c r="J49" s="4">
        <v>4540000</v>
      </c>
      <c r="K49" s="3">
        <v>30</v>
      </c>
      <c r="L49" s="3">
        <f t="shared" si="5"/>
        <v>4540000</v>
      </c>
      <c r="M49" s="4"/>
      <c r="N49" s="4"/>
      <c r="O49" s="4"/>
      <c r="P49" s="4"/>
      <c r="Q49" s="4"/>
      <c r="R49" s="4">
        <f t="shared" si="1"/>
        <v>4540000</v>
      </c>
      <c r="S49" s="4">
        <f t="shared" si="19"/>
        <v>181600</v>
      </c>
      <c r="T49" s="4">
        <f t="shared" si="20"/>
        <v>227000</v>
      </c>
      <c r="U49" s="4"/>
      <c r="V49" s="4">
        <v>270000</v>
      </c>
      <c r="W49" s="7">
        <v>0</v>
      </c>
      <c r="X49" s="4"/>
      <c r="Y49" s="4"/>
      <c r="Z49" s="4">
        <v>407106</v>
      </c>
      <c r="AA49" s="4">
        <f t="shared" si="6"/>
        <v>1085706</v>
      </c>
      <c r="AB49" s="118">
        <f>R49-AA49</f>
        <v>3454294</v>
      </c>
    </row>
    <row r="50" spans="1:31" ht="24.95" customHeight="1" x14ac:dyDescent="0.25">
      <c r="A50" s="117"/>
      <c r="B50" s="2">
        <v>47</v>
      </c>
      <c r="C50" s="1" t="s">
        <v>184</v>
      </c>
      <c r="D50" s="1" t="s">
        <v>31</v>
      </c>
      <c r="E50" s="2" t="s">
        <v>32</v>
      </c>
      <c r="F50" s="103" t="e">
        <f>INT(YEARFRAC('[1]Perfil Sociodemografico'!F90,'[1]Perfil Sociodemografico'!G90))</f>
        <v>#VALUE!</v>
      </c>
      <c r="G50" s="104" t="s">
        <v>198</v>
      </c>
      <c r="H50" s="104" t="s">
        <v>193</v>
      </c>
      <c r="I50" s="2" t="s">
        <v>195</v>
      </c>
      <c r="J50" s="4">
        <v>4500000</v>
      </c>
      <c r="K50" s="3">
        <v>30</v>
      </c>
      <c r="L50" s="3">
        <f t="shared" si="5"/>
        <v>4500000</v>
      </c>
      <c r="M50" s="4"/>
      <c r="N50" s="4"/>
      <c r="O50" s="4"/>
      <c r="P50" s="4"/>
      <c r="Q50" s="4"/>
      <c r="R50" s="4">
        <f t="shared" si="1"/>
        <v>4500000</v>
      </c>
      <c r="S50" s="4">
        <f>L50*4/100</f>
        <v>180000</v>
      </c>
      <c r="T50" s="4">
        <f>+L50*0.05</f>
        <v>225000</v>
      </c>
      <c r="U50" s="4"/>
      <c r="V50" s="4"/>
      <c r="W50" s="7">
        <v>11000</v>
      </c>
      <c r="X50" s="4"/>
      <c r="Y50" s="4"/>
      <c r="Z50" s="4"/>
      <c r="AA50" s="4">
        <f t="shared" si="6"/>
        <v>416000</v>
      </c>
      <c r="AB50" s="118">
        <f>R50-AA50</f>
        <v>4084000</v>
      </c>
    </row>
    <row r="51" spans="1:31" ht="24.95" customHeight="1" x14ac:dyDescent="0.25">
      <c r="A51" s="117"/>
      <c r="B51" s="2">
        <v>48</v>
      </c>
      <c r="C51" s="1" t="s">
        <v>64</v>
      </c>
      <c r="D51" s="1" t="s">
        <v>31</v>
      </c>
      <c r="E51" s="2" t="s">
        <v>32</v>
      </c>
      <c r="F51" s="103" t="e">
        <f>INT(YEARFRAC('[1]Perfil Sociodemografico'!F86,'[1]Perfil Sociodemografico'!G86))</f>
        <v>#VALUE!</v>
      </c>
      <c r="G51" s="104" t="s">
        <v>205</v>
      </c>
      <c r="H51" s="104" t="s">
        <v>206</v>
      </c>
      <c r="I51" s="2" t="s">
        <v>194</v>
      </c>
      <c r="J51" s="4">
        <v>4500000</v>
      </c>
      <c r="K51" s="3">
        <v>30</v>
      </c>
      <c r="L51" s="3">
        <f>+J51-N51</f>
        <v>4150000</v>
      </c>
      <c r="M51" s="4"/>
      <c r="N51" s="4">
        <v>350000</v>
      </c>
      <c r="O51" s="4"/>
      <c r="P51" s="4"/>
      <c r="Q51" s="4"/>
      <c r="R51" s="4">
        <f t="shared" si="1"/>
        <v>4500000</v>
      </c>
      <c r="S51" s="4">
        <f>J51*4/100</f>
        <v>180000</v>
      </c>
      <c r="T51" s="4">
        <f t="shared" si="20"/>
        <v>225000</v>
      </c>
      <c r="U51" s="4"/>
      <c r="V51" s="4"/>
      <c r="W51" s="4">
        <v>0</v>
      </c>
      <c r="X51" s="4"/>
      <c r="Y51" s="4"/>
      <c r="Z51" s="4">
        <v>257196</v>
      </c>
      <c r="AA51" s="4">
        <f t="shared" si="6"/>
        <v>662196</v>
      </c>
      <c r="AB51" s="118">
        <f>+R51-AA51</f>
        <v>3837804</v>
      </c>
    </row>
    <row r="52" spans="1:31" ht="24.95" customHeight="1" x14ac:dyDescent="0.25">
      <c r="A52" s="117"/>
      <c r="B52" s="2">
        <v>49</v>
      </c>
      <c r="C52" s="1" t="s">
        <v>65</v>
      </c>
      <c r="D52" s="1" t="s">
        <v>31</v>
      </c>
      <c r="E52" s="2" t="s">
        <v>32</v>
      </c>
      <c r="F52" s="103" t="e">
        <f>INT(YEARFRAC('[1]Perfil Sociodemografico'!F98,'[1]Perfil Sociodemografico'!G98))</f>
        <v>#VALUE!</v>
      </c>
      <c r="G52" s="104" t="s">
        <v>207</v>
      </c>
      <c r="H52" s="104" t="s">
        <v>193</v>
      </c>
      <c r="I52" s="2" t="s">
        <v>194</v>
      </c>
      <c r="J52" s="4">
        <v>4500000</v>
      </c>
      <c r="K52" s="3">
        <v>30</v>
      </c>
      <c r="L52" s="3">
        <f t="shared" si="5"/>
        <v>4500000</v>
      </c>
      <c r="M52" s="4"/>
      <c r="N52" s="4"/>
      <c r="O52" s="4" t="s">
        <v>185</v>
      </c>
      <c r="P52" s="4"/>
      <c r="Q52" s="4"/>
      <c r="R52" s="4">
        <f>+L52+M52</f>
        <v>4500000</v>
      </c>
      <c r="S52" s="4">
        <f t="shared" si="19"/>
        <v>180000</v>
      </c>
      <c r="T52" s="4">
        <f t="shared" si="20"/>
        <v>225000</v>
      </c>
      <c r="U52" s="4"/>
      <c r="V52" s="4"/>
      <c r="W52" s="4">
        <v>0</v>
      </c>
      <c r="X52" s="4"/>
      <c r="Y52" s="4"/>
      <c r="Z52" s="4"/>
      <c r="AA52" s="4">
        <f t="shared" si="6"/>
        <v>405000</v>
      </c>
      <c r="AB52" s="118">
        <f>+R52-AA52</f>
        <v>4095000</v>
      </c>
    </row>
    <row r="53" spans="1:31" ht="24.95" customHeight="1" x14ac:dyDescent="0.25">
      <c r="A53" s="117"/>
      <c r="B53" s="2">
        <v>50</v>
      </c>
      <c r="C53" s="1" t="s">
        <v>66</v>
      </c>
      <c r="D53" s="1" t="s">
        <v>31</v>
      </c>
      <c r="E53" s="2" t="s">
        <v>32</v>
      </c>
      <c r="F53" s="103" t="e">
        <f>INT(YEARFRAC('[1]Perfil Sociodemografico'!F107,'[1]Perfil Sociodemografico'!G107))</f>
        <v>#VALUE!</v>
      </c>
      <c r="G53" s="104" t="s">
        <v>198</v>
      </c>
      <c r="H53" s="104" t="s">
        <v>193</v>
      </c>
      <c r="I53" s="2" t="s">
        <v>195</v>
      </c>
      <c r="J53" s="4">
        <v>6360000</v>
      </c>
      <c r="K53" s="3">
        <v>30</v>
      </c>
      <c r="L53" s="3">
        <f>+J53-Q53</f>
        <v>6360000</v>
      </c>
      <c r="M53" s="4"/>
      <c r="N53" s="4"/>
      <c r="O53" s="4"/>
      <c r="P53" s="4"/>
      <c r="Q53" s="4"/>
      <c r="R53" s="4">
        <f t="shared" si="1"/>
        <v>6360000</v>
      </c>
      <c r="S53" s="4">
        <f t="shared" si="19"/>
        <v>254400</v>
      </c>
      <c r="T53" s="4">
        <f t="shared" si="20"/>
        <v>318000</v>
      </c>
      <c r="U53" s="4"/>
      <c r="V53" s="4"/>
      <c r="W53" s="4">
        <v>208000</v>
      </c>
      <c r="X53" s="4"/>
      <c r="Y53" s="4">
        <v>122614</v>
      </c>
      <c r="Z53" s="4"/>
      <c r="AA53" s="4">
        <f t="shared" si="6"/>
        <v>903014</v>
      </c>
      <c r="AB53" s="118">
        <f>+R53-AA53</f>
        <v>5456986</v>
      </c>
    </row>
    <row r="54" spans="1:31" ht="24.95" customHeight="1" x14ac:dyDescent="0.25">
      <c r="A54" s="117"/>
      <c r="B54" s="2">
        <v>51</v>
      </c>
      <c r="C54" s="1" t="s">
        <v>153</v>
      </c>
      <c r="D54" s="1" t="s">
        <v>31</v>
      </c>
      <c r="E54" s="2" t="s">
        <v>32</v>
      </c>
      <c r="F54" s="103" t="e">
        <f>INT(YEARFRAC('[1]Perfil Sociodemografico'!F76,'[1]Perfil Sociodemografico'!G76))</f>
        <v>#VALUE!</v>
      </c>
      <c r="G54" s="105" t="s">
        <v>192</v>
      </c>
      <c r="H54" s="105" t="s">
        <v>193</v>
      </c>
      <c r="I54" s="2" t="s">
        <v>194</v>
      </c>
      <c r="J54" s="4">
        <v>3500000</v>
      </c>
      <c r="K54" s="3">
        <v>30</v>
      </c>
      <c r="L54" s="3">
        <f>+J54/30*K54</f>
        <v>3500000</v>
      </c>
      <c r="M54" s="4"/>
      <c r="N54" s="4"/>
      <c r="O54" s="4"/>
      <c r="P54" s="4"/>
      <c r="Q54" s="4"/>
      <c r="R54" s="4">
        <f>+L54+M54+O54+P54+Q54+N54</f>
        <v>3500000</v>
      </c>
      <c r="S54" s="4">
        <f>L54*4/100</f>
        <v>140000</v>
      </c>
      <c r="T54" s="4">
        <f>+L54*0.05</f>
        <v>175000</v>
      </c>
      <c r="U54" s="4"/>
      <c r="V54" s="4"/>
      <c r="W54" s="4">
        <v>0</v>
      </c>
      <c r="X54" s="4"/>
      <c r="Y54" s="4">
        <v>0</v>
      </c>
      <c r="Z54" s="4"/>
      <c r="AA54" s="4">
        <f t="shared" ref="AA54" si="24">SUM(S54:Z54)</f>
        <v>315000</v>
      </c>
      <c r="AB54" s="118">
        <f>+R54-AA54</f>
        <v>3185000</v>
      </c>
    </row>
    <row r="55" spans="1:31" ht="24.95" customHeight="1" x14ac:dyDescent="0.25">
      <c r="A55" s="117"/>
      <c r="B55" s="2">
        <v>52</v>
      </c>
      <c r="C55" s="1" t="s">
        <v>67</v>
      </c>
      <c r="D55" s="1" t="s">
        <v>31</v>
      </c>
      <c r="E55" s="2" t="s">
        <v>32</v>
      </c>
      <c r="F55" s="103" t="e">
        <f>INT(YEARFRAC('[1]Perfil Sociodemografico'!F50,'[1]Perfil Sociodemografico'!G50))</f>
        <v>#VALUE!</v>
      </c>
      <c r="G55" s="105" t="s">
        <v>192</v>
      </c>
      <c r="H55" s="105" t="s">
        <v>193</v>
      </c>
      <c r="I55" s="2" t="s">
        <v>195</v>
      </c>
      <c r="J55" s="4">
        <v>4770000</v>
      </c>
      <c r="K55" s="3">
        <v>30</v>
      </c>
      <c r="L55" s="3">
        <f t="shared" si="5"/>
        <v>4770000</v>
      </c>
      <c r="M55" s="4"/>
      <c r="N55" s="4"/>
      <c r="O55" s="4"/>
      <c r="P55" s="4">
        <v>500000</v>
      </c>
      <c r="Q55" s="4"/>
      <c r="R55" s="4">
        <f t="shared" si="1"/>
        <v>5270000</v>
      </c>
      <c r="S55" s="4">
        <f t="shared" si="19"/>
        <v>190800</v>
      </c>
      <c r="T55" s="4">
        <f t="shared" si="20"/>
        <v>238500</v>
      </c>
      <c r="U55" s="4"/>
      <c r="V55" s="4"/>
      <c r="W55" s="4">
        <v>22000</v>
      </c>
      <c r="X55" s="4"/>
      <c r="Y55" s="4"/>
      <c r="Z55" s="4">
        <v>551399</v>
      </c>
      <c r="AA55" s="4">
        <f t="shared" si="6"/>
        <v>1002699</v>
      </c>
      <c r="AB55" s="118">
        <f>+R55-AA55</f>
        <v>4267301</v>
      </c>
    </row>
    <row r="56" spans="1:31" ht="24.95" customHeight="1" x14ac:dyDescent="0.25">
      <c r="A56" s="117"/>
      <c r="B56" s="2">
        <v>53</v>
      </c>
      <c r="C56" s="1" t="s">
        <v>69</v>
      </c>
      <c r="D56" s="1" t="s">
        <v>31</v>
      </c>
      <c r="E56" s="2" t="s">
        <v>32</v>
      </c>
      <c r="F56" s="103" t="e">
        <f>INT(YEARFRAC('[1]Perfil Sociodemografico'!F41,'[1]Perfil Sociodemografico'!G41))</f>
        <v>#VALUE!</v>
      </c>
      <c r="G56" s="104" t="s">
        <v>208</v>
      </c>
      <c r="H56" s="104" t="s">
        <v>193</v>
      </c>
      <c r="I56" s="2" t="s">
        <v>194</v>
      </c>
      <c r="J56" s="4">
        <v>6000000</v>
      </c>
      <c r="K56" s="3">
        <v>30</v>
      </c>
      <c r="L56" s="3">
        <f>+J56-Q56</f>
        <v>6000000</v>
      </c>
      <c r="M56" s="4"/>
      <c r="N56" s="4"/>
      <c r="O56" s="4"/>
      <c r="P56" s="4"/>
      <c r="Q56" s="4"/>
      <c r="R56" s="4">
        <f t="shared" si="1"/>
        <v>6000000</v>
      </c>
      <c r="S56" s="4">
        <f t="shared" si="19"/>
        <v>240000</v>
      </c>
      <c r="T56" s="4">
        <f t="shared" si="20"/>
        <v>300000</v>
      </c>
      <c r="U56" s="4">
        <v>0</v>
      </c>
      <c r="V56" s="4"/>
      <c r="W56" s="4">
        <v>0</v>
      </c>
      <c r="X56" s="4"/>
      <c r="Y56" s="4"/>
      <c r="Z56" s="4"/>
      <c r="AA56" s="4">
        <f t="shared" si="6"/>
        <v>540000</v>
      </c>
      <c r="AB56" s="118">
        <f>R56-AA56</f>
        <v>5460000</v>
      </c>
      <c r="AE56" s="62">
        <v>321831000</v>
      </c>
    </row>
    <row r="57" spans="1:31" ht="24.95" customHeight="1" x14ac:dyDescent="0.25">
      <c r="A57" s="117"/>
      <c r="B57" s="2">
        <v>54</v>
      </c>
      <c r="C57" s="1" t="s">
        <v>70</v>
      </c>
      <c r="D57" s="1" t="s">
        <v>31</v>
      </c>
      <c r="E57" s="2" t="s">
        <v>32</v>
      </c>
      <c r="F57" s="103" t="e">
        <f>INT(YEARFRAC('[1]Perfil Sociodemografico'!F47,'[1]Perfil Sociodemografico'!G47))</f>
        <v>#VALUE!</v>
      </c>
      <c r="G57" s="104" t="s">
        <v>192</v>
      </c>
      <c r="H57" s="104" t="s">
        <v>193</v>
      </c>
      <c r="I57" s="2" t="s">
        <v>195</v>
      </c>
      <c r="J57" s="4">
        <v>7800000</v>
      </c>
      <c r="K57" s="3">
        <v>30</v>
      </c>
      <c r="L57" s="3">
        <f t="shared" si="5"/>
        <v>7800000</v>
      </c>
      <c r="M57" s="4"/>
      <c r="N57" s="4"/>
      <c r="O57" s="4"/>
      <c r="P57" s="4">
        <v>1200000</v>
      </c>
      <c r="Q57" s="4">
        <v>2535000</v>
      </c>
      <c r="R57" s="4">
        <f t="shared" si="1"/>
        <v>11535000</v>
      </c>
      <c r="S57" s="4">
        <f>(J57*4/100)+101400</f>
        <v>413400</v>
      </c>
      <c r="T57" s="4">
        <f>+(J57*0.05)+126750</f>
        <v>516750</v>
      </c>
      <c r="U57" s="4"/>
      <c r="V57" s="4"/>
      <c r="W57" s="4">
        <v>302000</v>
      </c>
      <c r="X57" s="4"/>
      <c r="Y57" s="4"/>
      <c r="Z57" s="4"/>
      <c r="AA57" s="4">
        <f t="shared" si="6"/>
        <v>1232150</v>
      </c>
      <c r="AB57" s="118">
        <f>+R57-AA57</f>
        <v>10302850</v>
      </c>
      <c r="AE57" s="62">
        <f>+AE56/2</f>
        <v>160915500</v>
      </c>
    </row>
    <row r="58" spans="1:31" ht="24.95" customHeight="1" x14ac:dyDescent="0.25">
      <c r="A58" s="117"/>
      <c r="B58" s="2">
        <v>55</v>
      </c>
      <c r="C58" s="9" t="s">
        <v>72</v>
      </c>
      <c r="D58" s="1" t="s">
        <v>31</v>
      </c>
      <c r="E58" s="2" t="s">
        <v>32</v>
      </c>
      <c r="F58" s="103" t="e">
        <f>INT(YEARFRAC('[1]Perfil Sociodemografico'!F100,'[1]Perfil Sociodemografico'!G100))</f>
        <v>#VALUE!</v>
      </c>
      <c r="G58" s="104" t="s">
        <v>200</v>
      </c>
      <c r="H58" s="104" t="s">
        <v>193</v>
      </c>
      <c r="I58" s="2" t="s">
        <v>194</v>
      </c>
      <c r="J58" s="4">
        <v>7000000</v>
      </c>
      <c r="K58" s="3">
        <v>30</v>
      </c>
      <c r="L58" s="3">
        <f>+J58-Q58</f>
        <v>7000000</v>
      </c>
      <c r="M58" s="4"/>
      <c r="N58" s="4"/>
      <c r="O58" s="4">
        <v>0</v>
      </c>
      <c r="P58" s="4"/>
      <c r="Q58" s="4"/>
      <c r="R58" s="4">
        <f t="shared" si="1"/>
        <v>7000000</v>
      </c>
      <c r="S58" s="4">
        <f>J58*4/100</f>
        <v>280000</v>
      </c>
      <c r="T58" s="4">
        <f>+J58*0.05</f>
        <v>350000</v>
      </c>
      <c r="U58" s="4"/>
      <c r="V58" s="4"/>
      <c r="W58" s="4">
        <v>182000</v>
      </c>
      <c r="X58" s="4"/>
      <c r="Y58" s="4"/>
      <c r="Z58" s="4"/>
      <c r="AA58" s="4">
        <f t="shared" si="6"/>
        <v>812000</v>
      </c>
      <c r="AB58" s="118">
        <f>R58-AA58</f>
        <v>6188000</v>
      </c>
    </row>
    <row r="59" spans="1:31" ht="24.95" customHeight="1" x14ac:dyDescent="0.25">
      <c r="A59" s="117"/>
      <c r="B59" s="2">
        <v>56</v>
      </c>
      <c r="C59" s="1" t="s">
        <v>73</v>
      </c>
      <c r="D59" s="1" t="s">
        <v>31</v>
      </c>
      <c r="E59" s="2" t="s">
        <v>32</v>
      </c>
      <c r="F59" s="103" t="e">
        <f>INT(YEARFRAC('[1]Perfil Sociodemografico'!F25,'[1]Perfil Sociodemografico'!G25))</f>
        <v>#VALUE!</v>
      </c>
      <c r="G59" s="105" t="s">
        <v>192</v>
      </c>
      <c r="H59" s="105" t="s">
        <v>193</v>
      </c>
      <c r="I59" s="2" t="s">
        <v>194</v>
      </c>
      <c r="J59" s="4">
        <v>5350000</v>
      </c>
      <c r="K59" s="3">
        <v>30</v>
      </c>
      <c r="L59" s="3">
        <f t="shared" si="5"/>
        <v>5350000</v>
      </c>
      <c r="M59" s="4"/>
      <c r="N59" s="4"/>
      <c r="O59" s="4"/>
      <c r="P59" s="4"/>
      <c r="Q59" s="4"/>
      <c r="R59" s="4">
        <f t="shared" si="1"/>
        <v>5350000</v>
      </c>
      <c r="S59" s="4">
        <f t="shared" si="19"/>
        <v>214000</v>
      </c>
      <c r="T59" s="4">
        <f t="shared" si="20"/>
        <v>267500</v>
      </c>
      <c r="U59" s="4"/>
      <c r="V59" s="4"/>
      <c r="W59" s="4">
        <v>95000</v>
      </c>
      <c r="X59" s="4"/>
      <c r="Y59" s="4"/>
      <c r="Z59" s="4"/>
      <c r="AA59" s="4">
        <f t="shared" si="6"/>
        <v>576500</v>
      </c>
      <c r="AB59" s="118">
        <f t="shared" ref="AB59:AB66" si="25">+R59-AA59</f>
        <v>4773500</v>
      </c>
    </row>
    <row r="60" spans="1:31" ht="24.95" customHeight="1" x14ac:dyDescent="0.25">
      <c r="A60" s="117"/>
      <c r="B60" s="2">
        <v>57</v>
      </c>
      <c r="C60" s="1" t="s">
        <v>74</v>
      </c>
      <c r="D60" s="2" t="s">
        <v>31</v>
      </c>
      <c r="E60" s="2" t="s">
        <v>32</v>
      </c>
      <c r="F60" s="103" t="e">
        <f>INT(YEARFRAC('[1]Perfil Sociodemografico'!F42,'[1]Perfil Sociodemografico'!G42))</f>
        <v>#VALUE!</v>
      </c>
      <c r="G60" s="104" t="s">
        <v>198</v>
      </c>
      <c r="H60" s="104" t="s">
        <v>193</v>
      </c>
      <c r="I60" s="2" t="s">
        <v>194</v>
      </c>
      <c r="J60" s="4">
        <v>4500000</v>
      </c>
      <c r="K60" s="3">
        <v>30</v>
      </c>
      <c r="L60" s="3">
        <f>+J60-Q60</f>
        <v>4500000</v>
      </c>
      <c r="M60" s="4"/>
      <c r="N60" s="4"/>
      <c r="O60" s="4"/>
      <c r="P60" s="4"/>
      <c r="Q60" s="4"/>
      <c r="R60" s="4">
        <f t="shared" si="1"/>
        <v>4500000</v>
      </c>
      <c r="S60" s="4">
        <f t="shared" si="19"/>
        <v>180000</v>
      </c>
      <c r="T60" s="4">
        <f t="shared" si="20"/>
        <v>225000</v>
      </c>
      <c r="U60" s="4"/>
      <c r="V60" s="4"/>
      <c r="W60" s="4">
        <v>0</v>
      </c>
      <c r="X60" s="4"/>
      <c r="Y60" s="4"/>
      <c r="Z60" s="4"/>
      <c r="AA60" s="4">
        <f t="shared" si="6"/>
        <v>405000</v>
      </c>
      <c r="AB60" s="118">
        <f t="shared" si="25"/>
        <v>4095000</v>
      </c>
    </row>
    <row r="61" spans="1:31" ht="24.95" customHeight="1" x14ac:dyDescent="0.25">
      <c r="A61" s="117"/>
      <c r="B61" s="2">
        <v>58</v>
      </c>
      <c r="C61" s="1" t="s">
        <v>75</v>
      </c>
      <c r="D61" s="1" t="s">
        <v>31</v>
      </c>
      <c r="E61" s="2" t="s">
        <v>32</v>
      </c>
      <c r="F61" s="103" t="e">
        <f>INT(YEARFRAC('[1]Perfil Sociodemografico'!F111,'[1]Perfil Sociodemografico'!G111))</f>
        <v>#VALUE!</v>
      </c>
      <c r="G61" s="105" t="s">
        <v>192</v>
      </c>
      <c r="H61" s="105" t="s">
        <v>193</v>
      </c>
      <c r="I61" s="2" t="s">
        <v>195</v>
      </c>
      <c r="J61" s="4">
        <v>4770000</v>
      </c>
      <c r="K61" s="3">
        <v>30</v>
      </c>
      <c r="L61" s="3">
        <f t="shared" si="5"/>
        <v>4770000</v>
      </c>
      <c r="M61" s="4"/>
      <c r="N61" s="4"/>
      <c r="O61" s="4"/>
      <c r="P61" s="4"/>
      <c r="Q61" s="4"/>
      <c r="R61" s="4">
        <f t="shared" si="1"/>
        <v>4770000</v>
      </c>
      <c r="S61" s="4">
        <f>R61*4/100</f>
        <v>190800</v>
      </c>
      <c r="T61" s="4">
        <f>+R61*0.05</f>
        <v>238500</v>
      </c>
      <c r="U61" s="4"/>
      <c r="V61" s="4"/>
      <c r="W61" s="4">
        <v>0</v>
      </c>
      <c r="X61" s="4"/>
      <c r="Y61" s="4"/>
      <c r="Z61" s="4">
        <v>317224</v>
      </c>
      <c r="AA61" s="4">
        <f t="shared" si="6"/>
        <v>746524</v>
      </c>
      <c r="AB61" s="118">
        <f t="shared" si="25"/>
        <v>4023476</v>
      </c>
    </row>
    <row r="62" spans="1:31" ht="24.95" customHeight="1" x14ac:dyDescent="0.25">
      <c r="A62" s="117"/>
      <c r="B62" s="2">
        <v>59</v>
      </c>
      <c r="C62" s="1" t="s">
        <v>163</v>
      </c>
      <c r="D62" s="1" t="s">
        <v>31</v>
      </c>
      <c r="E62" s="2" t="s">
        <v>32</v>
      </c>
      <c r="F62" s="103" t="e">
        <f>INT(YEARFRAC('[1]Perfil Sociodemografico'!F67,'[1]Perfil Sociodemografico'!G67))</f>
        <v>#VALUE!</v>
      </c>
      <c r="G62" s="104" t="s">
        <v>209</v>
      </c>
      <c r="H62" s="104" t="s">
        <v>193</v>
      </c>
      <c r="I62" s="2" t="s">
        <v>195</v>
      </c>
      <c r="J62" s="4">
        <v>6800000</v>
      </c>
      <c r="K62" s="3">
        <v>30</v>
      </c>
      <c r="L62" s="3">
        <f t="shared" si="5"/>
        <v>6800000</v>
      </c>
      <c r="M62" s="4"/>
      <c r="N62" s="4"/>
      <c r="O62" s="4"/>
      <c r="P62" s="4"/>
      <c r="Q62" s="4"/>
      <c r="R62" s="4">
        <f t="shared" si="1"/>
        <v>6800000</v>
      </c>
      <c r="S62" s="4">
        <f>+L62*4%</f>
        <v>272000</v>
      </c>
      <c r="T62" s="4">
        <f>+L62*0.05</f>
        <v>340000</v>
      </c>
      <c r="U62" s="4"/>
      <c r="V62" s="4"/>
      <c r="W62" s="4">
        <v>115000</v>
      </c>
      <c r="X62" s="4"/>
      <c r="Y62" s="4"/>
      <c r="Z62" s="4"/>
      <c r="AA62" s="4">
        <f t="shared" ref="AA62" si="26">SUM(S62:Z62)</f>
        <v>727000</v>
      </c>
      <c r="AB62" s="118">
        <f t="shared" si="25"/>
        <v>6073000</v>
      </c>
    </row>
    <row r="63" spans="1:31" ht="24.95" customHeight="1" x14ac:dyDescent="0.25">
      <c r="A63" s="117"/>
      <c r="B63" s="2">
        <v>60</v>
      </c>
      <c r="C63" s="1" t="s">
        <v>76</v>
      </c>
      <c r="D63" s="1" t="s">
        <v>31</v>
      </c>
      <c r="E63" s="2" t="s">
        <v>32</v>
      </c>
      <c r="F63" s="103" t="e">
        <f>INT(YEARFRAC('[1]Perfil Sociodemografico'!F79,'[1]Perfil Sociodemografico'!G79))</f>
        <v>#VALUE!</v>
      </c>
      <c r="G63" s="105" t="s">
        <v>198</v>
      </c>
      <c r="H63" s="105" t="s">
        <v>193</v>
      </c>
      <c r="I63" s="2" t="s">
        <v>195</v>
      </c>
      <c r="J63" s="4">
        <v>5200000</v>
      </c>
      <c r="K63" s="3">
        <v>30</v>
      </c>
      <c r="L63" s="3">
        <f>+J63-Q63</f>
        <v>5200000</v>
      </c>
      <c r="M63" s="4"/>
      <c r="N63" s="4"/>
      <c r="O63" s="4"/>
      <c r="P63" s="4"/>
      <c r="Q63" s="4"/>
      <c r="R63" s="4">
        <f t="shared" si="1"/>
        <v>5200000</v>
      </c>
      <c r="S63" s="4">
        <f>J63*4/100</f>
        <v>208000</v>
      </c>
      <c r="T63" s="4">
        <f>+J63*0.05</f>
        <v>260000</v>
      </c>
      <c r="U63" s="4"/>
      <c r="V63" s="4"/>
      <c r="W63" s="4">
        <v>55000</v>
      </c>
      <c r="X63" s="4"/>
      <c r="Y63" s="4"/>
      <c r="Z63" s="4">
        <v>1198791</v>
      </c>
      <c r="AA63" s="4">
        <f t="shared" si="6"/>
        <v>1721791</v>
      </c>
      <c r="AB63" s="118">
        <f t="shared" si="25"/>
        <v>3478209</v>
      </c>
    </row>
    <row r="64" spans="1:31" ht="24.95" customHeight="1" x14ac:dyDescent="0.25">
      <c r="A64" s="117"/>
      <c r="B64" s="2">
        <v>61</v>
      </c>
      <c r="C64" s="1" t="s">
        <v>77</v>
      </c>
      <c r="D64" s="1" t="s">
        <v>31</v>
      </c>
      <c r="E64" s="2" t="s">
        <v>32</v>
      </c>
      <c r="F64" s="103" t="e">
        <f>INT(YEARFRAC('[1]Perfil Sociodemografico'!F110,'[1]Perfil Sociodemografico'!G110))</f>
        <v>#VALUE!</v>
      </c>
      <c r="G64" s="105" t="s">
        <v>192</v>
      </c>
      <c r="H64" s="104" t="s">
        <v>193</v>
      </c>
      <c r="I64" s="2" t="s">
        <v>195</v>
      </c>
      <c r="J64" s="4">
        <v>4400000</v>
      </c>
      <c r="K64" s="3">
        <v>30</v>
      </c>
      <c r="L64" s="3">
        <f>+J64-Q64</f>
        <v>4400000</v>
      </c>
      <c r="M64" s="4"/>
      <c r="N64" s="4"/>
      <c r="O64" s="4"/>
      <c r="P64" s="4"/>
      <c r="Q64" s="4"/>
      <c r="R64" s="4">
        <f t="shared" si="1"/>
        <v>4400000</v>
      </c>
      <c r="S64" s="4">
        <f>J64*4/100</f>
        <v>176000</v>
      </c>
      <c r="T64" s="4">
        <f>+J64*0.05</f>
        <v>220000</v>
      </c>
      <c r="U64" s="4"/>
      <c r="V64" s="4"/>
      <c r="W64" s="4">
        <v>0</v>
      </c>
      <c r="X64" s="4"/>
      <c r="Y64" s="4"/>
      <c r="Z64" s="4">
        <v>141077</v>
      </c>
      <c r="AA64" s="4">
        <f t="shared" si="6"/>
        <v>537077</v>
      </c>
      <c r="AB64" s="118">
        <f t="shared" si="25"/>
        <v>3862923</v>
      </c>
    </row>
    <row r="65" spans="1:28" ht="24.95" customHeight="1" x14ac:dyDescent="0.25">
      <c r="A65" s="117"/>
      <c r="B65" s="2">
        <v>62</v>
      </c>
      <c r="C65" s="1" t="s">
        <v>78</v>
      </c>
      <c r="D65" s="1" t="s">
        <v>31</v>
      </c>
      <c r="E65" s="2" t="s">
        <v>32</v>
      </c>
      <c r="F65" s="2">
        <v>36</v>
      </c>
      <c r="G65" s="105" t="s">
        <v>192</v>
      </c>
      <c r="H65" s="104" t="s">
        <v>193</v>
      </c>
      <c r="I65" s="2" t="s">
        <v>195</v>
      </c>
      <c r="J65" s="4">
        <v>7800000</v>
      </c>
      <c r="K65" s="3">
        <v>30</v>
      </c>
      <c r="L65" s="3">
        <f t="shared" si="5"/>
        <v>7800000</v>
      </c>
      <c r="M65" s="4"/>
      <c r="N65" s="4"/>
      <c r="O65" s="4"/>
      <c r="P65" s="4">
        <v>400000</v>
      </c>
      <c r="Q65" s="4"/>
      <c r="R65" s="4">
        <f t="shared" si="1"/>
        <v>8200000</v>
      </c>
      <c r="S65" s="4">
        <f>J65*4/100</f>
        <v>312000</v>
      </c>
      <c r="T65" s="4">
        <f>+J65*0.05</f>
        <v>390000</v>
      </c>
      <c r="U65" s="4"/>
      <c r="V65" s="4"/>
      <c r="W65" s="4">
        <v>315000</v>
      </c>
      <c r="X65" s="4"/>
      <c r="Y65" s="4"/>
      <c r="Z65" s="4"/>
      <c r="AA65" s="4">
        <f t="shared" si="6"/>
        <v>1017000</v>
      </c>
      <c r="AB65" s="118">
        <f t="shared" si="25"/>
        <v>7183000</v>
      </c>
    </row>
    <row r="66" spans="1:28" ht="24.95" customHeight="1" x14ac:dyDescent="0.25">
      <c r="A66" s="117"/>
      <c r="B66" s="2">
        <v>63</v>
      </c>
      <c r="C66" s="1" t="s">
        <v>154</v>
      </c>
      <c r="D66" s="1" t="s">
        <v>31</v>
      </c>
      <c r="E66" s="2" t="s">
        <v>32</v>
      </c>
      <c r="F66" s="103" t="e">
        <f>INT(YEARFRAC('[1]Perfil Sociodemografico'!F17,'[1]Perfil Sociodemografico'!G17))</f>
        <v>#VALUE!</v>
      </c>
      <c r="G66" s="105" t="s">
        <v>192</v>
      </c>
      <c r="H66" s="105" t="s">
        <v>193</v>
      </c>
      <c r="I66" s="2" t="s">
        <v>195</v>
      </c>
      <c r="J66" s="4">
        <v>4000000</v>
      </c>
      <c r="K66" s="3">
        <v>30</v>
      </c>
      <c r="L66" s="3">
        <f t="shared" si="5"/>
        <v>4000000.0000000005</v>
      </c>
      <c r="M66" s="4"/>
      <c r="N66" s="4"/>
      <c r="O66" s="4"/>
      <c r="P66" s="4"/>
      <c r="Q66" s="4"/>
      <c r="R66" s="4">
        <f t="shared" si="1"/>
        <v>4000000.0000000005</v>
      </c>
      <c r="S66" s="4">
        <f>L66*4/100</f>
        <v>160000.00000000003</v>
      </c>
      <c r="T66" s="4">
        <f>+L66*0.05</f>
        <v>200000.00000000003</v>
      </c>
      <c r="U66" s="4"/>
      <c r="V66" s="4"/>
      <c r="W66" s="4"/>
      <c r="X66" s="4"/>
      <c r="Y66" s="4"/>
      <c r="Z66" s="4"/>
      <c r="AA66" s="4">
        <f t="shared" ref="AA66" si="27">SUM(S66:Z66)</f>
        <v>360000.00000000006</v>
      </c>
      <c r="AB66" s="118">
        <f t="shared" si="25"/>
        <v>3640000.0000000005</v>
      </c>
    </row>
    <row r="67" spans="1:28" ht="24.95" customHeight="1" x14ac:dyDescent="0.25">
      <c r="A67" s="117"/>
      <c r="B67" s="2">
        <v>64</v>
      </c>
      <c r="C67" s="1" t="s">
        <v>178</v>
      </c>
      <c r="D67" s="1" t="s">
        <v>31</v>
      </c>
      <c r="E67" s="2" t="s">
        <v>32</v>
      </c>
      <c r="F67" s="103" t="e">
        <f>INT(YEARFRAC('[1]Perfil Sociodemografico'!F99,'[1]Perfil Sociodemografico'!G99))</f>
        <v>#VALUE!</v>
      </c>
      <c r="G67" s="104" t="s">
        <v>192</v>
      </c>
      <c r="H67" s="104" t="s">
        <v>199</v>
      </c>
      <c r="I67" s="2" t="s">
        <v>194</v>
      </c>
      <c r="J67" s="4">
        <v>5500000</v>
      </c>
      <c r="K67" s="3">
        <v>30</v>
      </c>
      <c r="L67" s="3">
        <f t="shared" si="5"/>
        <v>5500000</v>
      </c>
      <c r="M67" s="4"/>
      <c r="N67" s="4"/>
      <c r="O67" s="4"/>
      <c r="P67" s="4"/>
      <c r="Q67" s="4">
        <v>0</v>
      </c>
      <c r="R67" s="4">
        <f t="shared" si="1"/>
        <v>5500000</v>
      </c>
      <c r="S67" s="4">
        <f>L67*4/100</f>
        <v>220000</v>
      </c>
      <c r="T67" s="4">
        <f>+L67*0.05</f>
        <v>275000</v>
      </c>
      <c r="U67" s="4"/>
      <c r="V67" s="4"/>
      <c r="W67" s="4">
        <v>0</v>
      </c>
      <c r="X67" s="4">
        <v>1300000</v>
      </c>
      <c r="Y67" s="4"/>
      <c r="Z67" s="4"/>
      <c r="AA67" s="4">
        <f t="shared" si="6"/>
        <v>1795000</v>
      </c>
      <c r="AB67" s="118">
        <f>R67-AA67</f>
        <v>3705000</v>
      </c>
    </row>
    <row r="68" spans="1:28" ht="24.95" customHeight="1" x14ac:dyDescent="0.25">
      <c r="A68" s="117"/>
      <c r="B68" s="2">
        <v>65</v>
      </c>
      <c r="C68" s="1" t="s">
        <v>80</v>
      </c>
      <c r="D68" s="1" t="s">
        <v>31</v>
      </c>
      <c r="E68" s="2" t="s">
        <v>32</v>
      </c>
      <c r="F68" s="103" t="e">
        <f>INT(YEARFRAC('[1]Perfil Sociodemografico'!F32,'[1]Perfil Sociodemografico'!G32))</f>
        <v>#VALUE!</v>
      </c>
      <c r="G68" s="104" t="s">
        <v>198</v>
      </c>
      <c r="H68" s="104" t="s">
        <v>193</v>
      </c>
      <c r="I68" s="2" t="s">
        <v>195</v>
      </c>
      <c r="J68" s="4">
        <v>6000000</v>
      </c>
      <c r="K68" s="3">
        <v>30</v>
      </c>
      <c r="L68" s="3">
        <f t="shared" si="5"/>
        <v>6000000</v>
      </c>
      <c r="M68" s="4"/>
      <c r="N68" s="4"/>
      <c r="O68" s="4"/>
      <c r="P68" s="4">
        <v>400000</v>
      </c>
      <c r="Q68" s="4"/>
      <c r="R68" s="4">
        <f t="shared" si="1"/>
        <v>6400000</v>
      </c>
      <c r="S68" s="4">
        <f t="shared" si="19"/>
        <v>240000</v>
      </c>
      <c r="T68" s="4">
        <f t="shared" si="20"/>
        <v>300000</v>
      </c>
      <c r="U68" s="4"/>
      <c r="V68" s="4"/>
      <c r="W68" s="4">
        <v>120000</v>
      </c>
      <c r="X68" s="4"/>
      <c r="Y68" s="4"/>
      <c r="Z68" s="4"/>
      <c r="AA68" s="4">
        <f t="shared" si="6"/>
        <v>660000</v>
      </c>
      <c r="AB68" s="118">
        <f>R68-AA68</f>
        <v>5740000</v>
      </c>
    </row>
    <row r="69" spans="1:28" ht="24.95" customHeight="1" x14ac:dyDescent="0.25">
      <c r="A69" s="117"/>
      <c r="B69" s="2">
        <v>66</v>
      </c>
      <c r="C69" s="1" t="s">
        <v>81</v>
      </c>
      <c r="D69" s="1" t="s">
        <v>31</v>
      </c>
      <c r="E69" s="2" t="s">
        <v>32</v>
      </c>
      <c r="F69" s="103" t="e">
        <f>INT(YEARFRAC('[1]Perfil Sociodemografico'!F120,'[1]Perfil Sociodemografico'!G120))</f>
        <v>#VALUE!</v>
      </c>
      <c r="G69" s="104" t="s">
        <v>192</v>
      </c>
      <c r="H69" s="104" t="s">
        <v>193</v>
      </c>
      <c r="I69" s="2" t="s">
        <v>195</v>
      </c>
      <c r="J69" s="4">
        <v>4800000</v>
      </c>
      <c r="K69" s="3">
        <v>30</v>
      </c>
      <c r="L69" s="3">
        <f>+J69-Q69</f>
        <v>4800000</v>
      </c>
      <c r="M69" s="4"/>
      <c r="N69" s="4"/>
      <c r="O69" s="4"/>
      <c r="P69" s="4"/>
      <c r="Q69" s="4"/>
      <c r="R69" s="4">
        <f t="shared" si="1"/>
        <v>4800000</v>
      </c>
      <c r="S69" s="4">
        <f>+J69*4%</f>
        <v>192000</v>
      </c>
      <c r="T69" s="4">
        <f>+J69*5%</f>
        <v>240000</v>
      </c>
      <c r="U69" s="4"/>
      <c r="V69" s="4"/>
      <c r="W69" s="4">
        <v>26000</v>
      </c>
      <c r="X69" s="4"/>
      <c r="Y69" s="4"/>
      <c r="Z69" s="4"/>
      <c r="AA69" s="4">
        <f t="shared" si="6"/>
        <v>458000</v>
      </c>
      <c r="AB69" s="118">
        <f>+R69-AA69</f>
        <v>4342000</v>
      </c>
    </row>
    <row r="70" spans="1:28" ht="24.95" customHeight="1" x14ac:dyDescent="0.25">
      <c r="A70" s="117"/>
      <c r="B70" s="2">
        <v>67</v>
      </c>
      <c r="C70" s="1" t="s">
        <v>155</v>
      </c>
      <c r="D70" s="1" t="s">
        <v>31</v>
      </c>
      <c r="E70" s="2" t="s">
        <v>32</v>
      </c>
      <c r="F70" s="103">
        <v>37</v>
      </c>
      <c r="G70" s="104" t="s">
        <v>192</v>
      </c>
      <c r="H70" s="104" t="s">
        <v>193</v>
      </c>
      <c r="I70" s="2" t="s">
        <v>195</v>
      </c>
      <c r="J70" s="4">
        <v>4500000</v>
      </c>
      <c r="K70" s="3">
        <v>30</v>
      </c>
      <c r="L70" s="3">
        <f t="shared" si="5"/>
        <v>4500000</v>
      </c>
      <c r="M70" s="4"/>
      <c r="N70" s="4"/>
      <c r="O70" s="4"/>
      <c r="P70" s="4"/>
      <c r="Q70" s="4"/>
      <c r="R70" s="4">
        <f t="shared" si="1"/>
        <v>4500000</v>
      </c>
      <c r="S70" s="4">
        <f>+L70*4%</f>
        <v>180000</v>
      </c>
      <c r="T70" s="4">
        <f>+L70*5%</f>
        <v>225000</v>
      </c>
      <c r="U70" s="4"/>
      <c r="V70" s="4"/>
      <c r="W70" s="4"/>
      <c r="X70" s="4"/>
      <c r="Y70" s="4"/>
      <c r="Z70" s="4"/>
      <c r="AA70" s="4">
        <f t="shared" si="6"/>
        <v>405000</v>
      </c>
      <c r="AB70" s="118">
        <f>+R70-AA70</f>
        <v>4095000</v>
      </c>
    </row>
    <row r="71" spans="1:28" ht="24.95" customHeight="1" x14ac:dyDescent="0.25">
      <c r="A71" s="117"/>
      <c r="B71" s="2">
        <v>68</v>
      </c>
      <c r="C71" s="1" t="s">
        <v>82</v>
      </c>
      <c r="D71" s="1" t="s">
        <v>31</v>
      </c>
      <c r="E71" s="2" t="s">
        <v>32</v>
      </c>
      <c r="F71" s="103" t="e">
        <f>INT(YEARFRAC('[1]Perfil Sociodemografico'!F66,'[1]Perfil Sociodemografico'!G66))</f>
        <v>#VALUE!</v>
      </c>
      <c r="G71" s="104" t="s">
        <v>202</v>
      </c>
      <c r="H71" s="104" t="s">
        <v>193</v>
      </c>
      <c r="I71" s="2" t="s">
        <v>195</v>
      </c>
      <c r="J71" s="4">
        <v>6500000</v>
      </c>
      <c r="K71" s="3">
        <v>30</v>
      </c>
      <c r="L71" s="3">
        <f t="shared" si="5"/>
        <v>6500000</v>
      </c>
      <c r="M71" s="4"/>
      <c r="N71" s="4"/>
      <c r="O71" s="4"/>
      <c r="P71" s="4"/>
      <c r="Q71" s="4"/>
      <c r="R71" s="4">
        <f t="shared" si="1"/>
        <v>6500000</v>
      </c>
      <c r="S71" s="4">
        <f>+J71*0.04</f>
        <v>260000</v>
      </c>
      <c r="T71" s="4">
        <f>+J71*0.05</f>
        <v>325000</v>
      </c>
      <c r="U71" s="4"/>
      <c r="V71" s="4">
        <v>147000</v>
      </c>
      <c r="W71" s="4">
        <v>207372</v>
      </c>
      <c r="X71" s="4"/>
      <c r="Y71" s="4"/>
      <c r="Z71" s="4"/>
      <c r="AA71" s="4">
        <f t="shared" si="6"/>
        <v>939372</v>
      </c>
      <c r="AB71" s="118">
        <f>R71-AA71</f>
        <v>5560628</v>
      </c>
    </row>
    <row r="72" spans="1:28" ht="24.75" customHeight="1" x14ac:dyDescent="0.25">
      <c r="A72" s="117" t="s">
        <v>83</v>
      </c>
      <c r="B72" s="2">
        <v>1</v>
      </c>
      <c r="C72" s="1" t="s">
        <v>84</v>
      </c>
      <c r="D72" s="1" t="s">
        <v>31</v>
      </c>
      <c r="E72" s="2" t="s">
        <v>32</v>
      </c>
      <c r="F72" s="103" t="e">
        <f>INT(YEARFRAC('[1]Perfil Sociodemografico'!F58,'[1]Perfil Sociodemografico'!G58))</f>
        <v>#VALUE!</v>
      </c>
      <c r="G72" s="104" t="s">
        <v>210</v>
      </c>
      <c r="H72" s="104" t="s">
        <v>193</v>
      </c>
      <c r="I72" s="2" t="s">
        <v>194</v>
      </c>
      <c r="J72" s="4">
        <v>912000</v>
      </c>
      <c r="K72" s="3">
        <v>30</v>
      </c>
      <c r="L72" s="3">
        <f t="shared" si="5"/>
        <v>912000</v>
      </c>
      <c r="M72" s="4">
        <v>88211</v>
      </c>
      <c r="N72" s="4"/>
      <c r="O72" s="4"/>
      <c r="P72" s="4"/>
      <c r="Q72" s="4"/>
      <c r="R72" s="4">
        <f t="shared" si="1"/>
        <v>1000211</v>
      </c>
      <c r="S72" s="4">
        <f>+J72*0.04</f>
        <v>36480</v>
      </c>
      <c r="T72" s="4">
        <f>+J72*0.04</f>
        <v>36480</v>
      </c>
      <c r="U72" s="4"/>
      <c r="V72" s="4"/>
      <c r="W72" s="4"/>
      <c r="X72" s="4"/>
      <c r="Y72" s="4"/>
      <c r="Z72" s="4"/>
      <c r="AA72" s="4">
        <f>SUM(S72:Z72)</f>
        <v>72960</v>
      </c>
      <c r="AB72" s="118">
        <f>R72-AA72</f>
        <v>927251</v>
      </c>
    </row>
    <row r="73" spans="1:28" ht="24.95" customHeight="1" x14ac:dyDescent="0.25">
      <c r="A73" s="117"/>
      <c r="B73" s="2">
        <v>2</v>
      </c>
      <c r="C73" s="1" t="s">
        <v>85</v>
      </c>
      <c r="D73" s="1" t="s">
        <v>31</v>
      </c>
      <c r="E73" s="2" t="s">
        <v>32</v>
      </c>
      <c r="F73" s="103" t="e">
        <f>INT(YEARFRAC('[1]Perfil Sociodemografico'!F15,'[1]Perfil Sociodemografico'!G15))</f>
        <v>#VALUE!</v>
      </c>
      <c r="G73" s="104" t="s">
        <v>211</v>
      </c>
      <c r="H73" s="104" t="s">
        <v>212</v>
      </c>
      <c r="I73" s="2" t="s">
        <v>195</v>
      </c>
      <c r="J73" s="4">
        <v>3000000</v>
      </c>
      <c r="K73" s="3">
        <v>30</v>
      </c>
      <c r="L73" s="3">
        <f t="shared" si="5"/>
        <v>3000000</v>
      </c>
      <c r="M73" s="4"/>
      <c r="N73" s="4"/>
      <c r="O73" s="4"/>
      <c r="P73" s="4"/>
      <c r="Q73" s="4">
        <f>+J73-L73</f>
        <v>0</v>
      </c>
      <c r="R73" s="4">
        <f t="shared" si="1"/>
        <v>3000000</v>
      </c>
      <c r="S73" s="4">
        <f>+J73*0.04</f>
        <v>120000</v>
      </c>
      <c r="T73" s="4">
        <f>+J73*0.04</f>
        <v>120000</v>
      </c>
      <c r="U73" s="4"/>
      <c r="V73" s="4"/>
      <c r="W73" s="4"/>
      <c r="X73" s="4"/>
      <c r="Y73" s="4"/>
      <c r="Z73" s="4"/>
      <c r="AA73" s="4">
        <f t="shared" ref="AA73:AA117" si="28">SUM(S73:Z73)</f>
        <v>240000</v>
      </c>
      <c r="AB73" s="118">
        <f>R73-AA73</f>
        <v>2760000</v>
      </c>
    </row>
    <row r="74" spans="1:28" ht="24.95" customHeight="1" x14ac:dyDescent="0.25">
      <c r="A74" s="117"/>
      <c r="B74" s="2">
        <v>3</v>
      </c>
      <c r="C74" s="9" t="s">
        <v>86</v>
      </c>
      <c r="D74" s="1" t="s">
        <v>31</v>
      </c>
      <c r="E74" s="2" t="s">
        <v>32</v>
      </c>
      <c r="F74" s="103" t="e">
        <f>INT(YEARFRAC('[1]Perfil Sociodemografico'!F43,'[1]Perfil Sociodemografico'!G43))</f>
        <v>#VALUE!</v>
      </c>
      <c r="G74" s="104" t="s">
        <v>205</v>
      </c>
      <c r="H74" s="104" t="s">
        <v>206</v>
      </c>
      <c r="I74" s="2" t="s">
        <v>195</v>
      </c>
      <c r="J74" s="4">
        <v>2500000</v>
      </c>
      <c r="K74" s="3">
        <v>30</v>
      </c>
      <c r="L74" s="3">
        <f t="shared" si="5"/>
        <v>2500000</v>
      </c>
      <c r="M74" s="4"/>
      <c r="N74" s="4"/>
      <c r="O74" s="4">
        <v>0</v>
      </c>
      <c r="P74" s="4"/>
      <c r="Q74" s="4"/>
      <c r="R74" s="4">
        <f t="shared" si="1"/>
        <v>2500000</v>
      </c>
      <c r="S74" s="4">
        <f>+J74*4%</f>
        <v>100000</v>
      </c>
      <c r="T74" s="4">
        <f>+J74*4%</f>
        <v>100000</v>
      </c>
      <c r="U74" s="4"/>
      <c r="V74" s="4"/>
      <c r="W74" s="4"/>
      <c r="X74" s="4"/>
      <c r="Y74" s="4"/>
      <c r="Z74" s="4"/>
      <c r="AA74" s="4">
        <f t="shared" si="28"/>
        <v>200000</v>
      </c>
      <c r="AB74" s="118">
        <f>R74-AA74</f>
        <v>2300000</v>
      </c>
    </row>
    <row r="75" spans="1:28" ht="24.95" customHeight="1" x14ac:dyDescent="0.25">
      <c r="A75" s="117"/>
      <c r="B75" s="2">
        <v>4</v>
      </c>
      <c r="C75" s="1" t="s">
        <v>87</v>
      </c>
      <c r="D75" s="1" t="s">
        <v>31</v>
      </c>
      <c r="E75" s="2" t="s">
        <v>32</v>
      </c>
      <c r="F75" s="2">
        <v>22</v>
      </c>
      <c r="G75" s="2" t="s">
        <v>213</v>
      </c>
      <c r="H75" s="2" t="s">
        <v>212</v>
      </c>
      <c r="I75" s="2" t="s">
        <v>194</v>
      </c>
      <c r="J75" s="4">
        <v>3000000</v>
      </c>
      <c r="K75" s="3">
        <v>30</v>
      </c>
      <c r="L75" s="3">
        <f t="shared" si="5"/>
        <v>3000000</v>
      </c>
      <c r="M75" s="4">
        <v>0</v>
      </c>
      <c r="N75" s="4"/>
      <c r="O75" s="4"/>
      <c r="P75" s="4"/>
      <c r="Q75" s="4"/>
      <c r="R75" s="4">
        <f t="shared" si="1"/>
        <v>3000000</v>
      </c>
      <c r="S75" s="4">
        <f>+J75*4%</f>
        <v>120000</v>
      </c>
      <c r="T75" s="4">
        <f>+J75*4%</f>
        <v>120000</v>
      </c>
      <c r="U75" s="4"/>
      <c r="V75" s="4"/>
      <c r="W75" s="7"/>
      <c r="X75" s="4"/>
      <c r="Y75" s="4"/>
      <c r="Z75" s="4"/>
      <c r="AA75" s="4">
        <f t="shared" si="28"/>
        <v>240000</v>
      </c>
      <c r="AB75" s="118">
        <f t="shared" ref="AB75:AB85" si="29">+R75-AA75</f>
        <v>2760000</v>
      </c>
    </row>
    <row r="76" spans="1:28" ht="24.95" customHeight="1" x14ac:dyDescent="0.25">
      <c r="A76" s="117"/>
      <c r="B76" s="2">
        <v>5</v>
      </c>
      <c r="C76" s="1" t="s">
        <v>156</v>
      </c>
      <c r="D76" s="1" t="s">
        <v>31</v>
      </c>
      <c r="E76" s="2" t="s">
        <v>102</v>
      </c>
      <c r="F76" s="103" t="e">
        <f>INT(YEARFRAC('[1]Perfil Sociodemografico'!F114,'[1]Perfil Sociodemografico'!G114))</f>
        <v>#VALUE!</v>
      </c>
      <c r="G76" s="105" t="s">
        <v>214</v>
      </c>
      <c r="H76" s="105" t="s">
        <v>212</v>
      </c>
      <c r="I76" s="2" t="s">
        <v>195</v>
      </c>
      <c r="J76" s="4">
        <v>781242</v>
      </c>
      <c r="K76" s="3">
        <v>30</v>
      </c>
      <c r="L76" s="3">
        <f t="shared" si="5"/>
        <v>781242</v>
      </c>
      <c r="M76" s="4"/>
      <c r="N76" s="4"/>
      <c r="O76" s="4"/>
      <c r="P76" s="4"/>
      <c r="Q76" s="4"/>
      <c r="R76" s="4">
        <f t="shared" si="1"/>
        <v>781242</v>
      </c>
      <c r="S76" s="4">
        <v>0</v>
      </c>
      <c r="T76" s="4">
        <v>0</v>
      </c>
      <c r="U76" s="4"/>
      <c r="V76" s="4"/>
      <c r="W76" s="7"/>
      <c r="X76" s="4"/>
      <c r="Y76" s="4"/>
      <c r="Z76" s="4"/>
      <c r="AA76" s="4">
        <f t="shared" ref="AA76" si="30">SUM(S76:Z76)</f>
        <v>0</v>
      </c>
      <c r="AB76" s="118">
        <f t="shared" si="29"/>
        <v>781242</v>
      </c>
    </row>
    <row r="77" spans="1:28" ht="24.95" customHeight="1" x14ac:dyDescent="0.25">
      <c r="A77" s="117"/>
      <c r="B77" s="2">
        <v>6</v>
      </c>
      <c r="C77" s="1" t="s">
        <v>89</v>
      </c>
      <c r="D77" s="1" t="s">
        <v>31</v>
      </c>
      <c r="E77" s="2" t="s">
        <v>32</v>
      </c>
      <c r="F77" s="103" t="e">
        <f>INT(YEARFRAC('[1]Perfil Sociodemografico'!F108,'[1]Perfil Sociodemografico'!G108))</f>
        <v>#VALUE!</v>
      </c>
      <c r="G77" s="104" t="s">
        <v>215</v>
      </c>
      <c r="H77" s="104" t="s">
        <v>193</v>
      </c>
      <c r="I77" s="2" t="s">
        <v>194</v>
      </c>
      <c r="J77" s="4">
        <v>2200000</v>
      </c>
      <c r="K77" s="3">
        <v>30</v>
      </c>
      <c r="L77" s="3">
        <f>+J77-Q77</f>
        <v>2200000</v>
      </c>
      <c r="M77" s="4"/>
      <c r="N77" s="4"/>
      <c r="O77" s="4"/>
      <c r="P77" s="4"/>
      <c r="Q77" s="4"/>
      <c r="R77" s="4">
        <f t="shared" si="1"/>
        <v>2200000</v>
      </c>
      <c r="S77" s="4">
        <f>+J77*4%</f>
        <v>88000</v>
      </c>
      <c r="T77" s="4">
        <f>+J77*4%</f>
        <v>88000</v>
      </c>
      <c r="U77" s="4"/>
      <c r="V77" s="4"/>
      <c r="W77" s="7"/>
      <c r="X77" s="4"/>
      <c r="Y77" s="4"/>
      <c r="Z77" s="4"/>
      <c r="AA77" s="4">
        <f t="shared" si="28"/>
        <v>176000</v>
      </c>
      <c r="AB77" s="118">
        <f t="shared" si="29"/>
        <v>2024000</v>
      </c>
    </row>
    <row r="78" spans="1:28" ht="24.95" customHeight="1" x14ac:dyDescent="0.25">
      <c r="A78" s="117"/>
      <c r="B78" s="2">
        <v>7</v>
      </c>
      <c r="C78" s="1" t="s">
        <v>91</v>
      </c>
      <c r="D78" s="1" t="s">
        <v>31</v>
      </c>
      <c r="E78" s="2" t="s">
        <v>32</v>
      </c>
      <c r="F78" s="103" t="e">
        <f>INT(YEARFRAC('[1]Perfil Sociodemografico'!F105,'[1]Perfil Sociodemografico'!G105))</f>
        <v>#VALUE!</v>
      </c>
      <c r="G78" s="104" t="s">
        <v>216</v>
      </c>
      <c r="H78" s="104" t="s">
        <v>212</v>
      </c>
      <c r="I78" s="2" t="s">
        <v>194</v>
      </c>
      <c r="J78" s="4">
        <v>781242</v>
      </c>
      <c r="K78" s="3">
        <v>30</v>
      </c>
      <c r="L78" s="3">
        <f t="shared" si="5"/>
        <v>781242</v>
      </c>
      <c r="M78" s="4">
        <v>88211</v>
      </c>
      <c r="N78" s="4"/>
      <c r="O78" s="4"/>
      <c r="P78" s="4"/>
      <c r="Q78" s="4"/>
      <c r="R78" s="4">
        <f t="shared" si="1"/>
        <v>869453</v>
      </c>
      <c r="S78" s="4">
        <v>31250</v>
      </c>
      <c r="T78" s="4">
        <v>31250</v>
      </c>
      <c r="U78" s="4"/>
      <c r="V78" s="4"/>
      <c r="W78" s="7"/>
      <c r="X78" s="4"/>
      <c r="Y78" s="4"/>
      <c r="Z78" s="4"/>
      <c r="AA78" s="4">
        <f t="shared" si="28"/>
        <v>62500</v>
      </c>
      <c r="AB78" s="118">
        <f t="shared" si="29"/>
        <v>806953</v>
      </c>
    </row>
    <row r="79" spans="1:28" ht="24.95" customHeight="1" x14ac:dyDescent="0.25">
      <c r="A79" s="117"/>
      <c r="B79" s="2">
        <v>8</v>
      </c>
      <c r="C79" s="1" t="s">
        <v>92</v>
      </c>
      <c r="D79" s="1" t="s">
        <v>31</v>
      </c>
      <c r="E79" s="2" t="s">
        <v>32</v>
      </c>
      <c r="F79" s="103">
        <v>39</v>
      </c>
      <c r="G79" s="104" t="s">
        <v>196</v>
      </c>
      <c r="H79" s="104" t="s">
        <v>212</v>
      </c>
      <c r="I79" s="2" t="s">
        <v>194</v>
      </c>
      <c r="J79" s="4">
        <v>3000000</v>
      </c>
      <c r="K79" s="3">
        <v>30</v>
      </c>
      <c r="L79" s="3">
        <f>+J79-Q79</f>
        <v>3000000</v>
      </c>
      <c r="M79" s="4"/>
      <c r="N79" s="4"/>
      <c r="O79" s="4"/>
      <c r="P79" s="4"/>
      <c r="Q79" s="4"/>
      <c r="R79" s="4">
        <f t="shared" si="1"/>
        <v>3000000</v>
      </c>
      <c r="S79" s="4">
        <f t="shared" ref="S79:S85" si="31">+J79*4%</f>
        <v>120000</v>
      </c>
      <c r="T79" s="4">
        <f>+J79*4%</f>
        <v>120000</v>
      </c>
      <c r="U79" s="4"/>
      <c r="V79" s="4"/>
      <c r="W79" s="4"/>
      <c r="X79" s="4"/>
      <c r="Y79" s="4"/>
      <c r="Z79" s="4"/>
      <c r="AA79" s="4">
        <f t="shared" si="28"/>
        <v>240000</v>
      </c>
      <c r="AB79" s="118">
        <f t="shared" si="29"/>
        <v>2760000</v>
      </c>
    </row>
    <row r="80" spans="1:28" ht="24.95" customHeight="1" x14ac:dyDescent="0.25">
      <c r="A80" s="117"/>
      <c r="B80" s="2">
        <v>9</v>
      </c>
      <c r="C80" s="1" t="s">
        <v>94</v>
      </c>
      <c r="D80" s="1" t="s">
        <v>31</v>
      </c>
      <c r="E80" s="2" t="s">
        <v>32</v>
      </c>
      <c r="F80" s="103" t="e">
        <f>INT(YEARFRAC('[1]Perfil Sociodemografico'!F45,'[1]Perfil Sociodemografico'!G45))</f>
        <v>#VALUE!</v>
      </c>
      <c r="G80" s="104" t="s">
        <v>217</v>
      </c>
      <c r="H80" s="104" t="s">
        <v>206</v>
      </c>
      <c r="I80" s="2" t="s">
        <v>195</v>
      </c>
      <c r="J80" s="4">
        <v>4000000</v>
      </c>
      <c r="K80" s="3">
        <v>30</v>
      </c>
      <c r="L80" s="3">
        <f>+J80-Q80</f>
        <v>4000000</v>
      </c>
      <c r="M80" s="4"/>
      <c r="N80" s="4"/>
      <c r="O80" s="4"/>
      <c r="P80" s="4"/>
      <c r="Q80" s="4"/>
      <c r="R80" s="4">
        <f t="shared" si="1"/>
        <v>4000000</v>
      </c>
      <c r="S80" s="4">
        <f t="shared" si="31"/>
        <v>160000</v>
      </c>
      <c r="T80" s="4">
        <f>+J80*5%</f>
        <v>200000</v>
      </c>
      <c r="U80" s="4"/>
      <c r="V80" s="4"/>
      <c r="W80" s="4">
        <v>0</v>
      </c>
      <c r="X80" s="4"/>
      <c r="Y80" s="4"/>
      <c r="Z80" s="4">
        <f>200210+224445</f>
        <v>424655</v>
      </c>
      <c r="AA80" s="4">
        <f t="shared" si="28"/>
        <v>784655</v>
      </c>
      <c r="AB80" s="118">
        <f t="shared" si="29"/>
        <v>3215345</v>
      </c>
    </row>
    <row r="81" spans="1:28" ht="24.95" customHeight="1" x14ac:dyDescent="0.25">
      <c r="A81" s="117"/>
      <c r="B81" s="2">
        <v>10</v>
      </c>
      <c r="C81" s="1" t="s">
        <v>187</v>
      </c>
      <c r="D81" s="1" t="s">
        <v>31</v>
      </c>
      <c r="E81" s="2" t="s">
        <v>32</v>
      </c>
      <c r="F81" s="2">
        <v>23</v>
      </c>
      <c r="G81" s="2" t="s">
        <v>210</v>
      </c>
      <c r="H81" s="104" t="s">
        <v>193</v>
      </c>
      <c r="I81" s="2" t="s">
        <v>194</v>
      </c>
      <c r="J81" s="4">
        <v>781242</v>
      </c>
      <c r="K81" s="3">
        <v>30</v>
      </c>
      <c r="L81" s="3">
        <f t="shared" si="5"/>
        <v>781242</v>
      </c>
      <c r="M81" s="4">
        <f>+((88211/30)*K81)</f>
        <v>88211</v>
      </c>
      <c r="N81" s="4"/>
      <c r="O81" s="4"/>
      <c r="P81" s="4"/>
      <c r="Q81" s="4"/>
      <c r="R81" s="4">
        <f t="shared" si="1"/>
        <v>869453</v>
      </c>
      <c r="S81" s="4">
        <f>+L81*4%</f>
        <v>31249.68</v>
      </c>
      <c r="T81" s="4">
        <f>+L81*4%</f>
        <v>31249.68</v>
      </c>
      <c r="U81" s="4"/>
      <c r="V81" s="4"/>
      <c r="W81" s="4">
        <v>0</v>
      </c>
      <c r="X81" s="4"/>
      <c r="Y81" s="4"/>
      <c r="Z81" s="4"/>
      <c r="AA81" s="4">
        <f t="shared" ref="AA81" si="32">SUM(S81:Z81)</f>
        <v>62499.360000000001</v>
      </c>
      <c r="AB81" s="118">
        <f t="shared" si="29"/>
        <v>806953.64</v>
      </c>
    </row>
    <row r="82" spans="1:28" ht="24.95" customHeight="1" x14ac:dyDescent="0.25">
      <c r="A82" s="117"/>
      <c r="B82" s="2">
        <v>11</v>
      </c>
      <c r="C82" s="1" t="s">
        <v>95</v>
      </c>
      <c r="D82" s="1" t="s">
        <v>31</v>
      </c>
      <c r="E82" s="2" t="s">
        <v>32</v>
      </c>
      <c r="F82" s="103" t="e">
        <f>INT(YEARFRAC('[1]Perfil Sociodemografico'!F81,'[1]Perfil Sociodemografico'!G81))</f>
        <v>#VALUE!</v>
      </c>
      <c r="G82" s="104" t="s">
        <v>205</v>
      </c>
      <c r="H82" s="104" t="s">
        <v>206</v>
      </c>
      <c r="I82" s="2" t="s">
        <v>195</v>
      </c>
      <c r="J82" s="4">
        <v>4000000</v>
      </c>
      <c r="K82" s="3">
        <v>30</v>
      </c>
      <c r="L82" s="3">
        <f>+J82-N82</f>
        <v>3466667</v>
      </c>
      <c r="M82" s="4"/>
      <c r="N82" s="4">
        <v>533333</v>
      </c>
      <c r="O82" s="4"/>
      <c r="P82" s="4"/>
      <c r="Q82" s="4"/>
      <c r="R82" s="4">
        <f t="shared" si="1"/>
        <v>4000000</v>
      </c>
      <c r="S82" s="4">
        <f t="shared" si="31"/>
        <v>160000</v>
      </c>
      <c r="T82" s="4">
        <f>+J82*5%</f>
        <v>200000</v>
      </c>
      <c r="U82" s="4">
        <v>0</v>
      </c>
      <c r="V82" s="4"/>
      <c r="W82" s="4">
        <v>0</v>
      </c>
      <c r="X82" s="4"/>
      <c r="Y82" s="4"/>
      <c r="Z82" s="4">
        <v>422966</v>
      </c>
      <c r="AA82" s="4">
        <f t="shared" si="28"/>
        <v>782966</v>
      </c>
      <c r="AB82" s="118">
        <f t="shared" si="29"/>
        <v>3217034</v>
      </c>
    </row>
    <row r="83" spans="1:28" ht="24.95" customHeight="1" x14ac:dyDescent="0.25">
      <c r="A83" s="117"/>
      <c r="B83" s="2">
        <v>12</v>
      </c>
      <c r="C83" s="1" t="s">
        <v>96</v>
      </c>
      <c r="D83" s="1" t="s">
        <v>31</v>
      </c>
      <c r="E83" s="2" t="s">
        <v>32</v>
      </c>
      <c r="F83" s="103" t="e">
        <f>INT(YEARFRAC('[1]Perfil Sociodemografico'!F48,'[1]Perfil Sociodemografico'!G48))</f>
        <v>#VALUE!</v>
      </c>
      <c r="G83" s="104" t="s">
        <v>210</v>
      </c>
      <c r="H83" s="104" t="s">
        <v>193</v>
      </c>
      <c r="I83" s="2" t="s">
        <v>195</v>
      </c>
      <c r="J83" s="4">
        <v>1500000</v>
      </c>
      <c r="K83" s="3">
        <v>30</v>
      </c>
      <c r="L83" s="3">
        <f>+J83-O83</f>
        <v>1500000</v>
      </c>
      <c r="M83" s="4">
        <v>88211</v>
      </c>
      <c r="N83" s="4"/>
      <c r="O83" s="4"/>
      <c r="P83" s="4"/>
      <c r="Q83" s="4"/>
      <c r="R83" s="4">
        <f t="shared" si="1"/>
        <v>1588211</v>
      </c>
      <c r="S83" s="4">
        <f>+J83*4%</f>
        <v>60000</v>
      </c>
      <c r="T83" s="4">
        <f>+J83*4%</f>
        <v>60000</v>
      </c>
      <c r="U83" s="4"/>
      <c r="V83" s="4"/>
      <c r="W83" s="4">
        <v>0</v>
      </c>
      <c r="X83" s="4"/>
      <c r="Y83" s="4"/>
      <c r="Z83" s="4"/>
      <c r="AA83" s="4">
        <f t="shared" si="28"/>
        <v>120000</v>
      </c>
      <c r="AB83" s="118">
        <f t="shared" si="29"/>
        <v>1468211</v>
      </c>
    </row>
    <row r="84" spans="1:28" ht="24.95" customHeight="1" x14ac:dyDescent="0.25">
      <c r="A84" s="117"/>
      <c r="B84" s="2">
        <v>13</v>
      </c>
      <c r="C84" s="1" t="s">
        <v>97</v>
      </c>
      <c r="D84" s="1" t="s">
        <v>31</v>
      </c>
      <c r="E84" s="2" t="s">
        <v>32</v>
      </c>
      <c r="F84" s="103" t="e">
        <f>INT(YEARFRAC('[1]Perfil Sociodemografico'!F62,'[1]Perfil Sociodemografico'!G62))</f>
        <v>#VALUE!</v>
      </c>
      <c r="G84" s="105" t="s">
        <v>205</v>
      </c>
      <c r="H84" s="105" t="s">
        <v>193</v>
      </c>
      <c r="I84" s="2" t="s">
        <v>195</v>
      </c>
      <c r="J84" s="4">
        <v>3000000</v>
      </c>
      <c r="K84" s="3">
        <v>30</v>
      </c>
      <c r="L84" s="3">
        <f t="shared" si="5"/>
        <v>3000000</v>
      </c>
      <c r="M84" s="4"/>
      <c r="N84" s="4"/>
      <c r="O84" s="4"/>
      <c r="P84" s="4">
        <v>200000</v>
      </c>
      <c r="Q84" s="4"/>
      <c r="R84" s="4">
        <f t="shared" si="1"/>
        <v>3200000</v>
      </c>
      <c r="S84" s="4">
        <f t="shared" si="31"/>
        <v>120000</v>
      </c>
      <c r="T84" s="4">
        <f>+J84*0.04</f>
        <v>120000</v>
      </c>
      <c r="U84" s="4"/>
      <c r="V84" s="4"/>
      <c r="W84" s="4">
        <v>0</v>
      </c>
      <c r="X84" s="4"/>
      <c r="Y84" s="4"/>
      <c r="Z84" s="4"/>
      <c r="AA84" s="4">
        <f t="shared" si="28"/>
        <v>240000</v>
      </c>
      <c r="AB84" s="118">
        <f t="shared" si="29"/>
        <v>2960000</v>
      </c>
    </row>
    <row r="85" spans="1:28" ht="24.95" customHeight="1" x14ac:dyDescent="0.25">
      <c r="A85" s="117"/>
      <c r="B85" s="2">
        <v>14</v>
      </c>
      <c r="C85" s="1" t="s">
        <v>98</v>
      </c>
      <c r="D85" s="1" t="s">
        <v>31</v>
      </c>
      <c r="E85" s="2" t="s">
        <v>32</v>
      </c>
      <c r="F85" s="106" t="e">
        <f>INT(YEARFRAC('[1]Perfil Sociodemografico'!F9,'[1]Perfil Sociodemografico'!G9))</f>
        <v>#VALUE!</v>
      </c>
      <c r="G85" s="107" t="s">
        <v>218</v>
      </c>
      <c r="H85" s="107" t="s">
        <v>193</v>
      </c>
      <c r="I85" s="2" t="s">
        <v>195</v>
      </c>
      <c r="J85" s="4">
        <v>2000000</v>
      </c>
      <c r="K85" s="3">
        <v>30</v>
      </c>
      <c r="L85" s="3">
        <f t="shared" si="5"/>
        <v>2000000.0000000002</v>
      </c>
      <c r="M85" s="4"/>
      <c r="N85" s="4"/>
      <c r="O85" s="4"/>
      <c r="P85" s="4"/>
      <c r="Q85" s="4"/>
      <c r="R85" s="4">
        <f t="shared" si="1"/>
        <v>2000000.0000000002</v>
      </c>
      <c r="S85" s="4">
        <f t="shared" si="31"/>
        <v>80000</v>
      </c>
      <c r="T85" s="4">
        <f>+J85*4%</f>
        <v>80000</v>
      </c>
      <c r="U85" s="4"/>
      <c r="V85" s="4"/>
      <c r="W85" s="4">
        <v>0</v>
      </c>
      <c r="X85" s="4"/>
      <c r="Y85" s="4"/>
      <c r="Z85" s="4"/>
      <c r="AA85" s="4">
        <f t="shared" si="28"/>
        <v>160000</v>
      </c>
      <c r="AB85" s="118">
        <f t="shared" si="29"/>
        <v>1840000.0000000002</v>
      </c>
    </row>
    <row r="86" spans="1:28" ht="24.95" customHeight="1" x14ac:dyDescent="0.25">
      <c r="A86" s="117"/>
      <c r="B86" s="2">
        <v>15</v>
      </c>
      <c r="C86" s="9" t="s">
        <v>99</v>
      </c>
      <c r="D86" s="1" t="s">
        <v>31</v>
      </c>
      <c r="E86" s="2" t="s">
        <v>32</v>
      </c>
      <c r="F86" s="103" t="e">
        <f>INT(YEARFRAC('[1]Perfil Sociodemografico'!F80,'[1]Perfil Sociodemografico'!G80))</f>
        <v>#VALUE!</v>
      </c>
      <c r="G86" s="105" t="s">
        <v>219</v>
      </c>
      <c r="H86" s="105" t="s">
        <v>193</v>
      </c>
      <c r="I86" s="2" t="s">
        <v>195</v>
      </c>
      <c r="J86" s="4">
        <v>4500000</v>
      </c>
      <c r="K86" s="3">
        <v>30</v>
      </c>
      <c r="L86" s="3">
        <f t="shared" si="5"/>
        <v>4500000</v>
      </c>
      <c r="M86" s="4"/>
      <c r="N86" s="4"/>
      <c r="O86" s="12"/>
      <c r="P86" s="4"/>
      <c r="Q86" s="4"/>
      <c r="R86" s="4">
        <f>+L86+M86+N86+P86+Q86</f>
        <v>4500000</v>
      </c>
      <c r="S86" s="4">
        <f>+R86*4%</f>
        <v>180000</v>
      </c>
      <c r="T86" s="4">
        <f>+R86*5%</f>
        <v>225000</v>
      </c>
      <c r="U86" s="4"/>
      <c r="V86" s="4"/>
      <c r="W86" s="4">
        <v>0</v>
      </c>
      <c r="X86" s="4"/>
      <c r="Y86" s="4"/>
      <c r="Z86" s="4"/>
      <c r="AA86" s="4">
        <f t="shared" si="28"/>
        <v>405000</v>
      </c>
      <c r="AB86" s="118">
        <f t="shared" ref="AB86:AB94" si="33">R86-AA86</f>
        <v>4095000</v>
      </c>
    </row>
    <row r="87" spans="1:28" ht="24.95" customHeight="1" x14ac:dyDescent="0.25">
      <c r="A87" s="117"/>
      <c r="B87" s="2">
        <v>16</v>
      </c>
      <c r="C87" s="1" t="s">
        <v>101</v>
      </c>
      <c r="D87" s="1" t="s">
        <v>31</v>
      </c>
      <c r="E87" s="2" t="s">
        <v>32</v>
      </c>
      <c r="F87" s="103" t="e">
        <f>INT(YEARFRAC('[1]Perfil Sociodemografico'!F101,'[1]Perfil Sociodemografico'!G101))</f>
        <v>#VALUE!</v>
      </c>
      <c r="G87" s="104" t="s">
        <v>220</v>
      </c>
      <c r="H87" s="104" t="s">
        <v>212</v>
      </c>
      <c r="I87" s="2" t="s">
        <v>195</v>
      </c>
      <c r="J87" s="4">
        <v>1500000</v>
      </c>
      <c r="K87" s="3">
        <v>30</v>
      </c>
      <c r="L87" s="3">
        <f t="shared" si="5"/>
        <v>1500000</v>
      </c>
      <c r="M87" s="4">
        <v>88211</v>
      </c>
      <c r="N87" s="4"/>
      <c r="O87" s="4"/>
      <c r="P87" s="4"/>
      <c r="Q87" s="4"/>
      <c r="R87" s="4">
        <f t="shared" si="1"/>
        <v>1588211</v>
      </c>
      <c r="S87" s="4">
        <f>+J87*4%</f>
        <v>60000</v>
      </c>
      <c r="T87" s="4">
        <f>+J87*4%</f>
        <v>60000</v>
      </c>
      <c r="U87" s="4"/>
      <c r="V87" s="4"/>
      <c r="W87" s="4"/>
      <c r="X87" s="4"/>
      <c r="Y87" s="4"/>
      <c r="Z87" s="4">
        <v>194767</v>
      </c>
      <c r="AA87" s="4">
        <f t="shared" si="28"/>
        <v>314767</v>
      </c>
      <c r="AB87" s="118">
        <f t="shared" si="33"/>
        <v>1273444</v>
      </c>
    </row>
    <row r="88" spans="1:28" ht="24.95" customHeight="1" x14ac:dyDescent="0.25">
      <c r="A88" s="117"/>
      <c r="B88" s="2">
        <v>17</v>
      </c>
      <c r="C88" s="1" t="s">
        <v>170</v>
      </c>
      <c r="D88" s="1" t="s">
        <v>31</v>
      </c>
      <c r="E88" s="2" t="s">
        <v>102</v>
      </c>
      <c r="F88" s="103" t="e">
        <f>INT(YEARFRAC('[1]Perfil Sociodemografico'!F46,'[1]Perfil Sociodemografico'!G46))</f>
        <v>#VALUE!</v>
      </c>
      <c r="G88" s="104" t="s">
        <v>214</v>
      </c>
      <c r="H88" s="104" t="s">
        <v>212</v>
      </c>
      <c r="I88" s="2" t="s">
        <v>195</v>
      </c>
      <c r="J88" s="4">
        <v>390621</v>
      </c>
      <c r="K88" s="3">
        <v>30</v>
      </c>
      <c r="L88" s="3">
        <f t="shared" si="5"/>
        <v>390621</v>
      </c>
      <c r="M88" s="4"/>
      <c r="N88" s="4"/>
      <c r="O88" s="4"/>
      <c r="P88" s="4"/>
      <c r="Q88" s="4"/>
      <c r="R88" s="4">
        <f t="shared" si="1"/>
        <v>390621</v>
      </c>
      <c r="S88" s="4"/>
      <c r="T88" s="4"/>
      <c r="U88" s="4"/>
      <c r="V88" s="4"/>
      <c r="W88" s="4"/>
      <c r="X88" s="4"/>
      <c r="Y88" s="4"/>
      <c r="Z88" s="4"/>
      <c r="AA88" s="4"/>
      <c r="AB88" s="118">
        <f t="shared" si="33"/>
        <v>390621</v>
      </c>
    </row>
    <row r="89" spans="1:28" ht="24.95" customHeight="1" x14ac:dyDescent="0.25">
      <c r="A89" s="117"/>
      <c r="B89" s="2">
        <v>18</v>
      </c>
      <c r="C89" s="1" t="s">
        <v>103</v>
      </c>
      <c r="D89" s="1" t="s">
        <v>31</v>
      </c>
      <c r="E89" s="2" t="s">
        <v>32</v>
      </c>
      <c r="F89" s="103" t="e">
        <f>INT(YEARFRAC('[1]Perfil Sociodemografico'!F59,'[1]Perfil Sociodemografico'!G59))</f>
        <v>#VALUE!</v>
      </c>
      <c r="G89" s="104" t="s">
        <v>217</v>
      </c>
      <c r="H89" s="104" t="s">
        <v>206</v>
      </c>
      <c r="I89" s="2" t="s">
        <v>195</v>
      </c>
      <c r="J89" s="4">
        <v>4800000</v>
      </c>
      <c r="K89" s="3">
        <v>30</v>
      </c>
      <c r="L89" s="3">
        <f t="shared" ref="L89:L115" si="34">+J89/30*K89</f>
        <v>4800000</v>
      </c>
      <c r="M89" s="4"/>
      <c r="N89" s="4"/>
      <c r="O89" s="4"/>
      <c r="P89" s="4"/>
      <c r="Q89" s="4">
        <v>330000</v>
      </c>
      <c r="R89" s="4">
        <f t="shared" ref="R89:R117" si="35">+L89+M89+O89+P89+Q89+N89</f>
        <v>5130000</v>
      </c>
      <c r="S89" s="4">
        <f>+R89*0.04</f>
        <v>205200</v>
      </c>
      <c r="T89" s="4">
        <f>+R89*0.05</f>
        <v>256500</v>
      </c>
      <c r="U89" s="4"/>
      <c r="V89" s="4"/>
      <c r="W89" s="4">
        <v>31000</v>
      </c>
      <c r="X89" s="4"/>
      <c r="Y89" s="4"/>
      <c r="Z89" s="4"/>
      <c r="AA89" s="4">
        <f t="shared" si="28"/>
        <v>492700</v>
      </c>
      <c r="AB89" s="118">
        <f t="shared" si="33"/>
        <v>4637300</v>
      </c>
    </row>
    <row r="90" spans="1:28" ht="24.95" customHeight="1" x14ac:dyDescent="0.25">
      <c r="A90" s="117"/>
      <c r="B90" s="2">
        <v>19</v>
      </c>
      <c r="C90" s="1" t="s">
        <v>104</v>
      </c>
      <c r="D90" s="1" t="s">
        <v>31</v>
      </c>
      <c r="E90" s="2" t="s">
        <v>32</v>
      </c>
      <c r="F90" s="103" t="e">
        <f>INT(YEARFRAC('[1]Perfil Sociodemografico'!F68,'[1]Perfil Sociodemografico'!G68))</f>
        <v>#VALUE!</v>
      </c>
      <c r="G90" s="104" t="s">
        <v>205</v>
      </c>
      <c r="H90" s="104" t="s">
        <v>206</v>
      </c>
      <c r="I90" s="2" t="s">
        <v>195</v>
      </c>
      <c r="J90" s="4">
        <v>2500000</v>
      </c>
      <c r="K90" s="3">
        <v>30</v>
      </c>
      <c r="L90" s="3">
        <f t="shared" si="34"/>
        <v>2500000</v>
      </c>
      <c r="M90" s="4"/>
      <c r="N90" s="4"/>
      <c r="O90" s="4"/>
      <c r="P90" s="4"/>
      <c r="Q90" s="4"/>
      <c r="R90" s="4">
        <f t="shared" si="35"/>
        <v>2500000</v>
      </c>
      <c r="S90" s="4">
        <f>+J90*4%</f>
        <v>100000</v>
      </c>
      <c r="T90" s="4">
        <f>+J90*4%</f>
        <v>100000</v>
      </c>
      <c r="U90" s="4"/>
      <c r="V90" s="4"/>
      <c r="W90" s="4"/>
      <c r="X90" s="4"/>
      <c r="Y90" s="4"/>
      <c r="Z90" s="4"/>
      <c r="AA90" s="4">
        <f t="shared" si="28"/>
        <v>200000</v>
      </c>
      <c r="AB90" s="118">
        <f t="shared" si="33"/>
        <v>2300000</v>
      </c>
    </row>
    <row r="91" spans="1:28" ht="24.95" customHeight="1" x14ac:dyDescent="0.25">
      <c r="A91" s="117"/>
      <c r="B91" s="2">
        <v>20</v>
      </c>
      <c r="C91" s="1" t="s">
        <v>105</v>
      </c>
      <c r="D91" s="1" t="s">
        <v>31</v>
      </c>
      <c r="E91" s="2" t="s">
        <v>32</v>
      </c>
      <c r="F91" s="103">
        <v>29</v>
      </c>
      <c r="G91" s="105" t="s">
        <v>221</v>
      </c>
      <c r="H91" s="105" t="s">
        <v>206</v>
      </c>
      <c r="I91" s="2" t="s">
        <v>195</v>
      </c>
      <c r="J91" s="4">
        <v>1272000</v>
      </c>
      <c r="K91" s="3">
        <v>30</v>
      </c>
      <c r="L91" s="3">
        <f t="shared" si="34"/>
        <v>1272000</v>
      </c>
      <c r="M91" s="4">
        <v>88211</v>
      </c>
      <c r="N91" s="4"/>
      <c r="O91" s="4"/>
      <c r="P91" s="4"/>
      <c r="Q91" s="4"/>
      <c r="R91" s="4">
        <f t="shared" si="35"/>
        <v>1360211</v>
      </c>
      <c r="S91" s="4">
        <f>+J91*4%</f>
        <v>50880</v>
      </c>
      <c r="T91" s="4">
        <f>+J91*4%</f>
        <v>50880</v>
      </c>
      <c r="U91" s="4"/>
      <c r="V91" s="4"/>
      <c r="W91" s="4"/>
      <c r="X91" s="4"/>
      <c r="Y91" s="4"/>
      <c r="Z91" s="4"/>
      <c r="AA91" s="4">
        <f t="shared" si="28"/>
        <v>101760</v>
      </c>
      <c r="AB91" s="118">
        <f t="shared" si="33"/>
        <v>1258451</v>
      </c>
    </row>
    <row r="92" spans="1:28" ht="24.95" customHeight="1" x14ac:dyDescent="0.25">
      <c r="A92" s="117"/>
      <c r="B92" s="2">
        <v>21</v>
      </c>
      <c r="C92" s="1" t="s">
        <v>106</v>
      </c>
      <c r="D92" s="1" t="s">
        <v>31</v>
      </c>
      <c r="E92" s="2" t="s">
        <v>32</v>
      </c>
      <c r="F92" s="103" t="e">
        <f>INT(YEARFRAC('[1]Perfil Sociodemografico'!F69,'[1]Perfil Sociodemografico'!G69))</f>
        <v>#VALUE!</v>
      </c>
      <c r="G92" s="104" t="s">
        <v>205</v>
      </c>
      <c r="H92" s="104" t="s">
        <v>193</v>
      </c>
      <c r="I92" s="2" t="s">
        <v>195</v>
      </c>
      <c r="J92" s="4">
        <v>2500000</v>
      </c>
      <c r="K92" s="3">
        <v>30</v>
      </c>
      <c r="L92" s="3">
        <f>+J92-N92</f>
        <v>2083333</v>
      </c>
      <c r="M92" s="4"/>
      <c r="N92" s="4">
        <v>416667</v>
      </c>
      <c r="O92" s="4"/>
      <c r="P92" s="4"/>
      <c r="Q92" s="4"/>
      <c r="R92" s="4">
        <f t="shared" si="35"/>
        <v>2500000</v>
      </c>
      <c r="S92" s="4">
        <f>+J92*4%</f>
        <v>100000</v>
      </c>
      <c r="T92" s="4">
        <f>+J92*4%</f>
        <v>100000</v>
      </c>
      <c r="U92" s="4"/>
      <c r="V92" s="4"/>
      <c r="W92" s="4">
        <v>0</v>
      </c>
      <c r="X92" s="4"/>
      <c r="Y92" s="4"/>
      <c r="Z92" s="4"/>
      <c r="AA92" s="4">
        <f t="shared" si="28"/>
        <v>200000</v>
      </c>
      <c r="AB92" s="118">
        <f t="shared" si="33"/>
        <v>2300000</v>
      </c>
    </row>
    <row r="93" spans="1:28" ht="24.95" customHeight="1" x14ac:dyDescent="0.25">
      <c r="A93" s="117"/>
      <c r="B93" s="2">
        <v>22</v>
      </c>
      <c r="C93" s="1" t="s">
        <v>107</v>
      </c>
      <c r="D93" s="1" t="s">
        <v>31</v>
      </c>
      <c r="E93" s="2" t="s">
        <v>102</v>
      </c>
      <c r="F93" s="103" t="e">
        <f>INT(YEARFRAC('[1]Perfil Sociodemografico'!F27,'[1]Perfil Sociodemografico'!G27))</f>
        <v>#VALUE!</v>
      </c>
      <c r="G93" s="105" t="s">
        <v>222</v>
      </c>
      <c r="H93" s="105" t="s">
        <v>193</v>
      </c>
      <c r="I93" s="2" t="s">
        <v>194</v>
      </c>
      <c r="J93" s="4">
        <v>781242</v>
      </c>
      <c r="K93" s="3">
        <v>30</v>
      </c>
      <c r="L93" s="3">
        <f t="shared" si="34"/>
        <v>781242</v>
      </c>
      <c r="M93" s="4"/>
      <c r="N93" s="4"/>
      <c r="O93" s="4"/>
      <c r="P93" s="4"/>
      <c r="Q93" s="4"/>
      <c r="R93" s="4">
        <f t="shared" si="35"/>
        <v>781242</v>
      </c>
      <c r="S93" s="4"/>
      <c r="T93" s="4"/>
      <c r="U93" s="4"/>
      <c r="V93" s="4"/>
      <c r="W93" s="4"/>
      <c r="X93" s="4"/>
      <c r="Y93" s="4"/>
      <c r="Z93" s="4"/>
      <c r="AA93" s="4">
        <f t="shared" si="28"/>
        <v>0</v>
      </c>
      <c r="AB93" s="118">
        <f t="shared" si="33"/>
        <v>781242</v>
      </c>
    </row>
    <row r="94" spans="1:28" ht="24.95" customHeight="1" x14ac:dyDescent="0.25">
      <c r="A94" s="117"/>
      <c r="B94" s="2">
        <v>23</v>
      </c>
      <c r="C94" s="9" t="s">
        <v>109</v>
      </c>
      <c r="D94" s="1" t="s">
        <v>31</v>
      </c>
      <c r="E94" s="2" t="s">
        <v>32</v>
      </c>
      <c r="F94" s="103" t="e">
        <f>INT(YEARFRAC('[1]Perfil Sociodemografico'!F96,'[1]Perfil Sociodemografico'!G96))</f>
        <v>#VALUE!</v>
      </c>
      <c r="G94" s="104" t="s">
        <v>205</v>
      </c>
      <c r="H94" s="104" t="s">
        <v>193</v>
      </c>
      <c r="I94" s="2" t="s">
        <v>195</v>
      </c>
      <c r="J94" s="4">
        <v>3000000</v>
      </c>
      <c r="K94" s="3">
        <v>30</v>
      </c>
      <c r="L94" s="3">
        <f>+J94-N94</f>
        <v>2500000</v>
      </c>
      <c r="M94" s="4"/>
      <c r="N94" s="4">
        <v>500000</v>
      </c>
      <c r="O94" s="4"/>
      <c r="P94" s="4"/>
      <c r="Q94" s="4"/>
      <c r="R94" s="4">
        <f t="shared" si="35"/>
        <v>3000000</v>
      </c>
      <c r="S94" s="4">
        <f t="shared" ref="S94:S101" si="36">+J94*4%</f>
        <v>120000</v>
      </c>
      <c r="T94" s="4">
        <f>+J94*4%</f>
        <v>120000</v>
      </c>
      <c r="U94" s="4"/>
      <c r="V94" s="4"/>
      <c r="W94" s="4"/>
      <c r="X94" s="4"/>
      <c r="Y94" s="4"/>
      <c r="Z94" s="4"/>
      <c r="AA94" s="4">
        <f t="shared" si="28"/>
        <v>240000</v>
      </c>
      <c r="AB94" s="118">
        <f t="shared" si="33"/>
        <v>2760000</v>
      </c>
    </row>
    <row r="95" spans="1:28" ht="24.95" customHeight="1" x14ac:dyDescent="0.25">
      <c r="A95" s="117"/>
      <c r="B95" s="2">
        <v>24</v>
      </c>
      <c r="C95" s="1" t="s">
        <v>111</v>
      </c>
      <c r="D95" s="1" t="s">
        <v>31</v>
      </c>
      <c r="E95" s="2" t="s">
        <v>32</v>
      </c>
      <c r="F95" s="103" t="e">
        <f>INT(YEARFRAC('[1]Perfil Sociodemografico'!F104,'[1]Perfil Sociodemografico'!G104))</f>
        <v>#VALUE!</v>
      </c>
      <c r="G95" s="104" t="s">
        <v>223</v>
      </c>
      <c r="H95" s="104" t="s">
        <v>206</v>
      </c>
      <c r="I95" s="2" t="s">
        <v>195</v>
      </c>
      <c r="J95" s="4">
        <v>2200000</v>
      </c>
      <c r="K95" s="3">
        <v>30</v>
      </c>
      <c r="L95" s="3">
        <f t="shared" si="34"/>
        <v>2200000</v>
      </c>
      <c r="M95" s="4"/>
      <c r="N95" s="4"/>
      <c r="O95" s="4"/>
      <c r="P95" s="4"/>
      <c r="Q95" s="4"/>
      <c r="R95" s="4">
        <f t="shared" si="35"/>
        <v>2200000</v>
      </c>
      <c r="S95" s="4">
        <f t="shared" si="36"/>
        <v>88000</v>
      </c>
      <c r="T95" s="4">
        <f>+J95*4%</f>
        <v>88000</v>
      </c>
      <c r="U95" s="4"/>
      <c r="V95" s="4"/>
      <c r="W95" s="4">
        <v>0</v>
      </c>
      <c r="X95" s="4"/>
      <c r="Y95" s="4"/>
      <c r="Z95" s="4"/>
      <c r="AA95" s="4">
        <f t="shared" si="28"/>
        <v>176000</v>
      </c>
      <c r="AB95" s="118">
        <f>+R95-AA95</f>
        <v>2024000</v>
      </c>
    </row>
    <row r="96" spans="1:28" ht="24.95" customHeight="1" x14ac:dyDescent="0.25">
      <c r="A96" s="117"/>
      <c r="B96" s="2">
        <v>25</v>
      </c>
      <c r="C96" s="1" t="s">
        <v>114</v>
      </c>
      <c r="D96" s="1" t="s">
        <v>31</v>
      </c>
      <c r="E96" s="2" t="s">
        <v>32</v>
      </c>
      <c r="F96" s="103" t="e">
        <f>INT(YEARFRAC('[1]Perfil Sociodemografico'!F77,'[1]Perfil Sociodemografico'!G77))</f>
        <v>#VALUE!</v>
      </c>
      <c r="G96" s="105" t="s">
        <v>224</v>
      </c>
      <c r="H96" s="105" t="s">
        <v>212</v>
      </c>
      <c r="I96" s="2" t="s">
        <v>195</v>
      </c>
      <c r="J96" s="4">
        <v>5500000</v>
      </c>
      <c r="K96" s="3">
        <v>30</v>
      </c>
      <c r="L96" s="3">
        <f>+J96-Q96</f>
        <v>5500000</v>
      </c>
      <c r="M96" s="4"/>
      <c r="N96" s="4"/>
      <c r="O96" s="4"/>
      <c r="P96" s="4">
        <v>500000</v>
      </c>
      <c r="Q96" s="4"/>
      <c r="R96" s="4">
        <f t="shared" si="35"/>
        <v>6000000</v>
      </c>
      <c r="S96" s="4">
        <f>+J96*4%</f>
        <v>220000</v>
      </c>
      <c r="T96" s="4">
        <f>+J96*5%</f>
        <v>275000</v>
      </c>
      <c r="U96" s="4"/>
      <c r="V96" s="4">
        <v>490000</v>
      </c>
      <c r="W96" s="7">
        <v>69147</v>
      </c>
      <c r="X96" s="4"/>
      <c r="Y96" s="4"/>
      <c r="Z96" s="4">
        <v>480989</v>
      </c>
      <c r="AA96" s="4">
        <f t="shared" si="28"/>
        <v>1535136</v>
      </c>
      <c r="AB96" s="118">
        <f t="shared" ref="AB96:AB100" si="37">+R96-AA96</f>
        <v>4464864</v>
      </c>
    </row>
    <row r="97" spans="1:28" ht="24.95" customHeight="1" x14ac:dyDescent="0.25">
      <c r="A97" s="117"/>
      <c r="B97" s="2">
        <v>26</v>
      </c>
      <c r="C97" s="1" t="s">
        <v>188</v>
      </c>
      <c r="D97" s="1" t="s">
        <v>31</v>
      </c>
      <c r="E97" s="2" t="s">
        <v>32</v>
      </c>
      <c r="F97" s="103">
        <v>24</v>
      </c>
      <c r="G97" s="104" t="s">
        <v>210</v>
      </c>
      <c r="H97" s="104" t="s">
        <v>193</v>
      </c>
      <c r="I97" s="2" t="s">
        <v>195</v>
      </c>
      <c r="J97" s="4">
        <v>781242</v>
      </c>
      <c r="K97" s="3">
        <v>30</v>
      </c>
      <c r="L97" s="3">
        <f t="shared" si="34"/>
        <v>781242</v>
      </c>
      <c r="M97" s="4">
        <f>+((88211/30)*K97)</f>
        <v>88211</v>
      </c>
      <c r="N97" s="4"/>
      <c r="O97" s="4"/>
      <c r="P97" s="4"/>
      <c r="Q97" s="4"/>
      <c r="R97" s="4">
        <f>+L97+M97+O97+P97+Q97+N97</f>
        <v>869453</v>
      </c>
      <c r="S97" s="4">
        <f>+L97*4%</f>
        <v>31249.68</v>
      </c>
      <c r="T97" s="4">
        <f>+L97*4%</f>
        <v>31249.68</v>
      </c>
      <c r="U97" s="4"/>
      <c r="V97" s="4"/>
      <c r="W97" s="7"/>
      <c r="X97" s="4"/>
      <c r="Y97" s="4"/>
      <c r="Z97" s="4"/>
      <c r="AA97" s="4">
        <f t="shared" si="28"/>
        <v>62499.360000000001</v>
      </c>
      <c r="AB97" s="118">
        <f t="shared" si="37"/>
        <v>806953.64</v>
      </c>
    </row>
    <row r="98" spans="1:28" ht="24.95" customHeight="1" x14ac:dyDescent="0.25">
      <c r="A98" s="117"/>
      <c r="B98" s="2">
        <v>27</v>
      </c>
      <c r="C98" s="1" t="s">
        <v>116</v>
      </c>
      <c r="D98" s="1" t="s">
        <v>31</v>
      </c>
      <c r="E98" s="2" t="s">
        <v>32</v>
      </c>
      <c r="F98" s="103" t="e">
        <f>INT(YEARFRAC('[1]Perfil Sociodemografico'!F33,'[1]Perfil Sociodemografico'!G33))</f>
        <v>#VALUE!</v>
      </c>
      <c r="G98" s="104" t="s">
        <v>210</v>
      </c>
      <c r="H98" s="104" t="s">
        <v>193</v>
      </c>
      <c r="I98" s="2" t="s">
        <v>195</v>
      </c>
      <c r="J98" s="4">
        <v>2180000</v>
      </c>
      <c r="K98" s="3">
        <v>30</v>
      </c>
      <c r="L98" s="3">
        <f t="shared" si="34"/>
        <v>2180000</v>
      </c>
      <c r="M98" s="4"/>
      <c r="N98" s="4"/>
      <c r="O98" s="4"/>
      <c r="P98" s="4"/>
      <c r="Q98" s="4"/>
      <c r="R98" s="4">
        <f t="shared" si="35"/>
        <v>2180000</v>
      </c>
      <c r="S98" s="4">
        <f t="shared" si="36"/>
        <v>87200</v>
      </c>
      <c r="T98" s="4">
        <f>+J98*4%</f>
        <v>87200</v>
      </c>
      <c r="U98" s="4"/>
      <c r="V98" s="4"/>
      <c r="W98" s="7"/>
      <c r="X98" s="4"/>
      <c r="Y98" s="4"/>
      <c r="Z98" s="4"/>
      <c r="AA98" s="4">
        <f t="shared" si="28"/>
        <v>174400</v>
      </c>
      <c r="AB98" s="118">
        <f t="shared" si="37"/>
        <v>2005600</v>
      </c>
    </row>
    <row r="99" spans="1:28" ht="24.95" customHeight="1" x14ac:dyDescent="0.25">
      <c r="A99" s="117"/>
      <c r="B99" s="2">
        <v>28</v>
      </c>
      <c r="C99" s="1" t="s">
        <v>61</v>
      </c>
      <c r="D99" s="1" t="s">
        <v>31</v>
      </c>
      <c r="E99" s="2" t="s">
        <v>32</v>
      </c>
      <c r="F99" s="103" t="e">
        <f>INT(YEARFRAC('[1]Perfil Sociodemografico'!F121,'[1]Perfil Sociodemografico'!G121))</f>
        <v>#VALUE!</v>
      </c>
      <c r="G99" s="104" t="s">
        <v>192</v>
      </c>
      <c r="H99" s="104" t="s">
        <v>206</v>
      </c>
      <c r="I99" s="2" t="s">
        <v>195</v>
      </c>
      <c r="J99" s="4">
        <v>3500000</v>
      </c>
      <c r="K99" s="3">
        <v>30</v>
      </c>
      <c r="L99" s="3">
        <f>+J99-N99</f>
        <v>2800000</v>
      </c>
      <c r="M99" s="4"/>
      <c r="N99" s="4">
        <v>700000</v>
      </c>
      <c r="O99" s="4"/>
      <c r="P99" s="4"/>
      <c r="Q99" s="4"/>
      <c r="R99" s="4">
        <f>+L99+M99+O99+P99+Q99+N99</f>
        <v>3500000</v>
      </c>
      <c r="S99" s="4">
        <f t="shared" ref="S99" si="38">J99*4/100</f>
        <v>140000</v>
      </c>
      <c r="T99" s="4">
        <f t="shared" ref="T99" si="39">+J99*0.05</f>
        <v>175000</v>
      </c>
      <c r="U99" s="4"/>
      <c r="V99" s="4"/>
      <c r="W99" s="7">
        <v>0</v>
      </c>
      <c r="X99" s="4"/>
      <c r="Y99" s="4">
        <v>111000</v>
      </c>
      <c r="Z99" s="4"/>
      <c r="AA99" s="4">
        <f t="shared" si="28"/>
        <v>426000</v>
      </c>
      <c r="AB99" s="118">
        <f>R99-AA99</f>
        <v>3074000</v>
      </c>
    </row>
    <row r="100" spans="1:28" ht="24.95" customHeight="1" x14ac:dyDescent="0.25">
      <c r="A100" s="117"/>
      <c r="B100" s="2">
        <v>29</v>
      </c>
      <c r="C100" s="1" t="s">
        <v>118</v>
      </c>
      <c r="D100" s="1" t="s">
        <v>31</v>
      </c>
      <c r="E100" s="2" t="s">
        <v>32</v>
      </c>
      <c r="F100" s="103" t="e">
        <f>INT(YEARFRAC('[1]Perfil Sociodemografico'!F106,'[1]Perfil Sociodemografico'!G106))</f>
        <v>#VALUE!</v>
      </c>
      <c r="G100" s="104" t="s">
        <v>221</v>
      </c>
      <c r="H100" s="104" t="s">
        <v>206</v>
      </c>
      <c r="I100" s="2" t="s">
        <v>195</v>
      </c>
      <c r="J100" s="4">
        <v>2200000</v>
      </c>
      <c r="K100" s="3">
        <v>30</v>
      </c>
      <c r="L100" s="3">
        <f t="shared" si="34"/>
        <v>2200000</v>
      </c>
      <c r="M100" s="4"/>
      <c r="N100" s="4"/>
      <c r="O100" s="4"/>
      <c r="P100" s="4"/>
      <c r="Q100" s="4"/>
      <c r="R100" s="4">
        <f t="shared" si="35"/>
        <v>2200000</v>
      </c>
      <c r="S100" s="4">
        <f t="shared" si="36"/>
        <v>88000</v>
      </c>
      <c r="T100" s="4">
        <f>+J100*4%</f>
        <v>88000</v>
      </c>
      <c r="U100" s="4"/>
      <c r="V100" s="4"/>
      <c r="W100" s="7">
        <v>0</v>
      </c>
      <c r="X100" s="4"/>
      <c r="Y100" s="4"/>
      <c r="Z100" s="4"/>
      <c r="AA100" s="4">
        <f t="shared" si="28"/>
        <v>176000</v>
      </c>
      <c r="AB100" s="118">
        <f t="shared" si="37"/>
        <v>2024000</v>
      </c>
    </row>
    <row r="101" spans="1:28" ht="24.95" customHeight="1" x14ac:dyDescent="0.25">
      <c r="A101" s="117"/>
      <c r="B101" s="2">
        <v>30</v>
      </c>
      <c r="C101" s="1" t="s">
        <v>122</v>
      </c>
      <c r="D101" s="1" t="s">
        <v>31</v>
      </c>
      <c r="E101" s="2" t="s">
        <v>32</v>
      </c>
      <c r="F101" s="103">
        <v>32</v>
      </c>
      <c r="G101" s="104" t="s">
        <v>225</v>
      </c>
      <c r="H101" s="104" t="s">
        <v>212</v>
      </c>
      <c r="I101" s="2" t="s">
        <v>194</v>
      </c>
      <c r="J101" s="4">
        <v>3500000</v>
      </c>
      <c r="K101" s="3">
        <v>30</v>
      </c>
      <c r="L101" s="3">
        <f t="shared" si="34"/>
        <v>3500000</v>
      </c>
      <c r="M101" s="4"/>
      <c r="N101" s="4"/>
      <c r="O101" s="4"/>
      <c r="P101" s="4"/>
      <c r="Q101" s="4"/>
      <c r="R101" s="4">
        <f t="shared" si="35"/>
        <v>3500000</v>
      </c>
      <c r="S101" s="4">
        <f t="shared" si="36"/>
        <v>140000</v>
      </c>
      <c r="T101" s="4">
        <f>+J101*5%</f>
        <v>175000</v>
      </c>
      <c r="U101" s="4">
        <v>0</v>
      </c>
      <c r="V101" s="4"/>
      <c r="W101" s="4">
        <v>0</v>
      </c>
      <c r="X101" s="4"/>
      <c r="Y101" s="4"/>
      <c r="Z101" s="4"/>
      <c r="AA101" s="4">
        <f t="shared" si="28"/>
        <v>315000</v>
      </c>
      <c r="AB101" s="118">
        <f t="shared" ref="AB101:AB103" si="40">R101-AA101</f>
        <v>3185000</v>
      </c>
    </row>
    <row r="102" spans="1:28" ht="24.95" customHeight="1" x14ac:dyDescent="0.25">
      <c r="A102" s="117"/>
      <c r="B102" s="2">
        <v>31</v>
      </c>
      <c r="C102" s="9" t="s">
        <v>124</v>
      </c>
      <c r="D102" s="1" t="s">
        <v>31</v>
      </c>
      <c r="E102" s="2" t="s">
        <v>32</v>
      </c>
      <c r="F102" s="103" t="e">
        <f>INT(YEARFRAC('[1]Perfil Sociodemografico'!F89,'[1]Perfil Sociodemografico'!G89))</f>
        <v>#VALUE!</v>
      </c>
      <c r="G102" s="104" t="s">
        <v>226</v>
      </c>
      <c r="H102" s="104" t="s">
        <v>212</v>
      </c>
      <c r="I102" s="2" t="s">
        <v>194</v>
      </c>
      <c r="J102" s="4">
        <v>781242</v>
      </c>
      <c r="K102" s="3">
        <v>30</v>
      </c>
      <c r="L102" s="3">
        <f>+J102</f>
        <v>781242</v>
      </c>
      <c r="M102" s="4">
        <v>88211</v>
      </c>
      <c r="N102" s="4">
        <v>83816</v>
      </c>
      <c r="O102" s="4"/>
      <c r="P102" s="4"/>
      <c r="Q102" s="4"/>
      <c r="R102" s="4">
        <f>+L102+M102+O102+P102+Q102+N102</f>
        <v>953269</v>
      </c>
      <c r="S102" s="4">
        <f>+J102*0.04</f>
        <v>31249.68</v>
      </c>
      <c r="T102" s="4">
        <f>+J102*0.04</f>
        <v>31249.68</v>
      </c>
      <c r="U102" s="4"/>
      <c r="V102" s="4"/>
      <c r="W102" s="4">
        <v>0</v>
      </c>
      <c r="X102" s="4"/>
      <c r="Y102" s="4"/>
      <c r="Z102" s="4"/>
      <c r="AA102" s="4">
        <f t="shared" si="28"/>
        <v>62499.360000000001</v>
      </c>
      <c r="AB102" s="118">
        <f t="shared" si="40"/>
        <v>890769.64</v>
      </c>
    </row>
    <row r="103" spans="1:28" ht="24.95" customHeight="1" x14ac:dyDescent="0.25">
      <c r="A103" s="117"/>
      <c r="B103" s="2">
        <v>32</v>
      </c>
      <c r="C103" s="1" t="s">
        <v>157</v>
      </c>
      <c r="D103" s="1" t="s">
        <v>31</v>
      </c>
      <c r="E103" s="2" t="s">
        <v>102</v>
      </c>
      <c r="F103" s="103" t="e">
        <f>INT(YEARFRAC('[1]Perfil Sociodemografico'!F13,'[1]Perfil Sociodemografico'!G13))</f>
        <v>#VALUE!</v>
      </c>
      <c r="G103" s="104" t="s">
        <v>214</v>
      </c>
      <c r="H103" s="104" t="s">
        <v>212</v>
      </c>
      <c r="I103" s="2" t="s">
        <v>195</v>
      </c>
      <c r="J103" s="4">
        <v>781242</v>
      </c>
      <c r="K103" s="3">
        <v>30</v>
      </c>
      <c r="L103" s="3">
        <f t="shared" ref="L103" si="41">+J103/30*K103</f>
        <v>781242</v>
      </c>
      <c r="M103" s="4"/>
      <c r="N103" s="4"/>
      <c r="O103" s="4"/>
      <c r="P103" s="4"/>
      <c r="Q103" s="4"/>
      <c r="R103" s="4">
        <f t="shared" ref="R103" si="42">+L103+M103+O103+P103+Q103+N103</f>
        <v>781242</v>
      </c>
      <c r="S103" s="4">
        <v>0</v>
      </c>
      <c r="T103" s="4">
        <v>0</v>
      </c>
      <c r="U103" s="4">
        <v>0</v>
      </c>
      <c r="V103" s="4"/>
      <c r="W103" s="4">
        <v>0</v>
      </c>
      <c r="X103" s="4"/>
      <c r="Y103" s="4"/>
      <c r="Z103" s="4"/>
      <c r="AA103" s="4">
        <f t="shared" ref="AA103" si="43">SUM(S103:Z103)</f>
        <v>0</v>
      </c>
      <c r="AB103" s="118">
        <f t="shared" si="40"/>
        <v>781242</v>
      </c>
    </row>
    <row r="104" spans="1:28" ht="24.95" customHeight="1" x14ac:dyDescent="0.25">
      <c r="A104" s="117"/>
      <c r="B104" s="2">
        <v>33</v>
      </c>
      <c r="C104" s="1" t="s">
        <v>128</v>
      </c>
      <c r="D104" s="1" t="s">
        <v>31</v>
      </c>
      <c r="E104" s="2" t="s">
        <v>32</v>
      </c>
      <c r="F104" s="103" t="e">
        <f>INT(YEARFRAC('[1]Perfil Sociodemografico'!F52,'[1]Perfil Sociodemografico'!G52))</f>
        <v>#VALUE!</v>
      </c>
      <c r="G104" s="105" t="s">
        <v>227</v>
      </c>
      <c r="H104" s="105" t="s">
        <v>212</v>
      </c>
      <c r="I104" s="2" t="s">
        <v>195</v>
      </c>
      <c r="J104" s="4">
        <v>15400000</v>
      </c>
      <c r="K104" s="3">
        <v>30</v>
      </c>
      <c r="L104" s="3">
        <f t="shared" si="34"/>
        <v>15400000</v>
      </c>
      <c r="M104" s="4"/>
      <c r="N104" s="4"/>
      <c r="O104" s="4"/>
      <c r="P104" s="4">
        <v>600000</v>
      </c>
      <c r="Q104" s="4">
        <f>+J104-L104</f>
        <v>0</v>
      </c>
      <c r="R104" s="4">
        <f t="shared" si="35"/>
        <v>16000000</v>
      </c>
      <c r="S104" s="4">
        <v>616000</v>
      </c>
      <c r="T104" s="4">
        <f>616000+308000</f>
        <v>924000</v>
      </c>
      <c r="U104" s="4">
        <v>112700</v>
      </c>
      <c r="V104" s="4"/>
      <c r="W104" s="4">
        <v>916000</v>
      </c>
      <c r="X104" s="4">
        <v>5000000</v>
      </c>
      <c r="Y104" s="4"/>
      <c r="Z104" s="4">
        <v>2314715</v>
      </c>
      <c r="AA104" s="4">
        <f t="shared" si="28"/>
        <v>9883415</v>
      </c>
      <c r="AB104" s="118">
        <f>+R104-AA104</f>
        <v>6116585</v>
      </c>
    </row>
    <row r="105" spans="1:28" ht="24.95" customHeight="1" x14ac:dyDescent="0.25">
      <c r="A105" s="117"/>
      <c r="B105" s="2">
        <v>34</v>
      </c>
      <c r="C105" s="1" t="s">
        <v>129</v>
      </c>
      <c r="D105" s="1" t="s">
        <v>31</v>
      </c>
      <c r="E105" s="2" t="s">
        <v>32</v>
      </c>
      <c r="F105" s="103" t="e">
        <f>INT(YEARFRAC('[1]Perfil Sociodemografico'!F53,'[1]Perfil Sociodemografico'!G53))</f>
        <v>#VALUE!</v>
      </c>
      <c r="G105" s="105" t="s">
        <v>228</v>
      </c>
      <c r="H105" s="105" t="s">
        <v>212</v>
      </c>
      <c r="I105" s="2" t="s">
        <v>195</v>
      </c>
      <c r="J105" s="4">
        <v>5500000</v>
      </c>
      <c r="K105" s="3">
        <v>30</v>
      </c>
      <c r="L105" s="3">
        <f t="shared" si="34"/>
        <v>5500000</v>
      </c>
      <c r="M105" s="4"/>
      <c r="N105" s="4"/>
      <c r="O105" s="4"/>
      <c r="P105" s="4">
        <v>500000</v>
      </c>
      <c r="Q105" s="4">
        <f>+J105-L105</f>
        <v>0</v>
      </c>
      <c r="R105" s="4">
        <f t="shared" si="35"/>
        <v>6000000</v>
      </c>
      <c r="S105" s="4">
        <f>+J105*0.04</f>
        <v>220000</v>
      </c>
      <c r="T105" s="4">
        <f>+J105*0.05</f>
        <v>275000</v>
      </c>
      <c r="U105" s="4"/>
      <c r="V105" s="4"/>
      <c r="W105" s="4">
        <v>120000</v>
      </c>
      <c r="X105" s="4"/>
      <c r="Y105" s="4"/>
      <c r="Z105" s="4">
        <f>979498+371043</f>
        <v>1350541</v>
      </c>
      <c r="AA105" s="4">
        <f t="shared" si="28"/>
        <v>1965541</v>
      </c>
      <c r="AB105" s="118">
        <f>+R105-AA105</f>
        <v>4034459</v>
      </c>
    </row>
    <row r="106" spans="1:28" ht="24.95" customHeight="1" x14ac:dyDescent="0.25">
      <c r="A106" s="117"/>
      <c r="B106" s="2">
        <v>35</v>
      </c>
      <c r="C106" s="9" t="s">
        <v>132</v>
      </c>
      <c r="D106" s="1" t="s">
        <v>31</v>
      </c>
      <c r="E106" s="2" t="s">
        <v>32</v>
      </c>
      <c r="F106" s="103" t="e">
        <f>INT(YEARFRAC('[1]Perfil Sociodemografico'!F26,'[1]Perfil Sociodemografico'!G26))</f>
        <v>#VALUE!</v>
      </c>
      <c r="G106" s="105" t="s">
        <v>217</v>
      </c>
      <c r="H106" s="105" t="s">
        <v>193</v>
      </c>
      <c r="I106" s="2" t="s">
        <v>195</v>
      </c>
      <c r="J106" s="4">
        <v>4000000</v>
      </c>
      <c r="K106" s="3">
        <v>30</v>
      </c>
      <c r="L106" s="3">
        <f>+J106-N106</f>
        <v>2800000</v>
      </c>
      <c r="M106" s="4"/>
      <c r="N106" s="4">
        <v>1200000</v>
      </c>
      <c r="O106" s="12"/>
      <c r="P106" s="4"/>
      <c r="Q106" s="4"/>
      <c r="R106" s="4">
        <f>+L106+M106+N106+P106+Q106</f>
        <v>4000000</v>
      </c>
      <c r="S106" s="4">
        <f>+R106*0.04</f>
        <v>160000</v>
      </c>
      <c r="T106" s="4">
        <f>+R106*0.05</f>
        <v>200000</v>
      </c>
      <c r="U106" s="4"/>
      <c r="V106" s="4"/>
      <c r="W106" s="4">
        <v>0</v>
      </c>
      <c r="X106" s="4"/>
      <c r="Y106" s="4"/>
      <c r="Z106" s="4"/>
      <c r="AA106" s="4">
        <f t="shared" si="28"/>
        <v>360000</v>
      </c>
      <c r="AB106" s="118">
        <f>R106-AA106</f>
        <v>3640000</v>
      </c>
    </row>
    <row r="107" spans="1:28" ht="24.95" customHeight="1" x14ac:dyDescent="0.25">
      <c r="A107" s="117"/>
      <c r="B107" s="2">
        <v>36</v>
      </c>
      <c r="C107" s="1" t="s">
        <v>135</v>
      </c>
      <c r="D107" s="1" t="s">
        <v>31</v>
      </c>
      <c r="E107" s="2" t="s">
        <v>32</v>
      </c>
      <c r="F107" s="103" t="e">
        <f>INT(YEARFRAC('[1]Perfil Sociodemografico'!F38,'[1]Perfil Sociodemografico'!G38))</f>
        <v>#VALUE!</v>
      </c>
      <c r="G107" s="104" t="s">
        <v>198</v>
      </c>
      <c r="H107" s="104" t="s">
        <v>193</v>
      </c>
      <c r="I107" s="2" t="s">
        <v>195</v>
      </c>
      <c r="J107" s="4">
        <v>0</v>
      </c>
      <c r="K107" s="3">
        <v>30</v>
      </c>
      <c r="L107" s="3">
        <f t="shared" si="34"/>
        <v>0</v>
      </c>
      <c r="M107" s="4"/>
      <c r="N107" s="4"/>
      <c r="O107" s="4"/>
      <c r="P107" s="4"/>
      <c r="Q107" s="4">
        <v>0</v>
      </c>
      <c r="R107" s="4">
        <f t="shared" si="35"/>
        <v>0</v>
      </c>
      <c r="S107" s="4">
        <f>+J107*4%</f>
        <v>0</v>
      </c>
      <c r="T107" s="4">
        <f>+J107*5%</f>
        <v>0</v>
      </c>
      <c r="U107" s="4"/>
      <c r="V107" s="4"/>
      <c r="W107" s="4"/>
      <c r="X107" s="4"/>
      <c r="Y107" s="4"/>
      <c r="Z107" s="4"/>
      <c r="AA107" s="4">
        <f t="shared" si="28"/>
        <v>0</v>
      </c>
      <c r="AB107" s="118">
        <f>+R107-AA107</f>
        <v>0</v>
      </c>
    </row>
    <row r="108" spans="1:28" ht="24.95" customHeight="1" x14ac:dyDescent="0.25">
      <c r="A108" s="117"/>
      <c r="B108" s="2">
        <v>37</v>
      </c>
      <c r="C108" s="1" t="s">
        <v>136</v>
      </c>
      <c r="D108" s="1" t="s">
        <v>31</v>
      </c>
      <c r="E108" s="2" t="s">
        <v>32</v>
      </c>
      <c r="F108" s="103" t="e">
        <f>INT(YEARFRAC('[1]Perfil Sociodemografico'!F36,'[1]Perfil Sociodemografico'!G36))</f>
        <v>#VALUE!</v>
      </c>
      <c r="G108" s="105" t="s">
        <v>229</v>
      </c>
      <c r="H108" s="105" t="s">
        <v>212</v>
      </c>
      <c r="I108" s="2" t="s">
        <v>195</v>
      </c>
      <c r="J108" s="4">
        <v>4500000</v>
      </c>
      <c r="K108" s="3">
        <v>30</v>
      </c>
      <c r="L108" s="3">
        <f t="shared" si="34"/>
        <v>4500000</v>
      </c>
      <c r="M108" s="4"/>
      <c r="N108" s="4"/>
      <c r="O108" s="4"/>
      <c r="P108" s="4" t="s">
        <v>1</v>
      </c>
      <c r="Q108" s="4"/>
      <c r="R108" s="4">
        <f>+L108+M108</f>
        <v>4500000</v>
      </c>
      <c r="S108" s="4">
        <f t="shared" ref="S108:S113" si="44">+J108*4%</f>
        <v>180000</v>
      </c>
      <c r="T108" s="4">
        <f>+J108*5%</f>
        <v>225000</v>
      </c>
      <c r="U108" s="4"/>
      <c r="V108" s="4"/>
      <c r="W108" s="4"/>
      <c r="X108" s="4"/>
      <c r="Y108" s="4"/>
      <c r="Z108" s="4"/>
      <c r="AA108" s="4">
        <f>SUM(S108:Z108)</f>
        <v>405000</v>
      </c>
      <c r="AB108" s="118">
        <f>+R108-AA108</f>
        <v>4095000</v>
      </c>
    </row>
    <row r="109" spans="1:28" ht="24.95" customHeight="1" x14ac:dyDescent="0.25">
      <c r="A109" s="117"/>
      <c r="B109" s="2">
        <v>38</v>
      </c>
      <c r="C109" s="1" t="s">
        <v>164</v>
      </c>
      <c r="D109" s="1" t="s">
        <v>31</v>
      </c>
      <c r="E109" s="2" t="s">
        <v>102</v>
      </c>
      <c r="F109" s="103" t="e">
        <f>INT(YEARFRAC('[1]Perfil Sociodemografico'!F60,'[1]Perfil Sociodemografico'!G60))</f>
        <v>#VALUE!</v>
      </c>
      <c r="G109" s="104" t="s">
        <v>214</v>
      </c>
      <c r="H109" s="104" t="s">
        <v>212</v>
      </c>
      <c r="I109" s="2" t="s">
        <v>194</v>
      </c>
      <c r="J109" s="4">
        <v>781242</v>
      </c>
      <c r="K109" s="3">
        <v>30</v>
      </c>
      <c r="L109" s="3">
        <f t="shared" si="34"/>
        <v>781242</v>
      </c>
      <c r="M109" s="4"/>
      <c r="N109" s="4"/>
      <c r="O109" s="4"/>
      <c r="P109" s="4"/>
      <c r="Q109" s="4"/>
      <c r="R109" s="4">
        <f>+L109+M109+O109+P109+Q109+N109</f>
        <v>781242</v>
      </c>
      <c r="S109" s="4"/>
      <c r="T109" s="4"/>
      <c r="U109" s="4"/>
      <c r="V109" s="4"/>
      <c r="W109" s="7"/>
      <c r="X109" s="4"/>
      <c r="Y109" s="4"/>
      <c r="Z109" s="4"/>
      <c r="AA109" s="4">
        <f t="shared" ref="AA109" si="45">SUM(S109:Z109)</f>
        <v>0</v>
      </c>
      <c r="AB109" s="118">
        <f>+R109-AA109</f>
        <v>781242</v>
      </c>
    </row>
    <row r="110" spans="1:28" ht="24.95" customHeight="1" x14ac:dyDescent="0.25">
      <c r="A110" s="117"/>
      <c r="B110" s="2">
        <v>39</v>
      </c>
      <c r="C110" s="9" t="s">
        <v>230</v>
      </c>
      <c r="D110" s="1" t="s">
        <v>31</v>
      </c>
      <c r="E110" s="2" t="s">
        <v>32</v>
      </c>
      <c r="F110" s="2">
        <v>29</v>
      </c>
      <c r="G110" s="2" t="s">
        <v>213</v>
      </c>
      <c r="H110" s="104" t="s">
        <v>212</v>
      </c>
      <c r="I110" s="2" t="s">
        <v>194</v>
      </c>
      <c r="J110" s="4">
        <v>1550000</v>
      </c>
      <c r="K110" s="3">
        <v>31</v>
      </c>
      <c r="L110" s="3">
        <f t="shared" si="34"/>
        <v>1601666.6666666665</v>
      </c>
      <c r="M110" s="4">
        <v>91151</v>
      </c>
      <c r="N110" s="4"/>
      <c r="O110" s="4">
        <v>0</v>
      </c>
      <c r="P110" s="4"/>
      <c r="Q110" s="4"/>
      <c r="R110" s="4">
        <f t="shared" ref="R110" si="46">+L110+M110+O110+P110+Q110+N110</f>
        <v>1692817.6666666665</v>
      </c>
      <c r="S110" s="4">
        <f>+L110*4%</f>
        <v>64066.666666666664</v>
      </c>
      <c r="T110" s="4">
        <f>+L110*0.04</f>
        <v>64066.666666666664</v>
      </c>
      <c r="U110" s="4"/>
      <c r="V110" s="4"/>
      <c r="W110" s="4">
        <v>0</v>
      </c>
      <c r="X110" s="4"/>
      <c r="Y110" s="4"/>
      <c r="Z110" s="4"/>
      <c r="AA110" s="4">
        <f t="shared" ref="AA110" si="47">SUM(S110:Z110)</f>
        <v>128133.33333333333</v>
      </c>
      <c r="AB110" s="118">
        <f>R110-AA110</f>
        <v>1564684.3333333333</v>
      </c>
    </row>
    <row r="111" spans="1:28" ht="24.95" customHeight="1" x14ac:dyDescent="0.25">
      <c r="A111" s="117"/>
      <c r="B111" s="2">
        <v>40</v>
      </c>
      <c r="C111" s="9" t="s">
        <v>138</v>
      </c>
      <c r="D111" s="1" t="s">
        <v>31</v>
      </c>
      <c r="E111" s="2" t="s">
        <v>32</v>
      </c>
      <c r="F111" s="103" t="e">
        <f>INT(YEARFRAC('[1]Perfil Sociodemografico'!F12,'[1]Perfil Sociodemografico'!G12))</f>
        <v>#VALUE!</v>
      </c>
      <c r="G111" s="109" t="s">
        <v>218</v>
      </c>
      <c r="H111" s="107" t="s">
        <v>193</v>
      </c>
      <c r="I111" s="2" t="s">
        <v>195</v>
      </c>
      <c r="J111" s="4">
        <v>1600000</v>
      </c>
      <c r="K111" s="3">
        <v>30</v>
      </c>
      <c r="L111" s="3">
        <f t="shared" si="34"/>
        <v>1600000</v>
      </c>
      <c r="M111" s="4"/>
      <c r="N111" s="4"/>
      <c r="O111" s="4">
        <v>0</v>
      </c>
      <c r="P111" s="4"/>
      <c r="Q111" s="4"/>
      <c r="R111" s="4">
        <f t="shared" si="35"/>
        <v>1600000</v>
      </c>
      <c r="S111" s="4">
        <f t="shared" si="44"/>
        <v>64000</v>
      </c>
      <c r="T111" s="4">
        <f>+J111*0.04</f>
        <v>64000</v>
      </c>
      <c r="U111" s="4"/>
      <c r="V111" s="4"/>
      <c r="W111" s="4">
        <v>0</v>
      </c>
      <c r="X111" s="4"/>
      <c r="Y111" s="4"/>
      <c r="Z111" s="4"/>
      <c r="AA111" s="4">
        <f t="shared" si="28"/>
        <v>128000</v>
      </c>
      <c r="AB111" s="118">
        <f>R111-AA111</f>
        <v>1472000</v>
      </c>
    </row>
    <row r="112" spans="1:28" ht="24.95" customHeight="1" x14ac:dyDescent="0.25">
      <c r="A112" s="117"/>
      <c r="B112" s="2">
        <v>41</v>
      </c>
      <c r="C112" s="9" t="s">
        <v>148</v>
      </c>
      <c r="D112" s="1" t="s">
        <v>31</v>
      </c>
      <c r="E112" s="2" t="s">
        <v>32</v>
      </c>
      <c r="F112" s="103" t="e">
        <f>INT(YEARFRAC('[1]Perfil Sociodemografico'!F57,'[1]Perfil Sociodemografico'!G57))</f>
        <v>#VALUE!</v>
      </c>
      <c r="G112" s="105" t="s">
        <v>231</v>
      </c>
      <c r="H112" s="105" t="s">
        <v>212</v>
      </c>
      <c r="I112" s="2" t="s">
        <v>194</v>
      </c>
      <c r="J112" s="4">
        <v>1500000</v>
      </c>
      <c r="K112" s="3">
        <v>30</v>
      </c>
      <c r="L112" s="3">
        <f t="shared" si="34"/>
        <v>1500000</v>
      </c>
      <c r="M112" s="4">
        <v>88211</v>
      </c>
      <c r="N112" s="4"/>
      <c r="O112" s="4"/>
      <c r="P112" s="4"/>
      <c r="Q112" s="4"/>
      <c r="R112" s="4">
        <f t="shared" si="35"/>
        <v>1588211</v>
      </c>
      <c r="S112" s="4">
        <f>+J112*4%</f>
        <v>60000</v>
      </c>
      <c r="T112" s="4">
        <f>+J112*0.04</f>
        <v>60000</v>
      </c>
      <c r="U112" s="4"/>
      <c r="V112" s="4"/>
      <c r="W112" s="4">
        <v>0</v>
      </c>
      <c r="X112" s="4"/>
      <c r="Y112" s="4">
        <v>0</v>
      </c>
      <c r="Z112" s="4"/>
      <c r="AA112" s="4">
        <f t="shared" si="28"/>
        <v>120000</v>
      </c>
      <c r="AB112" s="118">
        <f>R112-AA112</f>
        <v>1468211</v>
      </c>
    </row>
    <row r="113" spans="1:30" ht="24.95" customHeight="1" x14ac:dyDescent="0.25">
      <c r="A113" s="117"/>
      <c r="B113" s="2">
        <v>42</v>
      </c>
      <c r="C113" s="1" t="s">
        <v>139</v>
      </c>
      <c r="D113" s="1" t="s">
        <v>31</v>
      </c>
      <c r="E113" s="2" t="s">
        <v>32</v>
      </c>
      <c r="F113" s="103" t="e">
        <f>INT(YEARFRAC('[1]Perfil Sociodemografico'!F97,'[1]Perfil Sociodemografico'!G97))</f>
        <v>#VALUE!</v>
      </c>
      <c r="G113" s="104" t="s">
        <v>205</v>
      </c>
      <c r="H113" s="104" t="s">
        <v>206</v>
      </c>
      <c r="I113" s="2" t="s">
        <v>195</v>
      </c>
      <c r="J113" s="4">
        <v>2300000</v>
      </c>
      <c r="K113" s="3">
        <v>30</v>
      </c>
      <c r="L113" s="3">
        <f t="shared" si="34"/>
        <v>2300000</v>
      </c>
      <c r="M113" s="4"/>
      <c r="N113" s="4"/>
      <c r="O113" s="4"/>
      <c r="P113" s="4"/>
      <c r="Q113" s="4"/>
      <c r="R113" s="4">
        <f t="shared" si="35"/>
        <v>2300000</v>
      </c>
      <c r="S113" s="4">
        <f t="shared" si="44"/>
        <v>92000</v>
      </c>
      <c r="T113" s="4">
        <f>+J113*4%</f>
        <v>92000</v>
      </c>
      <c r="U113" s="4"/>
      <c r="V113" s="4"/>
      <c r="W113" s="4">
        <v>0</v>
      </c>
      <c r="X113" s="4"/>
      <c r="Y113" s="4"/>
      <c r="Z113" s="4"/>
      <c r="AA113" s="4">
        <f t="shared" si="28"/>
        <v>184000</v>
      </c>
      <c r="AB113" s="118">
        <f t="shared" ref="AB113:AB117" si="48">+R113-AA113</f>
        <v>2116000</v>
      </c>
    </row>
    <row r="114" spans="1:30" ht="24.95" customHeight="1" x14ac:dyDescent="0.25">
      <c r="A114" s="117"/>
      <c r="B114" s="2">
        <v>43</v>
      </c>
      <c r="C114" s="1" t="s">
        <v>179</v>
      </c>
      <c r="D114" s="1" t="s">
        <v>31</v>
      </c>
      <c r="E114" s="2" t="s">
        <v>38</v>
      </c>
      <c r="F114" s="2">
        <v>37</v>
      </c>
      <c r="G114" s="2" t="s">
        <v>232</v>
      </c>
      <c r="H114" s="104" t="s">
        <v>212</v>
      </c>
      <c r="I114" s="2" t="s">
        <v>194</v>
      </c>
      <c r="J114" s="4">
        <v>781242</v>
      </c>
      <c r="K114" s="3">
        <v>30</v>
      </c>
      <c r="L114" s="3">
        <f t="shared" si="34"/>
        <v>781242</v>
      </c>
      <c r="M114" s="4">
        <f>+(88211/30)*K114</f>
        <v>88211</v>
      </c>
      <c r="N114" s="4">
        <v>71611</v>
      </c>
      <c r="O114" s="4"/>
      <c r="P114" s="4"/>
      <c r="Q114" s="4"/>
      <c r="R114" s="4">
        <f t="shared" si="35"/>
        <v>941064</v>
      </c>
      <c r="S114" s="4">
        <f>+L114*4%</f>
        <v>31249.68</v>
      </c>
      <c r="T114" s="4">
        <f>+L114*4%</f>
        <v>31249.68</v>
      </c>
      <c r="U114" s="4"/>
      <c r="V114" s="4"/>
      <c r="W114" s="4"/>
      <c r="X114" s="4"/>
      <c r="Y114" s="4"/>
      <c r="Z114" s="4"/>
      <c r="AA114" s="4">
        <f t="shared" ref="AA114" si="49">SUM(S114:Z114)</f>
        <v>62499.360000000001</v>
      </c>
      <c r="AB114" s="118">
        <f t="shared" si="48"/>
        <v>878564.64</v>
      </c>
    </row>
    <row r="115" spans="1:30" ht="24.95" customHeight="1" x14ac:dyDescent="0.25">
      <c r="A115" s="117"/>
      <c r="B115" s="2">
        <v>44</v>
      </c>
      <c r="C115" s="1" t="s">
        <v>140</v>
      </c>
      <c r="D115" s="1" t="s">
        <v>31</v>
      </c>
      <c r="E115" s="2" t="s">
        <v>32</v>
      </c>
      <c r="F115" s="103" t="e">
        <f>INT(YEARFRAC('[1]Perfil Sociodemografico'!F39,'[1]Perfil Sociodemografico'!G39))</f>
        <v>#VALUE!</v>
      </c>
      <c r="G115" s="104" t="s">
        <v>218</v>
      </c>
      <c r="H115" s="104" t="s">
        <v>193</v>
      </c>
      <c r="I115" s="2" t="s">
        <v>194</v>
      </c>
      <c r="J115" s="4">
        <v>1300000</v>
      </c>
      <c r="K115" s="3">
        <v>30</v>
      </c>
      <c r="L115" s="3">
        <f t="shared" si="34"/>
        <v>1300000</v>
      </c>
      <c r="M115" s="4">
        <v>88211</v>
      </c>
      <c r="N115" s="4"/>
      <c r="O115" s="4">
        <v>0</v>
      </c>
      <c r="P115" s="4"/>
      <c r="Q115" s="4"/>
      <c r="R115" s="4">
        <f t="shared" si="35"/>
        <v>1388211</v>
      </c>
      <c r="S115" s="4">
        <f>+J115*0.04</f>
        <v>52000</v>
      </c>
      <c r="T115" s="4">
        <f>+J115*0.04</f>
        <v>52000</v>
      </c>
      <c r="U115" s="4"/>
      <c r="V115" s="4"/>
      <c r="W115" s="4"/>
      <c r="X115" s="4"/>
      <c r="Y115" s="4"/>
      <c r="Z115" s="4"/>
      <c r="AA115" s="4">
        <f>SUM(S115:Z115)</f>
        <v>104000</v>
      </c>
      <c r="AB115" s="118">
        <f>+R115-AA115</f>
        <v>1284211</v>
      </c>
    </row>
    <row r="116" spans="1:30" ht="24.95" customHeight="1" x14ac:dyDescent="0.25">
      <c r="A116" s="117"/>
      <c r="B116" s="2">
        <v>45</v>
      </c>
      <c r="C116" s="1" t="s">
        <v>141</v>
      </c>
      <c r="D116" s="1" t="s">
        <v>31</v>
      </c>
      <c r="E116" s="2" t="s">
        <v>32</v>
      </c>
      <c r="F116" s="103" t="e">
        <f>INT(YEARFRAC('[1]Perfil Sociodemografico'!F55,'[1]Perfil Sociodemografico'!G55))</f>
        <v>#VALUE!</v>
      </c>
      <c r="G116" s="105" t="s">
        <v>217</v>
      </c>
      <c r="H116" s="105" t="s">
        <v>206</v>
      </c>
      <c r="I116" s="2" t="s">
        <v>195</v>
      </c>
      <c r="J116" s="4">
        <v>4000000</v>
      </c>
      <c r="K116" s="3">
        <v>30</v>
      </c>
      <c r="L116" s="3">
        <f>+J116-Q116</f>
        <v>4000000</v>
      </c>
      <c r="M116" s="4"/>
      <c r="N116" s="4"/>
      <c r="O116" s="4"/>
      <c r="P116" s="4"/>
      <c r="Q116" s="4"/>
      <c r="R116" s="4">
        <f t="shared" si="35"/>
        <v>4000000</v>
      </c>
      <c r="S116" s="4">
        <f>+J116*0.04</f>
        <v>160000</v>
      </c>
      <c r="T116" s="4">
        <f>+J116*0.05</f>
        <v>200000</v>
      </c>
      <c r="U116" s="4"/>
      <c r="V116" s="4">
        <v>95000</v>
      </c>
      <c r="W116" s="4"/>
      <c r="X116" s="4"/>
      <c r="Y116" s="4"/>
      <c r="Z116" s="4"/>
      <c r="AA116" s="4">
        <f t="shared" si="28"/>
        <v>455000</v>
      </c>
      <c r="AB116" s="118">
        <f t="shared" si="48"/>
        <v>3545000</v>
      </c>
    </row>
    <row r="117" spans="1:30" ht="17.25" customHeight="1" x14ac:dyDescent="0.25">
      <c r="A117" s="117"/>
      <c r="B117" s="2">
        <v>46</v>
      </c>
      <c r="C117" s="1" t="s">
        <v>144</v>
      </c>
      <c r="D117" s="1" t="s">
        <v>31</v>
      </c>
      <c r="E117" s="2" t="s">
        <v>32</v>
      </c>
      <c r="F117" s="103" t="e">
        <f>INT(YEARFRAC('[1]Perfil Sociodemografico'!F94,'[1]Perfil Sociodemografico'!G94))</f>
        <v>#VALUE!</v>
      </c>
      <c r="G117" s="104" t="s">
        <v>233</v>
      </c>
      <c r="H117" s="104" t="s">
        <v>212</v>
      </c>
      <c r="I117" s="2" t="s">
        <v>194</v>
      </c>
      <c r="J117" s="4">
        <v>1800000</v>
      </c>
      <c r="K117" s="3">
        <v>30</v>
      </c>
      <c r="L117" s="3">
        <f>+J117-O117</f>
        <v>1800000</v>
      </c>
      <c r="M117" s="4"/>
      <c r="N117" s="4"/>
      <c r="O117" s="4"/>
      <c r="P117" s="4"/>
      <c r="Q117" s="4"/>
      <c r="R117" s="4">
        <f t="shared" si="35"/>
        <v>1800000</v>
      </c>
      <c r="S117" s="4">
        <f>+J117*4%</f>
        <v>72000</v>
      </c>
      <c r="T117" s="4">
        <f>+J117*4%</f>
        <v>72000</v>
      </c>
      <c r="U117" s="4"/>
      <c r="V117" s="4"/>
      <c r="W117" s="4">
        <v>0</v>
      </c>
      <c r="X117" s="4"/>
      <c r="Y117" s="4"/>
      <c r="Z117" s="4"/>
      <c r="AA117" s="4">
        <f t="shared" si="28"/>
        <v>144000</v>
      </c>
      <c r="AB117" s="118">
        <f t="shared" si="48"/>
        <v>1656000</v>
      </c>
    </row>
    <row r="118" spans="1:30" ht="12.75" thickBot="1" x14ac:dyDescent="0.3">
      <c r="A118" s="119"/>
      <c r="B118" s="120"/>
      <c r="C118" s="120"/>
      <c r="D118" s="121"/>
      <c r="E118" s="121"/>
      <c r="F118" s="121"/>
      <c r="G118" s="121"/>
      <c r="H118" s="121"/>
      <c r="I118" s="121"/>
      <c r="J118" s="122">
        <f>SUM(J4:J117)</f>
        <v>479906799</v>
      </c>
      <c r="K118" s="122"/>
      <c r="L118" s="122">
        <f t="shared" ref="L118:AB118" si="50">SUM(L4:L117)</f>
        <v>460904173.00000006</v>
      </c>
      <c r="M118" s="122">
        <f t="shared" si="50"/>
        <v>1280371</v>
      </c>
      <c r="N118" s="122">
        <f t="shared" si="50"/>
        <v>16205762</v>
      </c>
      <c r="O118" s="122">
        <f t="shared" si="50"/>
        <v>0</v>
      </c>
      <c r="P118" s="122">
        <f t="shared" si="50"/>
        <v>12225912</v>
      </c>
      <c r="Q118" s="122">
        <f t="shared" si="50"/>
        <v>10010470</v>
      </c>
      <c r="R118" s="122">
        <f t="shared" si="50"/>
        <v>500626688.00000006</v>
      </c>
      <c r="S118" s="122">
        <f t="shared" si="50"/>
        <v>19120369.533333335</v>
      </c>
      <c r="T118" s="122">
        <f t="shared" si="50"/>
        <v>23529743.07</v>
      </c>
      <c r="U118" s="122">
        <f t="shared" si="50"/>
        <v>112700</v>
      </c>
      <c r="V118" s="122">
        <f t="shared" si="50"/>
        <v>1149000</v>
      </c>
      <c r="W118" s="122">
        <f t="shared" si="50"/>
        <v>5235253</v>
      </c>
      <c r="X118" s="122">
        <f t="shared" si="50"/>
        <v>13315000</v>
      </c>
      <c r="Y118" s="122">
        <f t="shared" si="50"/>
        <v>344614</v>
      </c>
      <c r="Z118" s="122">
        <f t="shared" si="50"/>
        <v>14755918</v>
      </c>
      <c r="AA118" s="122">
        <f t="shared" si="50"/>
        <v>77562597.603333324</v>
      </c>
      <c r="AB118" s="123">
        <f t="shared" si="50"/>
        <v>423064090.39666659</v>
      </c>
    </row>
    <row r="119" spans="1:30" x14ac:dyDescent="0.25">
      <c r="D119" s="68"/>
      <c r="E119" s="68"/>
      <c r="F119" s="68"/>
      <c r="G119" s="68"/>
      <c r="H119" s="68"/>
      <c r="I119" s="68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66"/>
    </row>
    <row r="120" spans="1:30" x14ac:dyDescent="0.25">
      <c r="D120" s="68"/>
      <c r="E120" s="68"/>
      <c r="F120" s="68"/>
      <c r="G120" s="68"/>
      <c r="H120" s="68"/>
      <c r="I120" s="68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Y120" s="12"/>
      <c r="Z120" s="12"/>
      <c r="AA120" s="12"/>
      <c r="AB120" s="66"/>
    </row>
    <row r="121" spans="1:30" x14ac:dyDescent="0.25">
      <c r="C121" s="72"/>
      <c r="D121" s="68"/>
      <c r="E121" s="73"/>
      <c r="F121" s="73"/>
      <c r="G121" s="73"/>
      <c r="H121" s="73"/>
      <c r="I121" s="7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Y121" s="12"/>
      <c r="Z121" s="12"/>
      <c r="AA121" s="12"/>
      <c r="AB121" s="68"/>
    </row>
    <row r="122" spans="1:30" x14ac:dyDescent="0.25">
      <c r="C122" s="72"/>
      <c r="D122" s="68"/>
      <c r="E122" s="73"/>
      <c r="F122" s="73"/>
      <c r="G122" s="73"/>
      <c r="H122" s="73"/>
      <c r="I122" s="7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68"/>
      <c r="AC122" s="68"/>
      <c r="AD122" s="68"/>
    </row>
    <row r="123" spans="1:30" x14ac:dyDescent="0.25">
      <c r="B123" s="68"/>
      <c r="C123" s="72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12"/>
      <c r="V123" s="74"/>
      <c r="W123" s="74"/>
      <c r="X123" s="74"/>
      <c r="Y123" s="74"/>
      <c r="Z123" s="74"/>
      <c r="AA123" s="74"/>
      <c r="AB123" s="74"/>
      <c r="AC123" s="68"/>
      <c r="AD123" s="68"/>
    </row>
    <row r="124" spans="1:30" x14ac:dyDescent="0.25">
      <c r="B124" s="68"/>
      <c r="C124" s="72"/>
      <c r="D124" s="68"/>
      <c r="E124" s="68"/>
      <c r="F124" s="68"/>
      <c r="G124" s="68"/>
      <c r="H124" s="68"/>
      <c r="I124" s="68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68"/>
      <c r="AC124" s="68"/>
      <c r="AD124" s="68"/>
    </row>
    <row r="125" spans="1:30" x14ac:dyDescent="0.25">
      <c r="B125" s="68"/>
      <c r="C125" s="72"/>
      <c r="D125" s="68"/>
      <c r="E125" s="68"/>
      <c r="F125" s="68"/>
      <c r="G125" s="68"/>
      <c r="H125" s="68"/>
      <c r="I125" s="68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68"/>
      <c r="AC125" s="68"/>
      <c r="AD125" s="68"/>
    </row>
    <row r="126" spans="1:30" x14ac:dyDescent="0.25">
      <c r="B126" s="68"/>
      <c r="C126" s="72"/>
      <c r="D126" s="68"/>
      <c r="E126" s="68"/>
      <c r="F126" s="68"/>
      <c r="G126" s="68"/>
      <c r="H126" s="68"/>
      <c r="I126" s="68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68"/>
      <c r="AC126" s="68"/>
      <c r="AD126" s="68"/>
    </row>
    <row r="127" spans="1:30" x14ac:dyDescent="0.25">
      <c r="B127" s="68"/>
      <c r="C127" s="75"/>
      <c r="D127" s="75"/>
      <c r="E127" s="75"/>
      <c r="F127" s="75"/>
      <c r="G127" s="75"/>
      <c r="H127" s="75"/>
      <c r="I127" s="75"/>
      <c r="J127" s="75"/>
      <c r="K127" s="75"/>
      <c r="L127" s="91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68"/>
      <c r="AD127" s="68"/>
    </row>
    <row r="128" spans="1:30" x14ac:dyDescent="0.25">
      <c r="B128" s="78"/>
      <c r="C128" s="92"/>
      <c r="D128" s="76"/>
      <c r="E128" s="76"/>
      <c r="F128" s="76"/>
      <c r="G128" s="76"/>
      <c r="H128" s="76"/>
      <c r="I128" s="76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6"/>
      <c r="AC128" s="68"/>
      <c r="AD128" s="68"/>
    </row>
    <row r="129" spans="2:30" x14ac:dyDescent="0.25">
      <c r="B129" s="68"/>
      <c r="C129" s="93"/>
      <c r="D129" s="68"/>
      <c r="E129" s="68"/>
      <c r="F129" s="68"/>
      <c r="G129" s="68"/>
      <c r="H129" s="68"/>
      <c r="I129" s="68"/>
      <c r="J129" s="12"/>
      <c r="K129" s="12"/>
      <c r="L129" s="80"/>
      <c r="M129" s="12"/>
      <c r="N129" s="12"/>
      <c r="O129" s="12"/>
      <c r="P129" s="12"/>
      <c r="Q129" s="12"/>
      <c r="R129" s="12"/>
      <c r="S129" s="12"/>
      <c r="T129" s="12"/>
      <c r="U129" s="81"/>
      <c r="V129" s="81"/>
      <c r="W129" s="81"/>
      <c r="X129" s="81"/>
      <c r="Y129" s="81"/>
      <c r="Z129" s="12"/>
      <c r="AA129" s="12"/>
      <c r="AB129" s="68"/>
      <c r="AC129" s="68"/>
      <c r="AD129" s="68"/>
    </row>
    <row r="130" spans="2:30" x14ac:dyDescent="0.25">
      <c r="B130" s="68"/>
      <c r="C130" s="82"/>
      <c r="D130" s="76"/>
      <c r="E130" s="76"/>
      <c r="F130" s="76"/>
      <c r="G130" s="76"/>
      <c r="H130" s="76"/>
      <c r="I130" s="76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6"/>
      <c r="AC130" s="68"/>
      <c r="AD130" s="68"/>
    </row>
    <row r="131" spans="2:30" x14ac:dyDescent="0.25">
      <c r="B131" s="76"/>
      <c r="C131" s="82"/>
      <c r="D131" s="76"/>
      <c r="E131" s="76"/>
      <c r="F131" s="76"/>
      <c r="G131" s="76"/>
      <c r="H131" s="76"/>
      <c r="I131" s="76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6"/>
      <c r="AC131" s="68"/>
      <c r="AD131" s="68"/>
    </row>
    <row r="132" spans="2:30" x14ac:dyDescent="0.25">
      <c r="B132" s="68"/>
      <c r="C132" s="82"/>
      <c r="D132" s="76"/>
      <c r="E132" s="76"/>
      <c r="F132" s="76"/>
      <c r="G132" s="76"/>
      <c r="H132" s="76"/>
      <c r="I132" s="76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66"/>
      <c r="AC132" s="68"/>
      <c r="AD132" s="68"/>
    </row>
    <row r="133" spans="2:30" x14ac:dyDescent="0.25">
      <c r="C133" s="82"/>
      <c r="D133" s="76"/>
      <c r="E133" s="76"/>
      <c r="F133" s="76"/>
      <c r="G133" s="76"/>
      <c r="H133" s="76"/>
      <c r="I133" s="76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66"/>
      <c r="AC133" s="68"/>
      <c r="AD133" s="68"/>
    </row>
    <row r="134" spans="2:30" x14ac:dyDescent="0.25">
      <c r="C134" s="82"/>
      <c r="D134" s="76"/>
      <c r="E134" s="76"/>
      <c r="F134" s="76"/>
      <c r="G134" s="76"/>
      <c r="H134" s="76"/>
      <c r="I134" s="76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66"/>
      <c r="AC134" s="68"/>
      <c r="AD134" s="68"/>
    </row>
    <row r="135" spans="2:30" x14ac:dyDescent="0.25">
      <c r="C135" s="82"/>
      <c r="D135" s="76"/>
      <c r="E135" s="76"/>
      <c r="F135" s="76"/>
      <c r="G135" s="76"/>
      <c r="H135" s="76"/>
      <c r="I135" s="76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66"/>
      <c r="AC135" s="68"/>
      <c r="AD135" s="68"/>
    </row>
    <row r="136" spans="2:30" x14ac:dyDescent="0.25">
      <c r="C136" s="82"/>
      <c r="D136" s="76"/>
      <c r="E136" s="76"/>
      <c r="F136" s="76"/>
      <c r="G136" s="76"/>
      <c r="H136" s="76"/>
      <c r="I136" s="76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66"/>
      <c r="AC136" s="68"/>
      <c r="AD136" s="68"/>
    </row>
    <row r="137" spans="2:30" x14ac:dyDescent="0.25">
      <c r="C137" s="82"/>
      <c r="D137" s="76"/>
      <c r="E137" s="76"/>
      <c r="F137" s="76"/>
      <c r="G137" s="76"/>
      <c r="H137" s="76"/>
      <c r="I137" s="76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66"/>
      <c r="AC137" s="68"/>
      <c r="AD137" s="68"/>
    </row>
    <row r="138" spans="2:30" x14ac:dyDescent="0.25">
      <c r="C138" s="72"/>
      <c r="D138" s="68"/>
      <c r="E138" s="68"/>
      <c r="F138" s="68"/>
      <c r="G138" s="68"/>
      <c r="H138" s="68"/>
      <c r="I138" s="68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66"/>
      <c r="AC138" s="68"/>
      <c r="AD138" s="68"/>
    </row>
    <row r="139" spans="2:30" x14ac:dyDescent="0.25">
      <c r="C139" s="82"/>
      <c r="D139" s="68"/>
      <c r="E139" s="68"/>
      <c r="F139" s="68"/>
      <c r="G139" s="68"/>
      <c r="H139" s="68"/>
      <c r="I139" s="68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66"/>
      <c r="AC139" s="68"/>
      <c r="AD139" s="68"/>
    </row>
    <row r="140" spans="2:30" x14ac:dyDescent="0.25">
      <c r="C140" s="82"/>
      <c r="D140" s="68"/>
      <c r="E140" s="68"/>
      <c r="F140" s="68"/>
      <c r="G140" s="68"/>
      <c r="H140" s="68"/>
      <c r="I140" s="68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66"/>
      <c r="AC140" s="68"/>
      <c r="AD140" s="68"/>
    </row>
    <row r="141" spans="2:30" x14ac:dyDescent="0.25">
      <c r="C141" s="82"/>
      <c r="D141" s="68"/>
      <c r="E141" s="68"/>
      <c r="F141" s="68"/>
      <c r="G141" s="68"/>
      <c r="H141" s="68"/>
      <c r="I141" s="68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66"/>
      <c r="AC141" s="68"/>
      <c r="AD141" s="68"/>
    </row>
    <row r="142" spans="2:30" x14ac:dyDescent="0.25">
      <c r="C142" s="82"/>
      <c r="D142" s="68"/>
      <c r="E142" s="68"/>
      <c r="F142" s="68"/>
      <c r="G142" s="68"/>
      <c r="H142" s="68"/>
      <c r="I142" s="68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66"/>
      <c r="AC142" s="68"/>
      <c r="AD142" s="68"/>
    </row>
    <row r="143" spans="2:30" x14ac:dyDescent="0.25">
      <c r="C143" s="82"/>
      <c r="D143" s="68"/>
      <c r="E143" s="68"/>
      <c r="F143" s="68"/>
      <c r="G143" s="68"/>
      <c r="H143" s="68"/>
      <c r="I143" s="68"/>
      <c r="J143" s="12"/>
      <c r="K143" s="12"/>
      <c r="L143" s="12"/>
      <c r="M143" s="12"/>
      <c r="N143" s="12"/>
      <c r="O143" s="12"/>
      <c r="P143" s="12"/>
      <c r="Q143" s="12"/>
      <c r="R143" s="12">
        <f>737717*4</f>
        <v>2950868</v>
      </c>
      <c r="S143" s="12">
        <f>737717*2</f>
        <v>1475434</v>
      </c>
      <c r="T143" s="12"/>
      <c r="U143" s="12"/>
      <c r="V143" s="12"/>
      <c r="W143" s="12"/>
      <c r="X143" s="12"/>
      <c r="Y143" s="12"/>
      <c r="Z143" s="12"/>
      <c r="AA143" s="12"/>
      <c r="AB143" s="66"/>
      <c r="AC143" s="68"/>
      <c r="AD143" s="68"/>
    </row>
    <row r="144" spans="2:30" x14ac:dyDescent="0.25">
      <c r="C144" s="82"/>
      <c r="D144" s="68"/>
      <c r="E144" s="68"/>
      <c r="F144" s="68"/>
      <c r="G144" s="68"/>
      <c r="H144" s="68"/>
      <c r="I144" s="68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66"/>
      <c r="AC144" s="68"/>
      <c r="AD144" s="68"/>
    </row>
    <row r="145" spans="2:30" x14ac:dyDescent="0.25">
      <c r="C145" s="82"/>
      <c r="D145" s="68"/>
      <c r="E145" s="68"/>
      <c r="F145" s="68"/>
      <c r="G145" s="68"/>
      <c r="H145" s="68"/>
      <c r="I145" s="68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66"/>
      <c r="AC145" s="68"/>
      <c r="AD145" s="68"/>
    </row>
    <row r="146" spans="2:30" x14ac:dyDescent="0.25">
      <c r="C146" s="82"/>
      <c r="D146" s="68"/>
      <c r="E146" s="68"/>
      <c r="F146" s="68"/>
      <c r="G146" s="68"/>
      <c r="H146" s="68"/>
      <c r="I146" s="68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66"/>
      <c r="AC146" s="68"/>
      <c r="AD146" s="68"/>
    </row>
    <row r="147" spans="2:30" x14ac:dyDescent="0.25">
      <c r="C147" s="82"/>
      <c r="D147" s="68"/>
      <c r="E147" s="68"/>
      <c r="F147" s="68"/>
      <c r="G147" s="68"/>
      <c r="H147" s="68"/>
      <c r="I147" s="68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66"/>
      <c r="AC147" s="68"/>
      <c r="AD147" s="68"/>
    </row>
    <row r="148" spans="2:30" x14ac:dyDescent="0.25">
      <c r="C148" s="82"/>
      <c r="D148" s="68"/>
      <c r="E148" s="68"/>
      <c r="F148" s="68"/>
      <c r="G148" s="68"/>
      <c r="H148" s="68"/>
      <c r="I148" s="68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66"/>
      <c r="AC148" s="68"/>
      <c r="AD148" s="68"/>
    </row>
    <row r="149" spans="2:30" x14ac:dyDescent="0.25">
      <c r="C149" s="82"/>
      <c r="D149" s="68"/>
      <c r="E149" s="68"/>
      <c r="F149" s="68"/>
      <c r="G149" s="68"/>
      <c r="H149" s="68"/>
      <c r="I149" s="68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66"/>
      <c r="AC149" s="68"/>
      <c r="AD149" s="68"/>
    </row>
    <row r="150" spans="2:30" x14ac:dyDescent="0.25">
      <c r="C150" s="72"/>
      <c r="D150" s="68"/>
      <c r="E150" s="68"/>
      <c r="F150" s="68"/>
      <c r="G150" s="68"/>
      <c r="H150" s="68"/>
      <c r="I150" s="68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68"/>
      <c r="AC150" s="68"/>
      <c r="AD150" s="68"/>
    </row>
    <row r="151" spans="2:30" x14ac:dyDescent="0.25">
      <c r="C151" s="72"/>
      <c r="D151" s="68"/>
      <c r="E151" s="68"/>
      <c r="F151" s="68"/>
      <c r="G151" s="68"/>
      <c r="H151" s="68"/>
      <c r="I151" s="68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68"/>
      <c r="Z151" s="12"/>
      <c r="AA151" s="12"/>
      <c r="AB151" s="68"/>
      <c r="AC151" s="68"/>
      <c r="AD151" s="68"/>
    </row>
    <row r="152" spans="2:30" x14ac:dyDescent="0.25">
      <c r="B152" s="68"/>
      <c r="C152" s="72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68"/>
      <c r="AD152" s="68"/>
    </row>
    <row r="153" spans="2:30" x14ac:dyDescent="0.25">
      <c r="B153" s="68"/>
      <c r="C153" s="72"/>
      <c r="D153" s="68"/>
      <c r="E153" s="68"/>
      <c r="F153" s="68"/>
      <c r="G153" s="68"/>
      <c r="H153" s="68"/>
      <c r="I153" s="68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  <c r="AA153" s="79"/>
      <c r="AB153" s="76"/>
      <c r="AC153" s="68"/>
      <c r="AD153" s="68"/>
    </row>
    <row r="154" spans="2:30" x14ac:dyDescent="0.25">
      <c r="B154" s="68"/>
      <c r="C154" s="82"/>
      <c r="D154" s="76"/>
      <c r="E154" s="76"/>
      <c r="F154" s="76"/>
      <c r="G154" s="76"/>
      <c r="H154" s="76"/>
      <c r="I154" s="76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  <c r="AA154" s="79"/>
      <c r="AB154" s="76"/>
    </row>
    <row r="155" spans="2:30" x14ac:dyDescent="0.25">
      <c r="B155" s="85"/>
      <c r="C155" s="82"/>
      <c r="D155" s="76"/>
      <c r="E155" s="76"/>
      <c r="F155" s="76"/>
      <c r="G155" s="76"/>
      <c r="H155" s="76"/>
      <c r="I155" s="76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  <c r="AA155" s="79"/>
      <c r="AB155" s="76"/>
    </row>
    <row r="156" spans="2:30" x14ac:dyDescent="0.25">
      <c r="C156" s="82"/>
      <c r="D156" s="76"/>
      <c r="E156" s="76"/>
      <c r="F156" s="76"/>
      <c r="G156" s="76"/>
      <c r="H156" s="76"/>
      <c r="I156" s="76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66"/>
    </row>
    <row r="157" spans="2:30" x14ac:dyDescent="0.25">
      <c r="C157" s="82"/>
      <c r="D157" s="76"/>
      <c r="E157" s="76"/>
      <c r="F157" s="76"/>
      <c r="G157" s="76"/>
      <c r="H157" s="76"/>
      <c r="I157" s="76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66"/>
    </row>
    <row r="158" spans="2:30" x14ac:dyDescent="0.25">
      <c r="C158" s="82"/>
      <c r="D158" s="76"/>
      <c r="E158" s="76"/>
      <c r="F158" s="76"/>
      <c r="G158" s="76"/>
      <c r="H158" s="76"/>
      <c r="I158" s="76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66"/>
    </row>
    <row r="159" spans="2:30" x14ac:dyDescent="0.25">
      <c r="C159" s="72"/>
      <c r="D159" s="68"/>
      <c r="E159" s="68"/>
      <c r="F159" s="68"/>
      <c r="G159" s="68"/>
      <c r="H159" s="68"/>
      <c r="I159" s="68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66"/>
    </row>
    <row r="160" spans="2:30" x14ac:dyDescent="0.25">
      <c r="C160" s="82"/>
      <c r="D160" s="68"/>
      <c r="E160" s="68"/>
      <c r="F160" s="68"/>
      <c r="G160" s="68"/>
      <c r="H160" s="68"/>
      <c r="I160" s="68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66"/>
    </row>
    <row r="161" spans="2:28" x14ac:dyDescent="0.25">
      <c r="C161" s="72"/>
      <c r="D161" s="68"/>
      <c r="E161" s="68"/>
      <c r="F161" s="68"/>
      <c r="G161" s="68"/>
      <c r="H161" s="68"/>
      <c r="I161" s="68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68"/>
    </row>
    <row r="162" spans="2:28" x14ac:dyDescent="0.25">
      <c r="C162" s="72"/>
      <c r="D162" s="68"/>
      <c r="E162" s="68"/>
      <c r="F162" s="68"/>
      <c r="G162" s="68"/>
      <c r="H162" s="68"/>
      <c r="I162" s="68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66"/>
    </row>
    <row r="163" spans="2:28" x14ac:dyDescent="0.25">
      <c r="B163" s="68"/>
      <c r="C163" s="72"/>
      <c r="D163" s="68"/>
      <c r="E163" s="68"/>
      <c r="F163" s="68"/>
      <c r="G163" s="68"/>
      <c r="H163" s="68"/>
      <c r="I163" s="68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68"/>
    </row>
    <row r="164" spans="2:28" x14ac:dyDescent="0.25">
      <c r="B164" s="68"/>
      <c r="C164" s="72"/>
      <c r="D164" s="68"/>
      <c r="E164" s="68"/>
      <c r="F164" s="68"/>
      <c r="G164" s="68"/>
      <c r="H164" s="68"/>
      <c r="I164" s="68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68"/>
    </row>
    <row r="165" spans="2:28" x14ac:dyDescent="0.25">
      <c r="B165" s="68"/>
      <c r="C165" s="72"/>
      <c r="D165" s="68"/>
      <c r="E165" s="68"/>
      <c r="F165" s="68"/>
      <c r="G165" s="68"/>
      <c r="H165" s="68"/>
      <c r="I165" s="68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86"/>
    </row>
    <row r="166" spans="2:28" x14ac:dyDescent="0.25">
      <c r="B166" s="68"/>
      <c r="C166" s="72"/>
      <c r="D166" s="68"/>
      <c r="E166" s="68"/>
      <c r="F166" s="68"/>
      <c r="G166" s="68"/>
      <c r="H166" s="68"/>
      <c r="I166" s="68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87"/>
    </row>
    <row r="167" spans="2:28" x14ac:dyDescent="0.25">
      <c r="C167" s="72"/>
      <c r="D167" s="68"/>
      <c r="E167" s="68"/>
      <c r="F167" s="68"/>
      <c r="G167" s="68"/>
      <c r="H167" s="68"/>
      <c r="I167" s="68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68"/>
    </row>
    <row r="168" spans="2:28" x14ac:dyDescent="0.25">
      <c r="C168" s="72"/>
      <c r="D168" s="68"/>
      <c r="E168" s="68"/>
      <c r="F168" s="68"/>
      <c r="G168" s="68"/>
      <c r="H168" s="68"/>
      <c r="I168" s="68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68"/>
    </row>
    <row r="169" spans="2:28" x14ac:dyDescent="0.25">
      <c r="C169" s="72"/>
      <c r="D169" s="68"/>
      <c r="E169" s="68"/>
      <c r="F169" s="68"/>
      <c r="G169" s="68"/>
      <c r="H169" s="68"/>
      <c r="I169" s="68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68"/>
    </row>
    <row r="170" spans="2:28" x14ac:dyDescent="0.25">
      <c r="C170" s="72"/>
      <c r="D170" s="68"/>
      <c r="E170" s="68"/>
      <c r="F170" s="68"/>
      <c r="G170" s="68"/>
      <c r="H170" s="68"/>
      <c r="I170" s="68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68"/>
    </row>
    <row r="171" spans="2:28" x14ac:dyDescent="0.25">
      <c r="C171" s="72"/>
      <c r="D171" s="68"/>
      <c r="E171" s="68"/>
      <c r="F171" s="68"/>
      <c r="G171" s="68"/>
      <c r="H171" s="68"/>
      <c r="I171" s="68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68"/>
    </row>
    <row r="172" spans="2:28" x14ac:dyDescent="0.25">
      <c r="C172" s="72"/>
      <c r="D172" s="68"/>
      <c r="E172" s="68"/>
      <c r="F172" s="68"/>
      <c r="G172" s="68"/>
      <c r="H172" s="68"/>
      <c r="I172" s="68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68"/>
    </row>
    <row r="173" spans="2:28" x14ac:dyDescent="0.25">
      <c r="C173" s="72"/>
      <c r="D173" s="68"/>
      <c r="E173" s="68"/>
      <c r="F173" s="68"/>
      <c r="G173" s="68"/>
      <c r="H173" s="68"/>
      <c r="I173" s="68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68"/>
    </row>
    <row r="174" spans="2:28" x14ac:dyDescent="0.25">
      <c r="C174" s="72"/>
      <c r="D174" s="68"/>
      <c r="E174" s="68"/>
      <c r="F174" s="68"/>
      <c r="G174" s="68"/>
      <c r="H174" s="68"/>
      <c r="I174" s="68"/>
      <c r="J174" s="12"/>
      <c r="K174" s="12"/>
      <c r="L174" s="12"/>
      <c r="M174" s="12"/>
      <c r="N174" s="12"/>
      <c r="O174" s="12"/>
      <c r="P174" s="12"/>
      <c r="Q174" s="12"/>
      <c r="R174" s="12"/>
      <c r="S174" s="12">
        <v>3003000</v>
      </c>
      <c r="T174" s="12"/>
      <c r="U174" s="12"/>
      <c r="V174" s="12"/>
      <c r="W174" s="12"/>
      <c r="X174" s="12"/>
      <c r="Y174" s="12"/>
      <c r="Z174" s="12"/>
      <c r="AA174" s="12"/>
      <c r="AB174" s="68"/>
    </row>
    <row r="175" spans="2:28" x14ac:dyDescent="0.25">
      <c r="C175" s="82"/>
      <c r="D175" s="68"/>
      <c r="E175" s="68"/>
      <c r="F175" s="68"/>
      <c r="G175" s="68"/>
      <c r="H175" s="68"/>
      <c r="I175" s="68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68"/>
    </row>
    <row r="176" spans="2:28" x14ac:dyDescent="0.25">
      <c r="C176" s="82"/>
      <c r="D176" s="68"/>
      <c r="E176" s="68"/>
      <c r="F176" s="68"/>
      <c r="G176" s="68"/>
      <c r="H176" s="68"/>
      <c r="I176" s="68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68"/>
    </row>
    <row r="177" spans="3:28" x14ac:dyDescent="0.25">
      <c r="C177" s="82"/>
      <c r="D177" s="68"/>
      <c r="E177" s="68"/>
      <c r="F177" s="68"/>
      <c r="G177" s="68"/>
      <c r="H177" s="68"/>
      <c r="I177" s="68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68"/>
    </row>
    <row r="178" spans="3:28" x14ac:dyDescent="0.25">
      <c r="C178" s="82"/>
      <c r="D178" s="68"/>
      <c r="E178" s="68"/>
      <c r="F178" s="68"/>
      <c r="G178" s="68"/>
      <c r="H178" s="68"/>
      <c r="I178" s="68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68"/>
    </row>
    <row r="179" spans="3:28" x14ac:dyDescent="0.25">
      <c r="C179" s="72">
        <v>42614840</v>
      </c>
      <c r="D179" s="68"/>
      <c r="E179" s="68"/>
      <c r="F179" s="68"/>
      <c r="G179" s="68"/>
      <c r="H179" s="68"/>
      <c r="I179" s="68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>
        <v>412608</v>
      </c>
      <c r="AB179" s="68"/>
    </row>
    <row r="180" spans="3:28" x14ac:dyDescent="0.25">
      <c r="C180" s="72">
        <v>9675182</v>
      </c>
      <c r="D180" s="68"/>
      <c r="E180" s="68"/>
      <c r="F180" s="68"/>
      <c r="G180" s="68"/>
      <c r="H180" s="68"/>
      <c r="I180" s="68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>
        <v>1880000</v>
      </c>
      <c r="AB180" s="68"/>
    </row>
    <row r="181" spans="3:28" x14ac:dyDescent="0.25">
      <c r="C181" s="72">
        <v>17903600</v>
      </c>
      <c r="D181" s="68"/>
      <c r="E181" s="68"/>
      <c r="F181" s="68"/>
      <c r="G181" s="68"/>
      <c r="H181" s="68"/>
      <c r="I181" s="68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68"/>
    </row>
    <row r="182" spans="3:28" x14ac:dyDescent="0.25">
      <c r="C182" s="72">
        <f>SUM(C179:C181)</f>
        <v>70193622</v>
      </c>
      <c r="D182" s="68"/>
      <c r="E182" s="68"/>
      <c r="F182" s="68"/>
      <c r="G182" s="68"/>
      <c r="H182" s="68"/>
      <c r="I182" s="68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68"/>
    </row>
    <row r="183" spans="3:28" x14ac:dyDescent="0.25">
      <c r="C183" s="72">
        <v>400000</v>
      </c>
      <c r="D183" s="68"/>
      <c r="E183" s="68"/>
      <c r="F183" s="68"/>
      <c r="G183" s="68"/>
      <c r="H183" s="68"/>
      <c r="I183" s="68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68"/>
    </row>
    <row r="184" spans="3:28" x14ac:dyDescent="0.25">
      <c r="C184" s="72">
        <f>+C182+C183</f>
        <v>70593622</v>
      </c>
      <c r="D184" s="68"/>
      <c r="E184" s="68"/>
      <c r="F184" s="68"/>
      <c r="G184" s="68"/>
      <c r="H184" s="68"/>
      <c r="I184" s="68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68"/>
    </row>
    <row r="188" spans="3:28" x14ac:dyDescent="0.25">
      <c r="C188" s="13">
        <v>11000000</v>
      </c>
    </row>
    <row r="189" spans="3:28" x14ac:dyDescent="0.25">
      <c r="C189" s="13">
        <f>+C187+C188</f>
        <v>11000000</v>
      </c>
    </row>
    <row r="194" spans="3:3" x14ac:dyDescent="0.25">
      <c r="C194" s="13">
        <v>3185000</v>
      </c>
    </row>
    <row r="195" spans="3:3" x14ac:dyDescent="0.25">
      <c r="C195" s="13">
        <v>1080000</v>
      </c>
    </row>
    <row r="196" spans="3:3" x14ac:dyDescent="0.25">
      <c r="C196" s="13">
        <v>4850100</v>
      </c>
    </row>
    <row r="197" spans="3:3" x14ac:dyDescent="0.25">
      <c r="C197" s="13">
        <v>5027500</v>
      </c>
    </row>
    <row r="198" spans="3:3" x14ac:dyDescent="0.25">
      <c r="C198" s="13">
        <v>4566000</v>
      </c>
    </row>
    <row r="199" spans="3:3" x14ac:dyDescent="0.25">
      <c r="C199" s="13">
        <v>1050000</v>
      </c>
    </row>
    <row r="200" spans="3:3" x14ac:dyDescent="0.25">
      <c r="C200" s="13">
        <v>3877333</v>
      </c>
    </row>
    <row r="201" spans="3:3" x14ac:dyDescent="0.25">
      <c r="C201" s="13">
        <v>6732440</v>
      </c>
    </row>
    <row r="202" spans="3:3" x14ac:dyDescent="0.25">
      <c r="C202" s="13">
        <v>3460000</v>
      </c>
    </row>
    <row r="203" spans="3:3" x14ac:dyDescent="0.25">
      <c r="C203" s="13">
        <v>588800</v>
      </c>
    </row>
    <row r="204" spans="3:3" x14ac:dyDescent="0.25">
      <c r="C204" s="13">
        <v>1868000</v>
      </c>
    </row>
    <row r="205" spans="3:3" x14ac:dyDescent="0.25">
      <c r="C205" s="13">
        <v>10313000</v>
      </c>
    </row>
    <row r="206" spans="3:3" x14ac:dyDescent="0.25">
      <c r="C206" s="13">
        <v>3443800</v>
      </c>
    </row>
    <row r="207" spans="3:3" x14ac:dyDescent="0.25">
      <c r="C207" s="13">
        <v>8136400</v>
      </c>
    </row>
    <row r="208" spans="3:3" x14ac:dyDescent="0.25">
      <c r="C208" s="13">
        <v>9675183</v>
      </c>
    </row>
    <row r="209" spans="3:3" x14ac:dyDescent="0.25">
      <c r="C209" s="13">
        <f>SUM(C193:C208)</f>
        <v>67853556</v>
      </c>
    </row>
  </sheetData>
  <mergeCells count="8">
    <mergeCell ref="J151:X151"/>
    <mergeCell ref="D152:AB152"/>
    <mergeCell ref="A1:AB1"/>
    <mergeCell ref="A2:R2"/>
    <mergeCell ref="S2:AA2"/>
    <mergeCell ref="A4:A71"/>
    <mergeCell ref="A72:A117"/>
    <mergeCell ref="B118:C118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23B4-AB14-46B8-A637-32E4B73A8BC4}">
  <dimension ref="A1:AF211"/>
  <sheetViews>
    <sheetView workbookViewId="0">
      <selection activeCell="L9" sqref="L9"/>
    </sheetView>
  </sheetViews>
  <sheetFormatPr baseColWidth="10" defaultRowHeight="12" x14ac:dyDescent="0.25"/>
  <cols>
    <col min="1" max="1" width="6.7109375" style="62" customWidth="1"/>
    <col min="2" max="2" width="4.85546875" style="62" customWidth="1"/>
    <col min="3" max="3" width="32.28515625" style="13" customWidth="1"/>
    <col min="4" max="4" width="8.5703125" style="62" hidden="1" customWidth="1"/>
    <col min="5" max="9" width="11" style="62" hidden="1" customWidth="1"/>
    <col min="10" max="10" width="15" style="71" customWidth="1"/>
    <col min="11" max="11" width="4.42578125" style="71" customWidth="1"/>
    <col min="12" max="13" width="15.5703125" style="71" customWidth="1"/>
    <col min="14" max="14" width="11.28515625" style="71" customWidth="1"/>
    <col min="15" max="15" width="9" style="71" customWidth="1"/>
    <col min="16" max="16" width="9.5703125" style="71" customWidth="1"/>
    <col min="17" max="17" width="12.28515625" style="71" customWidth="1"/>
    <col min="18" max="18" width="12.5703125" style="71" customWidth="1"/>
    <col min="19" max="19" width="16" style="71" customWidth="1"/>
    <col min="20" max="20" width="12.28515625" style="71" customWidth="1"/>
    <col min="21" max="21" width="14.140625" style="71" customWidth="1"/>
    <col min="22" max="23" width="11.28515625" style="71" customWidth="1"/>
    <col min="24" max="24" width="14.140625" style="71" customWidth="1"/>
    <col min="25" max="25" width="12.28515625" style="71" customWidth="1"/>
    <col min="26" max="26" width="11.28515625" style="71" customWidth="1"/>
    <col min="27" max="27" width="15.7109375" style="71" customWidth="1"/>
    <col min="28" max="28" width="12.42578125" style="71" customWidth="1"/>
    <col min="29" max="29" width="18" style="62" bestFit="1" customWidth="1"/>
    <col min="30" max="30" width="11.85546875" style="62" bestFit="1" customWidth="1"/>
    <col min="31" max="249" width="11.42578125" style="62"/>
    <col min="250" max="250" width="10.5703125" style="62" customWidth="1"/>
    <col min="251" max="251" width="4.85546875" style="62" customWidth="1"/>
    <col min="252" max="252" width="32.42578125" style="62" customWidth="1"/>
    <col min="253" max="253" width="9.85546875" style="62" customWidth="1"/>
    <col min="254" max="254" width="10.140625" style="62" customWidth="1"/>
    <col min="255" max="255" width="12.28515625" style="62" customWidth="1"/>
    <col min="256" max="256" width="15.42578125" style="62" customWidth="1"/>
    <col min="257" max="257" width="11.85546875" style="62" customWidth="1"/>
    <col min="258" max="258" width="13.28515625" style="62" customWidth="1"/>
    <col min="259" max="259" width="15.28515625" style="62" customWidth="1"/>
    <col min="260" max="260" width="11.85546875" style="62" customWidth="1"/>
    <col min="261" max="261" width="6.140625" style="62" customWidth="1"/>
    <col min="262" max="262" width="11.85546875" style="62" customWidth="1"/>
    <col min="263" max="263" width="9.42578125" style="62" customWidth="1"/>
    <col min="264" max="264" width="14.7109375" style="62" customWidth="1"/>
    <col min="265" max="265" width="11.5703125" style="62" customWidth="1"/>
    <col min="266" max="266" width="0.42578125" style="62" customWidth="1"/>
    <col min="267" max="267" width="10.5703125" style="62" bestFit="1" customWidth="1"/>
    <col min="268" max="268" width="12.28515625" style="62" customWidth="1"/>
    <col min="269" max="269" width="12.5703125" style="62" customWidth="1"/>
    <col min="270" max="270" width="10.5703125" style="62" customWidth="1"/>
    <col min="271" max="271" width="10.140625" style="62" customWidth="1"/>
    <col min="272" max="272" width="8.42578125" style="62" customWidth="1"/>
    <col min="273" max="273" width="18.85546875" style="62" customWidth="1"/>
    <col min="274" max="274" width="10.28515625" style="62" customWidth="1"/>
    <col min="275" max="275" width="11.42578125" style="62"/>
    <col min="276" max="276" width="12.140625" style="62" customWidth="1"/>
    <col min="277" max="277" width="10.5703125" style="62" customWidth="1"/>
    <col min="278" max="278" width="12.42578125" style="62" customWidth="1"/>
    <col min="279" max="279" width="15.140625" style="62" customWidth="1"/>
    <col min="280" max="280" width="13.5703125" style="62" customWidth="1"/>
    <col min="281" max="281" width="13.140625" style="62" customWidth="1"/>
    <col min="282" max="282" width="15.7109375" style="62" customWidth="1"/>
    <col min="283" max="283" width="37.5703125" style="62" customWidth="1"/>
    <col min="284" max="505" width="11.42578125" style="62"/>
    <col min="506" max="506" width="10.5703125" style="62" customWidth="1"/>
    <col min="507" max="507" width="4.85546875" style="62" customWidth="1"/>
    <col min="508" max="508" width="32.42578125" style="62" customWidth="1"/>
    <col min="509" max="509" width="9.85546875" style="62" customWidth="1"/>
    <col min="510" max="510" width="10.140625" style="62" customWidth="1"/>
    <col min="511" max="511" width="12.28515625" style="62" customWidth="1"/>
    <col min="512" max="512" width="15.42578125" style="62" customWidth="1"/>
    <col min="513" max="513" width="11.85546875" style="62" customWidth="1"/>
    <col min="514" max="514" width="13.28515625" style="62" customWidth="1"/>
    <col min="515" max="515" width="15.28515625" style="62" customWidth="1"/>
    <col min="516" max="516" width="11.85546875" style="62" customWidth="1"/>
    <col min="517" max="517" width="6.140625" style="62" customWidth="1"/>
    <col min="518" max="518" width="11.85546875" style="62" customWidth="1"/>
    <col min="519" max="519" width="9.42578125" style="62" customWidth="1"/>
    <col min="520" max="520" width="14.7109375" style="62" customWidth="1"/>
    <col min="521" max="521" width="11.5703125" style="62" customWidth="1"/>
    <col min="522" max="522" width="0.42578125" style="62" customWidth="1"/>
    <col min="523" max="523" width="10.5703125" style="62" bestFit="1" customWidth="1"/>
    <col min="524" max="524" width="12.28515625" style="62" customWidth="1"/>
    <col min="525" max="525" width="12.5703125" style="62" customWidth="1"/>
    <col min="526" max="526" width="10.5703125" style="62" customWidth="1"/>
    <col min="527" max="527" width="10.140625" style="62" customWidth="1"/>
    <col min="528" max="528" width="8.42578125" style="62" customWidth="1"/>
    <col min="529" max="529" width="18.85546875" style="62" customWidth="1"/>
    <col min="530" max="530" width="10.28515625" style="62" customWidth="1"/>
    <col min="531" max="531" width="11.42578125" style="62"/>
    <col min="532" max="532" width="12.140625" style="62" customWidth="1"/>
    <col min="533" max="533" width="10.5703125" style="62" customWidth="1"/>
    <col min="534" max="534" width="12.42578125" style="62" customWidth="1"/>
    <col min="535" max="535" width="15.140625" style="62" customWidth="1"/>
    <col min="536" max="536" width="13.5703125" style="62" customWidth="1"/>
    <col min="537" max="537" width="13.140625" style="62" customWidth="1"/>
    <col min="538" max="538" width="15.7109375" style="62" customWidth="1"/>
    <col min="539" max="539" width="37.5703125" style="62" customWidth="1"/>
    <col min="540" max="761" width="11.42578125" style="62"/>
    <col min="762" max="762" width="10.5703125" style="62" customWidth="1"/>
    <col min="763" max="763" width="4.85546875" style="62" customWidth="1"/>
    <col min="764" max="764" width="32.42578125" style="62" customWidth="1"/>
    <col min="765" max="765" width="9.85546875" style="62" customWidth="1"/>
    <col min="766" max="766" width="10.140625" style="62" customWidth="1"/>
    <col min="767" max="767" width="12.28515625" style="62" customWidth="1"/>
    <col min="768" max="768" width="15.42578125" style="62" customWidth="1"/>
    <col min="769" max="769" width="11.85546875" style="62" customWidth="1"/>
    <col min="770" max="770" width="13.28515625" style="62" customWidth="1"/>
    <col min="771" max="771" width="15.28515625" style="62" customWidth="1"/>
    <col min="772" max="772" width="11.85546875" style="62" customWidth="1"/>
    <col min="773" max="773" width="6.140625" style="62" customWidth="1"/>
    <col min="774" max="774" width="11.85546875" style="62" customWidth="1"/>
    <col min="775" max="775" width="9.42578125" style="62" customWidth="1"/>
    <col min="776" max="776" width="14.7109375" style="62" customWidth="1"/>
    <col min="777" max="777" width="11.5703125" style="62" customWidth="1"/>
    <col min="778" max="778" width="0.42578125" style="62" customWidth="1"/>
    <col min="779" max="779" width="10.5703125" style="62" bestFit="1" customWidth="1"/>
    <col min="780" max="780" width="12.28515625" style="62" customWidth="1"/>
    <col min="781" max="781" width="12.5703125" style="62" customWidth="1"/>
    <col min="782" max="782" width="10.5703125" style="62" customWidth="1"/>
    <col min="783" max="783" width="10.140625" style="62" customWidth="1"/>
    <col min="784" max="784" width="8.42578125" style="62" customWidth="1"/>
    <col min="785" max="785" width="18.85546875" style="62" customWidth="1"/>
    <col min="786" max="786" width="10.28515625" style="62" customWidth="1"/>
    <col min="787" max="787" width="11.42578125" style="62"/>
    <col min="788" max="788" width="12.140625" style="62" customWidth="1"/>
    <col min="789" max="789" width="10.5703125" style="62" customWidth="1"/>
    <col min="790" max="790" width="12.42578125" style="62" customWidth="1"/>
    <col min="791" max="791" width="15.140625" style="62" customWidth="1"/>
    <col min="792" max="792" width="13.5703125" style="62" customWidth="1"/>
    <col min="793" max="793" width="13.140625" style="62" customWidth="1"/>
    <col min="794" max="794" width="15.7109375" style="62" customWidth="1"/>
    <col min="795" max="795" width="37.5703125" style="62" customWidth="1"/>
    <col min="796" max="1017" width="11.42578125" style="62"/>
    <col min="1018" max="1018" width="10.5703125" style="62" customWidth="1"/>
    <col min="1019" max="1019" width="4.85546875" style="62" customWidth="1"/>
    <col min="1020" max="1020" width="32.42578125" style="62" customWidth="1"/>
    <col min="1021" max="1021" width="9.85546875" style="62" customWidth="1"/>
    <col min="1022" max="1022" width="10.140625" style="62" customWidth="1"/>
    <col min="1023" max="1023" width="12.28515625" style="62" customWidth="1"/>
    <col min="1024" max="1024" width="15.42578125" style="62" customWidth="1"/>
    <col min="1025" max="1025" width="11.85546875" style="62" customWidth="1"/>
    <col min="1026" max="1026" width="13.28515625" style="62" customWidth="1"/>
    <col min="1027" max="1027" width="15.28515625" style="62" customWidth="1"/>
    <col min="1028" max="1028" width="11.85546875" style="62" customWidth="1"/>
    <col min="1029" max="1029" width="6.140625" style="62" customWidth="1"/>
    <col min="1030" max="1030" width="11.85546875" style="62" customWidth="1"/>
    <col min="1031" max="1031" width="9.42578125" style="62" customWidth="1"/>
    <col min="1032" max="1032" width="14.7109375" style="62" customWidth="1"/>
    <col min="1033" max="1033" width="11.5703125" style="62" customWidth="1"/>
    <col min="1034" max="1034" width="0.42578125" style="62" customWidth="1"/>
    <col min="1035" max="1035" width="10.5703125" style="62" bestFit="1" customWidth="1"/>
    <col min="1036" max="1036" width="12.28515625" style="62" customWidth="1"/>
    <col min="1037" max="1037" width="12.5703125" style="62" customWidth="1"/>
    <col min="1038" max="1038" width="10.5703125" style="62" customWidth="1"/>
    <col min="1039" max="1039" width="10.140625" style="62" customWidth="1"/>
    <col min="1040" max="1040" width="8.42578125" style="62" customWidth="1"/>
    <col min="1041" max="1041" width="18.85546875" style="62" customWidth="1"/>
    <col min="1042" max="1042" width="10.28515625" style="62" customWidth="1"/>
    <col min="1043" max="1043" width="11.42578125" style="62"/>
    <col min="1044" max="1044" width="12.140625" style="62" customWidth="1"/>
    <col min="1045" max="1045" width="10.5703125" style="62" customWidth="1"/>
    <col min="1046" max="1046" width="12.42578125" style="62" customWidth="1"/>
    <col min="1047" max="1047" width="15.140625" style="62" customWidth="1"/>
    <col min="1048" max="1048" width="13.5703125" style="62" customWidth="1"/>
    <col min="1049" max="1049" width="13.140625" style="62" customWidth="1"/>
    <col min="1050" max="1050" width="15.7109375" style="62" customWidth="1"/>
    <col min="1051" max="1051" width="37.5703125" style="62" customWidth="1"/>
    <col min="1052" max="1273" width="11.42578125" style="62"/>
    <col min="1274" max="1274" width="10.5703125" style="62" customWidth="1"/>
    <col min="1275" max="1275" width="4.85546875" style="62" customWidth="1"/>
    <col min="1276" max="1276" width="32.42578125" style="62" customWidth="1"/>
    <col min="1277" max="1277" width="9.85546875" style="62" customWidth="1"/>
    <col min="1278" max="1278" width="10.140625" style="62" customWidth="1"/>
    <col min="1279" max="1279" width="12.28515625" style="62" customWidth="1"/>
    <col min="1280" max="1280" width="15.42578125" style="62" customWidth="1"/>
    <col min="1281" max="1281" width="11.85546875" style="62" customWidth="1"/>
    <col min="1282" max="1282" width="13.28515625" style="62" customWidth="1"/>
    <col min="1283" max="1283" width="15.28515625" style="62" customWidth="1"/>
    <col min="1284" max="1284" width="11.85546875" style="62" customWidth="1"/>
    <col min="1285" max="1285" width="6.140625" style="62" customWidth="1"/>
    <col min="1286" max="1286" width="11.85546875" style="62" customWidth="1"/>
    <col min="1287" max="1287" width="9.42578125" style="62" customWidth="1"/>
    <col min="1288" max="1288" width="14.7109375" style="62" customWidth="1"/>
    <col min="1289" max="1289" width="11.5703125" style="62" customWidth="1"/>
    <col min="1290" max="1290" width="0.42578125" style="62" customWidth="1"/>
    <col min="1291" max="1291" width="10.5703125" style="62" bestFit="1" customWidth="1"/>
    <col min="1292" max="1292" width="12.28515625" style="62" customWidth="1"/>
    <col min="1293" max="1293" width="12.5703125" style="62" customWidth="1"/>
    <col min="1294" max="1294" width="10.5703125" style="62" customWidth="1"/>
    <col min="1295" max="1295" width="10.140625" style="62" customWidth="1"/>
    <col min="1296" max="1296" width="8.42578125" style="62" customWidth="1"/>
    <col min="1297" max="1297" width="18.85546875" style="62" customWidth="1"/>
    <col min="1298" max="1298" width="10.28515625" style="62" customWidth="1"/>
    <col min="1299" max="1299" width="11.42578125" style="62"/>
    <col min="1300" max="1300" width="12.140625" style="62" customWidth="1"/>
    <col min="1301" max="1301" width="10.5703125" style="62" customWidth="1"/>
    <col min="1302" max="1302" width="12.42578125" style="62" customWidth="1"/>
    <col min="1303" max="1303" width="15.140625" style="62" customWidth="1"/>
    <col min="1304" max="1304" width="13.5703125" style="62" customWidth="1"/>
    <col min="1305" max="1305" width="13.140625" style="62" customWidth="1"/>
    <col min="1306" max="1306" width="15.7109375" style="62" customWidth="1"/>
    <col min="1307" max="1307" width="37.5703125" style="62" customWidth="1"/>
    <col min="1308" max="1529" width="11.42578125" style="62"/>
    <col min="1530" max="1530" width="10.5703125" style="62" customWidth="1"/>
    <col min="1531" max="1531" width="4.85546875" style="62" customWidth="1"/>
    <col min="1532" max="1532" width="32.42578125" style="62" customWidth="1"/>
    <col min="1533" max="1533" width="9.85546875" style="62" customWidth="1"/>
    <col min="1534" max="1534" width="10.140625" style="62" customWidth="1"/>
    <col min="1535" max="1535" width="12.28515625" style="62" customWidth="1"/>
    <col min="1536" max="1536" width="15.42578125" style="62" customWidth="1"/>
    <col min="1537" max="1537" width="11.85546875" style="62" customWidth="1"/>
    <col min="1538" max="1538" width="13.28515625" style="62" customWidth="1"/>
    <col min="1539" max="1539" width="15.28515625" style="62" customWidth="1"/>
    <col min="1540" max="1540" width="11.85546875" style="62" customWidth="1"/>
    <col min="1541" max="1541" width="6.140625" style="62" customWidth="1"/>
    <col min="1542" max="1542" width="11.85546875" style="62" customWidth="1"/>
    <col min="1543" max="1543" width="9.42578125" style="62" customWidth="1"/>
    <col min="1544" max="1544" width="14.7109375" style="62" customWidth="1"/>
    <col min="1545" max="1545" width="11.5703125" style="62" customWidth="1"/>
    <col min="1546" max="1546" width="0.42578125" style="62" customWidth="1"/>
    <col min="1547" max="1547" width="10.5703125" style="62" bestFit="1" customWidth="1"/>
    <col min="1548" max="1548" width="12.28515625" style="62" customWidth="1"/>
    <col min="1549" max="1549" width="12.5703125" style="62" customWidth="1"/>
    <col min="1550" max="1550" width="10.5703125" style="62" customWidth="1"/>
    <col min="1551" max="1551" width="10.140625" style="62" customWidth="1"/>
    <col min="1552" max="1552" width="8.42578125" style="62" customWidth="1"/>
    <col min="1553" max="1553" width="18.85546875" style="62" customWidth="1"/>
    <col min="1554" max="1554" width="10.28515625" style="62" customWidth="1"/>
    <col min="1555" max="1555" width="11.42578125" style="62"/>
    <col min="1556" max="1556" width="12.140625" style="62" customWidth="1"/>
    <col min="1557" max="1557" width="10.5703125" style="62" customWidth="1"/>
    <col min="1558" max="1558" width="12.42578125" style="62" customWidth="1"/>
    <col min="1559" max="1559" width="15.140625" style="62" customWidth="1"/>
    <col min="1560" max="1560" width="13.5703125" style="62" customWidth="1"/>
    <col min="1561" max="1561" width="13.140625" style="62" customWidth="1"/>
    <col min="1562" max="1562" width="15.7109375" style="62" customWidth="1"/>
    <col min="1563" max="1563" width="37.5703125" style="62" customWidth="1"/>
    <col min="1564" max="1785" width="11.42578125" style="62"/>
    <col min="1786" max="1786" width="10.5703125" style="62" customWidth="1"/>
    <col min="1787" max="1787" width="4.85546875" style="62" customWidth="1"/>
    <col min="1788" max="1788" width="32.42578125" style="62" customWidth="1"/>
    <col min="1789" max="1789" width="9.85546875" style="62" customWidth="1"/>
    <col min="1790" max="1790" width="10.140625" style="62" customWidth="1"/>
    <col min="1791" max="1791" width="12.28515625" style="62" customWidth="1"/>
    <col min="1792" max="1792" width="15.42578125" style="62" customWidth="1"/>
    <col min="1793" max="1793" width="11.85546875" style="62" customWidth="1"/>
    <col min="1794" max="1794" width="13.28515625" style="62" customWidth="1"/>
    <col min="1795" max="1795" width="15.28515625" style="62" customWidth="1"/>
    <col min="1796" max="1796" width="11.85546875" style="62" customWidth="1"/>
    <col min="1797" max="1797" width="6.140625" style="62" customWidth="1"/>
    <col min="1798" max="1798" width="11.85546875" style="62" customWidth="1"/>
    <col min="1799" max="1799" width="9.42578125" style="62" customWidth="1"/>
    <col min="1800" max="1800" width="14.7109375" style="62" customWidth="1"/>
    <col min="1801" max="1801" width="11.5703125" style="62" customWidth="1"/>
    <col min="1802" max="1802" width="0.42578125" style="62" customWidth="1"/>
    <col min="1803" max="1803" width="10.5703125" style="62" bestFit="1" customWidth="1"/>
    <col min="1804" max="1804" width="12.28515625" style="62" customWidth="1"/>
    <col min="1805" max="1805" width="12.5703125" style="62" customWidth="1"/>
    <col min="1806" max="1806" width="10.5703125" style="62" customWidth="1"/>
    <col min="1807" max="1807" width="10.140625" style="62" customWidth="1"/>
    <col min="1808" max="1808" width="8.42578125" style="62" customWidth="1"/>
    <col min="1809" max="1809" width="18.85546875" style="62" customWidth="1"/>
    <col min="1810" max="1810" width="10.28515625" style="62" customWidth="1"/>
    <col min="1811" max="1811" width="11.42578125" style="62"/>
    <col min="1812" max="1812" width="12.140625" style="62" customWidth="1"/>
    <col min="1813" max="1813" width="10.5703125" style="62" customWidth="1"/>
    <col min="1814" max="1814" width="12.42578125" style="62" customWidth="1"/>
    <col min="1815" max="1815" width="15.140625" style="62" customWidth="1"/>
    <col min="1816" max="1816" width="13.5703125" style="62" customWidth="1"/>
    <col min="1817" max="1817" width="13.140625" style="62" customWidth="1"/>
    <col min="1818" max="1818" width="15.7109375" style="62" customWidth="1"/>
    <col min="1819" max="1819" width="37.5703125" style="62" customWidth="1"/>
    <col min="1820" max="2041" width="11.42578125" style="62"/>
    <col min="2042" max="2042" width="10.5703125" style="62" customWidth="1"/>
    <col min="2043" max="2043" width="4.85546875" style="62" customWidth="1"/>
    <col min="2044" max="2044" width="32.42578125" style="62" customWidth="1"/>
    <col min="2045" max="2045" width="9.85546875" style="62" customWidth="1"/>
    <col min="2046" max="2046" width="10.140625" style="62" customWidth="1"/>
    <col min="2047" max="2047" width="12.28515625" style="62" customWidth="1"/>
    <col min="2048" max="2048" width="15.42578125" style="62" customWidth="1"/>
    <col min="2049" max="2049" width="11.85546875" style="62" customWidth="1"/>
    <col min="2050" max="2050" width="13.28515625" style="62" customWidth="1"/>
    <col min="2051" max="2051" width="15.28515625" style="62" customWidth="1"/>
    <col min="2052" max="2052" width="11.85546875" style="62" customWidth="1"/>
    <col min="2053" max="2053" width="6.140625" style="62" customWidth="1"/>
    <col min="2054" max="2054" width="11.85546875" style="62" customWidth="1"/>
    <col min="2055" max="2055" width="9.42578125" style="62" customWidth="1"/>
    <col min="2056" max="2056" width="14.7109375" style="62" customWidth="1"/>
    <col min="2057" max="2057" width="11.5703125" style="62" customWidth="1"/>
    <col min="2058" max="2058" width="0.42578125" style="62" customWidth="1"/>
    <col min="2059" max="2059" width="10.5703125" style="62" bestFit="1" customWidth="1"/>
    <col min="2060" max="2060" width="12.28515625" style="62" customWidth="1"/>
    <col min="2061" max="2061" width="12.5703125" style="62" customWidth="1"/>
    <col min="2062" max="2062" width="10.5703125" style="62" customWidth="1"/>
    <col min="2063" max="2063" width="10.140625" style="62" customWidth="1"/>
    <col min="2064" max="2064" width="8.42578125" style="62" customWidth="1"/>
    <col min="2065" max="2065" width="18.85546875" style="62" customWidth="1"/>
    <col min="2066" max="2066" width="10.28515625" style="62" customWidth="1"/>
    <col min="2067" max="2067" width="11.42578125" style="62"/>
    <col min="2068" max="2068" width="12.140625" style="62" customWidth="1"/>
    <col min="2069" max="2069" width="10.5703125" style="62" customWidth="1"/>
    <col min="2070" max="2070" width="12.42578125" style="62" customWidth="1"/>
    <col min="2071" max="2071" width="15.140625" style="62" customWidth="1"/>
    <col min="2072" max="2072" width="13.5703125" style="62" customWidth="1"/>
    <col min="2073" max="2073" width="13.140625" style="62" customWidth="1"/>
    <col min="2074" max="2074" width="15.7109375" style="62" customWidth="1"/>
    <col min="2075" max="2075" width="37.5703125" style="62" customWidth="1"/>
    <col min="2076" max="2297" width="11.42578125" style="62"/>
    <col min="2298" max="2298" width="10.5703125" style="62" customWidth="1"/>
    <col min="2299" max="2299" width="4.85546875" style="62" customWidth="1"/>
    <col min="2300" max="2300" width="32.42578125" style="62" customWidth="1"/>
    <col min="2301" max="2301" width="9.85546875" style="62" customWidth="1"/>
    <col min="2302" max="2302" width="10.140625" style="62" customWidth="1"/>
    <col min="2303" max="2303" width="12.28515625" style="62" customWidth="1"/>
    <col min="2304" max="2304" width="15.42578125" style="62" customWidth="1"/>
    <col min="2305" max="2305" width="11.85546875" style="62" customWidth="1"/>
    <col min="2306" max="2306" width="13.28515625" style="62" customWidth="1"/>
    <col min="2307" max="2307" width="15.28515625" style="62" customWidth="1"/>
    <col min="2308" max="2308" width="11.85546875" style="62" customWidth="1"/>
    <col min="2309" max="2309" width="6.140625" style="62" customWidth="1"/>
    <col min="2310" max="2310" width="11.85546875" style="62" customWidth="1"/>
    <col min="2311" max="2311" width="9.42578125" style="62" customWidth="1"/>
    <col min="2312" max="2312" width="14.7109375" style="62" customWidth="1"/>
    <col min="2313" max="2313" width="11.5703125" style="62" customWidth="1"/>
    <col min="2314" max="2314" width="0.42578125" style="62" customWidth="1"/>
    <col min="2315" max="2315" width="10.5703125" style="62" bestFit="1" customWidth="1"/>
    <col min="2316" max="2316" width="12.28515625" style="62" customWidth="1"/>
    <col min="2317" max="2317" width="12.5703125" style="62" customWidth="1"/>
    <col min="2318" max="2318" width="10.5703125" style="62" customWidth="1"/>
    <col min="2319" max="2319" width="10.140625" style="62" customWidth="1"/>
    <col min="2320" max="2320" width="8.42578125" style="62" customWidth="1"/>
    <col min="2321" max="2321" width="18.85546875" style="62" customWidth="1"/>
    <col min="2322" max="2322" width="10.28515625" style="62" customWidth="1"/>
    <col min="2323" max="2323" width="11.42578125" style="62"/>
    <col min="2324" max="2324" width="12.140625" style="62" customWidth="1"/>
    <col min="2325" max="2325" width="10.5703125" style="62" customWidth="1"/>
    <col min="2326" max="2326" width="12.42578125" style="62" customWidth="1"/>
    <col min="2327" max="2327" width="15.140625" style="62" customWidth="1"/>
    <col min="2328" max="2328" width="13.5703125" style="62" customWidth="1"/>
    <col min="2329" max="2329" width="13.140625" style="62" customWidth="1"/>
    <col min="2330" max="2330" width="15.7109375" style="62" customWidth="1"/>
    <col min="2331" max="2331" width="37.5703125" style="62" customWidth="1"/>
    <col min="2332" max="2553" width="11.42578125" style="62"/>
    <col min="2554" max="2554" width="10.5703125" style="62" customWidth="1"/>
    <col min="2555" max="2555" width="4.85546875" style="62" customWidth="1"/>
    <col min="2556" max="2556" width="32.42578125" style="62" customWidth="1"/>
    <col min="2557" max="2557" width="9.85546875" style="62" customWidth="1"/>
    <col min="2558" max="2558" width="10.140625" style="62" customWidth="1"/>
    <col min="2559" max="2559" width="12.28515625" style="62" customWidth="1"/>
    <col min="2560" max="2560" width="15.42578125" style="62" customWidth="1"/>
    <col min="2561" max="2561" width="11.85546875" style="62" customWidth="1"/>
    <col min="2562" max="2562" width="13.28515625" style="62" customWidth="1"/>
    <col min="2563" max="2563" width="15.28515625" style="62" customWidth="1"/>
    <col min="2564" max="2564" width="11.85546875" style="62" customWidth="1"/>
    <col min="2565" max="2565" width="6.140625" style="62" customWidth="1"/>
    <col min="2566" max="2566" width="11.85546875" style="62" customWidth="1"/>
    <col min="2567" max="2567" width="9.42578125" style="62" customWidth="1"/>
    <col min="2568" max="2568" width="14.7109375" style="62" customWidth="1"/>
    <col min="2569" max="2569" width="11.5703125" style="62" customWidth="1"/>
    <col min="2570" max="2570" width="0.42578125" style="62" customWidth="1"/>
    <col min="2571" max="2571" width="10.5703125" style="62" bestFit="1" customWidth="1"/>
    <col min="2572" max="2572" width="12.28515625" style="62" customWidth="1"/>
    <col min="2573" max="2573" width="12.5703125" style="62" customWidth="1"/>
    <col min="2574" max="2574" width="10.5703125" style="62" customWidth="1"/>
    <col min="2575" max="2575" width="10.140625" style="62" customWidth="1"/>
    <col min="2576" max="2576" width="8.42578125" style="62" customWidth="1"/>
    <col min="2577" max="2577" width="18.85546875" style="62" customWidth="1"/>
    <col min="2578" max="2578" width="10.28515625" style="62" customWidth="1"/>
    <col min="2579" max="2579" width="11.42578125" style="62"/>
    <col min="2580" max="2580" width="12.140625" style="62" customWidth="1"/>
    <col min="2581" max="2581" width="10.5703125" style="62" customWidth="1"/>
    <col min="2582" max="2582" width="12.42578125" style="62" customWidth="1"/>
    <col min="2583" max="2583" width="15.140625" style="62" customWidth="1"/>
    <col min="2584" max="2584" width="13.5703125" style="62" customWidth="1"/>
    <col min="2585" max="2585" width="13.140625" style="62" customWidth="1"/>
    <col min="2586" max="2586" width="15.7109375" style="62" customWidth="1"/>
    <col min="2587" max="2587" width="37.5703125" style="62" customWidth="1"/>
    <col min="2588" max="2809" width="11.42578125" style="62"/>
    <col min="2810" max="2810" width="10.5703125" style="62" customWidth="1"/>
    <col min="2811" max="2811" width="4.85546875" style="62" customWidth="1"/>
    <col min="2812" max="2812" width="32.42578125" style="62" customWidth="1"/>
    <col min="2813" max="2813" width="9.85546875" style="62" customWidth="1"/>
    <col min="2814" max="2814" width="10.140625" style="62" customWidth="1"/>
    <col min="2815" max="2815" width="12.28515625" style="62" customWidth="1"/>
    <col min="2816" max="2816" width="15.42578125" style="62" customWidth="1"/>
    <col min="2817" max="2817" width="11.85546875" style="62" customWidth="1"/>
    <col min="2818" max="2818" width="13.28515625" style="62" customWidth="1"/>
    <col min="2819" max="2819" width="15.28515625" style="62" customWidth="1"/>
    <col min="2820" max="2820" width="11.85546875" style="62" customWidth="1"/>
    <col min="2821" max="2821" width="6.140625" style="62" customWidth="1"/>
    <col min="2822" max="2822" width="11.85546875" style="62" customWidth="1"/>
    <col min="2823" max="2823" width="9.42578125" style="62" customWidth="1"/>
    <col min="2824" max="2824" width="14.7109375" style="62" customWidth="1"/>
    <col min="2825" max="2825" width="11.5703125" style="62" customWidth="1"/>
    <col min="2826" max="2826" width="0.42578125" style="62" customWidth="1"/>
    <col min="2827" max="2827" width="10.5703125" style="62" bestFit="1" customWidth="1"/>
    <col min="2828" max="2828" width="12.28515625" style="62" customWidth="1"/>
    <col min="2829" max="2829" width="12.5703125" style="62" customWidth="1"/>
    <col min="2830" max="2830" width="10.5703125" style="62" customWidth="1"/>
    <col min="2831" max="2831" width="10.140625" style="62" customWidth="1"/>
    <col min="2832" max="2832" width="8.42578125" style="62" customWidth="1"/>
    <col min="2833" max="2833" width="18.85546875" style="62" customWidth="1"/>
    <col min="2834" max="2834" width="10.28515625" style="62" customWidth="1"/>
    <col min="2835" max="2835" width="11.42578125" style="62"/>
    <col min="2836" max="2836" width="12.140625" style="62" customWidth="1"/>
    <col min="2837" max="2837" width="10.5703125" style="62" customWidth="1"/>
    <col min="2838" max="2838" width="12.42578125" style="62" customWidth="1"/>
    <col min="2839" max="2839" width="15.140625" style="62" customWidth="1"/>
    <col min="2840" max="2840" width="13.5703125" style="62" customWidth="1"/>
    <col min="2841" max="2841" width="13.140625" style="62" customWidth="1"/>
    <col min="2842" max="2842" width="15.7109375" style="62" customWidth="1"/>
    <col min="2843" max="2843" width="37.5703125" style="62" customWidth="1"/>
    <col min="2844" max="3065" width="11.42578125" style="62"/>
    <col min="3066" max="3066" width="10.5703125" style="62" customWidth="1"/>
    <col min="3067" max="3067" width="4.85546875" style="62" customWidth="1"/>
    <col min="3068" max="3068" width="32.42578125" style="62" customWidth="1"/>
    <col min="3069" max="3069" width="9.85546875" style="62" customWidth="1"/>
    <col min="3070" max="3070" width="10.140625" style="62" customWidth="1"/>
    <col min="3071" max="3071" width="12.28515625" style="62" customWidth="1"/>
    <col min="3072" max="3072" width="15.42578125" style="62" customWidth="1"/>
    <col min="3073" max="3073" width="11.85546875" style="62" customWidth="1"/>
    <col min="3074" max="3074" width="13.28515625" style="62" customWidth="1"/>
    <col min="3075" max="3075" width="15.28515625" style="62" customWidth="1"/>
    <col min="3076" max="3076" width="11.85546875" style="62" customWidth="1"/>
    <col min="3077" max="3077" width="6.140625" style="62" customWidth="1"/>
    <col min="3078" max="3078" width="11.85546875" style="62" customWidth="1"/>
    <col min="3079" max="3079" width="9.42578125" style="62" customWidth="1"/>
    <col min="3080" max="3080" width="14.7109375" style="62" customWidth="1"/>
    <col min="3081" max="3081" width="11.5703125" style="62" customWidth="1"/>
    <col min="3082" max="3082" width="0.42578125" style="62" customWidth="1"/>
    <col min="3083" max="3083" width="10.5703125" style="62" bestFit="1" customWidth="1"/>
    <col min="3084" max="3084" width="12.28515625" style="62" customWidth="1"/>
    <col min="3085" max="3085" width="12.5703125" style="62" customWidth="1"/>
    <col min="3086" max="3086" width="10.5703125" style="62" customWidth="1"/>
    <col min="3087" max="3087" width="10.140625" style="62" customWidth="1"/>
    <col min="3088" max="3088" width="8.42578125" style="62" customWidth="1"/>
    <col min="3089" max="3089" width="18.85546875" style="62" customWidth="1"/>
    <col min="3090" max="3090" width="10.28515625" style="62" customWidth="1"/>
    <col min="3091" max="3091" width="11.42578125" style="62"/>
    <col min="3092" max="3092" width="12.140625" style="62" customWidth="1"/>
    <col min="3093" max="3093" width="10.5703125" style="62" customWidth="1"/>
    <col min="3094" max="3094" width="12.42578125" style="62" customWidth="1"/>
    <col min="3095" max="3095" width="15.140625" style="62" customWidth="1"/>
    <col min="3096" max="3096" width="13.5703125" style="62" customWidth="1"/>
    <col min="3097" max="3097" width="13.140625" style="62" customWidth="1"/>
    <col min="3098" max="3098" width="15.7109375" style="62" customWidth="1"/>
    <col min="3099" max="3099" width="37.5703125" style="62" customWidth="1"/>
    <col min="3100" max="3321" width="11.42578125" style="62"/>
    <col min="3322" max="3322" width="10.5703125" style="62" customWidth="1"/>
    <col min="3323" max="3323" width="4.85546875" style="62" customWidth="1"/>
    <col min="3324" max="3324" width="32.42578125" style="62" customWidth="1"/>
    <col min="3325" max="3325" width="9.85546875" style="62" customWidth="1"/>
    <col min="3326" max="3326" width="10.140625" style="62" customWidth="1"/>
    <col min="3327" max="3327" width="12.28515625" style="62" customWidth="1"/>
    <col min="3328" max="3328" width="15.42578125" style="62" customWidth="1"/>
    <col min="3329" max="3329" width="11.85546875" style="62" customWidth="1"/>
    <col min="3330" max="3330" width="13.28515625" style="62" customWidth="1"/>
    <col min="3331" max="3331" width="15.28515625" style="62" customWidth="1"/>
    <col min="3332" max="3332" width="11.85546875" style="62" customWidth="1"/>
    <col min="3333" max="3333" width="6.140625" style="62" customWidth="1"/>
    <col min="3334" max="3334" width="11.85546875" style="62" customWidth="1"/>
    <col min="3335" max="3335" width="9.42578125" style="62" customWidth="1"/>
    <col min="3336" max="3336" width="14.7109375" style="62" customWidth="1"/>
    <col min="3337" max="3337" width="11.5703125" style="62" customWidth="1"/>
    <col min="3338" max="3338" width="0.42578125" style="62" customWidth="1"/>
    <col min="3339" max="3339" width="10.5703125" style="62" bestFit="1" customWidth="1"/>
    <col min="3340" max="3340" width="12.28515625" style="62" customWidth="1"/>
    <col min="3341" max="3341" width="12.5703125" style="62" customWidth="1"/>
    <col min="3342" max="3342" width="10.5703125" style="62" customWidth="1"/>
    <col min="3343" max="3343" width="10.140625" style="62" customWidth="1"/>
    <col min="3344" max="3344" width="8.42578125" style="62" customWidth="1"/>
    <col min="3345" max="3345" width="18.85546875" style="62" customWidth="1"/>
    <col min="3346" max="3346" width="10.28515625" style="62" customWidth="1"/>
    <col min="3347" max="3347" width="11.42578125" style="62"/>
    <col min="3348" max="3348" width="12.140625" style="62" customWidth="1"/>
    <col min="3349" max="3349" width="10.5703125" style="62" customWidth="1"/>
    <col min="3350" max="3350" width="12.42578125" style="62" customWidth="1"/>
    <col min="3351" max="3351" width="15.140625" style="62" customWidth="1"/>
    <col min="3352" max="3352" width="13.5703125" style="62" customWidth="1"/>
    <col min="3353" max="3353" width="13.140625" style="62" customWidth="1"/>
    <col min="3354" max="3354" width="15.7109375" style="62" customWidth="1"/>
    <col min="3355" max="3355" width="37.5703125" style="62" customWidth="1"/>
    <col min="3356" max="3577" width="11.42578125" style="62"/>
    <col min="3578" max="3578" width="10.5703125" style="62" customWidth="1"/>
    <col min="3579" max="3579" width="4.85546875" style="62" customWidth="1"/>
    <col min="3580" max="3580" width="32.42578125" style="62" customWidth="1"/>
    <col min="3581" max="3581" width="9.85546875" style="62" customWidth="1"/>
    <col min="3582" max="3582" width="10.140625" style="62" customWidth="1"/>
    <col min="3583" max="3583" width="12.28515625" style="62" customWidth="1"/>
    <col min="3584" max="3584" width="15.42578125" style="62" customWidth="1"/>
    <col min="3585" max="3585" width="11.85546875" style="62" customWidth="1"/>
    <col min="3586" max="3586" width="13.28515625" style="62" customWidth="1"/>
    <col min="3587" max="3587" width="15.28515625" style="62" customWidth="1"/>
    <col min="3588" max="3588" width="11.85546875" style="62" customWidth="1"/>
    <col min="3589" max="3589" width="6.140625" style="62" customWidth="1"/>
    <col min="3590" max="3590" width="11.85546875" style="62" customWidth="1"/>
    <col min="3591" max="3591" width="9.42578125" style="62" customWidth="1"/>
    <col min="3592" max="3592" width="14.7109375" style="62" customWidth="1"/>
    <col min="3593" max="3593" width="11.5703125" style="62" customWidth="1"/>
    <col min="3594" max="3594" width="0.42578125" style="62" customWidth="1"/>
    <col min="3595" max="3595" width="10.5703125" style="62" bestFit="1" customWidth="1"/>
    <col min="3596" max="3596" width="12.28515625" style="62" customWidth="1"/>
    <col min="3597" max="3597" width="12.5703125" style="62" customWidth="1"/>
    <col min="3598" max="3598" width="10.5703125" style="62" customWidth="1"/>
    <col min="3599" max="3599" width="10.140625" style="62" customWidth="1"/>
    <col min="3600" max="3600" width="8.42578125" style="62" customWidth="1"/>
    <col min="3601" max="3601" width="18.85546875" style="62" customWidth="1"/>
    <col min="3602" max="3602" width="10.28515625" style="62" customWidth="1"/>
    <col min="3603" max="3603" width="11.42578125" style="62"/>
    <col min="3604" max="3604" width="12.140625" style="62" customWidth="1"/>
    <col min="3605" max="3605" width="10.5703125" style="62" customWidth="1"/>
    <col min="3606" max="3606" width="12.42578125" style="62" customWidth="1"/>
    <col min="3607" max="3607" width="15.140625" style="62" customWidth="1"/>
    <col min="3608" max="3608" width="13.5703125" style="62" customWidth="1"/>
    <col min="3609" max="3609" width="13.140625" style="62" customWidth="1"/>
    <col min="3610" max="3610" width="15.7109375" style="62" customWidth="1"/>
    <col min="3611" max="3611" width="37.5703125" style="62" customWidth="1"/>
    <col min="3612" max="3833" width="11.42578125" style="62"/>
    <col min="3834" max="3834" width="10.5703125" style="62" customWidth="1"/>
    <col min="3835" max="3835" width="4.85546875" style="62" customWidth="1"/>
    <col min="3836" max="3836" width="32.42578125" style="62" customWidth="1"/>
    <col min="3837" max="3837" width="9.85546875" style="62" customWidth="1"/>
    <col min="3838" max="3838" width="10.140625" style="62" customWidth="1"/>
    <col min="3839" max="3839" width="12.28515625" style="62" customWidth="1"/>
    <col min="3840" max="3840" width="15.42578125" style="62" customWidth="1"/>
    <col min="3841" max="3841" width="11.85546875" style="62" customWidth="1"/>
    <col min="3842" max="3842" width="13.28515625" style="62" customWidth="1"/>
    <col min="3843" max="3843" width="15.28515625" style="62" customWidth="1"/>
    <col min="3844" max="3844" width="11.85546875" style="62" customWidth="1"/>
    <col min="3845" max="3845" width="6.140625" style="62" customWidth="1"/>
    <col min="3846" max="3846" width="11.85546875" style="62" customWidth="1"/>
    <col min="3847" max="3847" width="9.42578125" style="62" customWidth="1"/>
    <col min="3848" max="3848" width="14.7109375" style="62" customWidth="1"/>
    <col min="3849" max="3849" width="11.5703125" style="62" customWidth="1"/>
    <col min="3850" max="3850" width="0.42578125" style="62" customWidth="1"/>
    <col min="3851" max="3851" width="10.5703125" style="62" bestFit="1" customWidth="1"/>
    <col min="3852" max="3852" width="12.28515625" style="62" customWidth="1"/>
    <col min="3853" max="3853" width="12.5703125" style="62" customWidth="1"/>
    <col min="3854" max="3854" width="10.5703125" style="62" customWidth="1"/>
    <col min="3855" max="3855" width="10.140625" style="62" customWidth="1"/>
    <col min="3856" max="3856" width="8.42578125" style="62" customWidth="1"/>
    <col min="3857" max="3857" width="18.85546875" style="62" customWidth="1"/>
    <col min="3858" max="3858" width="10.28515625" style="62" customWidth="1"/>
    <col min="3859" max="3859" width="11.42578125" style="62"/>
    <col min="3860" max="3860" width="12.140625" style="62" customWidth="1"/>
    <col min="3861" max="3861" width="10.5703125" style="62" customWidth="1"/>
    <col min="3862" max="3862" width="12.42578125" style="62" customWidth="1"/>
    <col min="3863" max="3863" width="15.140625" style="62" customWidth="1"/>
    <col min="3864" max="3864" width="13.5703125" style="62" customWidth="1"/>
    <col min="3865" max="3865" width="13.140625" style="62" customWidth="1"/>
    <col min="3866" max="3866" width="15.7109375" style="62" customWidth="1"/>
    <col min="3867" max="3867" width="37.5703125" style="62" customWidth="1"/>
    <col min="3868" max="4089" width="11.42578125" style="62"/>
    <col min="4090" max="4090" width="10.5703125" style="62" customWidth="1"/>
    <col min="4091" max="4091" width="4.85546875" style="62" customWidth="1"/>
    <col min="4092" max="4092" width="32.42578125" style="62" customWidth="1"/>
    <col min="4093" max="4093" width="9.85546875" style="62" customWidth="1"/>
    <col min="4094" max="4094" width="10.140625" style="62" customWidth="1"/>
    <col min="4095" max="4095" width="12.28515625" style="62" customWidth="1"/>
    <col min="4096" max="4096" width="15.42578125" style="62" customWidth="1"/>
    <col min="4097" max="4097" width="11.85546875" style="62" customWidth="1"/>
    <col min="4098" max="4098" width="13.28515625" style="62" customWidth="1"/>
    <col min="4099" max="4099" width="15.28515625" style="62" customWidth="1"/>
    <col min="4100" max="4100" width="11.85546875" style="62" customWidth="1"/>
    <col min="4101" max="4101" width="6.140625" style="62" customWidth="1"/>
    <col min="4102" max="4102" width="11.85546875" style="62" customWidth="1"/>
    <col min="4103" max="4103" width="9.42578125" style="62" customWidth="1"/>
    <col min="4104" max="4104" width="14.7109375" style="62" customWidth="1"/>
    <col min="4105" max="4105" width="11.5703125" style="62" customWidth="1"/>
    <col min="4106" max="4106" width="0.42578125" style="62" customWidth="1"/>
    <col min="4107" max="4107" width="10.5703125" style="62" bestFit="1" customWidth="1"/>
    <col min="4108" max="4108" width="12.28515625" style="62" customWidth="1"/>
    <col min="4109" max="4109" width="12.5703125" style="62" customWidth="1"/>
    <col min="4110" max="4110" width="10.5703125" style="62" customWidth="1"/>
    <col min="4111" max="4111" width="10.140625" style="62" customWidth="1"/>
    <col min="4112" max="4112" width="8.42578125" style="62" customWidth="1"/>
    <col min="4113" max="4113" width="18.85546875" style="62" customWidth="1"/>
    <col min="4114" max="4114" width="10.28515625" style="62" customWidth="1"/>
    <col min="4115" max="4115" width="11.42578125" style="62"/>
    <col min="4116" max="4116" width="12.140625" style="62" customWidth="1"/>
    <col min="4117" max="4117" width="10.5703125" style="62" customWidth="1"/>
    <col min="4118" max="4118" width="12.42578125" style="62" customWidth="1"/>
    <col min="4119" max="4119" width="15.140625" style="62" customWidth="1"/>
    <col min="4120" max="4120" width="13.5703125" style="62" customWidth="1"/>
    <col min="4121" max="4121" width="13.140625" style="62" customWidth="1"/>
    <col min="4122" max="4122" width="15.7109375" style="62" customWidth="1"/>
    <col min="4123" max="4123" width="37.5703125" style="62" customWidth="1"/>
    <col min="4124" max="4345" width="11.42578125" style="62"/>
    <col min="4346" max="4346" width="10.5703125" style="62" customWidth="1"/>
    <col min="4347" max="4347" width="4.85546875" style="62" customWidth="1"/>
    <col min="4348" max="4348" width="32.42578125" style="62" customWidth="1"/>
    <col min="4349" max="4349" width="9.85546875" style="62" customWidth="1"/>
    <col min="4350" max="4350" width="10.140625" style="62" customWidth="1"/>
    <col min="4351" max="4351" width="12.28515625" style="62" customWidth="1"/>
    <col min="4352" max="4352" width="15.42578125" style="62" customWidth="1"/>
    <col min="4353" max="4353" width="11.85546875" style="62" customWidth="1"/>
    <col min="4354" max="4354" width="13.28515625" style="62" customWidth="1"/>
    <col min="4355" max="4355" width="15.28515625" style="62" customWidth="1"/>
    <col min="4356" max="4356" width="11.85546875" style="62" customWidth="1"/>
    <col min="4357" max="4357" width="6.140625" style="62" customWidth="1"/>
    <col min="4358" max="4358" width="11.85546875" style="62" customWidth="1"/>
    <col min="4359" max="4359" width="9.42578125" style="62" customWidth="1"/>
    <col min="4360" max="4360" width="14.7109375" style="62" customWidth="1"/>
    <col min="4361" max="4361" width="11.5703125" style="62" customWidth="1"/>
    <col min="4362" max="4362" width="0.42578125" style="62" customWidth="1"/>
    <col min="4363" max="4363" width="10.5703125" style="62" bestFit="1" customWidth="1"/>
    <col min="4364" max="4364" width="12.28515625" style="62" customWidth="1"/>
    <col min="4365" max="4365" width="12.5703125" style="62" customWidth="1"/>
    <col min="4366" max="4366" width="10.5703125" style="62" customWidth="1"/>
    <col min="4367" max="4367" width="10.140625" style="62" customWidth="1"/>
    <col min="4368" max="4368" width="8.42578125" style="62" customWidth="1"/>
    <col min="4369" max="4369" width="18.85546875" style="62" customWidth="1"/>
    <col min="4370" max="4370" width="10.28515625" style="62" customWidth="1"/>
    <col min="4371" max="4371" width="11.42578125" style="62"/>
    <col min="4372" max="4372" width="12.140625" style="62" customWidth="1"/>
    <col min="4373" max="4373" width="10.5703125" style="62" customWidth="1"/>
    <col min="4374" max="4374" width="12.42578125" style="62" customWidth="1"/>
    <col min="4375" max="4375" width="15.140625" style="62" customWidth="1"/>
    <col min="4376" max="4376" width="13.5703125" style="62" customWidth="1"/>
    <col min="4377" max="4377" width="13.140625" style="62" customWidth="1"/>
    <col min="4378" max="4378" width="15.7109375" style="62" customWidth="1"/>
    <col min="4379" max="4379" width="37.5703125" style="62" customWidth="1"/>
    <col min="4380" max="4601" width="11.42578125" style="62"/>
    <col min="4602" max="4602" width="10.5703125" style="62" customWidth="1"/>
    <col min="4603" max="4603" width="4.85546875" style="62" customWidth="1"/>
    <col min="4604" max="4604" width="32.42578125" style="62" customWidth="1"/>
    <col min="4605" max="4605" width="9.85546875" style="62" customWidth="1"/>
    <col min="4606" max="4606" width="10.140625" style="62" customWidth="1"/>
    <col min="4607" max="4607" width="12.28515625" style="62" customWidth="1"/>
    <col min="4608" max="4608" width="15.42578125" style="62" customWidth="1"/>
    <col min="4609" max="4609" width="11.85546875" style="62" customWidth="1"/>
    <col min="4610" max="4610" width="13.28515625" style="62" customWidth="1"/>
    <col min="4611" max="4611" width="15.28515625" style="62" customWidth="1"/>
    <col min="4612" max="4612" width="11.85546875" style="62" customWidth="1"/>
    <col min="4613" max="4613" width="6.140625" style="62" customWidth="1"/>
    <col min="4614" max="4614" width="11.85546875" style="62" customWidth="1"/>
    <col min="4615" max="4615" width="9.42578125" style="62" customWidth="1"/>
    <col min="4616" max="4616" width="14.7109375" style="62" customWidth="1"/>
    <col min="4617" max="4617" width="11.5703125" style="62" customWidth="1"/>
    <col min="4618" max="4618" width="0.42578125" style="62" customWidth="1"/>
    <col min="4619" max="4619" width="10.5703125" style="62" bestFit="1" customWidth="1"/>
    <col min="4620" max="4620" width="12.28515625" style="62" customWidth="1"/>
    <col min="4621" max="4621" width="12.5703125" style="62" customWidth="1"/>
    <col min="4622" max="4622" width="10.5703125" style="62" customWidth="1"/>
    <col min="4623" max="4623" width="10.140625" style="62" customWidth="1"/>
    <col min="4624" max="4624" width="8.42578125" style="62" customWidth="1"/>
    <col min="4625" max="4625" width="18.85546875" style="62" customWidth="1"/>
    <col min="4626" max="4626" width="10.28515625" style="62" customWidth="1"/>
    <col min="4627" max="4627" width="11.42578125" style="62"/>
    <col min="4628" max="4628" width="12.140625" style="62" customWidth="1"/>
    <col min="4629" max="4629" width="10.5703125" style="62" customWidth="1"/>
    <col min="4630" max="4630" width="12.42578125" style="62" customWidth="1"/>
    <col min="4631" max="4631" width="15.140625" style="62" customWidth="1"/>
    <col min="4632" max="4632" width="13.5703125" style="62" customWidth="1"/>
    <col min="4633" max="4633" width="13.140625" style="62" customWidth="1"/>
    <col min="4634" max="4634" width="15.7109375" style="62" customWidth="1"/>
    <col min="4635" max="4635" width="37.5703125" style="62" customWidth="1"/>
    <col min="4636" max="4857" width="11.42578125" style="62"/>
    <col min="4858" max="4858" width="10.5703125" style="62" customWidth="1"/>
    <col min="4859" max="4859" width="4.85546875" style="62" customWidth="1"/>
    <col min="4860" max="4860" width="32.42578125" style="62" customWidth="1"/>
    <col min="4861" max="4861" width="9.85546875" style="62" customWidth="1"/>
    <col min="4862" max="4862" width="10.140625" style="62" customWidth="1"/>
    <col min="4863" max="4863" width="12.28515625" style="62" customWidth="1"/>
    <col min="4864" max="4864" width="15.42578125" style="62" customWidth="1"/>
    <col min="4865" max="4865" width="11.85546875" style="62" customWidth="1"/>
    <col min="4866" max="4866" width="13.28515625" style="62" customWidth="1"/>
    <col min="4867" max="4867" width="15.28515625" style="62" customWidth="1"/>
    <col min="4868" max="4868" width="11.85546875" style="62" customWidth="1"/>
    <col min="4869" max="4869" width="6.140625" style="62" customWidth="1"/>
    <col min="4870" max="4870" width="11.85546875" style="62" customWidth="1"/>
    <col min="4871" max="4871" width="9.42578125" style="62" customWidth="1"/>
    <col min="4872" max="4872" width="14.7109375" style="62" customWidth="1"/>
    <col min="4873" max="4873" width="11.5703125" style="62" customWidth="1"/>
    <col min="4874" max="4874" width="0.42578125" style="62" customWidth="1"/>
    <col min="4875" max="4875" width="10.5703125" style="62" bestFit="1" customWidth="1"/>
    <col min="4876" max="4876" width="12.28515625" style="62" customWidth="1"/>
    <col min="4877" max="4877" width="12.5703125" style="62" customWidth="1"/>
    <col min="4878" max="4878" width="10.5703125" style="62" customWidth="1"/>
    <col min="4879" max="4879" width="10.140625" style="62" customWidth="1"/>
    <col min="4880" max="4880" width="8.42578125" style="62" customWidth="1"/>
    <col min="4881" max="4881" width="18.85546875" style="62" customWidth="1"/>
    <col min="4882" max="4882" width="10.28515625" style="62" customWidth="1"/>
    <col min="4883" max="4883" width="11.42578125" style="62"/>
    <col min="4884" max="4884" width="12.140625" style="62" customWidth="1"/>
    <col min="4885" max="4885" width="10.5703125" style="62" customWidth="1"/>
    <col min="4886" max="4886" width="12.42578125" style="62" customWidth="1"/>
    <col min="4887" max="4887" width="15.140625" style="62" customWidth="1"/>
    <col min="4888" max="4888" width="13.5703125" style="62" customWidth="1"/>
    <col min="4889" max="4889" width="13.140625" style="62" customWidth="1"/>
    <col min="4890" max="4890" width="15.7109375" style="62" customWidth="1"/>
    <col min="4891" max="4891" width="37.5703125" style="62" customWidth="1"/>
    <col min="4892" max="5113" width="11.42578125" style="62"/>
    <col min="5114" max="5114" width="10.5703125" style="62" customWidth="1"/>
    <col min="5115" max="5115" width="4.85546875" style="62" customWidth="1"/>
    <col min="5116" max="5116" width="32.42578125" style="62" customWidth="1"/>
    <col min="5117" max="5117" width="9.85546875" style="62" customWidth="1"/>
    <col min="5118" max="5118" width="10.140625" style="62" customWidth="1"/>
    <col min="5119" max="5119" width="12.28515625" style="62" customWidth="1"/>
    <col min="5120" max="5120" width="15.42578125" style="62" customWidth="1"/>
    <col min="5121" max="5121" width="11.85546875" style="62" customWidth="1"/>
    <col min="5122" max="5122" width="13.28515625" style="62" customWidth="1"/>
    <col min="5123" max="5123" width="15.28515625" style="62" customWidth="1"/>
    <col min="5124" max="5124" width="11.85546875" style="62" customWidth="1"/>
    <col min="5125" max="5125" width="6.140625" style="62" customWidth="1"/>
    <col min="5126" max="5126" width="11.85546875" style="62" customWidth="1"/>
    <col min="5127" max="5127" width="9.42578125" style="62" customWidth="1"/>
    <col min="5128" max="5128" width="14.7109375" style="62" customWidth="1"/>
    <col min="5129" max="5129" width="11.5703125" style="62" customWidth="1"/>
    <col min="5130" max="5130" width="0.42578125" style="62" customWidth="1"/>
    <col min="5131" max="5131" width="10.5703125" style="62" bestFit="1" customWidth="1"/>
    <col min="5132" max="5132" width="12.28515625" style="62" customWidth="1"/>
    <col min="5133" max="5133" width="12.5703125" style="62" customWidth="1"/>
    <col min="5134" max="5134" width="10.5703125" style="62" customWidth="1"/>
    <col min="5135" max="5135" width="10.140625" style="62" customWidth="1"/>
    <col min="5136" max="5136" width="8.42578125" style="62" customWidth="1"/>
    <col min="5137" max="5137" width="18.85546875" style="62" customWidth="1"/>
    <col min="5138" max="5138" width="10.28515625" style="62" customWidth="1"/>
    <col min="5139" max="5139" width="11.42578125" style="62"/>
    <col min="5140" max="5140" width="12.140625" style="62" customWidth="1"/>
    <col min="5141" max="5141" width="10.5703125" style="62" customWidth="1"/>
    <col min="5142" max="5142" width="12.42578125" style="62" customWidth="1"/>
    <col min="5143" max="5143" width="15.140625" style="62" customWidth="1"/>
    <col min="5144" max="5144" width="13.5703125" style="62" customWidth="1"/>
    <col min="5145" max="5145" width="13.140625" style="62" customWidth="1"/>
    <col min="5146" max="5146" width="15.7109375" style="62" customWidth="1"/>
    <col min="5147" max="5147" width="37.5703125" style="62" customWidth="1"/>
    <col min="5148" max="5369" width="11.42578125" style="62"/>
    <col min="5370" max="5370" width="10.5703125" style="62" customWidth="1"/>
    <col min="5371" max="5371" width="4.85546875" style="62" customWidth="1"/>
    <col min="5372" max="5372" width="32.42578125" style="62" customWidth="1"/>
    <col min="5373" max="5373" width="9.85546875" style="62" customWidth="1"/>
    <col min="5374" max="5374" width="10.140625" style="62" customWidth="1"/>
    <col min="5375" max="5375" width="12.28515625" style="62" customWidth="1"/>
    <col min="5376" max="5376" width="15.42578125" style="62" customWidth="1"/>
    <col min="5377" max="5377" width="11.85546875" style="62" customWidth="1"/>
    <col min="5378" max="5378" width="13.28515625" style="62" customWidth="1"/>
    <col min="5379" max="5379" width="15.28515625" style="62" customWidth="1"/>
    <col min="5380" max="5380" width="11.85546875" style="62" customWidth="1"/>
    <col min="5381" max="5381" width="6.140625" style="62" customWidth="1"/>
    <col min="5382" max="5382" width="11.85546875" style="62" customWidth="1"/>
    <col min="5383" max="5383" width="9.42578125" style="62" customWidth="1"/>
    <col min="5384" max="5384" width="14.7109375" style="62" customWidth="1"/>
    <col min="5385" max="5385" width="11.5703125" style="62" customWidth="1"/>
    <col min="5386" max="5386" width="0.42578125" style="62" customWidth="1"/>
    <col min="5387" max="5387" width="10.5703125" style="62" bestFit="1" customWidth="1"/>
    <col min="5388" max="5388" width="12.28515625" style="62" customWidth="1"/>
    <col min="5389" max="5389" width="12.5703125" style="62" customWidth="1"/>
    <col min="5390" max="5390" width="10.5703125" style="62" customWidth="1"/>
    <col min="5391" max="5391" width="10.140625" style="62" customWidth="1"/>
    <col min="5392" max="5392" width="8.42578125" style="62" customWidth="1"/>
    <col min="5393" max="5393" width="18.85546875" style="62" customWidth="1"/>
    <col min="5394" max="5394" width="10.28515625" style="62" customWidth="1"/>
    <col min="5395" max="5395" width="11.42578125" style="62"/>
    <col min="5396" max="5396" width="12.140625" style="62" customWidth="1"/>
    <col min="5397" max="5397" width="10.5703125" style="62" customWidth="1"/>
    <col min="5398" max="5398" width="12.42578125" style="62" customWidth="1"/>
    <col min="5399" max="5399" width="15.140625" style="62" customWidth="1"/>
    <col min="5400" max="5400" width="13.5703125" style="62" customWidth="1"/>
    <col min="5401" max="5401" width="13.140625" style="62" customWidth="1"/>
    <col min="5402" max="5402" width="15.7109375" style="62" customWidth="1"/>
    <col min="5403" max="5403" width="37.5703125" style="62" customWidth="1"/>
    <col min="5404" max="5625" width="11.42578125" style="62"/>
    <col min="5626" max="5626" width="10.5703125" style="62" customWidth="1"/>
    <col min="5627" max="5627" width="4.85546875" style="62" customWidth="1"/>
    <col min="5628" max="5628" width="32.42578125" style="62" customWidth="1"/>
    <col min="5629" max="5629" width="9.85546875" style="62" customWidth="1"/>
    <col min="5630" max="5630" width="10.140625" style="62" customWidth="1"/>
    <col min="5631" max="5631" width="12.28515625" style="62" customWidth="1"/>
    <col min="5632" max="5632" width="15.42578125" style="62" customWidth="1"/>
    <col min="5633" max="5633" width="11.85546875" style="62" customWidth="1"/>
    <col min="5634" max="5634" width="13.28515625" style="62" customWidth="1"/>
    <col min="5635" max="5635" width="15.28515625" style="62" customWidth="1"/>
    <col min="5636" max="5636" width="11.85546875" style="62" customWidth="1"/>
    <col min="5637" max="5637" width="6.140625" style="62" customWidth="1"/>
    <col min="5638" max="5638" width="11.85546875" style="62" customWidth="1"/>
    <col min="5639" max="5639" width="9.42578125" style="62" customWidth="1"/>
    <col min="5640" max="5640" width="14.7109375" style="62" customWidth="1"/>
    <col min="5641" max="5641" width="11.5703125" style="62" customWidth="1"/>
    <col min="5642" max="5642" width="0.42578125" style="62" customWidth="1"/>
    <col min="5643" max="5643" width="10.5703125" style="62" bestFit="1" customWidth="1"/>
    <col min="5644" max="5644" width="12.28515625" style="62" customWidth="1"/>
    <col min="5645" max="5645" width="12.5703125" style="62" customWidth="1"/>
    <col min="5646" max="5646" width="10.5703125" style="62" customWidth="1"/>
    <col min="5647" max="5647" width="10.140625" style="62" customWidth="1"/>
    <col min="5648" max="5648" width="8.42578125" style="62" customWidth="1"/>
    <col min="5649" max="5649" width="18.85546875" style="62" customWidth="1"/>
    <col min="5650" max="5650" width="10.28515625" style="62" customWidth="1"/>
    <col min="5651" max="5651" width="11.42578125" style="62"/>
    <col min="5652" max="5652" width="12.140625" style="62" customWidth="1"/>
    <col min="5653" max="5653" width="10.5703125" style="62" customWidth="1"/>
    <col min="5654" max="5654" width="12.42578125" style="62" customWidth="1"/>
    <col min="5655" max="5655" width="15.140625" style="62" customWidth="1"/>
    <col min="5656" max="5656" width="13.5703125" style="62" customWidth="1"/>
    <col min="5657" max="5657" width="13.140625" style="62" customWidth="1"/>
    <col min="5658" max="5658" width="15.7109375" style="62" customWidth="1"/>
    <col min="5659" max="5659" width="37.5703125" style="62" customWidth="1"/>
    <col min="5660" max="5881" width="11.42578125" style="62"/>
    <col min="5882" max="5882" width="10.5703125" style="62" customWidth="1"/>
    <col min="5883" max="5883" width="4.85546875" style="62" customWidth="1"/>
    <col min="5884" max="5884" width="32.42578125" style="62" customWidth="1"/>
    <col min="5885" max="5885" width="9.85546875" style="62" customWidth="1"/>
    <col min="5886" max="5886" width="10.140625" style="62" customWidth="1"/>
    <col min="5887" max="5887" width="12.28515625" style="62" customWidth="1"/>
    <col min="5888" max="5888" width="15.42578125" style="62" customWidth="1"/>
    <col min="5889" max="5889" width="11.85546875" style="62" customWidth="1"/>
    <col min="5890" max="5890" width="13.28515625" style="62" customWidth="1"/>
    <col min="5891" max="5891" width="15.28515625" style="62" customWidth="1"/>
    <col min="5892" max="5892" width="11.85546875" style="62" customWidth="1"/>
    <col min="5893" max="5893" width="6.140625" style="62" customWidth="1"/>
    <col min="5894" max="5894" width="11.85546875" style="62" customWidth="1"/>
    <col min="5895" max="5895" width="9.42578125" style="62" customWidth="1"/>
    <col min="5896" max="5896" width="14.7109375" style="62" customWidth="1"/>
    <col min="5897" max="5897" width="11.5703125" style="62" customWidth="1"/>
    <col min="5898" max="5898" width="0.42578125" style="62" customWidth="1"/>
    <col min="5899" max="5899" width="10.5703125" style="62" bestFit="1" customWidth="1"/>
    <col min="5900" max="5900" width="12.28515625" style="62" customWidth="1"/>
    <col min="5901" max="5901" width="12.5703125" style="62" customWidth="1"/>
    <col min="5902" max="5902" width="10.5703125" style="62" customWidth="1"/>
    <col min="5903" max="5903" width="10.140625" style="62" customWidth="1"/>
    <col min="5904" max="5904" width="8.42578125" style="62" customWidth="1"/>
    <col min="5905" max="5905" width="18.85546875" style="62" customWidth="1"/>
    <col min="5906" max="5906" width="10.28515625" style="62" customWidth="1"/>
    <col min="5907" max="5907" width="11.42578125" style="62"/>
    <col min="5908" max="5908" width="12.140625" style="62" customWidth="1"/>
    <col min="5909" max="5909" width="10.5703125" style="62" customWidth="1"/>
    <col min="5910" max="5910" width="12.42578125" style="62" customWidth="1"/>
    <col min="5911" max="5911" width="15.140625" style="62" customWidth="1"/>
    <col min="5912" max="5912" width="13.5703125" style="62" customWidth="1"/>
    <col min="5913" max="5913" width="13.140625" style="62" customWidth="1"/>
    <col min="5914" max="5914" width="15.7109375" style="62" customWidth="1"/>
    <col min="5915" max="5915" width="37.5703125" style="62" customWidth="1"/>
    <col min="5916" max="6137" width="11.42578125" style="62"/>
    <col min="6138" max="6138" width="10.5703125" style="62" customWidth="1"/>
    <col min="6139" max="6139" width="4.85546875" style="62" customWidth="1"/>
    <col min="6140" max="6140" width="32.42578125" style="62" customWidth="1"/>
    <col min="6141" max="6141" width="9.85546875" style="62" customWidth="1"/>
    <col min="6142" max="6142" width="10.140625" style="62" customWidth="1"/>
    <col min="6143" max="6143" width="12.28515625" style="62" customWidth="1"/>
    <col min="6144" max="6144" width="15.42578125" style="62" customWidth="1"/>
    <col min="6145" max="6145" width="11.85546875" style="62" customWidth="1"/>
    <col min="6146" max="6146" width="13.28515625" style="62" customWidth="1"/>
    <col min="6147" max="6147" width="15.28515625" style="62" customWidth="1"/>
    <col min="6148" max="6148" width="11.85546875" style="62" customWidth="1"/>
    <col min="6149" max="6149" width="6.140625" style="62" customWidth="1"/>
    <col min="6150" max="6150" width="11.85546875" style="62" customWidth="1"/>
    <col min="6151" max="6151" width="9.42578125" style="62" customWidth="1"/>
    <col min="6152" max="6152" width="14.7109375" style="62" customWidth="1"/>
    <col min="6153" max="6153" width="11.5703125" style="62" customWidth="1"/>
    <col min="6154" max="6154" width="0.42578125" style="62" customWidth="1"/>
    <col min="6155" max="6155" width="10.5703125" style="62" bestFit="1" customWidth="1"/>
    <col min="6156" max="6156" width="12.28515625" style="62" customWidth="1"/>
    <col min="6157" max="6157" width="12.5703125" style="62" customWidth="1"/>
    <col min="6158" max="6158" width="10.5703125" style="62" customWidth="1"/>
    <col min="6159" max="6159" width="10.140625" style="62" customWidth="1"/>
    <col min="6160" max="6160" width="8.42578125" style="62" customWidth="1"/>
    <col min="6161" max="6161" width="18.85546875" style="62" customWidth="1"/>
    <col min="6162" max="6162" width="10.28515625" style="62" customWidth="1"/>
    <col min="6163" max="6163" width="11.42578125" style="62"/>
    <col min="6164" max="6164" width="12.140625" style="62" customWidth="1"/>
    <col min="6165" max="6165" width="10.5703125" style="62" customWidth="1"/>
    <col min="6166" max="6166" width="12.42578125" style="62" customWidth="1"/>
    <col min="6167" max="6167" width="15.140625" style="62" customWidth="1"/>
    <col min="6168" max="6168" width="13.5703125" style="62" customWidth="1"/>
    <col min="6169" max="6169" width="13.140625" style="62" customWidth="1"/>
    <col min="6170" max="6170" width="15.7109375" style="62" customWidth="1"/>
    <col min="6171" max="6171" width="37.5703125" style="62" customWidth="1"/>
    <col min="6172" max="6393" width="11.42578125" style="62"/>
    <col min="6394" max="6394" width="10.5703125" style="62" customWidth="1"/>
    <col min="6395" max="6395" width="4.85546875" style="62" customWidth="1"/>
    <col min="6396" max="6396" width="32.42578125" style="62" customWidth="1"/>
    <col min="6397" max="6397" width="9.85546875" style="62" customWidth="1"/>
    <col min="6398" max="6398" width="10.140625" style="62" customWidth="1"/>
    <col min="6399" max="6399" width="12.28515625" style="62" customWidth="1"/>
    <col min="6400" max="6400" width="15.42578125" style="62" customWidth="1"/>
    <col min="6401" max="6401" width="11.85546875" style="62" customWidth="1"/>
    <col min="6402" max="6402" width="13.28515625" style="62" customWidth="1"/>
    <col min="6403" max="6403" width="15.28515625" style="62" customWidth="1"/>
    <col min="6404" max="6404" width="11.85546875" style="62" customWidth="1"/>
    <col min="6405" max="6405" width="6.140625" style="62" customWidth="1"/>
    <col min="6406" max="6406" width="11.85546875" style="62" customWidth="1"/>
    <col min="6407" max="6407" width="9.42578125" style="62" customWidth="1"/>
    <col min="6408" max="6408" width="14.7109375" style="62" customWidth="1"/>
    <col min="6409" max="6409" width="11.5703125" style="62" customWidth="1"/>
    <col min="6410" max="6410" width="0.42578125" style="62" customWidth="1"/>
    <col min="6411" max="6411" width="10.5703125" style="62" bestFit="1" customWidth="1"/>
    <col min="6412" max="6412" width="12.28515625" style="62" customWidth="1"/>
    <col min="6413" max="6413" width="12.5703125" style="62" customWidth="1"/>
    <col min="6414" max="6414" width="10.5703125" style="62" customWidth="1"/>
    <col min="6415" max="6415" width="10.140625" style="62" customWidth="1"/>
    <col min="6416" max="6416" width="8.42578125" style="62" customWidth="1"/>
    <col min="6417" max="6417" width="18.85546875" style="62" customWidth="1"/>
    <col min="6418" max="6418" width="10.28515625" style="62" customWidth="1"/>
    <col min="6419" max="6419" width="11.42578125" style="62"/>
    <col min="6420" max="6420" width="12.140625" style="62" customWidth="1"/>
    <col min="6421" max="6421" width="10.5703125" style="62" customWidth="1"/>
    <col min="6422" max="6422" width="12.42578125" style="62" customWidth="1"/>
    <col min="6423" max="6423" width="15.140625" style="62" customWidth="1"/>
    <col min="6424" max="6424" width="13.5703125" style="62" customWidth="1"/>
    <col min="6425" max="6425" width="13.140625" style="62" customWidth="1"/>
    <col min="6426" max="6426" width="15.7109375" style="62" customWidth="1"/>
    <col min="6427" max="6427" width="37.5703125" style="62" customWidth="1"/>
    <col min="6428" max="6649" width="11.42578125" style="62"/>
    <col min="6650" max="6650" width="10.5703125" style="62" customWidth="1"/>
    <col min="6651" max="6651" width="4.85546875" style="62" customWidth="1"/>
    <col min="6652" max="6652" width="32.42578125" style="62" customWidth="1"/>
    <col min="6653" max="6653" width="9.85546875" style="62" customWidth="1"/>
    <col min="6654" max="6654" width="10.140625" style="62" customWidth="1"/>
    <col min="6655" max="6655" width="12.28515625" style="62" customWidth="1"/>
    <col min="6656" max="6656" width="15.42578125" style="62" customWidth="1"/>
    <col min="6657" max="6657" width="11.85546875" style="62" customWidth="1"/>
    <col min="6658" max="6658" width="13.28515625" style="62" customWidth="1"/>
    <col min="6659" max="6659" width="15.28515625" style="62" customWidth="1"/>
    <col min="6660" max="6660" width="11.85546875" style="62" customWidth="1"/>
    <col min="6661" max="6661" width="6.140625" style="62" customWidth="1"/>
    <col min="6662" max="6662" width="11.85546875" style="62" customWidth="1"/>
    <col min="6663" max="6663" width="9.42578125" style="62" customWidth="1"/>
    <col min="6664" max="6664" width="14.7109375" style="62" customWidth="1"/>
    <col min="6665" max="6665" width="11.5703125" style="62" customWidth="1"/>
    <col min="6666" max="6666" width="0.42578125" style="62" customWidth="1"/>
    <col min="6667" max="6667" width="10.5703125" style="62" bestFit="1" customWidth="1"/>
    <col min="6668" max="6668" width="12.28515625" style="62" customWidth="1"/>
    <col min="6669" max="6669" width="12.5703125" style="62" customWidth="1"/>
    <col min="6670" max="6670" width="10.5703125" style="62" customWidth="1"/>
    <col min="6671" max="6671" width="10.140625" style="62" customWidth="1"/>
    <col min="6672" max="6672" width="8.42578125" style="62" customWidth="1"/>
    <col min="6673" max="6673" width="18.85546875" style="62" customWidth="1"/>
    <col min="6674" max="6674" width="10.28515625" style="62" customWidth="1"/>
    <col min="6675" max="6675" width="11.42578125" style="62"/>
    <col min="6676" max="6676" width="12.140625" style="62" customWidth="1"/>
    <col min="6677" max="6677" width="10.5703125" style="62" customWidth="1"/>
    <col min="6678" max="6678" width="12.42578125" style="62" customWidth="1"/>
    <col min="6679" max="6679" width="15.140625" style="62" customWidth="1"/>
    <col min="6680" max="6680" width="13.5703125" style="62" customWidth="1"/>
    <col min="6681" max="6681" width="13.140625" style="62" customWidth="1"/>
    <col min="6682" max="6682" width="15.7109375" style="62" customWidth="1"/>
    <col min="6683" max="6683" width="37.5703125" style="62" customWidth="1"/>
    <col min="6684" max="6905" width="11.42578125" style="62"/>
    <col min="6906" max="6906" width="10.5703125" style="62" customWidth="1"/>
    <col min="6907" max="6907" width="4.85546875" style="62" customWidth="1"/>
    <col min="6908" max="6908" width="32.42578125" style="62" customWidth="1"/>
    <col min="6909" max="6909" width="9.85546875" style="62" customWidth="1"/>
    <col min="6910" max="6910" width="10.140625" style="62" customWidth="1"/>
    <col min="6911" max="6911" width="12.28515625" style="62" customWidth="1"/>
    <col min="6912" max="6912" width="15.42578125" style="62" customWidth="1"/>
    <col min="6913" max="6913" width="11.85546875" style="62" customWidth="1"/>
    <col min="6914" max="6914" width="13.28515625" style="62" customWidth="1"/>
    <col min="6915" max="6915" width="15.28515625" style="62" customWidth="1"/>
    <col min="6916" max="6916" width="11.85546875" style="62" customWidth="1"/>
    <col min="6917" max="6917" width="6.140625" style="62" customWidth="1"/>
    <col min="6918" max="6918" width="11.85546875" style="62" customWidth="1"/>
    <col min="6919" max="6919" width="9.42578125" style="62" customWidth="1"/>
    <col min="6920" max="6920" width="14.7109375" style="62" customWidth="1"/>
    <col min="6921" max="6921" width="11.5703125" style="62" customWidth="1"/>
    <col min="6922" max="6922" width="0.42578125" style="62" customWidth="1"/>
    <col min="6923" max="6923" width="10.5703125" style="62" bestFit="1" customWidth="1"/>
    <col min="6924" max="6924" width="12.28515625" style="62" customWidth="1"/>
    <col min="6925" max="6925" width="12.5703125" style="62" customWidth="1"/>
    <col min="6926" max="6926" width="10.5703125" style="62" customWidth="1"/>
    <col min="6927" max="6927" width="10.140625" style="62" customWidth="1"/>
    <col min="6928" max="6928" width="8.42578125" style="62" customWidth="1"/>
    <col min="6929" max="6929" width="18.85546875" style="62" customWidth="1"/>
    <col min="6930" max="6930" width="10.28515625" style="62" customWidth="1"/>
    <col min="6931" max="6931" width="11.42578125" style="62"/>
    <col min="6932" max="6932" width="12.140625" style="62" customWidth="1"/>
    <col min="6933" max="6933" width="10.5703125" style="62" customWidth="1"/>
    <col min="6934" max="6934" width="12.42578125" style="62" customWidth="1"/>
    <col min="6935" max="6935" width="15.140625" style="62" customWidth="1"/>
    <col min="6936" max="6936" width="13.5703125" style="62" customWidth="1"/>
    <col min="6937" max="6937" width="13.140625" style="62" customWidth="1"/>
    <col min="6938" max="6938" width="15.7109375" style="62" customWidth="1"/>
    <col min="6939" max="6939" width="37.5703125" style="62" customWidth="1"/>
    <col min="6940" max="7161" width="11.42578125" style="62"/>
    <col min="7162" max="7162" width="10.5703125" style="62" customWidth="1"/>
    <col min="7163" max="7163" width="4.85546875" style="62" customWidth="1"/>
    <col min="7164" max="7164" width="32.42578125" style="62" customWidth="1"/>
    <col min="7165" max="7165" width="9.85546875" style="62" customWidth="1"/>
    <col min="7166" max="7166" width="10.140625" style="62" customWidth="1"/>
    <col min="7167" max="7167" width="12.28515625" style="62" customWidth="1"/>
    <col min="7168" max="7168" width="15.42578125" style="62" customWidth="1"/>
    <col min="7169" max="7169" width="11.85546875" style="62" customWidth="1"/>
    <col min="7170" max="7170" width="13.28515625" style="62" customWidth="1"/>
    <col min="7171" max="7171" width="15.28515625" style="62" customWidth="1"/>
    <col min="7172" max="7172" width="11.85546875" style="62" customWidth="1"/>
    <col min="7173" max="7173" width="6.140625" style="62" customWidth="1"/>
    <col min="7174" max="7174" width="11.85546875" style="62" customWidth="1"/>
    <col min="7175" max="7175" width="9.42578125" style="62" customWidth="1"/>
    <col min="7176" max="7176" width="14.7109375" style="62" customWidth="1"/>
    <col min="7177" max="7177" width="11.5703125" style="62" customWidth="1"/>
    <col min="7178" max="7178" width="0.42578125" style="62" customWidth="1"/>
    <col min="7179" max="7179" width="10.5703125" style="62" bestFit="1" customWidth="1"/>
    <col min="7180" max="7180" width="12.28515625" style="62" customWidth="1"/>
    <col min="7181" max="7181" width="12.5703125" style="62" customWidth="1"/>
    <col min="7182" max="7182" width="10.5703125" style="62" customWidth="1"/>
    <col min="7183" max="7183" width="10.140625" style="62" customWidth="1"/>
    <col min="7184" max="7184" width="8.42578125" style="62" customWidth="1"/>
    <col min="7185" max="7185" width="18.85546875" style="62" customWidth="1"/>
    <col min="7186" max="7186" width="10.28515625" style="62" customWidth="1"/>
    <col min="7187" max="7187" width="11.42578125" style="62"/>
    <col min="7188" max="7188" width="12.140625" style="62" customWidth="1"/>
    <col min="7189" max="7189" width="10.5703125" style="62" customWidth="1"/>
    <col min="7190" max="7190" width="12.42578125" style="62" customWidth="1"/>
    <col min="7191" max="7191" width="15.140625" style="62" customWidth="1"/>
    <col min="7192" max="7192" width="13.5703125" style="62" customWidth="1"/>
    <col min="7193" max="7193" width="13.140625" style="62" customWidth="1"/>
    <col min="7194" max="7194" width="15.7109375" style="62" customWidth="1"/>
    <col min="7195" max="7195" width="37.5703125" style="62" customWidth="1"/>
    <col min="7196" max="7417" width="11.42578125" style="62"/>
    <col min="7418" max="7418" width="10.5703125" style="62" customWidth="1"/>
    <col min="7419" max="7419" width="4.85546875" style="62" customWidth="1"/>
    <col min="7420" max="7420" width="32.42578125" style="62" customWidth="1"/>
    <col min="7421" max="7421" width="9.85546875" style="62" customWidth="1"/>
    <col min="7422" max="7422" width="10.140625" style="62" customWidth="1"/>
    <col min="7423" max="7423" width="12.28515625" style="62" customWidth="1"/>
    <col min="7424" max="7424" width="15.42578125" style="62" customWidth="1"/>
    <col min="7425" max="7425" width="11.85546875" style="62" customWidth="1"/>
    <col min="7426" max="7426" width="13.28515625" style="62" customWidth="1"/>
    <col min="7427" max="7427" width="15.28515625" style="62" customWidth="1"/>
    <col min="7428" max="7428" width="11.85546875" style="62" customWidth="1"/>
    <col min="7429" max="7429" width="6.140625" style="62" customWidth="1"/>
    <col min="7430" max="7430" width="11.85546875" style="62" customWidth="1"/>
    <col min="7431" max="7431" width="9.42578125" style="62" customWidth="1"/>
    <col min="7432" max="7432" width="14.7109375" style="62" customWidth="1"/>
    <col min="7433" max="7433" width="11.5703125" style="62" customWidth="1"/>
    <col min="7434" max="7434" width="0.42578125" style="62" customWidth="1"/>
    <col min="7435" max="7435" width="10.5703125" style="62" bestFit="1" customWidth="1"/>
    <col min="7436" max="7436" width="12.28515625" style="62" customWidth="1"/>
    <col min="7437" max="7437" width="12.5703125" style="62" customWidth="1"/>
    <col min="7438" max="7438" width="10.5703125" style="62" customWidth="1"/>
    <col min="7439" max="7439" width="10.140625" style="62" customWidth="1"/>
    <col min="7440" max="7440" width="8.42578125" style="62" customWidth="1"/>
    <col min="7441" max="7441" width="18.85546875" style="62" customWidth="1"/>
    <col min="7442" max="7442" width="10.28515625" style="62" customWidth="1"/>
    <col min="7443" max="7443" width="11.42578125" style="62"/>
    <col min="7444" max="7444" width="12.140625" style="62" customWidth="1"/>
    <col min="7445" max="7445" width="10.5703125" style="62" customWidth="1"/>
    <col min="7446" max="7446" width="12.42578125" style="62" customWidth="1"/>
    <col min="7447" max="7447" width="15.140625" style="62" customWidth="1"/>
    <col min="7448" max="7448" width="13.5703125" style="62" customWidth="1"/>
    <col min="7449" max="7449" width="13.140625" style="62" customWidth="1"/>
    <col min="7450" max="7450" width="15.7109375" style="62" customWidth="1"/>
    <col min="7451" max="7451" width="37.5703125" style="62" customWidth="1"/>
    <col min="7452" max="7673" width="11.42578125" style="62"/>
    <col min="7674" max="7674" width="10.5703125" style="62" customWidth="1"/>
    <col min="7675" max="7675" width="4.85546875" style="62" customWidth="1"/>
    <col min="7676" max="7676" width="32.42578125" style="62" customWidth="1"/>
    <col min="7677" max="7677" width="9.85546875" style="62" customWidth="1"/>
    <col min="7678" max="7678" width="10.140625" style="62" customWidth="1"/>
    <col min="7679" max="7679" width="12.28515625" style="62" customWidth="1"/>
    <col min="7680" max="7680" width="15.42578125" style="62" customWidth="1"/>
    <col min="7681" max="7681" width="11.85546875" style="62" customWidth="1"/>
    <col min="7682" max="7682" width="13.28515625" style="62" customWidth="1"/>
    <col min="7683" max="7683" width="15.28515625" style="62" customWidth="1"/>
    <col min="7684" max="7684" width="11.85546875" style="62" customWidth="1"/>
    <col min="7685" max="7685" width="6.140625" style="62" customWidth="1"/>
    <col min="7686" max="7686" width="11.85546875" style="62" customWidth="1"/>
    <col min="7687" max="7687" width="9.42578125" style="62" customWidth="1"/>
    <col min="7688" max="7688" width="14.7109375" style="62" customWidth="1"/>
    <col min="7689" max="7689" width="11.5703125" style="62" customWidth="1"/>
    <col min="7690" max="7690" width="0.42578125" style="62" customWidth="1"/>
    <col min="7691" max="7691" width="10.5703125" style="62" bestFit="1" customWidth="1"/>
    <col min="7692" max="7692" width="12.28515625" style="62" customWidth="1"/>
    <col min="7693" max="7693" width="12.5703125" style="62" customWidth="1"/>
    <col min="7694" max="7694" width="10.5703125" style="62" customWidth="1"/>
    <col min="7695" max="7695" width="10.140625" style="62" customWidth="1"/>
    <col min="7696" max="7696" width="8.42578125" style="62" customWidth="1"/>
    <col min="7697" max="7697" width="18.85546875" style="62" customWidth="1"/>
    <col min="7698" max="7698" width="10.28515625" style="62" customWidth="1"/>
    <col min="7699" max="7699" width="11.42578125" style="62"/>
    <col min="7700" max="7700" width="12.140625" style="62" customWidth="1"/>
    <col min="7701" max="7701" width="10.5703125" style="62" customWidth="1"/>
    <col min="7702" max="7702" width="12.42578125" style="62" customWidth="1"/>
    <col min="7703" max="7703" width="15.140625" style="62" customWidth="1"/>
    <col min="7704" max="7704" width="13.5703125" style="62" customWidth="1"/>
    <col min="7705" max="7705" width="13.140625" style="62" customWidth="1"/>
    <col min="7706" max="7706" width="15.7109375" style="62" customWidth="1"/>
    <col min="7707" max="7707" width="37.5703125" style="62" customWidth="1"/>
    <col min="7708" max="7929" width="11.42578125" style="62"/>
    <col min="7930" max="7930" width="10.5703125" style="62" customWidth="1"/>
    <col min="7931" max="7931" width="4.85546875" style="62" customWidth="1"/>
    <col min="7932" max="7932" width="32.42578125" style="62" customWidth="1"/>
    <col min="7933" max="7933" width="9.85546875" style="62" customWidth="1"/>
    <col min="7934" max="7934" width="10.140625" style="62" customWidth="1"/>
    <col min="7935" max="7935" width="12.28515625" style="62" customWidth="1"/>
    <col min="7936" max="7936" width="15.42578125" style="62" customWidth="1"/>
    <col min="7937" max="7937" width="11.85546875" style="62" customWidth="1"/>
    <col min="7938" max="7938" width="13.28515625" style="62" customWidth="1"/>
    <col min="7939" max="7939" width="15.28515625" style="62" customWidth="1"/>
    <col min="7940" max="7940" width="11.85546875" style="62" customWidth="1"/>
    <col min="7941" max="7941" width="6.140625" style="62" customWidth="1"/>
    <col min="7942" max="7942" width="11.85546875" style="62" customWidth="1"/>
    <col min="7943" max="7943" width="9.42578125" style="62" customWidth="1"/>
    <col min="7944" max="7944" width="14.7109375" style="62" customWidth="1"/>
    <col min="7945" max="7945" width="11.5703125" style="62" customWidth="1"/>
    <col min="7946" max="7946" width="0.42578125" style="62" customWidth="1"/>
    <col min="7947" max="7947" width="10.5703125" style="62" bestFit="1" customWidth="1"/>
    <col min="7948" max="7948" width="12.28515625" style="62" customWidth="1"/>
    <col min="7949" max="7949" width="12.5703125" style="62" customWidth="1"/>
    <col min="7950" max="7950" width="10.5703125" style="62" customWidth="1"/>
    <col min="7951" max="7951" width="10.140625" style="62" customWidth="1"/>
    <col min="7952" max="7952" width="8.42578125" style="62" customWidth="1"/>
    <col min="7953" max="7953" width="18.85546875" style="62" customWidth="1"/>
    <col min="7954" max="7954" width="10.28515625" style="62" customWidth="1"/>
    <col min="7955" max="7955" width="11.42578125" style="62"/>
    <col min="7956" max="7956" width="12.140625" style="62" customWidth="1"/>
    <col min="7957" max="7957" width="10.5703125" style="62" customWidth="1"/>
    <col min="7958" max="7958" width="12.42578125" style="62" customWidth="1"/>
    <col min="7959" max="7959" width="15.140625" style="62" customWidth="1"/>
    <col min="7960" max="7960" width="13.5703125" style="62" customWidth="1"/>
    <col min="7961" max="7961" width="13.140625" style="62" customWidth="1"/>
    <col min="7962" max="7962" width="15.7109375" style="62" customWidth="1"/>
    <col min="7963" max="7963" width="37.5703125" style="62" customWidth="1"/>
    <col min="7964" max="8185" width="11.42578125" style="62"/>
    <col min="8186" max="8186" width="10.5703125" style="62" customWidth="1"/>
    <col min="8187" max="8187" width="4.85546875" style="62" customWidth="1"/>
    <col min="8188" max="8188" width="32.42578125" style="62" customWidth="1"/>
    <col min="8189" max="8189" width="9.85546875" style="62" customWidth="1"/>
    <col min="8190" max="8190" width="10.140625" style="62" customWidth="1"/>
    <col min="8191" max="8191" width="12.28515625" style="62" customWidth="1"/>
    <col min="8192" max="8192" width="15.42578125" style="62" customWidth="1"/>
    <col min="8193" max="8193" width="11.85546875" style="62" customWidth="1"/>
    <col min="8194" max="8194" width="13.28515625" style="62" customWidth="1"/>
    <col min="8195" max="8195" width="15.28515625" style="62" customWidth="1"/>
    <col min="8196" max="8196" width="11.85546875" style="62" customWidth="1"/>
    <col min="8197" max="8197" width="6.140625" style="62" customWidth="1"/>
    <col min="8198" max="8198" width="11.85546875" style="62" customWidth="1"/>
    <col min="8199" max="8199" width="9.42578125" style="62" customWidth="1"/>
    <col min="8200" max="8200" width="14.7109375" style="62" customWidth="1"/>
    <col min="8201" max="8201" width="11.5703125" style="62" customWidth="1"/>
    <col min="8202" max="8202" width="0.42578125" style="62" customWidth="1"/>
    <col min="8203" max="8203" width="10.5703125" style="62" bestFit="1" customWidth="1"/>
    <col min="8204" max="8204" width="12.28515625" style="62" customWidth="1"/>
    <col min="8205" max="8205" width="12.5703125" style="62" customWidth="1"/>
    <col min="8206" max="8206" width="10.5703125" style="62" customWidth="1"/>
    <col min="8207" max="8207" width="10.140625" style="62" customWidth="1"/>
    <col min="8208" max="8208" width="8.42578125" style="62" customWidth="1"/>
    <col min="8209" max="8209" width="18.85546875" style="62" customWidth="1"/>
    <col min="8210" max="8210" width="10.28515625" style="62" customWidth="1"/>
    <col min="8211" max="8211" width="11.42578125" style="62"/>
    <col min="8212" max="8212" width="12.140625" style="62" customWidth="1"/>
    <col min="8213" max="8213" width="10.5703125" style="62" customWidth="1"/>
    <col min="8214" max="8214" width="12.42578125" style="62" customWidth="1"/>
    <col min="8215" max="8215" width="15.140625" style="62" customWidth="1"/>
    <col min="8216" max="8216" width="13.5703125" style="62" customWidth="1"/>
    <col min="8217" max="8217" width="13.140625" style="62" customWidth="1"/>
    <col min="8218" max="8218" width="15.7109375" style="62" customWidth="1"/>
    <col min="8219" max="8219" width="37.5703125" style="62" customWidth="1"/>
    <col min="8220" max="8441" width="11.42578125" style="62"/>
    <col min="8442" max="8442" width="10.5703125" style="62" customWidth="1"/>
    <col min="8443" max="8443" width="4.85546875" style="62" customWidth="1"/>
    <col min="8444" max="8444" width="32.42578125" style="62" customWidth="1"/>
    <col min="8445" max="8445" width="9.85546875" style="62" customWidth="1"/>
    <col min="8446" max="8446" width="10.140625" style="62" customWidth="1"/>
    <col min="8447" max="8447" width="12.28515625" style="62" customWidth="1"/>
    <col min="8448" max="8448" width="15.42578125" style="62" customWidth="1"/>
    <col min="8449" max="8449" width="11.85546875" style="62" customWidth="1"/>
    <col min="8450" max="8450" width="13.28515625" style="62" customWidth="1"/>
    <col min="8451" max="8451" width="15.28515625" style="62" customWidth="1"/>
    <col min="8452" max="8452" width="11.85546875" style="62" customWidth="1"/>
    <col min="8453" max="8453" width="6.140625" style="62" customWidth="1"/>
    <col min="8454" max="8454" width="11.85546875" style="62" customWidth="1"/>
    <col min="8455" max="8455" width="9.42578125" style="62" customWidth="1"/>
    <col min="8456" max="8456" width="14.7109375" style="62" customWidth="1"/>
    <col min="8457" max="8457" width="11.5703125" style="62" customWidth="1"/>
    <col min="8458" max="8458" width="0.42578125" style="62" customWidth="1"/>
    <col min="8459" max="8459" width="10.5703125" style="62" bestFit="1" customWidth="1"/>
    <col min="8460" max="8460" width="12.28515625" style="62" customWidth="1"/>
    <col min="8461" max="8461" width="12.5703125" style="62" customWidth="1"/>
    <col min="8462" max="8462" width="10.5703125" style="62" customWidth="1"/>
    <col min="8463" max="8463" width="10.140625" style="62" customWidth="1"/>
    <col min="8464" max="8464" width="8.42578125" style="62" customWidth="1"/>
    <col min="8465" max="8465" width="18.85546875" style="62" customWidth="1"/>
    <col min="8466" max="8466" width="10.28515625" style="62" customWidth="1"/>
    <col min="8467" max="8467" width="11.42578125" style="62"/>
    <col min="8468" max="8468" width="12.140625" style="62" customWidth="1"/>
    <col min="8469" max="8469" width="10.5703125" style="62" customWidth="1"/>
    <col min="8470" max="8470" width="12.42578125" style="62" customWidth="1"/>
    <col min="8471" max="8471" width="15.140625" style="62" customWidth="1"/>
    <col min="8472" max="8472" width="13.5703125" style="62" customWidth="1"/>
    <col min="8473" max="8473" width="13.140625" style="62" customWidth="1"/>
    <col min="8474" max="8474" width="15.7109375" style="62" customWidth="1"/>
    <col min="8475" max="8475" width="37.5703125" style="62" customWidth="1"/>
    <col min="8476" max="8697" width="11.42578125" style="62"/>
    <col min="8698" max="8698" width="10.5703125" style="62" customWidth="1"/>
    <col min="8699" max="8699" width="4.85546875" style="62" customWidth="1"/>
    <col min="8700" max="8700" width="32.42578125" style="62" customWidth="1"/>
    <col min="8701" max="8701" width="9.85546875" style="62" customWidth="1"/>
    <col min="8702" max="8702" width="10.140625" style="62" customWidth="1"/>
    <col min="8703" max="8703" width="12.28515625" style="62" customWidth="1"/>
    <col min="8704" max="8704" width="15.42578125" style="62" customWidth="1"/>
    <col min="8705" max="8705" width="11.85546875" style="62" customWidth="1"/>
    <col min="8706" max="8706" width="13.28515625" style="62" customWidth="1"/>
    <col min="8707" max="8707" width="15.28515625" style="62" customWidth="1"/>
    <col min="8708" max="8708" width="11.85546875" style="62" customWidth="1"/>
    <col min="8709" max="8709" width="6.140625" style="62" customWidth="1"/>
    <col min="8710" max="8710" width="11.85546875" style="62" customWidth="1"/>
    <col min="8711" max="8711" width="9.42578125" style="62" customWidth="1"/>
    <col min="8712" max="8712" width="14.7109375" style="62" customWidth="1"/>
    <col min="8713" max="8713" width="11.5703125" style="62" customWidth="1"/>
    <col min="8714" max="8714" width="0.42578125" style="62" customWidth="1"/>
    <col min="8715" max="8715" width="10.5703125" style="62" bestFit="1" customWidth="1"/>
    <col min="8716" max="8716" width="12.28515625" style="62" customWidth="1"/>
    <col min="8717" max="8717" width="12.5703125" style="62" customWidth="1"/>
    <col min="8718" max="8718" width="10.5703125" style="62" customWidth="1"/>
    <col min="8719" max="8719" width="10.140625" style="62" customWidth="1"/>
    <col min="8720" max="8720" width="8.42578125" style="62" customWidth="1"/>
    <col min="8721" max="8721" width="18.85546875" style="62" customWidth="1"/>
    <col min="8722" max="8722" width="10.28515625" style="62" customWidth="1"/>
    <col min="8723" max="8723" width="11.42578125" style="62"/>
    <col min="8724" max="8724" width="12.140625" style="62" customWidth="1"/>
    <col min="8725" max="8725" width="10.5703125" style="62" customWidth="1"/>
    <col min="8726" max="8726" width="12.42578125" style="62" customWidth="1"/>
    <col min="8727" max="8727" width="15.140625" style="62" customWidth="1"/>
    <col min="8728" max="8728" width="13.5703125" style="62" customWidth="1"/>
    <col min="8729" max="8729" width="13.140625" style="62" customWidth="1"/>
    <col min="8730" max="8730" width="15.7109375" style="62" customWidth="1"/>
    <col min="8731" max="8731" width="37.5703125" style="62" customWidth="1"/>
    <col min="8732" max="8953" width="11.42578125" style="62"/>
    <col min="8954" max="8954" width="10.5703125" style="62" customWidth="1"/>
    <col min="8955" max="8955" width="4.85546875" style="62" customWidth="1"/>
    <col min="8956" max="8956" width="32.42578125" style="62" customWidth="1"/>
    <col min="8957" max="8957" width="9.85546875" style="62" customWidth="1"/>
    <col min="8958" max="8958" width="10.140625" style="62" customWidth="1"/>
    <col min="8959" max="8959" width="12.28515625" style="62" customWidth="1"/>
    <col min="8960" max="8960" width="15.42578125" style="62" customWidth="1"/>
    <col min="8961" max="8961" width="11.85546875" style="62" customWidth="1"/>
    <col min="8962" max="8962" width="13.28515625" style="62" customWidth="1"/>
    <col min="8963" max="8963" width="15.28515625" style="62" customWidth="1"/>
    <col min="8964" max="8964" width="11.85546875" style="62" customWidth="1"/>
    <col min="8965" max="8965" width="6.140625" style="62" customWidth="1"/>
    <col min="8966" max="8966" width="11.85546875" style="62" customWidth="1"/>
    <col min="8967" max="8967" width="9.42578125" style="62" customWidth="1"/>
    <col min="8968" max="8968" width="14.7109375" style="62" customWidth="1"/>
    <col min="8969" max="8969" width="11.5703125" style="62" customWidth="1"/>
    <col min="8970" max="8970" width="0.42578125" style="62" customWidth="1"/>
    <col min="8971" max="8971" width="10.5703125" style="62" bestFit="1" customWidth="1"/>
    <col min="8972" max="8972" width="12.28515625" style="62" customWidth="1"/>
    <col min="8973" max="8973" width="12.5703125" style="62" customWidth="1"/>
    <col min="8974" max="8974" width="10.5703125" style="62" customWidth="1"/>
    <col min="8975" max="8975" width="10.140625" style="62" customWidth="1"/>
    <col min="8976" max="8976" width="8.42578125" style="62" customWidth="1"/>
    <col min="8977" max="8977" width="18.85546875" style="62" customWidth="1"/>
    <col min="8978" max="8978" width="10.28515625" style="62" customWidth="1"/>
    <col min="8979" max="8979" width="11.42578125" style="62"/>
    <col min="8980" max="8980" width="12.140625" style="62" customWidth="1"/>
    <col min="8981" max="8981" width="10.5703125" style="62" customWidth="1"/>
    <col min="8982" max="8982" width="12.42578125" style="62" customWidth="1"/>
    <col min="8983" max="8983" width="15.140625" style="62" customWidth="1"/>
    <col min="8984" max="8984" width="13.5703125" style="62" customWidth="1"/>
    <col min="8985" max="8985" width="13.140625" style="62" customWidth="1"/>
    <col min="8986" max="8986" width="15.7109375" style="62" customWidth="1"/>
    <col min="8987" max="8987" width="37.5703125" style="62" customWidth="1"/>
    <col min="8988" max="9209" width="11.42578125" style="62"/>
    <col min="9210" max="9210" width="10.5703125" style="62" customWidth="1"/>
    <col min="9211" max="9211" width="4.85546875" style="62" customWidth="1"/>
    <col min="9212" max="9212" width="32.42578125" style="62" customWidth="1"/>
    <col min="9213" max="9213" width="9.85546875" style="62" customWidth="1"/>
    <col min="9214" max="9214" width="10.140625" style="62" customWidth="1"/>
    <col min="9215" max="9215" width="12.28515625" style="62" customWidth="1"/>
    <col min="9216" max="9216" width="15.42578125" style="62" customWidth="1"/>
    <col min="9217" max="9217" width="11.85546875" style="62" customWidth="1"/>
    <col min="9218" max="9218" width="13.28515625" style="62" customWidth="1"/>
    <col min="9219" max="9219" width="15.28515625" style="62" customWidth="1"/>
    <col min="9220" max="9220" width="11.85546875" style="62" customWidth="1"/>
    <col min="9221" max="9221" width="6.140625" style="62" customWidth="1"/>
    <col min="9222" max="9222" width="11.85546875" style="62" customWidth="1"/>
    <col min="9223" max="9223" width="9.42578125" style="62" customWidth="1"/>
    <col min="9224" max="9224" width="14.7109375" style="62" customWidth="1"/>
    <col min="9225" max="9225" width="11.5703125" style="62" customWidth="1"/>
    <col min="9226" max="9226" width="0.42578125" style="62" customWidth="1"/>
    <col min="9227" max="9227" width="10.5703125" style="62" bestFit="1" customWidth="1"/>
    <col min="9228" max="9228" width="12.28515625" style="62" customWidth="1"/>
    <col min="9229" max="9229" width="12.5703125" style="62" customWidth="1"/>
    <col min="9230" max="9230" width="10.5703125" style="62" customWidth="1"/>
    <col min="9231" max="9231" width="10.140625" style="62" customWidth="1"/>
    <col min="9232" max="9232" width="8.42578125" style="62" customWidth="1"/>
    <col min="9233" max="9233" width="18.85546875" style="62" customWidth="1"/>
    <col min="9234" max="9234" width="10.28515625" style="62" customWidth="1"/>
    <col min="9235" max="9235" width="11.42578125" style="62"/>
    <col min="9236" max="9236" width="12.140625" style="62" customWidth="1"/>
    <col min="9237" max="9237" width="10.5703125" style="62" customWidth="1"/>
    <col min="9238" max="9238" width="12.42578125" style="62" customWidth="1"/>
    <col min="9239" max="9239" width="15.140625" style="62" customWidth="1"/>
    <col min="9240" max="9240" width="13.5703125" style="62" customWidth="1"/>
    <col min="9241" max="9241" width="13.140625" style="62" customWidth="1"/>
    <col min="9242" max="9242" width="15.7109375" style="62" customWidth="1"/>
    <col min="9243" max="9243" width="37.5703125" style="62" customWidth="1"/>
    <col min="9244" max="9465" width="11.42578125" style="62"/>
    <col min="9466" max="9466" width="10.5703125" style="62" customWidth="1"/>
    <col min="9467" max="9467" width="4.85546875" style="62" customWidth="1"/>
    <col min="9468" max="9468" width="32.42578125" style="62" customWidth="1"/>
    <col min="9469" max="9469" width="9.85546875" style="62" customWidth="1"/>
    <col min="9470" max="9470" width="10.140625" style="62" customWidth="1"/>
    <col min="9471" max="9471" width="12.28515625" style="62" customWidth="1"/>
    <col min="9472" max="9472" width="15.42578125" style="62" customWidth="1"/>
    <col min="9473" max="9473" width="11.85546875" style="62" customWidth="1"/>
    <col min="9474" max="9474" width="13.28515625" style="62" customWidth="1"/>
    <col min="9475" max="9475" width="15.28515625" style="62" customWidth="1"/>
    <col min="9476" max="9476" width="11.85546875" style="62" customWidth="1"/>
    <col min="9477" max="9477" width="6.140625" style="62" customWidth="1"/>
    <col min="9478" max="9478" width="11.85546875" style="62" customWidth="1"/>
    <col min="9479" max="9479" width="9.42578125" style="62" customWidth="1"/>
    <col min="9480" max="9480" width="14.7109375" style="62" customWidth="1"/>
    <col min="9481" max="9481" width="11.5703125" style="62" customWidth="1"/>
    <col min="9482" max="9482" width="0.42578125" style="62" customWidth="1"/>
    <col min="9483" max="9483" width="10.5703125" style="62" bestFit="1" customWidth="1"/>
    <col min="9484" max="9484" width="12.28515625" style="62" customWidth="1"/>
    <col min="9485" max="9485" width="12.5703125" style="62" customWidth="1"/>
    <col min="9486" max="9486" width="10.5703125" style="62" customWidth="1"/>
    <col min="9487" max="9487" width="10.140625" style="62" customWidth="1"/>
    <col min="9488" max="9488" width="8.42578125" style="62" customWidth="1"/>
    <col min="9489" max="9489" width="18.85546875" style="62" customWidth="1"/>
    <col min="9490" max="9490" width="10.28515625" style="62" customWidth="1"/>
    <col min="9491" max="9491" width="11.42578125" style="62"/>
    <col min="9492" max="9492" width="12.140625" style="62" customWidth="1"/>
    <col min="9493" max="9493" width="10.5703125" style="62" customWidth="1"/>
    <col min="9494" max="9494" width="12.42578125" style="62" customWidth="1"/>
    <col min="9495" max="9495" width="15.140625" style="62" customWidth="1"/>
    <col min="9496" max="9496" width="13.5703125" style="62" customWidth="1"/>
    <col min="9497" max="9497" width="13.140625" style="62" customWidth="1"/>
    <col min="9498" max="9498" width="15.7109375" style="62" customWidth="1"/>
    <col min="9499" max="9499" width="37.5703125" style="62" customWidth="1"/>
    <col min="9500" max="9721" width="11.42578125" style="62"/>
    <col min="9722" max="9722" width="10.5703125" style="62" customWidth="1"/>
    <col min="9723" max="9723" width="4.85546875" style="62" customWidth="1"/>
    <col min="9724" max="9724" width="32.42578125" style="62" customWidth="1"/>
    <col min="9725" max="9725" width="9.85546875" style="62" customWidth="1"/>
    <col min="9726" max="9726" width="10.140625" style="62" customWidth="1"/>
    <col min="9727" max="9727" width="12.28515625" style="62" customWidth="1"/>
    <col min="9728" max="9728" width="15.42578125" style="62" customWidth="1"/>
    <col min="9729" max="9729" width="11.85546875" style="62" customWidth="1"/>
    <col min="9730" max="9730" width="13.28515625" style="62" customWidth="1"/>
    <col min="9731" max="9731" width="15.28515625" style="62" customWidth="1"/>
    <col min="9732" max="9732" width="11.85546875" style="62" customWidth="1"/>
    <col min="9733" max="9733" width="6.140625" style="62" customWidth="1"/>
    <col min="9734" max="9734" width="11.85546875" style="62" customWidth="1"/>
    <col min="9735" max="9735" width="9.42578125" style="62" customWidth="1"/>
    <col min="9736" max="9736" width="14.7109375" style="62" customWidth="1"/>
    <col min="9737" max="9737" width="11.5703125" style="62" customWidth="1"/>
    <col min="9738" max="9738" width="0.42578125" style="62" customWidth="1"/>
    <col min="9739" max="9739" width="10.5703125" style="62" bestFit="1" customWidth="1"/>
    <col min="9740" max="9740" width="12.28515625" style="62" customWidth="1"/>
    <col min="9741" max="9741" width="12.5703125" style="62" customWidth="1"/>
    <col min="9742" max="9742" width="10.5703125" style="62" customWidth="1"/>
    <col min="9743" max="9743" width="10.140625" style="62" customWidth="1"/>
    <col min="9744" max="9744" width="8.42578125" style="62" customWidth="1"/>
    <col min="9745" max="9745" width="18.85546875" style="62" customWidth="1"/>
    <col min="9746" max="9746" width="10.28515625" style="62" customWidth="1"/>
    <col min="9747" max="9747" width="11.42578125" style="62"/>
    <col min="9748" max="9748" width="12.140625" style="62" customWidth="1"/>
    <col min="9749" max="9749" width="10.5703125" style="62" customWidth="1"/>
    <col min="9750" max="9750" width="12.42578125" style="62" customWidth="1"/>
    <col min="9751" max="9751" width="15.140625" style="62" customWidth="1"/>
    <col min="9752" max="9752" width="13.5703125" style="62" customWidth="1"/>
    <col min="9753" max="9753" width="13.140625" style="62" customWidth="1"/>
    <col min="9754" max="9754" width="15.7109375" style="62" customWidth="1"/>
    <col min="9755" max="9755" width="37.5703125" style="62" customWidth="1"/>
    <col min="9756" max="9977" width="11.42578125" style="62"/>
    <col min="9978" max="9978" width="10.5703125" style="62" customWidth="1"/>
    <col min="9979" max="9979" width="4.85546875" style="62" customWidth="1"/>
    <col min="9980" max="9980" width="32.42578125" style="62" customWidth="1"/>
    <col min="9981" max="9981" width="9.85546875" style="62" customWidth="1"/>
    <col min="9982" max="9982" width="10.140625" style="62" customWidth="1"/>
    <col min="9983" max="9983" width="12.28515625" style="62" customWidth="1"/>
    <col min="9984" max="9984" width="15.42578125" style="62" customWidth="1"/>
    <col min="9985" max="9985" width="11.85546875" style="62" customWidth="1"/>
    <col min="9986" max="9986" width="13.28515625" style="62" customWidth="1"/>
    <col min="9987" max="9987" width="15.28515625" style="62" customWidth="1"/>
    <col min="9988" max="9988" width="11.85546875" style="62" customWidth="1"/>
    <col min="9989" max="9989" width="6.140625" style="62" customWidth="1"/>
    <col min="9990" max="9990" width="11.85546875" style="62" customWidth="1"/>
    <col min="9991" max="9991" width="9.42578125" style="62" customWidth="1"/>
    <col min="9992" max="9992" width="14.7109375" style="62" customWidth="1"/>
    <col min="9993" max="9993" width="11.5703125" style="62" customWidth="1"/>
    <col min="9994" max="9994" width="0.42578125" style="62" customWidth="1"/>
    <col min="9995" max="9995" width="10.5703125" style="62" bestFit="1" customWidth="1"/>
    <col min="9996" max="9996" width="12.28515625" style="62" customWidth="1"/>
    <col min="9997" max="9997" width="12.5703125" style="62" customWidth="1"/>
    <col min="9998" max="9998" width="10.5703125" style="62" customWidth="1"/>
    <col min="9999" max="9999" width="10.140625" style="62" customWidth="1"/>
    <col min="10000" max="10000" width="8.42578125" style="62" customWidth="1"/>
    <col min="10001" max="10001" width="18.85546875" style="62" customWidth="1"/>
    <col min="10002" max="10002" width="10.28515625" style="62" customWidth="1"/>
    <col min="10003" max="10003" width="11.42578125" style="62"/>
    <col min="10004" max="10004" width="12.140625" style="62" customWidth="1"/>
    <col min="10005" max="10005" width="10.5703125" style="62" customWidth="1"/>
    <col min="10006" max="10006" width="12.42578125" style="62" customWidth="1"/>
    <col min="10007" max="10007" width="15.140625" style="62" customWidth="1"/>
    <col min="10008" max="10008" width="13.5703125" style="62" customWidth="1"/>
    <col min="10009" max="10009" width="13.140625" style="62" customWidth="1"/>
    <col min="10010" max="10010" width="15.7109375" style="62" customWidth="1"/>
    <col min="10011" max="10011" width="37.5703125" style="62" customWidth="1"/>
    <col min="10012" max="10233" width="11.42578125" style="62"/>
    <col min="10234" max="10234" width="10.5703125" style="62" customWidth="1"/>
    <col min="10235" max="10235" width="4.85546875" style="62" customWidth="1"/>
    <col min="10236" max="10236" width="32.42578125" style="62" customWidth="1"/>
    <col min="10237" max="10237" width="9.85546875" style="62" customWidth="1"/>
    <col min="10238" max="10238" width="10.140625" style="62" customWidth="1"/>
    <col min="10239" max="10239" width="12.28515625" style="62" customWidth="1"/>
    <col min="10240" max="10240" width="15.42578125" style="62" customWidth="1"/>
    <col min="10241" max="10241" width="11.85546875" style="62" customWidth="1"/>
    <col min="10242" max="10242" width="13.28515625" style="62" customWidth="1"/>
    <col min="10243" max="10243" width="15.28515625" style="62" customWidth="1"/>
    <col min="10244" max="10244" width="11.85546875" style="62" customWidth="1"/>
    <col min="10245" max="10245" width="6.140625" style="62" customWidth="1"/>
    <col min="10246" max="10246" width="11.85546875" style="62" customWidth="1"/>
    <col min="10247" max="10247" width="9.42578125" style="62" customWidth="1"/>
    <col min="10248" max="10248" width="14.7109375" style="62" customWidth="1"/>
    <col min="10249" max="10249" width="11.5703125" style="62" customWidth="1"/>
    <col min="10250" max="10250" width="0.42578125" style="62" customWidth="1"/>
    <col min="10251" max="10251" width="10.5703125" style="62" bestFit="1" customWidth="1"/>
    <col min="10252" max="10252" width="12.28515625" style="62" customWidth="1"/>
    <col min="10253" max="10253" width="12.5703125" style="62" customWidth="1"/>
    <col min="10254" max="10254" width="10.5703125" style="62" customWidth="1"/>
    <col min="10255" max="10255" width="10.140625" style="62" customWidth="1"/>
    <col min="10256" max="10256" width="8.42578125" style="62" customWidth="1"/>
    <col min="10257" max="10257" width="18.85546875" style="62" customWidth="1"/>
    <col min="10258" max="10258" width="10.28515625" style="62" customWidth="1"/>
    <col min="10259" max="10259" width="11.42578125" style="62"/>
    <col min="10260" max="10260" width="12.140625" style="62" customWidth="1"/>
    <col min="10261" max="10261" width="10.5703125" style="62" customWidth="1"/>
    <col min="10262" max="10262" width="12.42578125" style="62" customWidth="1"/>
    <col min="10263" max="10263" width="15.140625" style="62" customWidth="1"/>
    <col min="10264" max="10264" width="13.5703125" style="62" customWidth="1"/>
    <col min="10265" max="10265" width="13.140625" style="62" customWidth="1"/>
    <col min="10266" max="10266" width="15.7109375" style="62" customWidth="1"/>
    <col min="10267" max="10267" width="37.5703125" style="62" customWidth="1"/>
    <col min="10268" max="10489" width="11.42578125" style="62"/>
    <col min="10490" max="10490" width="10.5703125" style="62" customWidth="1"/>
    <col min="10491" max="10491" width="4.85546875" style="62" customWidth="1"/>
    <col min="10492" max="10492" width="32.42578125" style="62" customWidth="1"/>
    <col min="10493" max="10493" width="9.85546875" style="62" customWidth="1"/>
    <col min="10494" max="10494" width="10.140625" style="62" customWidth="1"/>
    <col min="10495" max="10495" width="12.28515625" style="62" customWidth="1"/>
    <col min="10496" max="10496" width="15.42578125" style="62" customWidth="1"/>
    <col min="10497" max="10497" width="11.85546875" style="62" customWidth="1"/>
    <col min="10498" max="10498" width="13.28515625" style="62" customWidth="1"/>
    <col min="10499" max="10499" width="15.28515625" style="62" customWidth="1"/>
    <col min="10500" max="10500" width="11.85546875" style="62" customWidth="1"/>
    <col min="10501" max="10501" width="6.140625" style="62" customWidth="1"/>
    <col min="10502" max="10502" width="11.85546875" style="62" customWidth="1"/>
    <col min="10503" max="10503" width="9.42578125" style="62" customWidth="1"/>
    <col min="10504" max="10504" width="14.7109375" style="62" customWidth="1"/>
    <col min="10505" max="10505" width="11.5703125" style="62" customWidth="1"/>
    <col min="10506" max="10506" width="0.42578125" style="62" customWidth="1"/>
    <col min="10507" max="10507" width="10.5703125" style="62" bestFit="1" customWidth="1"/>
    <col min="10508" max="10508" width="12.28515625" style="62" customWidth="1"/>
    <col min="10509" max="10509" width="12.5703125" style="62" customWidth="1"/>
    <col min="10510" max="10510" width="10.5703125" style="62" customWidth="1"/>
    <col min="10511" max="10511" width="10.140625" style="62" customWidth="1"/>
    <col min="10512" max="10512" width="8.42578125" style="62" customWidth="1"/>
    <col min="10513" max="10513" width="18.85546875" style="62" customWidth="1"/>
    <col min="10514" max="10514" width="10.28515625" style="62" customWidth="1"/>
    <col min="10515" max="10515" width="11.42578125" style="62"/>
    <col min="10516" max="10516" width="12.140625" style="62" customWidth="1"/>
    <col min="10517" max="10517" width="10.5703125" style="62" customWidth="1"/>
    <col min="10518" max="10518" width="12.42578125" style="62" customWidth="1"/>
    <col min="10519" max="10519" width="15.140625" style="62" customWidth="1"/>
    <col min="10520" max="10520" width="13.5703125" style="62" customWidth="1"/>
    <col min="10521" max="10521" width="13.140625" style="62" customWidth="1"/>
    <col min="10522" max="10522" width="15.7109375" style="62" customWidth="1"/>
    <col min="10523" max="10523" width="37.5703125" style="62" customWidth="1"/>
    <col min="10524" max="10745" width="11.42578125" style="62"/>
    <col min="10746" max="10746" width="10.5703125" style="62" customWidth="1"/>
    <col min="10747" max="10747" width="4.85546875" style="62" customWidth="1"/>
    <col min="10748" max="10748" width="32.42578125" style="62" customWidth="1"/>
    <col min="10749" max="10749" width="9.85546875" style="62" customWidth="1"/>
    <col min="10750" max="10750" width="10.140625" style="62" customWidth="1"/>
    <col min="10751" max="10751" width="12.28515625" style="62" customWidth="1"/>
    <col min="10752" max="10752" width="15.42578125" style="62" customWidth="1"/>
    <col min="10753" max="10753" width="11.85546875" style="62" customWidth="1"/>
    <col min="10754" max="10754" width="13.28515625" style="62" customWidth="1"/>
    <col min="10755" max="10755" width="15.28515625" style="62" customWidth="1"/>
    <col min="10756" max="10756" width="11.85546875" style="62" customWidth="1"/>
    <col min="10757" max="10757" width="6.140625" style="62" customWidth="1"/>
    <col min="10758" max="10758" width="11.85546875" style="62" customWidth="1"/>
    <col min="10759" max="10759" width="9.42578125" style="62" customWidth="1"/>
    <col min="10760" max="10760" width="14.7109375" style="62" customWidth="1"/>
    <col min="10761" max="10761" width="11.5703125" style="62" customWidth="1"/>
    <col min="10762" max="10762" width="0.42578125" style="62" customWidth="1"/>
    <col min="10763" max="10763" width="10.5703125" style="62" bestFit="1" customWidth="1"/>
    <col min="10764" max="10764" width="12.28515625" style="62" customWidth="1"/>
    <col min="10765" max="10765" width="12.5703125" style="62" customWidth="1"/>
    <col min="10766" max="10766" width="10.5703125" style="62" customWidth="1"/>
    <col min="10767" max="10767" width="10.140625" style="62" customWidth="1"/>
    <col min="10768" max="10768" width="8.42578125" style="62" customWidth="1"/>
    <col min="10769" max="10769" width="18.85546875" style="62" customWidth="1"/>
    <col min="10770" max="10770" width="10.28515625" style="62" customWidth="1"/>
    <col min="10771" max="10771" width="11.42578125" style="62"/>
    <col min="10772" max="10772" width="12.140625" style="62" customWidth="1"/>
    <col min="10773" max="10773" width="10.5703125" style="62" customWidth="1"/>
    <col min="10774" max="10774" width="12.42578125" style="62" customWidth="1"/>
    <col min="10775" max="10775" width="15.140625" style="62" customWidth="1"/>
    <col min="10776" max="10776" width="13.5703125" style="62" customWidth="1"/>
    <col min="10777" max="10777" width="13.140625" style="62" customWidth="1"/>
    <col min="10778" max="10778" width="15.7109375" style="62" customWidth="1"/>
    <col min="10779" max="10779" width="37.5703125" style="62" customWidth="1"/>
    <col min="10780" max="11001" width="11.42578125" style="62"/>
    <col min="11002" max="11002" width="10.5703125" style="62" customWidth="1"/>
    <col min="11003" max="11003" width="4.85546875" style="62" customWidth="1"/>
    <col min="11004" max="11004" width="32.42578125" style="62" customWidth="1"/>
    <col min="11005" max="11005" width="9.85546875" style="62" customWidth="1"/>
    <col min="11006" max="11006" width="10.140625" style="62" customWidth="1"/>
    <col min="11007" max="11007" width="12.28515625" style="62" customWidth="1"/>
    <col min="11008" max="11008" width="15.42578125" style="62" customWidth="1"/>
    <col min="11009" max="11009" width="11.85546875" style="62" customWidth="1"/>
    <col min="11010" max="11010" width="13.28515625" style="62" customWidth="1"/>
    <col min="11011" max="11011" width="15.28515625" style="62" customWidth="1"/>
    <col min="11012" max="11012" width="11.85546875" style="62" customWidth="1"/>
    <col min="11013" max="11013" width="6.140625" style="62" customWidth="1"/>
    <col min="11014" max="11014" width="11.85546875" style="62" customWidth="1"/>
    <col min="11015" max="11015" width="9.42578125" style="62" customWidth="1"/>
    <col min="11016" max="11016" width="14.7109375" style="62" customWidth="1"/>
    <col min="11017" max="11017" width="11.5703125" style="62" customWidth="1"/>
    <col min="11018" max="11018" width="0.42578125" style="62" customWidth="1"/>
    <col min="11019" max="11019" width="10.5703125" style="62" bestFit="1" customWidth="1"/>
    <col min="11020" max="11020" width="12.28515625" style="62" customWidth="1"/>
    <col min="11021" max="11021" width="12.5703125" style="62" customWidth="1"/>
    <col min="11022" max="11022" width="10.5703125" style="62" customWidth="1"/>
    <col min="11023" max="11023" width="10.140625" style="62" customWidth="1"/>
    <col min="11024" max="11024" width="8.42578125" style="62" customWidth="1"/>
    <col min="11025" max="11025" width="18.85546875" style="62" customWidth="1"/>
    <col min="11026" max="11026" width="10.28515625" style="62" customWidth="1"/>
    <col min="11027" max="11027" width="11.42578125" style="62"/>
    <col min="11028" max="11028" width="12.140625" style="62" customWidth="1"/>
    <col min="11029" max="11029" width="10.5703125" style="62" customWidth="1"/>
    <col min="11030" max="11030" width="12.42578125" style="62" customWidth="1"/>
    <col min="11031" max="11031" width="15.140625" style="62" customWidth="1"/>
    <col min="11032" max="11032" width="13.5703125" style="62" customWidth="1"/>
    <col min="11033" max="11033" width="13.140625" style="62" customWidth="1"/>
    <col min="11034" max="11034" width="15.7109375" style="62" customWidth="1"/>
    <col min="11035" max="11035" width="37.5703125" style="62" customWidth="1"/>
    <col min="11036" max="11257" width="11.42578125" style="62"/>
    <col min="11258" max="11258" width="10.5703125" style="62" customWidth="1"/>
    <col min="11259" max="11259" width="4.85546875" style="62" customWidth="1"/>
    <col min="11260" max="11260" width="32.42578125" style="62" customWidth="1"/>
    <col min="11261" max="11261" width="9.85546875" style="62" customWidth="1"/>
    <col min="11262" max="11262" width="10.140625" style="62" customWidth="1"/>
    <col min="11263" max="11263" width="12.28515625" style="62" customWidth="1"/>
    <col min="11264" max="11264" width="15.42578125" style="62" customWidth="1"/>
    <col min="11265" max="11265" width="11.85546875" style="62" customWidth="1"/>
    <col min="11266" max="11266" width="13.28515625" style="62" customWidth="1"/>
    <col min="11267" max="11267" width="15.28515625" style="62" customWidth="1"/>
    <col min="11268" max="11268" width="11.85546875" style="62" customWidth="1"/>
    <col min="11269" max="11269" width="6.140625" style="62" customWidth="1"/>
    <col min="11270" max="11270" width="11.85546875" style="62" customWidth="1"/>
    <col min="11271" max="11271" width="9.42578125" style="62" customWidth="1"/>
    <col min="11272" max="11272" width="14.7109375" style="62" customWidth="1"/>
    <col min="11273" max="11273" width="11.5703125" style="62" customWidth="1"/>
    <col min="11274" max="11274" width="0.42578125" style="62" customWidth="1"/>
    <col min="11275" max="11275" width="10.5703125" style="62" bestFit="1" customWidth="1"/>
    <col min="11276" max="11276" width="12.28515625" style="62" customWidth="1"/>
    <col min="11277" max="11277" width="12.5703125" style="62" customWidth="1"/>
    <col min="11278" max="11278" width="10.5703125" style="62" customWidth="1"/>
    <col min="11279" max="11279" width="10.140625" style="62" customWidth="1"/>
    <col min="11280" max="11280" width="8.42578125" style="62" customWidth="1"/>
    <col min="11281" max="11281" width="18.85546875" style="62" customWidth="1"/>
    <col min="11282" max="11282" width="10.28515625" style="62" customWidth="1"/>
    <col min="11283" max="11283" width="11.42578125" style="62"/>
    <col min="11284" max="11284" width="12.140625" style="62" customWidth="1"/>
    <col min="11285" max="11285" width="10.5703125" style="62" customWidth="1"/>
    <col min="11286" max="11286" width="12.42578125" style="62" customWidth="1"/>
    <col min="11287" max="11287" width="15.140625" style="62" customWidth="1"/>
    <col min="11288" max="11288" width="13.5703125" style="62" customWidth="1"/>
    <col min="11289" max="11289" width="13.140625" style="62" customWidth="1"/>
    <col min="11290" max="11290" width="15.7109375" style="62" customWidth="1"/>
    <col min="11291" max="11291" width="37.5703125" style="62" customWidth="1"/>
    <col min="11292" max="11513" width="11.42578125" style="62"/>
    <col min="11514" max="11514" width="10.5703125" style="62" customWidth="1"/>
    <col min="11515" max="11515" width="4.85546875" style="62" customWidth="1"/>
    <col min="11516" max="11516" width="32.42578125" style="62" customWidth="1"/>
    <col min="11517" max="11517" width="9.85546875" style="62" customWidth="1"/>
    <col min="11518" max="11518" width="10.140625" style="62" customWidth="1"/>
    <col min="11519" max="11519" width="12.28515625" style="62" customWidth="1"/>
    <col min="11520" max="11520" width="15.42578125" style="62" customWidth="1"/>
    <col min="11521" max="11521" width="11.85546875" style="62" customWidth="1"/>
    <col min="11522" max="11522" width="13.28515625" style="62" customWidth="1"/>
    <col min="11523" max="11523" width="15.28515625" style="62" customWidth="1"/>
    <col min="11524" max="11524" width="11.85546875" style="62" customWidth="1"/>
    <col min="11525" max="11525" width="6.140625" style="62" customWidth="1"/>
    <col min="11526" max="11526" width="11.85546875" style="62" customWidth="1"/>
    <col min="11527" max="11527" width="9.42578125" style="62" customWidth="1"/>
    <col min="11528" max="11528" width="14.7109375" style="62" customWidth="1"/>
    <col min="11529" max="11529" width="11.5703125" style="62" customWidth="1"/>
    <col min="11530" max="11530" width="0.42578125" style="62" customWidth="1"/>
    <col min="11531" max="11531" width="10.5703125" style="62" bestFit="1" customWidth="1"/>
    <col min="11532" max="11532" width="12.28515625" style="62" customWidth="1"/>
    <col min="11533" max="11533" width="12.5703125" style="62" customWidth="1"/>
    <col min="11534" max="11534" width="10.5703125" style="62" customWidth="1"/>
    <col min="11535" max="11535" width="10.140625" style="62" customWidth="1"/>
    <col min="11536" max="11536" width="8.42578125" style="62" customWidth="1"/>
    <col min="11537" max="11537" width="18.85546875" style="62" customWidth="1"/>
    <col min="11538" max="11538" width="10.28515625" style="62" customWidth="1"/>
    <col min="11539" max="11539" width="11.42578125" style="62"/>
    <col min="11540" max="11540" width="12.140625" style="62" customWidth="1"/>
    <col min="11541" max="11541" width="10.5703125" style="62" customWidth="1"/>
    <col min="11542" max="11542" width="12.42578125" style="62" customWidth="1"/>
    <col min="11543" max="11543" width="15.140625" style="62" customWidth="1"/>
    <col min="11544" max="11544" width="13.5703125" style="62" customWidth="1"/>
    <col min="11545" max="11545" width="13.140625" style="62" customWidth="1"/>
    <col min="11546" max="11546" width="15.7109375" style="62" customWidth="1"/>
    <col min="11547" max="11547" width="37.5703125" style="62" customWidth="1"/>
    <col min="11548" max="11769" width="11.42578125" style="62"/>
    <col min="11770" max="11770" width="10.5703125" style="62" customWidth="1"/>
    <col min="11771" max="11771" width="4.85546875" style="62" customWidth="1"/>
    <col min="11772" max="11772" width="32.42578125" style="62" customWidth="1"/>
    <col min="11773" max="11773" width="9.85546875" style="62" customWidth="1"/>
    <col min="11774" max="11774" width="10.140625" style="62" customWidth="1"/>
    <col min="11775" max="11775" width="12.28515625" style="62" customWidth="1"/>
    <col min="11776" max="11776" width="15.42578125" style="62" customWidth="1"/>
    <col min="11777" max="11777" width="11.85546875" style="62" customWidth="1"/>
    <col min="11778" max="11778" width="13.28515625" style="62" customWidth="1"/>
    <col min="11779" max="11779" width="15.28515625" style="62" customWidth="1"/>
    <col min="11780" max="11780" width="11.85546875" style="62" customWidth="1"/>
    <col min="11781" max="11781" width="6.140625" style="62" customWidth="1"/>
    <col min="11782" max="11782" width="11.85546875" style="62" customWidth="1"/>
    <col min="11783" max="11783" width="9.42578125" style="62" customWidth="1"/>
    <col min="11784" max="11784" width="14.7109375" style="62" customWidth="1"/>
    <col min="11785" max="11785" width="11.5703125" style="62" customWidth="1"/>
    <col min="11786" max="11786" width="0.42578125" style="62" customWidth="1"/>
    <col min="11787" max="11787" width="10.5703125" style="62" bestFit="1" customWidth="1"/>
    <col min="11788" max="11788" width="12.28515625" style="62" customWidth="1"/>
    <col min="11789" max="11789" width="12.5703125" style="62" customWidth="1"/>
    <col min="11790" max="11790" width="10.5703125" style="62" customWidth="1"/>
    <col min="11791" max="11791" width="10.140625" style="62" customWidth="1"/>
    <col min="11792" max="11792" width="8.42578125" style="62" customWidth="1"/>
    <col min="11793" max="11793" width="18.85546875" style="62" customWidth="1"/>
    <col min="11794" max="11794" width="10.28515625" style="62" customWidth="1"/>
    <col min="11795" max="11795" width="11.42578125" style="62"/>
    <col min="11796" max="11796" width="12.140625" style="62" customWidth="1"/>
    <col min="11797" max="11797" width="10.5703125" style="62" customWidth="1"/>
    <col min="11798" max="11798" width="12.42578125" style="62" customWidth="1"/>
    <col min="11799" max="11799" width="15.140625" style="62" customWidth="1"/>
    <col min="11800" max="11800" width="13.5703125" style="62" customWidth="1"/>
    <col min="11801" max="11801" width="13.140625" style="62" customWidth="1"/>
    <col min="11802" max="11802" width="15.7109375" style="62" customWidth="1"/>
    <col min="11803" max="11803" width="37.5703125" style="62" customWidth="1"/>
    <col min="11804" max="12025" width="11.42578125" style="62"/>
    <col min="12026" max="12026" width="10.5703125" style="62" customWidth="1"/>
    <col min="12027" max="12027" width="4.85546875" style="62" customWidth="1"/>
    <col min="12028" max="12028" width="32.42578125" style="62" customWidth="1"/>
    <col min="12029" max="12029" width="9.85546875" style="62" customWidth="1"/>
    <col min="12030" max="12030" width="10.140625" style="62" customWidth="1"/>
    <col min="12031" max="12031" width="12.28515625" style="62" customWidth="1"/>
    <col min="12032" max="12032" width="15.42578125" style="62" customWidth="1"/>
    <col min="12033" max="12033" width="11.85546875" style="62" customWidth="1"/>
    <col min="12034" max="12034" width="13.28515625" style="62" customWidth="1"/>
    <col min="12035" max="12035" width="15.28515625" style="62" customWidth="1"/>
    <col min="12036" max="12036" width="11.85546875" style="62" customWidth="1"/>
    <col min="12037" max="12037" width="6.140625" style="62" customWidth="1"/>
    <col min="12038" max="12038" width="11.85546875" style="62" customWidth="1"/>
    <col min="12039" max="12039" width="9.42578125" style="62" customWidth="1"/>
    <col min="12040" max="12040" width="14.7109375" style="62" customWidth="1"/>
    <col min="12041" max="12041" width="11.5703125" style="62" customWidth="1"/>
    <col min="12042" max="12042" width="0.42578125" style="62" customWidth="1"/>
    <col min="12043" max="12043" width="10.5703125" style="62" bestFit="1" customWidth="1"/>
    <col min="12044" max="12044" width="12.28515625" style="62" customWidth="1"/>
    <col min="12045" max="12045" width="12.5703125" style="62" customWidth="1"/>
    <col min="12046" max="12046" width="10.5703125" style="62" customWidth="1"/>
    <col min="12047" max="12047" width="10.140625" style="62" customWidth="1"/>
    <col min="12048" max="12048" width="8.42578125" style="62" customWidth="1"/>
    <col min="12049" max="12049" width="18.85546875" style="62" customWidth="1"/>
    <col min="12050" max="12050" width="10.28515625" style="62" customWidth="1"/>
    <col min="12051" max="12051" width="11.42578125" style="62"/>
    <col min="12052" max="12052" width="12.140625" style="62" customWidth="1"/>
    <col min="12053" max="12053" width="10.5703125" style="62" customWidth="1"/>
    <col min="12054" max="12054" width="12.42578125" style="62" customWidth="1"/>
    <col min="12055" max="12055" width="15.140625" style="62" customWidth="1"/>
    <col min="12056" max="12056" width="13.5703125" style="62" customWidth="1"/>
    <col min="12057" max="12057" width="13.140625" style="62" customWidth="1"/>
    <col min="12058" max="12058" width="15.7109375" style="62" customWidth="1"/>
    <col min="12059" max="12059" width="37.5703125" style="62" customWidth="1"/>
    <col min="12060" max="12281" width="11.42578125" style="62"/>
    <col min="12282" max="12282" width="10.5703125" style="62" customWidth="1"/>
    <col min="12283" max="12283" width="4.85546875" style="62" customWidth="1"/>
    <col min="12284" max="12284" width="32.42578125" style="62" customWidth="1"/>
    <col min="12285" max="12285" width="9.85546875" style="62" customWidth="1"/>
    <col min="12286" max="12286" width="10.140625" style="62" customWidth="1"/>
    <col min="12287" max="12287" width="12.28515625" style="62" customWidth="1"/>
    <col min="12288" max="12288" width="15.42578125" style="62" customWidth="1"/>
    <col min="12289" max="12289" width="11.85546875" style="62" customWidth="1"/>
    <col min="12290" max="12290" width="13.28515625" style="62" customWidth="1"/>
    <col min="12291" max="12291" width="15.28515625" style="62" customWidth="1"/>
    <col min="12292" max="12292" width="11.85546875" style="62" customWidth="1"/>
    <col min="12293" max="12293" width="6.140625" style="62" customWidth="1"/>
    <col min="12294" max="12294" width="11.85546875" style="62" customWidth="1"/>
    <col min="12295" max="12295" width="9.42578125" style="62" customWidth="1"/>
    <col min="12296" max="12296" width="14.7109375" style="62" customWidth="1"/>
    <col min="12297" max="12297" width="11.5703125" style="62" customWidth="1"/>
    <col min="12298" max="12298" width="0.42578125" style="62" customWidth="1"/>
    <col min="12299" max="12299" width="10.5703125" style="62" bestFit="1" customWidth="1"/>
    <col min="12300" max="12300" width="12.28515625" style="62" customWidth="1"/>
    <col min="12301" max="12301" width="12.5703125" style="62" customWidth="1"/>
    <col min="12302" max="12302" width="10.5703125" style="62" customWidth="1"/>
    <col min="12303" max="12303" width="10.140625" style="62" customWidth="1"/>
    <col min="12304" max="12304" width="8.42578125" style="62" customWidth="1"/>
    <col min="12305" max="12305" width="18.85546875" style="62" customWidth="1"/>
    <col min="12306" max="12306" width="10.28515625" style="62" customWidth="1"/>
    <col min="12307" max="12307" width="11.42578125" style="62"/>
    <col min="12308" max="12308" width="12.140625" style="62" customWidth="1"/>
    <col min="12309" max="12309" width="10.5703125" style="62" customWidth="1"/>
    <col min="12310" max="12310" width="12.42578125" style="62" customWidth="1"/>
    <col min="12311" max="12311" width="15.140625" style="62" customWidth="1"/>
    <col min="12312" max="12312" width="13.5703125" style="62" customWidth="1"/>
    <col min="12313" max="12313" width="13.140625" style="62" customWidth="1"/>
    <col min="12314" max="12314" width="15.7109375" style="62" customWidth="1"/>
    <col min="12315" max="12315" width="37.5703125" style="62" customWidth="1"/>
    <col min="12316" max="12537" width="11.42578125" style="62"/>
    <col min="12538" max="12538" width="10.5703125" style="62" customWidth="1"/>
    <col min="12539" max="12539" width="4.85546875" style="62" customWidth="1"/>
    <col min="12540" max="12540" width="32.42578125" style="62" customWidth="1"/>
    <col min="12541" max="12541" width="9.85546875" style="62" customWidth="1"/>
    <col min="12542" max="12542" width="10.140625" style="62" customWidth="1"/>
    <col min="12543" max="12543" width="12.28515625" style="62" customWidth="1"/>
    <col min="12544" max="12544" width="15.42578125" style="62" customWidth="1"/>
    <col min="12545" max="12545" width="11.85546875" style="62" customWidth="1"/>
    <col min="12546" max="12546" width="13.28515625" style="62" customWidth="1"/>
    <col min="12547" max="12547" width="15.28515625" style="62" customWidth="1"/>
    <col min="12548" max="12548" width="11.85546875" style="62" customWidth="1"/>
    <col min="12549" max="12549" width="6.140625" style="62" customWidth="1"/>
    <col min="12550" max="12550" width="11.85546875" style="62" customWidth="1"/>
    <col min="12551" max="12551" width="9.42578125" style="62" customWidth="1"/>
    <col min="12552" max="12552" width="14.7109375" style="62" customWidth="1"/>
    <col min="12553" max="12553" width="11.5703125" style="62" customWidth="1"/>
    <col min="12554" max="12554" width="0.42578125" style="62" customWidth="1"/>
    <col min="12555" max="12555" width="10.5703125" style="62" bestFit="1" customWidth="1"/>
    <col min="12556" max="12556" width="12.28515625" style="62" customWidth="1"/>
    <col min="12557" max="12557" width="12.5703125" style="62" customWidth="1"/>
    <col min="12558" max="12558" width="10.5703125" style="62" customWidth="1"/>
    <col min="12559" max="12559" width="10.140625" style="62" customWidth="1"/>
    <col min="12560" max="12560" width="8.42578125" style="62" customWidth="1"/>
    <col min="12561" max="12561" width="18.85546875" style="62" customWidth="1"/>
    <col min="12562" max="12562" width="10.28515625" style="62" customWidth="1"/>
    <col min="12563" max="12563" width="11.42578125" style="62"/>
    <col min="12564" max="12564" width="12.140625" style="62" customWidth="1"/>
    <col min="12565" max="12565" width="10.5703125" style="62" customWidth="1"/>
    <col min="12566" max="12566" width="12.42578125" style="62" customWidth="1"/>
    <col min="12567" max="12567" width="15.140625" style="62" customWidth="1"/>
    <col min="12568" max="12568" width="13.5703125" style="62" customWidth="1"/>
    <col min="12569" max="12569" width="13.140625" style="62" customWidth="1"/>
    <col min="12570" max="12570" width="15.7109375" style="62" customWidth="1"/>
    <col min="12571" max="12571" width="37.5703125" style="62" customWidth="1"/>
    <col min="12572" max="12793" width="11.42578125" style="62"/>
    <col min="12794" max="12794" width="10.5703125" style="62" customWidth="1"/>
    <col min="12795" max="12795" width="4.85546875" style="62" customWidth="1"/>
    <col min="12796" max="12796" width="32.42578125" style="62" customWidth="1"/>
    <col min="12797" max="12797" width="9.85546875" style="62" customWidth="1"/>
    <col min="12798" max="12798" width="10.140625" style="62" customWidth="1"/>
    <col min="12799" max="12799" width="12.28515625" style="62" customWidth="1"/>
    <col min="12800" max="12800" width="15.42578125" style="62" customWidth="1"/>
    <col min="12801" max="12801" width="11.85546875" style="62" customWidth="1"/>
    <col min="12802" max="12802" width="13.28515625" style="62" customWidth="1"/>
    <col min="12803" max="12803" width="15.28515625" style="62" customWidth="1"/>
    <col min="12804" max="12804" width="11.85546875" style="62" customWidth="1"/>
    <col min="12805" max="12805" width="6.140625" style="62" customWidth="1"/>
    <col min="12806" max="12806" width="11.85546875" style="62" customWidth="1"/>
    <col min="12807" max="12807" width="9.42578125" style="62" customWidth="1"/>
    <col min="12808" max="12808" width="14.7109375" style="62" customWidth="1"/>
    <col min="12809" max="12809" width="11.5703125" style="62" customWidth="1"/>
    <col min="12810" max="12810" width="0.42578125" style="62" customWidth="1"/>
    <col min="12811" max="12811" width="10.5703125" style="62" bestFit="1" customWidth="1"/>
    <col min="12812" max="12812" width="12.28515625" style="62" customWidth="1"/>
    <col min="12813" max="12813" width="12.5703125" style="62" customWidth="1"/>
    <col min="12814" max="12814" width="10.5703125" style="62" customWidth="1"/>
    <col min="12815" max="12815" width="10.140625" style="62" customWidth="1"/>
    <col min="12816" max="12816" width="8.42578125" style="62" customWidth="1"/>
    <col min="12817" max="12817" width="18.85546875" style="62" customWidth="1"/>
    <col min="12818" max="12818" width="10.28515625" style="62" customWidth="1"/>
    <col min="12819" max="12819" width="11.42578125" style="62"/>
    <col min="12820" max="12820" width="12.140625" style="62" customWidth="1"/>
    <col min="12821" max="12821" width="10.5703125" style="62" customWidth="1"/>
    <col min="12822" max="12822" width="12.42578125" style="62" customWidth="1"/>
    <col min="12823" max="12823" width="15.140625" style="62" customWidth="1"/>
    <col min="12824" max="12824" width="13.5703125" style="62" customWidth="1"/>
    <col min="12825" max="12825" width="13.140625" style="62" customWidth="1"/>
    <col min="12826" max="12826" width="15.7109375" style="62" customWidth="1"/>
    <col min="12827" max="12827" width="37.5703125" style="62" customWidth="1"/>
    <col min="12828" max="13049" width="11.42578125" style="62"/>
    <col min="13050" max="13050" width="10.5703125" style="62" customWidth="1"/>
    <col min="13051" max="13051" width="4.85546875" style="62" customWidth="1"/>
    <col min="13052" max="13052" width="32.42578125" style="62" customWidth="1"/>
    <col min="13053" max="13053" width="9.85546875" style="62" customWidth="1"/>
    <col min="13054" max="13054" width="10.140625" style="62" customWidth="1"/>
    <col min="13055" max="13055" width="12.28515625" style="62" customWidth="1"/>
    <col min="13056" max="13056" width="15.42578125" style="62" customWidth="1"/>
    <col min="13057" max="13057" width="11.85546875" style="62" customWidth="1"/>
    <col min="13058" max="13058" width="13.28515625" style="62" customWidth="1"/>
    <col min="13059" max="13059" width="15.28515625" style="62" customWidth="1"/>
    <col min="13060" max="13060" width="11.85546875" style="62" customWidth="1"/>
    <col min="13061" max="13061" width="6.140625" style="62" customWidth="1"/>
    <col min="13062" max="13062" width="11.85546875" style="62" customWidth="1"/>
    <col min="13063" max="13063" width="9.42578125" style="62" customWidth="1"/>
    <col min="13064" max="13064" width="14.7109375" style="62" customWidth="1"/>
    <col min="13065" max="13065" width="11.5703125" style="62" customWidth="1"/>
    <col min="13066" max="13066" width="0.42578125" style="62" customWidth="1"/>
    <col min="13067" max="13067" width="10.5703125" style="62" bestFit="1" customWidth="1"/>
    <col min="13068" max="13068" width="12.28515625" style="62" customWidth="1"/>
    <col min="13069" max="13069" width="12.5703125" style="62" customWidth="1"/>
    <col min="13070" max="13070" width="10.5703125" style="62" customWidth="1"/>
    <col min="13071" max="13071" width="10.140625" style="62" customWidth="1"/>
    <col min="13072" max="13072" width="8.42578125" style="62" customWidth="1"/>
    <col min="13073" max="13073" width="18.85546875" style="62" customWidth="1"/>
    <col min="13074" max="13074" width="10.28515625" style="62" customWidth="1"/>
    <col min="13075" max="13075" width="11.42578125" style="62"/>
    <col min="13076" max="13076" width="12.140625" style="62" customWidth="1"/>
    <col min="13077" max="13077" width="10.5703125" style="62" customWidth="1"/>
    <col min="13078" max="13078" width="12.42578125" style="62" customWidth="1"/>
    <col min="13079" max="13079" width="15.140625" style="62" customWidth="1"/>
    <col min="13080" max="13080" width="13.5703125" style="62" customWidth="1"/>
    <col min="13081" max="13081" width="13.140625" style="62" customWidth="1"/>
    <col min="13082" max="13082" width="15.7109375" style="62" customWidth="1"/>
    <col min="13083" max="13083" width="37.5703125" style="62" customWidth="1"/>
    <col min="13084" max="13305" width="11.42578125" style="62"/>
    <col min="13306" max="13306" width="10.5703125" style="62" customWidth="1"/>
    <col min="13307" max="13307" width="4.85546875" style="62" customWidth="1"/>
    <col min="13308" max="13308" width="32.42578125" style="62" customWidth="1"/>
    <col min="13309" max="13309" width="9.85546875" style="62" customWidth="1"/>
    <col min="13310" max="13310" width="10.140625" style="62" customWidth="1"/>
    <col min="13311" max="13311" width="12.28515625" style="62" customWidth="1"/>
    <col min="13312" max="13312" width="15.42578125" style="62" customWidth="1"/>
    <col min="13313" max="13313" width="11.85546875" style="62" customWidth="1"/>
    <col min="13314" max="13314" width="13.28515625" style="62" customWidth="1"/>
    <col min="13315" max="13315" width="15.28515625" style="62" customWidth="1"/>
    <col min="13316" max="13316" width="11.85546875" style="62" customWidth="1"/>
    <col min="13317" max="13317" width="6.140625" style="62" customWidth="1"/>
    <col min="13318" max="13318" width="11.85546875" style="62" customWidth="1"/>
    <col min="13319" max="13319" width="9.42578125" style="62" customWidth="1"/>
    <col min="13320" max="13320" width="14.7109375" style="62" customWidth="1"/>
    <col min="13321" max="13321" width="11.5703125" style="62" customWidth="1"/>
    <col min="13322" max="13322" width="0.42578125" style="62" customWidth="1"/>
    <col min="13323" max="13323" width="10.5703125" style="62" bestFit="1" customWidth="1"/>
    <col min="13324" max="13324" width="12.28515625" style="62" customWidth="1"/>
    <col min="13325" max="13325" width="12.5703125" style="62" customWidth="1"/>
    <col min="13326" max="13326" width="10.5703125" style="62" customWidth="1"/>
    <col min="13327" max="13327" width="10.140625" style="62" customWidth="1"/>
    <col min="13328" max="13328" width="8.42578125" style="62" customWidth="1"/>
    <col min="13329" max="13329" width="18.85546875" style="62" customWidth="1"/>
    <col min="13330" max="13330" width="10.28515625" style="62" customWidth="1"/>
    <col min="13331" max="13331" width="11.42578125" style="62"/>
    <col min="13332" max="13332" width="12.140625" style="62" customWidth="1"/>
    <col min="13333" max="13333" width="10.5703125" style="62" customWidth="1"/>
    <col min="13334" max="13334" width="12.42578125" style="62" customWidth="1"/>
    <col min="13335" max="13335" width="15.140625" style="62" customWidth="1"/>
    <col min="13336" max="13336" width="13.5703125" style="62" customWidth="1"/>
    <col min="13337" max="13337" width="13.140625" style="62" customWidth="1"/>
    <col min="13338" max="13338" width="15.7109375" style="62" customWidth="1"/>
    <col min="13339" max="13339" width="37.5703125" style="62" customWidth="1"/>
    <col min="13340" max="13561" width="11.42578125" style="62"/>
    <col min="13562" max="13562" width="10.5703125" style="62" customWidth="1"/>
    <col min="13563" max="13563" width="4.85546875" style="62" customWidth="1"/>
    <col min="13564" max="13564" width="32.42578125" style="62" customWidth="1"/>
    <col min="13565" max="13565" width="9.85546875" style="62" customWidth="1"/>
    <col min="13566" max="13566" width="10.140625" style="62" customWidth="1"/>
    <col min="13567" max="13567" width="12.28515625" style="62" customWidth="1"/>
    <col min="13568" max="13568" width="15.42578125" style="62" customWidth="1"/>
    <col min="13569" max="13569" width="11.85546875" style="62" customWidth="1"/>
    <col min="13570" max="13570" width="13.28515625" style="62" customWidth="1"/>
    <col min="13571" max="13571" width="15.28515625" style="62" customWidth="1"/>
    <col min="13572" max="13572" width="11.85546875" style="62" customWidth="1"/>
    <col min="13573" max="13573" width="6.140625" style="62" customWidth="1"/>
    <col min="13574" max="13574" width="11.85546875" style="62" customWidth="1"/>
    <col min="13575" max="13575" width="9.42578125" style="62" customWidth="1"/>
    <col min="13576" max="13576" width="14.7109375" style="62" customWidth="1"/>
    <col min="13577" max="13577" width="11.5703125" style="62" customWidth="1"/>
    <col min="13578" max="13578" width="0.42578125" style="62" customWidth="1"/>
    <col min="13579" max="13579" width="10.5703125" style="62" bestFit="1" customWidth="1"/>
    <col min="13580" max="13580" width="12.28515625" style="62" customWidth="1"/>
    <col min="13581" max="13581" width="12.5703125" style="62" customWidth="1"/>
    <col min="13582" max="13582" width="10.5703125" style="62" customWidth="1"/>
    <col min="13583" max="13583" width="10.140625" style="62" customWidth="1"/>
    <col min="13584" max="13584" width="8.42578125" style="62" customWidth="1"/>
    <col min="13585" max="13585" width="18.85546875" style="62" customWidth="1"/>
    <col min="13586" max="13586" width="10.28515625" style="62" customWidth="1"/>
    <col min="13587" max="13587" width="11.42578125" style="62"/>
    <col min="13588" max="13588" width="12.140625" style="62" customWidth="1"/>
    <col min="13589" max="13589" width="10.5703125" style="62" customWidth="1"/>
    <col min="13590" max="13590" width="12.42578125" style="62" customWidth="1"/>
    <col min="13591" max="13591" width="15.140625" style="62" customWidth="1"/>
    <col min="13592" max="13592" width="13.5703125" style="62" customWidth="1"/>
    <col min="13593" max="13593" width="13.140625" style="62" customWidth="1"/>
    <col min="13594" max="13594" width="15.7109375" style="62" customWidth="1"/>
    <col min="13595" max="13595" width="37.5703125" style="62" customWidth="1"/>
    <col min="13596" max="13817" width="11.42578125" style="62"/>
    <col min="13818" max="13818" width="10.5703125" style="62" customWidth="1"/>
    <col min="13819" max="13819" width="4.85546875" style="62" customWidth="1"/>
    <col min="13820" max="13820" width="32.42578125" style="62" customWidth="1"/>
    <col min="13821" max="13821" width="9.85546875" style="62" customWidth="1"/>
    <col min="13822" max="13822" width="10.140625" style="62" customWidth="1"/>
    <col min="13823" max="13823" width="12.28515625" style="62" customWidth="1"/>
    <col min="13824" max="13824" width="15.42578125" style="62" customWidth="1"/>
    <col min="13825" max="13825" width="11.85546875" style="62" customWidth="1"/>
    <col min="13826" max="13826" width="13.28515625" style="62" customWidth="1"/>
    <col min="13827" max="13827" width="15.28515625" style="62" customWidth="1"/>
    <col min="13828" max="13828" width="11.85546875" style="62" customWidth="1"/>
    <col min="13829" max="13829" width="6.140625" style="62" customWidth="1"/>
    <col min="13830" max="13830" width="11.85546875" style="62" customWidth="1"/>
    <col min="13831" max="13831" width="9.42578125" style="62" customWidth="1"/>
    <col min="13832" max="13832" width="14.7109375" style="62" customWidth="1"/>
    <col min="13833" max="13833" width="11.5703125" style="62" customWidth="1"/>
    <col min="13834" max="13834" width="0.42578125" style="62" customWidth="1"/>
    <col min="13835" max="13835" width="10.5703125" style="62" bestFit="1" customWidth="1"/>
    <col min="13836" max="13836" width="12.28515625" style="62" customWidth="1"/>
    <col min="13837" max="13837" width="12.5703125" style="62" customWidth="1"/>
    <col min="13838" max="13838" width="10.5703125" style="62" customWidth="1"/>
    <col min="13839" max="13839" width="10.140625" style="62" customWidth="1"/>
    <col min="13840" max="13840" width="8.42578125" style="62" customWidth="1"/>
    <col min="13841" max="13841" width="18.85546875" style="62" customWidth="1"/>
    <col min="13842" max="13842" width="10.28515625" style="62" customWidth="1"/>
    <col min="13843" max="13843" width="11.42578125" style="62"/>
    <col min="13844" max="13844" width="12.140625" style="62" customWidth="1"/>
    <col min="13845" max="13845" width="10.5703125" style="62" customWidth="1"/>
    <col min="13846" max="13846" width="12.42578125" style="62" customWidth="1"/>
    <col min="13847" max="13847" width="15.140625" style="62" customWidth="1"/>
    <col min="13848" max="13848" width="13.5703125" style="62" customWidth="1"/>
    <col min="13849" max="13849" width="13.140625" style="62" customWidth="1"/>
    <col min="13850" max="13850" width="15.7109375" style="62" customWidth="1"/>
    <col min="13851" max="13851" width="37.5703125" style="62" customWidth="1"/>
    <col min="13852" max="14073" width="11.42578125" style="62"/>
    <col min="14074" max="14074" width="10.5703125" style="62" customWidth="1"/>
    <col min="14075" max="14075" width="4.85546875" style="62" customWidth="1"/>
    <col min="14076" max="14076" width="32.42578125" style="62" customWidth="1"/>
    <col min="14077" max="14077" width="9.85546875" style="62" customWidth="1"/>
    <col min="14078" max="14078" width="10.140625" style="62" customWidth="1"/>
    <col min="14079" max="14079" width="12.28515625" style="62" customWidth="1"/>
    <col min="14080" max="14080" width="15.42578125" style="62" customWidth="1"/>
    <col min="14081" max="14081" width="11.85546875" style="62" customWidth="1"/>
    <col min="14082" max="14082" width="13.28515625" style="62" customWidth="1"/>
    <col min="14083" max="14083" width="15.28515625" style="62" customWidth="1"/>
    <col min="14084" max="14084" width="11.85546875" style="62" customWidth="1"/>
    <col min="14085" max="14085" width="6.140625" style="62" customWidth="1"/>
    <col min="14086" max="14086" width="11.85546875" style="62" customWidth="1"/>
    <col min="14087" max="14087" width="9.42578125" style="62" customWidth="1"/>
    <col min="14088" max="14088" width="14.7109375" style="62" customWidth="1"/>
    <col min="14089" max="14089" width="11.5703125" style="62" customWidth="1"/>
    <col min="14090" max="14090" width="0.42578125" style="62" customWidth="1"/>
    <col min="14091" max="14091" width="10.5703125" style="62" bestFit="1" customWidth="1"/>
    <col min="14092" max="14092" width="12.28515625" style="62" customWidth="1"/>
    <col min="14093" max="14093" width="12.5703125" style="62" customWidth="1"/>
    <col min="14094" max="14094" width="10.5703125" style="62" customWidth="1"/>
    <col min="14095" max="14095" width="10.140625" style="62" customWidth="1"/>
    <col min="14096" max="14096" width="8.42578125" style="62" customWidth="1"/>
    <col min="14097" max="14097" width="18.85546875" style="62" customWidth="1"/>
    <col min="14098" max="14098" width="10.28515625" style="62" customWidth="1"/>
    <col min="14099" max="14099" width="11.42578125" style="62"/>
    <col min="14100" max="14100" width="12.140625" style="62" customWidth="1"/>
    <col min="14101" max="14101" width="10.5703125" style="62" customWidth="1"/>
    <col min="14102" max="14102" width="12.42578125" style="62" customWidth="1"/>
    <col min="14103" max="14103" width="15.140625" style="62" customWidth="1"/>
    <col min="14104" max="14104" width="13.5703125" style="62" customWidth="1"/>
    <col min="14105" max="14105" width="13.140625" style="62" customWidth="1"/>
    <col min="14106" max="14106" width="15.7109375" style="62" customWidth="1"/>
    <col min="14107" max="14107" width="37.5703125" style="62" customWidth="1"/>
    <col min="14108" max="14329" width="11.42578125" style="62"/>
    <col min="14330" max="14330" width="10.5703125" style="62" customWidth="1"/>
    <col min="14331" max="14331" width="4.85546875" style="62" customWidth="1"/>
    <col min="14332" max="14332" width="32.42578125" style="62" customWidth="1"/>
    <col min="14333" max="14333" width="9.85546875" style="62" customWidth="1"/>
    <col min="14334" max="14334" width="10.140625" style="62" customWidth="1"/>
    <col min="14335" max="14335" width="12.28515625" style="62" customWidth="1"/>
    <col min="14336" max="14336" width="15.42578125" style="62" customWidth="1"/>
    <col min="14337" max="14337" width="11.85546875" style="62" customWidth="1"/>
    <col min="14338" max="14338" width="13.28515625" style="62" customWidth="1"/>
    <col min="14339" max="14339" width="15.28515625" style="62" customWidth="1"/>
    <col min="14340" max="14340" width="11.85546875" style="62" customWidth="1"/>
    <col min="14341" max="14341" width="6.140625" style="62" customWidth="1"/>
    <col min="14342" max="14342" width="11.85546875" style="62" customWidth="1"/>
    <col min="14343" max="14343" width="9.42578125" style="62" customWidth="1"/>
    <col min="14344" max="14344" width="14.7109375" style="62" customWidth="1"/>
    <col min="14345" max="14345" width="11.5703125" style="62" customWidth="1"/>
    <col min="14346" max="14346" width="0.42578125" style="62" customWidth="1"/>
    <col min="14347" max="14347" width="10.5703125" style="62" bestFit="1" customWidth="1"/>
    <col min="14348" max="14348" width="12.28515625" style="62" customWidth="1"/>
    <col min="14349" max="14349" width="12.5703125" style="62" customWidth="1"/>
    <col min="14350" max="14350" width="10.5703125" style="62" customWidth="1"/>
    <col min="14351" max="14351" width="10.140625" style="62" customWidth="1"/>
    <col min="14352" max="14352" width="8.42578125" style="62" customWidth="1"/>
    <col min="14353" max="14353" width="18.85546875" style="62" customWidth="1"/>
    <col min="14354" max="14354" width="10.28515625" style="62" customWidth="1"/>
    <col min="14355" max="14355" width="11.42578125" style="62"/>
    <col min="14356" max="14356" width="12.140625" style="62" customWidth="1"/>
    <col min="14357" max="14357" width="10.5703125" style="62" customWidth="1"/>
    <col min="14358" max="14358" width="12.42578125" style="62" customWidth="1"/>
    <col min="14359" max="14359" width="15.140625" style="62" customWidth="1"/>
    <col min="14360" max="14360" width="13.5703125" style="62" customWidth="1"/>
    <col min="14361" max="14361" width="13.140625" style="62" customWidth="1"/>
    <col min="14362" max="14362" width="15.7109375" style="62" customWidth="1"/>
    <col min="14363" max="14363" width="37.5703125" style="62" customWidth="1"/>
    <col min="14364" max="14585" width="11.42578125" style="62"/>
    <col min="14586" max="14586" width="10.5703125" style="62" customWidth="1"/>
    <col min="14587" max="14587" width="4.85546875" style="62" customWidth="1"/>
    <col min="14588" max="14588" width="32.42578125" style="62" customWidth="1"/>
    <col min="14589" max="14589" width="9.85546875" style="62" customWidth="1"/>
    <col min="14590" max="14590" width="10.140625" style="62" customWidth="1"/>
    <col min="14591" max="14591" width="12.28515625" style="62" customWidth="1"/>
    <col min="14592" max="14592" width="15.42578125" style="62" customWidth="1"/>
    <col min="14593" max="14593" width="11.85546875" style="62" customWidth="1"/>
    <col min="14594" max="14594" width="13.28515625" style="62" customWidth="1"/>
    <col min="14595" max="14595" width="15.28515625" style="62" customWidth="1"/>
    <col min="14596" max="14596" width="11.85546875" style="62" customWidth="1"/>
    <col min="14597" max="14597" width="6.140625" style="62" customWidth="1"/>
    <col min="14598" max="14598" width="11.85546875" style="62" customWidth="1"/>
    <col min="14599" max="14599" width="9.42578125" style="62" customWidth="1"/>
    <col min="14600" max="14600" width="14.7109375" style="62" customWidth="1"/>
    <col min="14601" max="14601" width="11.5703125" style="62" customWidth="1"/>
    <col min="14602" max="14602" width="0.42578125" style="62" customWidth="1"/>
    <col min="14603" max="14603" width="10.5703125" style="62" bestFit="1" customWidth="1"/>
    <col min="14604" max="14604" width="12.28515625" style="62" customWidth="1"/>
    <col min="14605" max="14605" width="12.5703125" style="62" customWidth="1"/>
    <col min="14606" max="14606" width="10.5703125" style="62" customWidth="1"/>
    <col min="14607" max="14607" width="10.140625" style="62" customWidth="1"/>
    <col min="14608" max="14608" width="8.42578125" style="62" customWidth="1"/>
    <col min="14609" max="14609" width="18.85546875" style="62" customWidth="1"/>
    <col min="14610" max="14610" width="10.28515625" style="62" customWidth="1"/>
    <col min="14611" max="14611" width="11.42578125" style="62"/>
    <col min="14612" max="14612" width="12.140625" style="62" customWidth="1"/>
    <col min="14613" max="14613" width="10.5703125" style="62" customWidth="1"/>
    <col min="14614" max="14614" width="12.42578125" style="62" customWidth="1"/>
    <col min="14615" max="14615" width="15.140625" style="62" customWidth="1"/>
    <col min="14616" max="14616" width="13.5703125" style="62" customWidth="1"/>
    <col min="14617" max="14617" width="13.140625" style="62" customWidth="1"/>
    <col min="14618" max="14618" width="15.7109375" style="62" customWidth="1"/>
    <col min="14619" max="14619" width="37.5703125" style="62" customWidth="1"/>
    <col min="14620" max="14841" width="11.42578125" style="62"/>
    <col min="14842" max="14842" width="10.5703125" style="62" customWidth="1"/>
    <col min="14843" max="14843" width="4.85546875" style="62" customWidth="1"/>
    <col min="14844" max="14844" width="32.42578125" style="62" customWidth="1"/>
    <col min="14845" max="14845" width="9.85546875" style="62" customWidth="1"/>
    <col min="14846" max="14846" width="10.140625" style="62" customWidth="1"/>
    <col min="14847" max="14847" width="12.28515625" style="62" customWidth="1"/>
    <col min="14848" max="14848" width="15.42578125" style="62" customWidth="1"/>
    <col min="14849" max="14849" width="11.85546875" style="62" customWidth="1"/>
    <col min="14850" max="14850" width="13.28515625" style="62" customWidth="1"/>
    <col min="14851" max="14851" width="15.28515625" style="62" customWidth="1"/>
    <col min="14852" max="14852" width="11.85546875" style="62" customWidth="1"/>
    <col min="14853" max="14853" width="6.140625" style="62" customWidth="1"/>
    <col min="14854" max="14854" width="11.85546875" style="62" customWidth="1"/>
    <col min="14855" max="14855" width="9.42578125" style="62" customWidth="1"/>
    <col min="14856" max="14856" width="14.7109375" style="62" customWidth="1"/>
    <col min="14857" max="14857" width="11.5703125" style="62" customWidth="1"/>
    <col min="14858" max="14858" width="0.42578125" style="62" customWidth="1"/>
    <col min="14859" max="14859" width="10.5703125" style="62" bestFit="1" customWidth="1"/>
    <col min="14860" max="14860" width="12.28515625" style="62" customWidth="1"/>
    <col min="14861" max="14861" width="12.5703125" style="62" customWidth="1"/>
    <col min="14862" max="14862" width="10.5703125" style="62" customWidth="1"/>
    <col min="14863" max="14863" width="10.140625" style="62" customWidth="1"/>
    <col min="14864" max="14864" width="8.42578125" style="62" customWidth="1"/>
    <col min="14865" max="14865" width="18.85546875" style="62" customWidth="1"/>
    <col min="14866" max="14866" width="10.28515625" style="62" customWidth="1"/>
    <col min="14867" max="14867" width="11.42578125" style="62"/>
    <col min="14868" max="14868" width="12.140625" style="62" customWidth="1"/>
    <col min="14869" max="14869" width="10.5703125" style="62" customWidth="1"/>
    <col min="14870" max="14870" width="12.42578125" style="62" customWidth="1"/>
    <col min="14871" max="14871" width="15.140625" style="62" customWidth="1"/>
    <col min="14872" max="14872" width="13.5703125" style="62" customWidth="1"/>
    <col min="14873" max="14873" width="13.140625" style="62" customWidth="1"/>
    <col min="14874" max="14874" width="15.7109375" style="62" customWidth="1"/>
    <col min="14875" max="14875" width="37.5703125" style="62" customWidth="1"/>
    <col min="14876" max="15097" width="11.42578125" style="62"/>
    <col min="15098" max="15098" width="10.5703125" style="62" customWidth="1"/>
    <col min="15099" max="15099" width="4.85546875" style="62" customWidth="1"/>
    <col min="15100" max="15100" width="32.42578125" style="62" customWidth="1"/>
    <col min="15101" max="15101" width="9.85546875" style="62" customWidth="1"/>
    <col min="15102" max="15102" width="10.140625" style="62" customWidth="1"/>
    <col min="15103" max="15103" width="12.28515625" style="62" customWidth="1"/>
    <col min="15104" max="15104" width="15.42578125" style="62" customWidth="1"/>
    <col min="15105" max="15105" width="11.85546875" style="62" customWidth="1"/>
    <col min="15106" max="15106" width="13.28515625" style="62" customWidth="1"/>
    <col min="15107" max="15107" width="15.28515625" style="62" customWidth="1"/>
    <col min="15108" max="15108" width="11.85546875" style="62" customWidth="1"/>
    <col min="15109" max="15109" width="6.140625" style="62" customWidth="1"/>
    <col min="15110" max="15110" width="11.85546875" style="62" customWidth="1"/>
    <col min="15111" max="15111" width="9.42578125" style="62" customWidth="1"/>
    <col min="15112" max="15112" width="14.7109375" style="62" customWidth="1"/>
    <col min="15113" max="15113" width="11.5703125" style="62" customWidth="1"/>
    <col min="15114" max="15114" width="0.42578125" style="62" customWidth="1"/>
    <col min="15115" max="15115" width="10.5703125" style="62" bestFit="1" customWidth="1"/>
    <col min="15116" max="15116" width="12.28515625" style="62" customWidth="1"/>
    <col min="15117" max="15117" width="12.5703125" style="62" customWidth="1"/>
    <col min="15118" max="15118" width="10.5703125" style="62" customWidth="1"/>
    <col min="15119" max="15119" width="10.140625" style="62" customWidth="1"/>
    <col min="15120" max="15120" width="8.42578125" style="62" customWidth="1"/>
    <col min="15121" max="15121" width="18.85546875" style="62" customWidth="1"/>
    <col min="15122" max="15122" width="10.28515625" style="62" customWidth="1"/>
    <col min="15123" max="15123" width="11.42578125" style="62"/>
    <col min="15124" max="15124" width="12.140625" style="62" customWidth="1"/>
    <col min="15125" max="15125" width="10.5703125" style="62" customWidth="1"/>
    <col min="15126" max="15126" width="12.42578125" style="62" customWidth="1"/>
    <col min="15127" max="15127" width="15.140625" style="62" customWidth="1"/>
    <col min="15128" max="15128" width="13.5703125" style="62" customWidth="1"/>
    <col min="15129" max="15129" width="13.140625" style="62" customWidth="1"/>
    <col min="15130" max="15130" width="15.7109375" style="62" customWidth="1"/>
    <col min="15131" max="15131" width="37.5703125" style="62" customWidth="1"/>
    <col min="15132" max="15353" width="11.42578125" style="62"/>
    <col min="15354" max="15354" width="10.5703125" style="62" customWidth="1"/>
    <col min="15355" max="15355" width="4.85546875" style="62" customWidth="1"/>
    <col min="15356" max="15356" width="32.42578125" style="62" customWidth="1"/>
    <col min="15357" max="15357" width="9.85546875" style="62" customWidth="1"/>
    <col min="15358" max="15358" width="10.140625" style="62" customWidth="1"/>
    <col min="15359" max="15359" width="12.28515625" style="62" customWidth="1"/>
    <col min="15360" max="15360" width="15.42578125" style="62" customWidth="1"/>
    <col min="15361" max="15361" width="11.85546875" style="62" customWidth="1"/>
    <col min="15362" max="15362" width="13.28515625" style="62" customWidth="1"/>
    <col min="15363" max="15363" width="15.28515625" style="62" customWidth="1"/>
    <col min="15364" max="15364" width="11.85546875" style="62" customWidth="1"/>
    <col min="15365" max="15365" width="6.140625" style="62" customWidth="1"/>
    <col min="15366" max="15366" width="11.85546875" style="62" customWidth="1"/>
    <col min="15367" max="15367" width="9.42578125" style="62" customWidth="1"/>
    <col min="15368" max="15368" width="14.7109375" style="62" customWidth="1"/>
    <col min="15369" max="15369" width="11.5703125" style="62" customWidth="1"/>
    <col min="15370" max="15370" width="0.42578125" style="62" customWidth="1"/>
    <col min="15371" max="15371" width="10.5703125" style="62" bestFit="1" customWidth="1"/>
    <col min="15372" max="15372" width="12.28515625" style="62" customWidth="1"/>
    <col min="15373" max="15373" width="12.5703125" style="62" customWidth="1"/>
    <col min="15374" max="15374" width="10.5703125" style="62" customWidth="1"/>
    <col min="15375" max="15375" width="10.140625" style="62" customWidth="1"/>
    <col min="15376" max="15376" width="8.42578125" style="62" customWidth="1"/>
    <col min="15377" max="15377" width="18.85546875" style="62" customWidth="1"/>
    <col min="15378" max="15378" width="10.28515625" style="62" customWidth="1"/>
    <col min="15379" max="15379" width="11.42578125" style="62"/>
    <col min="15380" max="15380" width="12.140625" style="62" customWidth="1"/>
    <col min="15381" max="15381" width="10.5703125" style="62" customWidth="1"/>
    <col min="15382" max="15382" width="12.42578125" style="62" customWidth="1"/>
    <col min="15383" max="15383" width="15.140625" style="62" customWidth="1"/>
    <col min="15384" max="15384" width="13.5703125" style="62" customWidth="1"/>
    <col min="15385" max="15385" width="13.140625" style="62" customWidth="1"/>
    <col min="15386" max="15386" width="15.7109375" style="62" customWidth="1"/>
    <col min="15387" max="15387" width="37.5703125" style="62" customWidth="1"/>
    <col min="15388" max="15609" width="11.42578125" style="62"/>
    <col min="15610" max="15610" width="10.5703125" style="62" customWidth="1"/>
    <col min="15611" max="15611" width="4.85546875" style="62" customWidth="1"/>
    <col min="15612" max="15612" width="32.42578125" style="62" customWidth="1"/>
    <col min="15613" max="15613" width="9.85546875" style="62" customWidth="1"/>
    <col min="15614" max="15614" width="10.140625" style="62" customWidth="1"/>
    <col min="15615" max="15615" width="12.28515625" style="62" customWidth="1"/>
    <col min="15616" max="15616" width="15.42578125" style="62" customWidth="1"/>
    <col min="15617" max="15617" width="11.85546875" style="62" customWidth="1"/>
    <col min="15618" max="15618" width="13.28515625" style="62" customWidth="1"/>
    <col min="15619" max="15619" width="15.28515625" style="62" customWidth="1"/>
    <col min="15620" max="15620" width="11.85546875" style="62" customWidth="1"/>
    <col min="15621" max="15621" width="6.140625" style="62" customWidth="1"/>
    <col min="15622" max="15622" width="11.85546875" style="62" customWidth="1"/>
    <col min="15623" max="15623" width="9.42578125" style="62" customWidth="1"/>
    <col min="15624" max="15624" width="14.7109375" style="62" customWidth="1"/>
    <col min="15625" max="15625" width="11.5703125" style="62" customWidth="1"/>
    <col min="15626" max="15626" width="0.42578125" style="62" customWidth="1"/>
    <col min="15627" max="15627" width="10.5703125" style="62" bestFit="1" customWidth="1"/>
    <col min="15628" max="15628" width="12.28515625" style="62" customWidth="1"/>
    <col min="15629" max="15629" width="12.5703125" style="62" customWidth="1"/>
    <col min="15630" max="15630" width="10.5703125" style="62" customWidth="1"/>
    <col min="15631" max="15631" width="10.140625" style="62" customWidth="1"/>
    <col min="15632" max="15632" width="8.42578125" style="62" customWidth="1"/>
    <col min="15633" max="15633" width="18.85546875" style="62" customWidth="1"/>
    <col min="15634" max="15634" width="10.28515625" style="62" customWidth="1"/>
    <col min="15635" max="15635" width="11.42578125" style="62"/>
    <col min="15636" max="15636" width="12.140625" style="62" customWidth="1"/>
    <col min="15637" max="15637" width="10.5703125" style="62" customWidth="1"/>
    <col min="15638" max="15638" width="12.42578125" style="62" customWidth="1"/>
    <col min="15639" max="15639" width="15.140625" style="62" customWidth="1"/>
    <col min="15640" max="15640" width="13.5703125" style="62" customWidth="1"/>
    <col min="15641" max="15641" width="13.140625" style="62" customWidth="1"/>
    <col min="15642" max="15642" width="15.7109375" style="62" customWidth="1"/>
    <col min="15643" max="15643" width="37.5703125" style="62" customWidth="1"/>
    <col min="15644" max="15865" width="11.42578125" style="62"/>
    <col min="15866" max="15866" width="10.5703125" style="62" customWidth="1"/>
    <col min="15867" max="15867" width="4.85546875" style="62" customWidth="1"/>
    <col min="15868" max="15868" width="32.42578125" style="62" customWidth="1"/>
    <col min="15869" max="15869" width="9.85546875" style="62" customWidth="1"/>
    <col min="15870" max="15870" width="10.140625" style="62" customWidth="1"/>
    <col min="15871" max="15871" width="12.28515625" style="62" customWidth="1"/>
    <col min="15872" max="15872" width="15.42578125" style="62" customWidth="1"/>
    <col min="15873" max="15873" width="11.85546875" style="62" customWidth="1"/>
    <col min="15874" max="15874" width="13.28515625" style="62" customWidth="1"/>
    <col min="15875" max="15875" width="15.28515625" style="62" customWidth="1"/>
    <col min="15876" max="15876" width="11.85546875" style="62" customWidth="1"/>
    <col min="15877" max="15877" width="6.140625" style="62" customWidth="1"/>
    <col min="15878" max="15878" width="11.85546875" style="62" customWidth="1"/>
    <col min="15879" max="15879" width="9.42578125" style="62" customWidth="1"/>
    <col min="15880" max="15880" width="14.7109375" style="62" customWidth="1"/>
    <col min="15881" max="15881" width="11.5703125" style="62" customWidth="1"/>
    <col min="15882" max="15882" width="0.42578125" style="62" customWidth="1"/>
    <col min="15883" max="15883" width="10.5703125" style="62" bestFit="1" customWidth="1"/>
    <col min="15884" max="15884" width="12.28515625" style="62" customWidth="1"/>
    <col min="15885" max="15885" width="12.5703125" style="62" customWidth="1"/>
    <col min="15886" max="15886" width="10.5703125" style="62" customWidth="1"/>
    <col min="15887" max="15887" width="10.140625" style="62" customWidth="1"/>
    <col min="15888" max="15888" width="8.42578125" style="62" customWidth="1"/>
    <col min="15889" max="15889" width="18.85546875" style="62" customWidth="1"/>
    <col min="15890" max="15890" width="10.28515625" style="62" customWidth="1"/>
    <col min="15891" max="15891" width="11.42578125" style="62"/>
    <col min="15892" max="15892" width="12.140625" style="62" customWidth="1"/>
    <col min="15893" max="15893" width="10.5703125" style="62" customWidth="1"/>
    <col min="15894" max="15894" width="12.42578125" style="62" customWidth="1"/>
    <col min="15895" max="15895" width="15.140625" style="62" customWidth="1"/>
    <col min="15896" max="15896" width="13.5703125" style="62" customWidth="1"/>
    <col min="15897" max="15897" width="13.140625" style="62" customWidth="1"/>
    <col min="15898" max="15898" width="15.7109375" style="62" customWidth="1"/>
    <col min="15899" max="15899" width="37.5703125" style="62" customWidth="1"/>
    <col min="15900" max="16121" width="11.42578125" style="62"/>
    <col min="16122" max="16122" width="10.5703125" style="62" customWidth="1"/>
    <col min="16123" max="16123" width="4.85546875" style="62" customWidth="1"/>
    <col min="16124" max="16124" width="32.42578125" style="62" customWidth="1"/>
    <col min="16125" max="16125" width="9.85546875" style="62" customWidth="1"/>
    <col min="16126" max="16126" width="10.140625" style="62" customWidth="1"/>
    <col min="16127" max="16127" width="12.28515625" style="62" customWidth="1"/>
    <col min="16128" max="16128" width="15.42578125" style="62" customWidth="1"/>
    <col min="16129" max="16129" width="11.85546875" style="62" customWidth="1"/>
    <col min="16130" max="16130" width="13.28515625" style="62" customWidth="1"/>
    <col min="16131" max="16131" width="15.28515625" style="62" customWidth="1"/>
    <col min="16132" max="16132" width="11.85546875" style="62" customWidth="1"/>
    <col min="16133" max="16133" width="6.140625" style="62" customWidth="1"/>
    <col min="16134" max="16134" width="11.85546875" style="62" customWidth="1"/>
    <col min="16135" max="16135" width="9.42578125" style="62" customWidth="1"/>
    <col min="16136" max="16136" width="14.7109375" style="62" customWidth="1"/>
    <col min="16137" max="16137" width="11.5703125" style="62" customWidth="1"/>
    <col min="16138" max="16138" width="0.42578125" style="62" customWidth="1"/>
    <col min="16139" max="16139" width="10.5703125" style="62" bestFit="1" customWidth="1"/>
    <col min="16140" max="16140" width="12.28515625" style="62" customWidth="1"/>
    <col min="16141" max="16141" width="12.5703125" style="62" customWidth="1"/>
    <col min="16142" max="16142" width="10.5703125" style="62" customWidth="1"/>
    <col min="16143" max="16143" width="10.140625" style="62" customWidth="1"/>
    <col min="16144" max="16144" width="8.42578125" style="62" customWidth="1"/>
    <col min="16145" max="16145" width="18.85546875" style="62" customWidth="1"/>
    <col min="16146" max="16146" width="10.28515625" style="62" customWidth="1"/>
    <col min="16147" max="16147" width="11.42578125" style="62"/>
    <col min="16148" max="16148" width="12.140625" style="62" customWidth="1"/>
    <col min="16149" max="16149" width="10.5703125" style="62" customWidth="1"/>
    <col min="16150" max="16150" width="12.42578125" style="62" customWidth="1"/>
    <col min="16151" max="16151" width="15.140625" style="62" customWidth="1"/>
    <col min="16152" max="16152" width="13.5703125" style="62" customWidth="1"/>
    <col min="16153" max="16153" width="13.140625" style="62" customWidth="1"/>
    <col min="16154" max="16154" width="15.7109375" style="62" customWidth="1"/>
    <col min="16155" max="16155" width="37.5703125" style="62" customWidth="1"/>
    <col min="16156" max="16384" width="11.42578125" style="62"/>
  </cols>
  <sheetData>
    <row r="1" spans="1:29" ht="15" customHeight="1" x14ac:dyDescent="0.25">
      <c r="A1" s="110" t="s">
        <v>234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2"/>
    </row>
    <row r="2" spans="1:29" ht="15" customHeight="1" x14ac:dyDescent="0.25">
      <c r="A2" s="113" t="s">
        <v>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5"/>
      <c r="T2" s="96" t="s">
        <v>3</v>
      </c>
      <c r="U2" s="97"/>
      <c r="V2" s="97"/>
      <c r="W2" s="97"/>
      <c r="X2" s="97"/>
      <c r="Y2" s="97"/>
      <c r="Z2" s="97"/>
      <c r="AA2" s="97"/>
      <c r="AB2" s="98"/>
      <c r="AC2" s="114"/>
    </row>
    <row r="3" spans="1:29" ht="24.75" customHeight="1" x14ac:dyDescent="0.25">
      <c r="A3" s="115"/>
      <c r="B3" s="2" t="s">
        <v>4</v>
      </c>
      <c r="C3" s="2" t="s">
        <v>5</v>
      </c>
      <c r="D3" s="2" t="s">
        <v>6</v>
      </c>
      <c r="E3" s="2" t="s">
        <v>7</v>
      </c>
      <c r="F3" s="2" t="s">
        <v>190</v>
      </c>
      <c r="G3" s="2" t="s">
        <v>8</v>
      </c>
      <c r="H3" s="2" t="s">
        <v>191</v>
      </c>
      <c r="I3" s="2"/>
      <c r="J3" s="3" t="s">
        <v>9</v>
      </c>
      <c r="K3" s="3" t="s">
        <v>10</v>
      </c>
      <c r="L3" s="3" t="s">
        <v>11</v>
      </c>
      <c r="M3" s="3"/>
      <c r="N3" s="3" t="s">
        <v>12</v>
      </c>
      <c r="O3" s="3" t="s">
        <v>172</v>
      </c>
      <c r="P3" s="3" t="s">
        <v>173</v>
      </c>
      <c r="Q3" s="3" t="s">
        <v>14</v>
      </c>
      <c r="R3" s="3" t="s">
        <v>174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159</v>
      </c>
      <c r="X3" s="3" t="s">
        <v>22</v>
      </c>
      <c r="Y3" s="3" t="s">
        <v>23</v>
      </c>
      <c r="Z3" s="3" t="s">
        <v>180</v>
      </c>
      <c r="AA3" s="3" t="s">
        <v>25</v>
      </c>
      <c r="AB3" s="3" t="s">
        <v>26</v>
      </c>
      <c r="AC3" s="116" t="s">
        <v>27</v>
      </c>
    </row>
    <row r="4" spans="1:29" s="13" customFormat="1" ht="24.95" customHeight="1" x14ac:dyDescent="0.25">
      <c r="A4" s="117" t="s">
        <v>29</v>
      </c>
      <c r="B4" s="2">
        <v>1</v>
      </c>
      <c r="C4" s="1" t="s">
        <v>147</v>
      </c>
      <c r="D4" s="1" t="s">
        <v>31</v>
      </c>
      <c r="E4" s="2" t="s">
        <v>32</v>
      </c>
      <c r="F4" s="103" t="e">
        <f>INT(YEARFRAC('[1]Perfil Sociodemografico'!F109,'[1]Perfil Sociodemografico'!G109))</f>
        <v>#VALUE!</v>
      </c>
      <c r="G4" s="104" t="s">
        <v>192</v>
      </c>
      <c r="H4" s="104" t="s">
        <v>193</v>
      </c>
      <c r="I4" s="2" t="s">
        <v>194</v>
      </c>
      <c r="J4" s="3">
        <v>4500000</v>
      </c>
      <c r="K4" s="3">
        <v>30</v>
      </c>
      <c r="L4" s="3">
        <f>+J4/30*K4</f>
        <v>4500000</v>
      </c>
      <c r="M4" s="3"/>
      <c r="N4" s="3"/>
      <c r="O4" s="3"/>
      <c r="P4" s="3"/>
      <c r="Q4" s="3"/>
      <c r="R4" s="3"/>
      <c r="S4" s="3">
        <f>+L4+R4+Q4+P4+O4+N4</f>
        <v>4500000</v>
      </c>
      <c r="T4" s="3">
        <f>+J4*0.04</f>
        <v>180000</v>
      </c>
      <c r="U4" s="3">
        <f>+J4*0.05</f>
        <v>225000</v>
      </c>
      <c r="V4" s="3"/>
      <c r="W4" s="3"/>
      <c r="X4" s="3">
        <v>11000</v>
      </c>
      <c r="Y4" s="3"/>
      <c r="Z4" s="3"/>
      <c r="AA4" s="3"/>
      <c r="AB4" s="4">
        <f>SUM(T4:AA4)</f>
        <v>416000</v>
      </c>
      <c r="AC4" s="118">
        <f>+S4-AB4</f>
        <v>4084000</v>
      </c>
    </row>
    <row r="5" spans="1:29" ht="24.95" customHeight="1" x14ac:dyDescent="0.25">
      <c r="A5" s="117"/>
      <c r="B5" s="2">
        <v>2</v>
      </c>
      <c r="C5" s="1" t="s">
        <v>30</v>
      </c>
      <c r="D5" s="1" t="s">
        <v>31</v>
      </c>
      <c r="E5" s="2" t="s">
        <v>32</v>
      </c>
      <c r="F5" s="103" t="e">
        <f>INT(YEARFRAC('[1]Perfil Sociodemografico'!F11,'[1]Perfil Sociodemografico'!G11))</f>
        <v>#VALUE!</v>
      </c>
      <c r="G5" s="104" t="s">
        <v>192</v>
      </c>
      <c r="H5" s="104" t="s">
        <v>193</v>
      </c>
      <c r="I5" s="2" t="s">
        <v>195</v>
      </c>
      <c r="J5" s="4">
        <v>5000000</v>
      </c>
      <c r="K5" s="3">
        <v>30</v>
      </c>
      <c r="L5" s="3">
        <f>+J5-O5</f>
        <v>5000000</v>
      </c>
      <c r="M5" s="3"/>
      <c r="N5" s="4"/>
      <c r="O5" s="4"/>
      <c r="P5" s="4"/>
      <c r="Q5" s="4">
        <v>500000</v>
      </c>
      <c r="R5" s="4"/>
      <c r="S5" s="4">
        <f>+L5+N5+P5+Q5+R5+O5</f>
        <v>5500000</v>
      </c>
      <c r="T5" s="4">
        <f>+(J5+R5)*4%</f>
        <v>200000</v>
      </c>
      <c r="U5" s="4">
        <f>+(J5+R5)*5%</f>
        <v>250000</v>
      </c>
      <c r="V5" s="4"/>
      <c r="W5" s="4"/>
      <c r="X5" s="4">
        <v>30672</v>
      </c>
      <c r="Y5" s="4"/>
      <c r="Z5" s="4"/>
      <c r="AA5" s="4"/>
      <c r="AB5" s="4">
        <f t="shared" ref="AB5:AB10" si="0">SUM(T5:AA5)</f>
        <v>480672</v>
      </c>
      <c r="AC5" s="118">
        <f>+S5-AB5</f>
        <v>5019328</v>
      </c>
    </row>
    <row r="6" spans="1:29" ht="24.95" customHeight="1" x14ac:dyDescent="0.25">
      <c r="A6" s="117"/>
      <c r="B6" s="2">
        <v>3</v>
      </c>
      <c r="C6" s="1" t="s">
        <v>33</v>
      </c>
      <c r="D6" s="1" t="s">
        <v>31</v>
      </c>
      <c r="E6" s="2" t="s">
        <v>32</v>
      </c>
      <c r="F6" s="103" t="e">
        <f>INT(YEARFRAC('[1]Perfil Sociodemografico'!F113,'[1]Perfil Sociodemografico'!G113))</f>
        <v>#VALUE!</v>
      </c>
      <c r="G6" s="105" t="s">
        <v>192</v>
      </c>
      <c r="H6" s="105" t="s">
        <v>193</v>
      </c>
      <c r="I6" s="2" t="s">
        <v>195</v>
      </c>
      <c r="J6" s="4">
        <v>6000000</v>
      </c>
      <c r="K6" s="3">
        <v>30</v>
      </c>
      <c r="L6" s="3">
        <f>+J6-O6</f>
        <v>6000000</v>
      </c>
      <c r="M6" s="3"/>
      <c r="N6" s="4"/>
      <c r="O6" s="4"/>
      <c r="P6" s="4"/>
      <c r="Q6" s="4">
        <v>600000</v>
      </c>
      <c r="R6" s="4"/>
      <c r="S6" s="4">
        <f t="shared" ref="S6:S90" si="1">+L6+N6+P6+Q6+R6+O6</f>
        <v>6600000</v>
      </c>
      <c r="T6" s="4">
        <f>J6*4%</f>
        <v>240000</v>
      </c>
      <c r="U6" s="4">
        <f>J6*5%</f>
        <v>300000</v>
      </c>
      <c r="V6" s="4"/>
      <c r="W6" s="4"/>
      <c r="X6" s="4">
        <v>102000</v>
      </c>
      <c r="Y6" s="4"/>
      <c r="Z6" s="4"/>
      <c r="AA6" s="4">
        <v>1212777</v>
      </c>
      <c r="AB6" s="4">
        <f t="shared" si="0"/>
        <v>1854777</v>
      </c>
      <c r="AC6" s="118">
        <f t="shared" ref="AC6:AC7" si="2">+S6-AB6</f>
        <v>4745223</v>
      </c>
    </row>
    <row r="7" spans="1:29" ht="24.95" customHeight="1" x14ac:dyDescent="0.25">
      <c r="A7" s="117"/>
      <c r="B7" s="2">
        <v>4</v>
      </c>
      <c r="C7" s="1" t="s">
        <v>34</v>
      </c>
      <c r="D7" s="1" t="s">
        <v>31</v>
      </c>
      <c r="E7" s="2" t="s">
        <v>32</v>
      </c>
      <c r="F7" s="103" t="e">
        <f>INT(YEARFRAC('[1]Perfil Sociodemografico'!F14,'[1]Perfil Sociodemografico'!G14))</f>
        <v>#VALUE!</v>
      </c>
      <c r="G7" s="105" t="s">
        <v>192</v>
      </c>
      <c r="H7" s="105" t="s">
        <v>193</v>
      </c>
      <c r="I7" s="2" t="s">
        <v>194</v>
      </c>
      <c r="J7" s="4">
        <v>6000000</v>
      </c>
      <c r="K7" s="3">
        <v>30</v>
      </c>
      <c r="L7" s="3">
        <f>+J7-R7</f>
        <v>6000000</v>
      </c>
      <c r="M7" s="3"/>
      <c r="N7" s="4"/>
      <c r="O7" s="4"/>
      <c r="P7" s="4"/>
      <c r="Q7" s="4"/>
      <c r="R7" s="4"/>
      <c r="S7" s="4">
        <f t="shared" si="1"/>
        <v>6000000</v>
      </c>
      <c r="T7" s="4">
        <f>+S7*4%</f>
        <v>240000</v>
      </c>
      <c r="U7" s="4">
        <f>+S7*5%</f>
        <v>300000</v>
      </c>
      <c r="V7" s="4"/>
      <c r="W7" s="4"/>
      <c r="X7" s="7">
        <v>98000</v>
      </c>
      <c r="Y7" s="4"/>
      <c r="Z7" s="4"/>
      <c r="AA7" s="4">
        <v>726520</v>
      </c>
      <c r="AB7" s="4">
        <f t="shared" si="0"/>
        <v>1364520</v>
      </c>
      <c r="AC7" s="118">
        <f t="shared" si="2"/>
        <v>4635480</v>
      </c>
    </row>
    <row r="8" spans="1:29" ht="24.95" customHeight="1" x14ac:dyDescent="0.25">
      <c r="A8" s="117"/>
      <c r="B8" s="2">
        <v>5</v>
      </c>
      <c r="C8" s="1" t="s">
        <v>35</v>
      </c>
      <c r="D8" s="1" t="s">
        <v>31</v>
      </c>
      <c r="E8" s="2" t="s">
        <v>32</v>
      </c>
      <c r="F8" s="103" t="e">
        <f>INT(YEARFRAC('[1]Perfil Sociodemografico'!F18,'[1]Perfil Sociodemografico'!G18))</f>
        <v>#VALUE!</v>
      </c>
      <c r="G8" s="104" t="s">
        <v>196</v>
      </c>
      <c r="H8" s="104" t="s">
        <v>193</v>
      </c>
      <c r="I8" s="2" t="s">
        <v>194</v>
      </c>
      <c r="J8" s="4">
        <v>5000000</v>
      </c>
      <c r="K8" s="3">
        <v>30</v>
      </c>
      <c r="L8" s="3">
        <f>+J8-O8</f>
        <v>5000000</v>
      </c>
      <c r="M8" s="3"/>
      <c r="N8" s="4"/>
      <c r="O8" s="4"/>
      <c r="P8" s="4"/>
      <c r="Q8" s="4"/>
      <c r="R8" s="4"/>
      <c r="S8" s="4">
        <f t="shared" si="1"/>
        <v>5000000</v>
      </c>
      <c r="T8" s="4">
        <f t="shared" ref="T8:T18" si="3">+J8*4%</f>
        <v>200000</v>
      </c>
      <c r="U8" s="4">
        <f t="shared" ref="U8:U16" si="4">+J8*5%</f>
        <v>250000</v>
      </c>
      <c r="V8" s="4"/>
      <c r="W8" s="4"/>
      <c r="X8" s="7">
        <v>21409</v>
      </c>
      <c r="Y8" s="4">
        <v>500000</v>
      </c>
      <c r="Z8" s="4">
        <v>111000</v>
      </c>
      <c r="AA8" s="4"/>
      <c r="AB8" s="4">
        <f t="shared" si="0"/>
        <v>1082409</v>
      </c>
      <c r="AC8" s="118">
        <f>+S8-AB8</f>
        <v>3917591</v>
      </c>
    </row>
    <row r="9" spans="1:29" ht="24.95" customHeight="1" x14ac:dyDescent="0.25">
      <c r="A9" s="117"/>
      <c r="B9" s="2">
        <v>6</v>
      </c>
      <c r="C9" s="1" t="s">
        <v>36</v>
      </c>
      <c r="D9" s="1" t="s">
        <v>31</v>
      </c>
      <c r="E9" s="2" t="s">
        <v>32</v>
      </c>
      <c r="F9" s="103" t="e">
        <f>INT(YEARFRAC('[1]Perfil Sociodemografico'!F49,'[1]Perfil Sociodemografico'!G49))</f>
        <v>#VALUE!</v>
      </c>
      <c r="G9" s="105" t="s">
        <v>192</v>
      </c>
      <c r="H9" s="105" t="s">
        <v>193</v>
      </c>
      <c r="I9" s="2" t="s">
        <v>195</v>
      </c>
      <c r="J9" s="4">
        <v>5300000</v>
      </c>
      <c r="K9" s="3">
        <v>30</v>
      </c>
      <c r="L9" s="3">
        <f t="shared" ref="L9:L90" si="5">+J9/30*K9</f>
        <v>5300000</v>
      </c>
      <c r="M9" s="3"/>
      <c r="N9" s="4"/>
      <c r="O9" s="4"/>
      <c r="P9" s="4"/>
      <c r="Q9" s="4">
        <v>2012670</v>
      </c>
      <c r="R9" s="4"/>
      <c r="S9" s="4">
        <f t="shared" si="1"/>
        <v>7312670</v>
      </c>
      <c r="T9" s="4">
        <f t="shared" si="3"/>
        <v>212000</v>
      </c>
      <c r="U9" s="4">
        <f t="shared" si="4"/>
        <v>265000</v>
      </c>
      <c r="V9" s="4"/>
      <c r="W9" s="4"/>
      <c r="X9" s="4">
        <v>50000</v>
      </c>
      <c r="Y9" s="4">
        <v>700000</v>
      </c>
      <c r="Z9" s="4"/>
      <c r="AA9" s="4"/>
      <c r="AB9" s="4">
        <f t="shared" si="0"/>
        <v>1227000</v>
      </c>
      <c r="AC9" s="118">
        <f>+S9-AB9</f>
        <v>6085670</v>
      </c>
    </row>
    <row r="10" spans="1:29" ht="24.95" customHeight="1" x14ac:dyDescent="0.25">
      <c r="A10" s="117"/>
      <c r="B10" s="2">
        <v>7</v>
      </c>
      <c r="C10" s="1" t="s">
        <v>37</v>
      </c>
      <c r="D10" s="1" t="s">
        <v>31</v>
      </c>
      <c r="E10" s="2" t="s">
        <v>32</v>
      </c>
      <c r="F10" s="103" t="e">
        <f>INT(YEARFRAC('[1]Perfil Sociodemografico'!F95,'[1]Perfil Sociodemografico'!G95))</f>
        <v>#VALUE!</v>
      </c>
      <c r="G10" s="104" t="s">
        <v>192</v>
      </c>
      <c r="H10" s="104" t="s">
        <v>193</v>
      </c>
      <c r="I10" s="2" t="s">
        <v>194</v>
      </c>
      <c r="J10" s="4">
        <v>5200000</v>
      </c>
      <c r="K10" s="3">
        <v>30</v>
      </c>
      <c r="L10" s="3">
        <f>+J10-R10</f>
        <v>5200000</v>
      </c>
      <c r="M10" s="3"/>
      <c r="N10" s="4"/>
      <c r="O10" s="4"/>
      <c r="P10" s="4"/>
      <c r="Q10" s="4">
        <v>89000</v>
      </c>
      <c r="R10" s="4"/>
      <c r="S10" s="4">
        <f t="shared" si="1"/>
        <v>5289000</v>
      </c>
      <c r="T10" s="4">
        <f>+J10*4%</f>
        <v>208000</v>
      </c>
      <c r="U10" s="4">
        <f>+J10*5%</f>
        <v>260000</v>
      </c>
      <c r="V10" s="4"/>
      <c r="W10" s="4"/>
      <c r="X10" s="4"/>
      <c r="Y10" s="4"/>
      <c r="Z10" s="4"/>
      <c r="AA10" s="4">
        <f>945750+420786</f>
        <v>1366536</v>
      </c>
      <c r="AB10" s="4">
        <f t="shared" si="0"/>
        <v>1834536</v>
      </c>
      <c r="AC10" s="118">
        <f>S10-AB10</f>
        <v>3454464</v>
      </c>
    </row>
    <row r="11" spans="1:29" ht="24.95" customHeight="1" x14ac:dyDescent="0.25">
      <c r="A11" s="117"/>
      <c r="B11" s="2">
        <v>8</v>
      </c>
      <c r="C11" s="1" t="s">
        <v>39</v>
      </c>
      <c r="D11" s="1" t="s">
        <v>31</v>
      </c>
      <c r="E11" s="2" t="s">
        <v>32</v>
      </c>
      <c r="F11" s="103" t="e">
        <f>INT(YEARFRAC('[1]Perfil Sociodemografico'!F116,'[1]Perfil Sociodemografico'!G116))</f>
        <v>#VALUE!</v>
      </c>
      <c r="G11" s="104" t="s">
        <v>192</v>
      </c>
      <c r="H11" s="104" t="s">
        <v>193</v>
      </c>
      <c r="I11" s="2" t="s">
        <v>194</v>
      </c>
      <c r="J11" s="4">
        <v>5184000</v>
      </c>
      <c r="K11" s="3">
        <v>30</v>
      </c>
      <c r="L11" s="3">
        <f t="shared" si="5"/>
        <v>5184000</v>
      </c>
      <c r="M11" s="3"/>
      <c r="N11" s="4"/>
      <c r="O11" s="4"/>
      <c r="P11" s="4"/>
      <c r="Q11" s="4"/>
      <c r="R11" s="4"/>
      <c r="S11" s="4">
        <f t="shared" si="1"/>
        <v>5184000</v>
      </c>
      <c r="T11" s="4">
        <f>+L11*4%</f>
        <v>207360</v>
      </c>
      <c r="U11" s="4">
        <f>+L11*5%</f>
        <v>259200</v>
      </c>
      <c r="V11" s="4"/>
      <c r="W11" s="4"/>
      <c r="X11" s="4">
        <v>78000</v>
      </c>
      <c r="Y11" s="4"/>
      <c r="Z11" s="4"/>
      <c r="AA11" s="4"/>
      <c r="AB11" s="4">
        <f t="shared" ref="AB11:AB73" si="6">SUM(T11:AA11)</f>
        <v>544560</v>
      </c>
      <c r="AC11" s="118">
        <f>S11-AB11</f>
        <v>4639440</v>
      </c>
    </row>
    <row r="12" spans="1:29" ht="24.95" customHeight="1" x14ac:dyDescent="0.25">
      <c r="A12" s="117"/>
      <c r="B12" s="2">
        <v>9</v>
      </c>
      <c r="C12" s="1" t="s">
        <v>160</v>
      </c>
      <c r="D12" s="1" t="s">
        <v>45</v>
      </c>
      <c r="E12" s="2" t="s">
        <v>32</v>
      </c>
      <c r="F12" s="103" t="e">
        <f>INT(YEARFRAC('[1]Perfil Sociodemografico'!F123,'[1]Perfil Sociodemografico'!G123))</f>
        <v>#VALUE!</v>
      </c>
      <c r="G12" s="105" t="s">
        <v>197</v>
      </c>
      <c r="H12" s="105" t="s">
        <v>193</v>
      </c>
      <c r="I12" s="2" t="s">
        <v>194</v>
      </c>
      <c r="J12" s="4">
        <v>3700000</v>
      </c>
      <c r="K12" s="3">
        <v>30</v>
      </c>
      <c r="L12" s="3">
        <f t="shared" si="5"/>
        <v>3700000</v>
      </c>
      <c r="M12" s="3"/>
      <c r="N12" s="4"/>
      <c r="O12" s="4"/>
      <c r="P12" s="4"/>
      <c r="Q12" s="4"/>
      <c r="R12" s="4"/>
      <c r="S12" s="4">
        <f t="shared" si="1"/>
        <v>3700000</v>
      </c>
      <c r="T12" s="4">
        <f>+L12*4%</f>
        <v>148000</v>
      </c>
      <c r="U12" s="4">
        <f>+L12*5%</f>
        <v>185000</v>
      </c>
      <c r="V12" s="4"/>
      <c r="W12" s="4"/>
      <c r="X12" s="4"/>
      <c r="Y12" s="4"/>
      <c r="Z12" s="4"/>
      <c r="AA12" s="4"/>
      <c r="AB12" s="4">
        <f t="shared" ref="AB12:AB15" si="7">SUM(T12:AA12)</f>
        <v>333000</v>
      </c>
      <c r="AC12" s="118">
        <f>S12-AB12</f>
        <v>3367000</v>
      </c>
    </row>
    <row r="13" spans="1:29" ht="24.95" customHeight="1" x14ac:dyDescent="0.25">
      <c r="A13" s="117"/>
      <c r="B13" s="2">
        <v>10</v>
      </c>
      <c r="C13" s="1" t="s">
        <v>181</v>
      </c>
      <c r="D13" s="1" t="s">
        <v>31</v>
      </c>
      <c r="E13" s="2" t="s">
        <v>32</v>
      </c>
      <c r="F13" s="103">
        <v>38</v>
      </c>
      <c r="G13" s="105" t="s">
        <v>197</v>
      </c>
      <c r="H13" s="105" t="s">
        <v>193</v>
      </c>
      <c r="I13" s="2" t="s">
        <v>195</v>
      </c>
      <c r="J13" s="4">
        <v>5600000</v>
      </c>
      <c r="K13" s="3">
        <v>30</v>
      </c>
      <c r="L13" s="3">
        <f t="shared" si="5"/>
        <v>5600000</v>
      </c>
      <c r="M13" s="3"/>
      <c r="N13" s="4"/>
      <c r="O13" s="4"/>
      <c r="P13" s="4"/>
      <c r="Q13" s="4"/>
      <c r="R13" s="4"/>
      <c r="S13" s="4">
        <f t="shared" si="1"/>
        <v>5600000</v>
      </c>
      <c r="T13" s="4">
        <f t="shared" ref="T13:T14" si="8">+L13*4%</f>
        <v>224000</v>
      </c>
      <c r="U13" s="4">
        <f>+L13*5%</f>
        <v>280000</v>
      </c>
      <c r="V13" s="4"/>
      <c r="W13" s="4"/>
      <c r="X13" s="4">
        <v>36000</v>
      </c>
      <c r="Y13" s="4"/>
      <c r="Z13" s="4"/>
      <c r="AA13" s="4"/>
      <c r="AB13" s="4">
        <f t="shared" si="7"/>
        <v>540000</v>
      </c>
      <c r="AC13" s="118">
        <f t="shared" ref="AC13:AC14" si="9">S13-AB13</f>
        <v>5060000</v>
      </c>
    </row>
    <row r="14" spans="1:29" ht="24.95" customHeight="1" x14ac:dyDescent="0.25">
      <c r="A14" s="117"/>
      <c r="B14" s="2">
        <v>11</v>
      </c>
      <c r="C14" s="1" t="s">
        <v>182</v>
      </c>
      <c r="D14" s="1" t="s">
        <v>31</v>
      </c>
      <c r="E14" s="2" t="s">
        <v>32</v>
      </c>
      <c r="F14" s="103" t="e">
        <f>INT(YEARFRAC('[1]Perfil Sociodemografico'!F88,'[1]Perfil Sociodemografico'!G88))</f>
        <v>#VALUE!</v>
      </c>
      <c r="G14" s="104" t="s">
        <v>198</v>
      </c>
      <c r="H14" s="104" t="s">
        <v>193</v>
      </c>
      <c r="I14" s="2" t="s">
        <v>195</v>
      </c>
      <c r="J14" s="4">
        <v>4750000</v>
      </c>
      <c r="K14" s="3">
        <v>30</v>
      </c>
      <c r="L14" s="3">
        <f t="shared" si="5"/>
        <v>4750000</v>
      </c>
      <c r="M14" s="3"/>
      <c r="N14" s="4"/>
      <c r="O14" s="4"/>
      <c r="P14" s="4"/>
      <c r="Q14" s="4"/>
      <c r="R14" s="4"/>
      <c r="S14" s="4">
        <f t="shared" si="1"/>
        <v>4750000</v>
      </c>
      <c r="T14" s="4">
        <f t="shared" si="8"/>
        <v>190000</v>
      </c>
      <c r="U14" s="4">
        <f t="shared" ref="U14" si="10">+L14*5%</f>
        <v>237500</v>
      </c>
      <c r="V14" s="4"/>
      <c r="W14" s="4"/>
      <c r="X14" s="4">
        <v>45000</v>
      </c>
      <c r="Y14" s="4"/>
      <c r="Z14" s="4"/>
      <c r="AA14" s="4"/>
      <c r="AB14" s="4">
        <f t="shared" si="7"/>
        <v>472500</v>
      </c>
      <c r="AC14" s="118">
        <f t="shared" si="9"/>
        <v>4277500</v>
      </c>
    </row>
    <row r="15" spans="1:29" ht="24.95" customHeight="1" x14ac:dyDescent="0.25">
      <c r="A15" s="117"/>
      <c r="B15" s="2">
        <v>12</v>
      </c>
      <c r="C15" s="1" t="s">
        <v>166</v>
      </c>
      <c r="D15" s="1" t="s">
        <v>45</v>
      </c>
      <c r="E15" s="2" t="s">
        <v>32</v>
      </c>
      <c r="F15" s="103" t="e">
        <f>INT(YEARFRAC('[1]Perfil Sociodemografico'!F64,'[1]Perfil Sociodemografico'!G64))</f>
        <v>#VALUE!</v>
      </c>
      <c r="G15" s="104" t="s">
        <v>197</v>
      </c>
      <c r="H15" s="104" t="s">
        <v>199</v>
      </c>
      <c r="I15" s="2" t="s">
        <v>195</v>
      </c>
      <c r="J15" s="4">
        <v>4000000</v>
      </c>
      <c r="K15" s="3">
        <v>30</v>
      </c>
      <c r="L15" s="3">
        <f t="shared" si="5"/>
        <v>4000000.0000000005</v>
      </c>
      <c r="M15" s="3"/>
      <c r="N15" s="4"/>
      <c r="O15" s="4"/>
      <c r="P15" s="4"/>
      <c r="Q15" s="4"/>
      <c r="R15" s="4"/>
      <c r="S15" s="4">
        <f t="shared" si="1"/>
        <v>4000000.0000000005</v>
      </c>
      <c r="T15" s="4">
        <f>+L15*4%</f>
        <v>160000.00000000003</v>
      </c>
      <c r="U15" s="4">
        <f>+L15*5%</f>
        <v>200000.00000000003</v>
      </c>
      <c r="V15" s="4"/>
      <c r="W15" s="4"/>
      <c r="X15" s="4"/>
      <c r="Y15" s="4"/>
      <c r="Z15" s="4"/>
      <c r="AA15" s="4"/>
      <c r="AB15" s="4">
        <f t="shared" si="7"/>
        <v>360000.00000000006</v>
      </c>
      <c r="AC15" s="118">
        <f>S15-AB15</f>
        <v>3640000.0000000005</v>
      </c>
    </row>
    <row r="16" spans="1:29" ht="24.95" customHeight="1" x14ac:dyDescent="0.25">
      <c r="A16" s="117"/>
      <c r="B16" s="2">
        <v>13</v>
      </c>
      <c r="C16" s="1" t="s">
        <v>40</v>
      </c>
      <c r="D16" s="1" t="s">
        <v>31</v>
      </c>
      <c r="E16" s="2" t="s">
        <v>32</v>
      </c>
      <c r="F16" s="103" t="e">
        <f>INT(YEARFRAC('[1]Perfil Sociodemografico'!F91,'[1]Perfil Sociodemografico'!G91))</f>
        <v>#VALUE!</v>
      </c>
      <c r="G16" s="104" t="s">
        <v>192</v>
      </c>
      <c r="H16" s="104" t="s">
        <v>193</v>
      </c>
      <c r="I16" s="2" t="s">
        <v>194</v>
      </c>
      <c r="J16" s="4">
        <v>5725000</v>
      </c>
      <c r="K16" s="3">
        <v>30</v>
      </c>
      <c r="L16" s="3">
        <f>+J16-R16</f>
        <v>5725000</v>
      </c>
      <c r="M16" s="3"/>
      <c r="N16" s="4"/>
      <c r="O16" s="4"/>
      <c r="P16" s="4"/>
      <c r="Q16" s="4"/>
      <c r="R16" s="4"/>
      <c r="S16" s="4">
        <f t="shared" si="1"/>
        <v>5725000</v>
      </c>
      <c r="T16" s="4">
        <f>+J16*4%</f>
        <v>229000</v>
      </c>
      <c r="U16" s="4">
        <f t="shared" si="4"/>
        <v>286250</v>
      </c>
      <c r="V16" s="4"/>
      <c r="W16" s="4"/>
      <c r="X16" s="4">
        <v>0</v>
      </c>
      <c r="Y16" s="4"/>
      <c r="Z16" s="4"/>
      <c r="AA16" s="4"/>
      <c r="AB16" s="4">
        <f t="shared" si="6"/>
        <v>515250</v>
      </c>
      <c r="AC16" s="118">
        <f t="shared" ref="AC16:AC30" si="11">+S16-AB16</f>
        <v>5209750</v>
      </c>
    </row>
    <row r="17" spans="1:29" ht="24.95" customHeight="1" x14ac:dyDescent="0.25">
      <c r="A17" s="117"/>
      <c r="B17" s="2">
        <v>14</v>
      </c>
      <c r="C17" s="1" t="s">
        <v>41</v>
      </c>
      <c r="D17" s="1" t="s">
        <v>31</v>
      </c>
      <c r="E17" s="2" t="s">
        <v>32</v>
      </c>
      <c r="F17" s="103" t="e">
        <f>INT(YEARFRAC('[1]Perfil Sociodemografico'!F65,'[1]Perfil Sociodemografico'!G65))</f>
        <v>#VALUE!</v>
      </c>
      <c r="G17" s="104" t="s">
        <v>198</v>
      </c>
      <c r="H17" s="104" t="s">
        <v>193</v>
      </c>
      <c r="I17" s="2" t="s">
        <v>195</v>
      </c>
      <c r="J17" s="4">
        <v>4500000</v>
      </c>
      <c r="K17" s="3">
        <v>30</v>
      </c>
      <c r="L17" s="3">
        <f>+J17-R17</f>
        <v>3900000</v>
      </c>
      <c r="M17" s="3"/>
      <c r="N17" s="4"/>
      <c r="O17" s="4"/>
      <c r="P17" s="4"/>
      <c r="Q17" s="4"/>
      <c r="R17" s="4">
        <v>600000</v>
      </c>
      <c r="S17" s="4">
        <f t="shared" si="1"/>
        <v>4500000</v>
      </c>
      <c r="T17" s="4">
        <f t="shared" si="3"/>
        <v>180000</v>
      </c>
      <c r="U17" s="4">
        <v>225000</v>
      </c>
      <c r="V17" s="4"/>
      <c r="W17" s="4"/>
      <c r="X17" s="7">
        <v>0</v>
      </c>
      <c r="Y17" s="4"/>
      <c r="Z17" s="4"/>
      <c r="AA17" s="4"/>
      <c r="AB17" s="4">
        <f t="shared" si="6"/>
        <v>405000</v>
      </c>
      <c r="AC17" s="118">
        <f t="shared" si="11"/>
        <v>4095000</v>
      </c>
    </row>
    <row r="18" spans="1:29" ht="24.95" customHeight="1" x14ac:dyDescent="0.25">
      <c r="A18" s="117"/>
      <c r="B18" s="2">
        <v>15</v>
      </c>
      <c r="C18" s="1" t="s">
        <v>93</v>
      </c>
      <c r="D18" s="1" t="s">
        <v>31</v>
      </c>
      <c r="E18" s="2" t="s">
        <v>32</v>
      </c>
      <c r="F18" s="103" t="e">
        <f>INT(YEARFRAC('[1]Perfil Sociodemografico'!F54,'[1]Perfil Sociodemografico'!G54))</f>
        <v>#VALUE!</v>
      </c>
      <c r="G18" s="104" t="s">
        <v>192</v>
      </c>
      <c r="H18" s="104" t="s">
        <v>193</v>
      </c>
      <c r="I18" s="2" t="s">
        <v>195</v>
      </c>
      <c r="J18" s="4">
        <v>5500000</v>
      </c>
      <c r="K18" s="3">
        <v>30</v>
      </c>
      <c r="L18" s="3">
        <f t="shared" ref="L18:L20" si="12">+J18/30*K18</f>
        <v>5500000</v>
      </c>
      <c r="M18" s="3"/>
      <c r="N18" s="4"/>
      <c r="O18" s="4"/>
      <c r="P18" s="4"/>
      <c r="Q18" s="4"/>
      <c r="R18" s="4"/>
      <c r="S18" s="4">
        <f t="shared" si="1"/>
        <v>5500000</v>
      </c>
      <c r="T18" s="4">
        <f t="shared" si="3"/>
        <v>220000</v>
      </c>
      <c r="U18" s="4">
        <f>+J18*5%</f>
        <v>275000</v>
      </c>
      <c r="V18" s="4"/>
      <c r="W18" s="4"/>
      <c r="X18" s="4">
        <v>48000</v>
      </c>
      <c r="Y18" s="4"/>
      <c r="Z18" s="4"/>
      <c r="AA18" s="4">
        <v>774624</v>
      </c>
      <c r="AB18" s="4">
        <f t="shared" ref="AB18:AB20" si="13">SUM(T18:AA18)</f>
        <v>1317624</v>
      </c>
      <c r="AC18" s="118">
        <f t="shared" si="11"/>
        <v>4182376</v>
      </c>
    </row>
    <row r="19" spans="1:29" ht="24.95" customHeight="1" x14ac:dyDescent="0.25">
      <c r="A19" s="117"/>
      <c r="B19" s="2">
        <v>16</v>
      </c>
      <c r="C19" s="1" t="s">
        <v>183</v>
      </c>
      <c r="D19" s="1" t="s">
        <v>31</v>
      </c>
      <c r="E19" s="2" t="s">
        <v>32</v>
      </c>
      <c r="F19" s="103" t="e">
        <f>INT(YEARFRAC('[1]Perfil Sociodemografico'!F118,'[1]Perfil Sociodemografico'!G118))</f>
        <v>#VALUE!</v>
      </c>
      <c r="G19" s="104" t="s">
        <v>200</v>
      </c>
      <c r="H19" s="104" t="s">
        <v>193</v>
      </c>
      <c r="I19" s="2" t="s">
        <v>195</v>
      </c>
      <c r="J19" s="4">
        <v>7000000</v>
      </c>
      <c r="K19" s="3">
        <v>30</v>
      </c>
      <c r="L19" s="3">
        <f t="shared" si="12"/>
        <v>7000000</v>
      </c>
      <c r="M19" s="3"/>
      <c r="N19" s="4"/>
      <c r="O19" s="4"/>
      <c r="P19" s="4"/>
      <c r="Q19" s="4"/>
      <c r="R19" s="4"/>
      <c r="S19" s="4">
        <f t="shared" si="1"/>
        <v>7000000</v>
      </c>
      <c r="T19" s="4">
        <f>+L19*4%</f>
        <v>280000</v>
      </c>
      <c r="U19" s="4">
        <f>+L19*5%</f>
        <v>350000</v>
      </c>
      <c r="V19" s="4"/>
      <c r="W19" s="4"/>
      <c r="X19" s="4">
        <v>0</v>
      </c>
      <c r="Y19" s="4"/>
      <c r="Z19" s="4"/>
      <c r="AA19" s="4"/>
      <c r="AB19" s="4">
        <f t="shared" si="13"/>
        <v>630000</v>
      </c>
      <c r="AC19" s="118">
        <f t="shared" si="11"/>
        <v>6370000</v>
      </c>
    </row>
    <row r="20" spans="1:29" ht="24.95" customHeight="1" x14ac:dyDescent="0.25">
      <c r="A20" s="117"/>
      <c r="B20" s="2">
        <v>17</v>
      </c>
      <c r="C20" s="1" t="s">
        <v>167</v>
      </c>
      <c r="D20" s="1" t="s">
        <v>31</v>
      </c>
      <c r="E20" s="2" t="s">
        <v>32</v>
      </c>
      <c r="F20" s="106" t="e">
        <f>INT(YEARFRAC('[1]Perfil Sociodemografico'!F8,'[1]Perfil Sociodemografico'!G8))</f>
        <v>#VALUE!</v>
      </c>
      <c r="G20" s="107" t="s">
        <v>192</v>
      </c>
      <c r="H20" s="107" t="s">
        <v>193</v>
      </c>
      <c r="I20" s="2" t="s">
        <v>195</v>
      </c>
      <c r="J20" s="4">
        <v>5500000</v>
      </c>
      <c r="K20" s="3">
        <v>30</v>
      </c>
      <c r="L20" s="3">
        <f t="shared" si="12"/>
        <v>5500000</v>
      </c>
      <c r="M20" s="3"/>
      <c r="N20" s="4"/>
      <c r="O20" s="4"/>
      <c r="P20" s="4"/>
      <c r="Q20" s="4"/>
      <c r="R20" s="4"/>
      <c r="S20" s="4">
        <f t="shared" si="1"/>
        <v>5500000</v>
      </c>
      <c r="T20" s="4">
        <f>+L20*4%</f>
        <v>220000</v>
      </c>
      <c r="U20" s="4">
        <f>+L20*5%</f>
        <v>275000</v>
      </c>
      <c r="V20" s="4"/>
      <c r="W20" s="4"/>
      <c r="X20" s="4">
        <v>21000</v>
      </c>
      <c r="Y20" s="4"/>
      <c r="Z20" s="4"/>
      <c r="AA20" s="4"/>
      <c r="AB20" s="4">
        <f t="shared" si="13"/>
        <v>516000</v>
      </c>
      <c r="AC20" s="118">
        <f t="shared" si="11"/>
        <v>4984000</v>
      </c>
    </row>
    <row r="21" spans="1:29" ht="24.95" customHeight="1" x14ac:dyDescent="0.25">
      <c r="A21" s="117"/>
      <c r="B21" s="2">
        <v>18</v>
      </c>
      <c r="C21" s="9" t="s">
        <v>42</v>
      </c>
      <c r="D21" s="1" t="s">
        <v>31</v>
      </c>
      <c r="E21" s="2" t="s">
        <v>32</v>
      </c>
      <c r="F21" s="103" t="e">
        <f>INT(YEARFRAC('[1]Perfil Sociodemografico'!F75,'[1]Perfil Sociodemografico'!G75))</f>
        <v>#VALUE!</v>
      </c>
      <c r="G21" s="105" t="s">
        <v>192</v>
      </c>
      <c r="H21" s="105" t="s">
        <v>193</v>
      </c>
      <c r="I21" s="2" t="s">
        <v>195</v>
      </c>
      <c r="J21" s="4">
        <v>4800000</v>
      </c>
      <c r="K21" s="3">
        <v>24</v>
      </c>
      <c r="L21" s="3">
        <f t="shared" si="5"/>
        <v>3840000</v>
      </c>
      <c r="M21" s="3"/>
      <c r="N21" s="4">
        <v>640032</v>
      </c>
      <c r="O21" s="4"/>
      <c r="P21" s="4"/>
      <c r="Q21" s="4"/>
      <c r="R21" s="4"/>
      <c r="S21" s="4">
        <f t="shared" si="1"/>
        <v>4480032</v>
      </c>
      <c r="T21" s="4">
        <f>+J21*4%</f>
        <v>192000</v>
      </c>
      <c r="U21" s="4">
        <f>+J21*5%</f>
        <v>240000</v>
      </c>
      <c r="V21" s="4"/>
      <c r="W21" s="4"/>
      <c r="X21" s="4">
        <v>0</v>
      </c>
      <c r="Y21" s="4"/>
      <c r="Z21" s="4"/>
      <c r="AA21" s="4"/>
      <c r="AB21" s="4">
        <f t="shared" si="6"/>
        <v>432000</v>
      </c>
      <c r="AC21" s="118">
        <f t="shared" si="11"/>
        <v>4048032</v>
      </c>
    </row>
    <row r="22" spans="1:29" ht="24.95" customHeight="1" x14ac:dyDescent="0.25">
      <c r="A22" s="117"/>
      <c r="B22" s="2">
        <v>19</v>
      </c>
      <c r="C22" s="9" t="s">
        <v>201</v>
      </c>
      <c r="D22" s="1" t="s">
        <v>31</v>
      </c>
      <c r="E22" s="2" t="s">
        <v>32</v>
      </c>
      <c r="F22" s="103" t="e">
        <f>INT(YEARFRAC('[1]Perfil Sociodemografico'!F103,'[1]Perfil Sociodemografico'!G103))</f>
        <v>#VALUE!</v>
      </c>
      <c r="G22" s="105" t="s">
        <v>198</v>
      </c>
      <c r="H22" s="105" t="s">
        <v>193</v>
      </c>
      <c r="I22" s="2" t="s">
        <v>195</v>
      </c>
      <c r="J22" s="4">
        <v>6200000</v>
      </c>
      <c r="K22" s="3">
        <v>30</v>
      </c>
      <c r="L22" s="3">
        <f t="shared" si="5"/>
        <v>6200000</v>
      </c>
      <c r="M22" s="3"/>
      <c r="N22" s="4"/>
      <c r="O22" s="4"/>
      <c r="P22" s="4"/>
      <c r="Q22" s="4"/>
      <c r="R22" s="4"/>
      <c r="S22" s="4">
        <f t="shared" si="1"/>
        <v>6200000</v>
      </c>
      <c r="T22" s="4">
        <f>+L22*4%</f>
        <v>248000</v>
      </c>
      <c r="U22" s="4">
        <f>+L22*0.05</f>
        <v>310000</v>
      </c>
      <c r="V22" s="4"/>
      <c r="W22" s="4"/>
      <c r="X22" s="4">
        <v>153000</v>
      </c>
      <c r="Y22" s="4"/>
      <c r="Z22" s="4"/>
      <c r="AA22" s="4"/>
      <c r="AB22" s="4">
        <f t="shared" ref="AB22:AB24" si="14">SUM(T22:AA22)</f>
        <v>711000</v>
      </c>
      <c r="AC22" s="118">
        <f t="shared" si="11"/>
        <v>5489000</v>
      </c>
    </row>
    <row r="23" spans="1:29" ht="24.95" customHeight="1" x14ac:dyDescent="0.25">
      <c r="A23" s="117"/>
      <c r="B23" s="2">
        <v>20</v>
      </c>
      <c r="C23" s="9" t="s">
        <v>161</v>
      </c>
      <c r="D23" s="1" t="s">
        <v>31</v>
      </c>
      <c r="E23" s="2" t="s">
        <v>32</v>
      </c>
      <c r="F23" s="103" t="e">
        <f>INT(YEARFRAC('[1]Perfil Sociodemografico'!F21,'[1]Perfil Sociodemografico'!G21))</f>
        <v>#VALUE!</v>
      </c>
      <c r="G23" s="104" t="s">
        <v>197</v>
      </c>
      <c r="H23" s="104" t="s">
        <v>193</v>
      </c>
      <c r="I23" s="2" t="s">
        <v>195</v>
      </c>
      <c r="J23" s="4">
        <v>4600000</v>
      </c>
      <c r="K23" s="3">
        <v>30</v>
      </c>
      <c r="L23" s="3">
        <f t="shared" si="5"/>
        <v>4600000</v>
      </c>
      <c r="M23" s="3"/>
      <c r="N23" s="4"/>
      <c r="O23" s="4"/>
      <c r="P23" s="4"/>
      <c r="Q23" s="4"/>
      <c r="R23" s="4"/>
      <c r="S23" s="4">
        <f t="shared" si="1"/>
        <v>4600000</v>
      </c>
      <c r="T23" s="4">
        <f>+J23*4%</f>
        <v>184000</v>
      </c>
      <c r="U23" s="4">
        <f>+J23*0.05</f>
        <v>230000</v>
      </c>
      <c r="V23" s="4"/>
      <c r="W23" s="4"/>
      <c r="X23" s="4">
        <v>24000</v>
      </c>
      <c r="Y23" s="4"/>
      <c r="Z23" s="4"/>
      <c r="AA23" s="4"/>
      <c r="AB23" s="4">
        <f t="shared" si="14"/>
        <v>438000</v>
      </c>
      <c r="AC23" s="118">
        <f t="shared" si="11"/>
        <v>4162000</v>
      </c>
    </row>
    <row r="24" spans="1:29" ht="24.95" customHeight="1" x14ac:dyDescent="0.25">
      <c r="A24" s="117"/>
      <c r="B24" s="2">
        <v>21</v>
      </c>
      <c r="C24" s="9" t="s">
        <v>235</v>
      </c>
      <c r="D24" s="1" t="s">
        <v>31</v>
      </c>
      <c r="E24" s="2" t="s">
        <v>32</v>
      </c>
      <c r="F24" s="103"/>
      <c r="G24" s="104"/>
      <c r="H24" s="104"/>
      <c r="I24" s="2"/>
      <c r="J24" s="4">
        <v>5600000</v>
      </c>
      <c r="K24" s="3">
        <v>13</v>
      </c>
      <c r="L24" s="3">
        <f t="shared" si="5"/>
        <v>2426666.6666666665</v>
      </c>
      <c r="M24" s="3"/>
      <c r="N24" s="4">
        <f>+(400000/30)*K24</f>
        <v>173333.33333333334</v>
      </c>
      <c r="O24" s="4"/>
      <c r="P24" s="4"/>
      <c r="Q24" s="4"/>
      <c r="R24" s="4"/>
      <c r="S24" s="4">
        <f t="shared" si="1"/>
        <v>2600000</v>
      </c>
      <c r="T24" s="4">
        <v>97067</v>
      </c>
      <c r="U24" s="4">
        <f>+L24*0.04</f>
        <v>97066.666666666657</v>
      </c>
      <c r="V24" s="4"/>
      <c r="W24" s="4"/>
      <c r="X24" s="4"/>
      <c r="Y24" s="4"/>
      <c r="Z24" s="4"/>
      <c r="AA24" s="4"/>
      <c r="AB24" s="4">
        <f t="shared" si="14"/>
        <v>194133.66666666666</v>
      </c>
      <c r="AC24" s="118">
        <f t="shared" si="11"/>
        <v>2405866.3333333335</v>
      </c>
    </row>
    <row r="25" spans="1:29" ht="24.95" customHeight="1" x14ac:dyDescent="0.25">
      <c r="A25" s="117"/>
      <c r="B25" s="2">
        <v>22</v>
      </c>
      <c r="C25" s="9" t="s">
        <v>44</v>
      </c>
      <c r="D25" s="1" t="s">
        <v>31</v>
      </c>
      <c r="E25" s="2" t="s">
        <v>32</v>
      </c>
      <c r="F25" s="103" t="e">
        <f>INT(YEARFRAC('[1]Perfil Sociodemografico'!F112,'[1]Perfil Sociodemografico'!G112))</f>
        <v>#VALUE!</v>
      </c>
      <c r="G25" s="105" t="s">
        <v>192</v>
      </c>
      <c r="H25" s="105" t="s">
        <v>193</v>
      </c>
      <c r="I25" s="2" t="s">
        <v>195</v>
      </c>
      <c r="J25" s="4">
        <v>4400000</v>
      </c>
      <c r="K25" s="3">
        <v>30</v>
      </c>
      <c r="L25" s="3">
        <f t="shared" si="5"/>
        <v>4400000</v>
      </c>
      <c r="M25" s="3"/>
      <c r="N25" s="4"/>
      <c r="O25" s="4"/>
      <c r="P25" s="4"/>
      <c r="Q25" s="4"/>
      <c r="R25" s="4"/>
      <c r="S25" s="4">
        <f t="shared" si="1"/>
        <v>4400000</v>
      </c>
      <c r="T25" s="4">
        <f>+J25*0.04</f>
        <v>176000</v>
      </c>
      <c r="U25" s="4">
        <f>+J25*0.05</f>
        <v>220000</v>
      </c>
      <c r="V25" s="4"/>
      <c r="W25" s="4"/>
      <c r="X25" s="4"/>
      <c r="Y25" s="4"/>
      <c r="Z25" s="4"/>
      <c r="AA25" s="4"/>
      <c r="AB25" s="4">
        <f t="shared" si="6"/>
        <v>396000</v>
      </c>
      <c r="AC25" s="118">
        <f t="shared" si="11"/>
        <v>4004000</v>
      </c>
    </row>
    <row r="26" spans="1:29" ht="24.95" customHeight="1" x14ac:dyDescent="0.25">
      <c r="A26" s="117"/>
      <c r="B26" s="2">
        <v>23</v>
      </c>
      <c r="C26" s="9" t="s">
        <v>46</v>
      </c>
      <c r="D26" s="1" t="s">
        <v>31</v>
      </c>
      <c r="E26" s="2" t="s">
        <v>32</v>
      </c>
      <c r="F26" s="103" t="e">
        <f>INT(YEARFRAC('[1]Perfil Sociodemografico'!F29,'[1]Perfil Sociodemografico'!G29))</f>
        <v>#VALUE!</v>
      </c>
      <c r="G26" s="104" t="s">
        <v>192</v>
      </c>
      <c r="H26" s="104" t="s">
        <v>193</v>
      </c>
      <c r="I26" s="2" t="s">
        <v>195</v>
      </c>
      <c r="J26" s="4">
        <v>5500000</v>
      </c>
      <c r="K26" s="3">
        <v>30</v>
      </c>
      <c r="L26" s="3">
        <f>+J26-P26</f>
        <v>5500000</v>
      </c>
      <c r="M26" s="3"/>
      <c r="N26" s="4"/>
      <c r="O26" s="4"/>
      <c r="P26" s="4"/>
      <c r="Q26" s="4"/>
      <c r="R26" s="4"/>
      <c r="S26" s="4">
        <f t="shared" si="1"/>
        <v>5500000</v>
      </c>
      <c r="T26" s="4">
        <f>+J26*0.04</f>
        <v>220000</v>
      </c>
      <c r="U26" s="4">
        <f>+J26*0.05</f>
        <v>275000</v>
      </c>
      <c r="V26" s="4"/>
      <c r="W26" s="4"/>
      <c r="X26" s="4">
        <v>83397</v>
      </c>
      <c r="Y26" s="4"/>
      <c r="Z26" s="4"/>
      <c r="AA26" s="4"/>
      <c r="AB26" s="4">
        <f t="shared" si="6"/>
        <v>578397</v>
      </c>
      <c r="AC26" s="118">
        <f t="shared" si="11"/>
        <v>4921603</v>
      </c>
    </row>
    <row r="27" spans="1:29" ht="24.95" customHeight="1" x14ac:dyDescent="0.25">
      <c r="A27" s="117"/>
      <c r="B27" s="2">
        <v>24</v>
      </c>
      <c r="C27" s="9" t="s">
        <v>162</v>
      </c>
      <c r="D27" s="1" t="s">
        <v>31</v>
      </c>
      <c r="E27" s="2" t="s">
        <v>32</v>
      </c>
      <c r="F27" s="103" t="e">
        <f>INT(YEARFRAC('[1]Perfil Sociodemografico'!F78,'[1]Perfil Sociodemografico'!G78))</f>
        <v>#VALUE!</v>
      </c>
      <c r="G27" s="105" t="s">
        <v>197</v>
      </c>
      <c r="H27" s="105" t="s">
        <v>193</v>
      </c>
      <c r="I27" s="2" t="s">
        <v>195</v>
      </c>
      <c r="J27" s="4">
        <v>5000000</v>
      </c>
      <c r="K27" s="3">
        <v>30</v>
      </c>
      <c r="L27" s="3">
        <f>+J27-R27</f>
        <v>4333334</v>
      </c>
      <c r="M27" s="3"/>
      <c r="N27" s="4"/>
      <c r="O27" s="4"/>
      <c r="P27" s="4"/>
      <c r="Q27" s="4"/>
      <c r="R27" s="4">
        <v>666666</v>
      </c>
      <c r="S27" s="4">
        <f t="shared" si="1"/>
        <v>5000000</v>
      </c>
      <c r="T27" s="4">
        <f>+J27*4%</f>
        <v>200000</v>
      </c>
      <c r="U27" s="4">
        <f>+J27*0.05</f>
        <v>250000</v>
      </c>
      <c r="V27" s="4"/>
      <c r="W27" s="4"/>
      <c r="X27" s="4">
        <v>78000</v>
      </c>
      <c r="Y27" s="4"/>
      <c r="Z27" s="4"/>
      <c r="AA27" s="4"/>
      <c r="AB27" s="4">
        <f t="shared" si="6"/>
        <v>528000</v>
      </c>
      <c r="AC27" s="118">
        <f t="shared" si="11"/>
        <v>4472000</v>
      </c>
    </row>
    <row r="28" spans="1:29" ht="24.95" customHeight="1" x14ac:dyDescent="0.25">
      <c r="A28" s="117"/>
      <c r="B28" s="2">
        <v>25</v>
      </c>
      <c r="C28" s="1" t="s">
        <v>150</v>
      </c>
      <c r="D28" s="1" t="s">
        <v>31</v>
      </c>
      <c r="E28" s="2" t="s">
        <v>32</v>
      </c>
      <c r="F28" s="103" t="e">
        <f>INT(YEARFRAC('[1]Perfil Sociodemografico'!F71,'[1]Perfil Sociodemografico'!G71))</f>
        <v>#VALUE!</v>
      </c>
      <c r="G28" s="104" t="s">
        <v>202</v>
      </c>
      <c r="H28" s="104" t="s">
        <v>193</v>
      </c>
      <c r="I28" s="2" t="s">
        <v>195</v>
      </c>
      <c r="J28" s="4">
        <v>7000000</v>
      </c>
      <c r="K28" s="3">
        <v>30</v>
      </c>
      <c r="L28" s="3">
        <f>+J28/30*K28</f>
        <v>7000000</v>
      </c>
      <c r="M28" s="3"/>
      <c r="N28" s="4"/>
      <c r="O28" s="4"/>
      <c r="P28" s="4"/>
      <c r="Q28" s="4"/>
      <c r="R28" s="4"/>
      <c r="S28" s="4">
        <f>+L28+N28+P28+Q28+R28+O28</f>
        <v>7000000</v>
      </c>
      <c r="T28" s="4">
        <f>S28*4%</f>
        <v>280000</v>
      </c>
      <c r="U28" s="4">
        <f>+S28*5%</f>
        <v>350000</v>
      </c>
      <c r="V28" s="4"/>
      <c r="W28" s="4">
        <v>147000</v>
      </c>
      <c r="X28" s="4">
        <v>209509</v>
      </c>
      <c r="Y28" s="4"/>
      <c r="Z28" s="4"/>
      <c r="AA28" s="4"/>
      <c r="AB28" s="4">
        <f>SUM(T28:AA28)</f>
        <v>986509</v>
      </c>
      <c r="AC28" s="118">
        <f>S28-AB28</f>
        <v>6013491</v>
      </c>
    </row>
    <row r="29" spans="1:29" ht="24.95" customHeight="1" x14ac:dyDescent="0.25">
      <c r="A29" s="117"/>
      <c r="B29" s="2">
        <v>26</v>
      </c>
      <c r="C29" s="9" t="s">
        <v>47</v>
      </c>
      <c r="D29" s="1" t="s">
        <v>31</v>
      </c>
      <c r="E29" s="2" t="s">
        <v>32</v>
      </c>
      <c r="F29" s="103" t="e">
        <f>INT(YEARFRAC('[1]Perfil Sociodemografico'!F23,'[1]Perfil Sociodemografico'!G23))</f>
        <v>#VALUE!</v>
      </c>
      <c r="G29" s="105" t="s">
        <v>198</v>
      </c>
      <c r="H29" s="105" t="s">
        <v>193</v>
      </c>
      <c r="I29" s="2" t="s">
        <v>195</v>
      </c>
      <c r="J29" s="4">
        <v>5200000</v>
      </c>
      <c r="K29" s="3">
        <v>30</v>
      </c>
      <c r="L29" s="3">
        <f t="shared" si="5"/>
        <v>5200000</v>
      </c>
      <c r="M29" s="3"/>
      <c r="N29" s="4"/>
      <c r="O29" s="4"/>
      <c r="P29" s="4"/>
      <c r="Q29" s="4"/>
      <c r="R29" s="4"/>
      <c r="S29" s="4">
        <f t="shared" si="1"/>
        <v>5200000</v>
      </c>
      <c r="T29" s="4">
        <f>+J29*4%</f>
        <v>208000</v>
      </c>
      <c r="U29" s="4">
        <f>+J29*5%</f>
        <v>260000</v>
      </c>
      <c r="V29" s="4"/>
      <c r="W29" s="4"/>
      <c r="X29" s="4">
        <v>46204</v>
      </c>
      <c r="Y29" s="4"/>
      <c r="Z29" s="4"/>
      <c r="AA29" s="4"/>
      <c r="AB29" s="4">
        <f t="shared" si="6"/>
        <v>514204</v>
      </c>
      <c r="AC29" s="118">
        <f t="shared" si="11"/>
        <v>4685796</v>
      </c>
    </row>
    <row r="30" spans="1:29" ht="24.95" customHeight="1" x14ac:dyDescent="0.25">
      <c r="A30" s="117"/>
      <c r="B30" s="2">
        <v>27</v>
      </c>
      <c r="C30" s="1" t="s">
        <v>48</v>
      </c>
      <c r="D30" s="1" t="s">
        <v>31</v>
      </c>
      <c r="E30" s="2" t="s">
        <v>32</v>
      </c>
      <c r="F30" s="103" t="e">
        <f>INT(YEARFRAC('[1]Perfil Sociodemografico'!F61,'[1]Perfil Sociodemografico'!G61))</f>
        <v>#VALUE!</v>
      </c>
      <c r="G30" s="105" t="s">
        <v>198</v>
      </c>
      <c r="H30" s="105" t="s">
        <v>193</v>
      </c>
      <c r="I30" s="2" t="s">
        <v>195</v>
      </c>
      <c r="J30" s="4">
        <v>5500000</v>
      </c>
      <c r="K30" s="3">
        <v>30</v>
      </c>
      <c r="L30" s="3">
        <f>+J30-R30</f>
        <v>5500000</v>
      </c>
      <c r="M30" s="3"/>
      <c r="N30" s="4"/>
      <c r="O30" s="4"/>
      <c r="P30" s="4"/>
      <c r="Q30" s="4">
        <v>450000</v>
      </c>
      <c r="R30" s="4"/>
      <c r="S30" s="4">
        <f t="shared" si="1"/>
        <v>5950000</v>
      </c>
      <c r="T30" s="4">
        <f>+J30*4%</f>
        <v>220000</v>
      </c>
      <c r="U30" s="4">
        <f>+J30*5%</f>
        <v>275000</v>
      </c>
      <c r="V30" s="4"/>
      <c r="W30" s="4"/>
      <c r="X30" s="7">
        <v>150521</v>
      </c>
      <c r="Y30" s="4">
        <v>1365000</v>
      </c>
      <c r="Z30" s="4"/>
      <c r="AA30" s="4"/>
      <c r="AB30" s="4">
        <f t="shared" si="6"/>
        <v>2010521</v>
      </c>
      <c r="AC30" s="118">
        <f t="shared" si="11"/>
        <v>3939479</v>
      </c>
    </row>
    <row r="31" spans="1:29" ht="24.95" customHeight="1" x14ac:dyDescent="0.25">
      <c r="A31" s="117"/>
      <c r="B31" s="2">
        <v>28</v>
      </c>
      <c r="C31" s="1" t="s">
        <v>49</v>
      </c>
      <c r="D31" s="1" t="s">
        <v>31</v>
      </c>
      <c r="E31" s="2" t="s">
        <v>32</v>
      </c>
      <c r="F31" s="103" t="e">
        <f>INT(YEARFRAC('[1]Perfil Sociodemografico'!F28,'[1]Perfil Sociodemografico'!G28))</f>
        <v>#VALUE!</v>
      </c>
      <c r="G31" s="104" t="s">
        <v>203</v>
      </c>
      <c r="H31" s="104" t="s">
        <v>193</v>
      </c>
      <c r="I31" s="2" t="s">
        <v>195</v>
      </c>
      <c r="J31" s="4">
        <v>5350000</v>
      </c>
      <c r="K31" s="3">
        <v>30</v>
      </c>
      <c r="L31" s="3">
        <f t="shared" si="5"/>
        <v>5350000</v>
      </c>
      <c r="M31" s="3"/>
      <c r="N31" s="4"/>
      <c r="O31" s="4"/>
      <c r="P31" s="4"/>
      <c r="Q31" s="4">
        <v>1000000</v>
      </c>
      <c r="R31" s="4"/>
      <c r="S31" s="4">
        <f t="shared" si="1"/>
        <v>6350000</v>
      </c>
      <c r="T31" s="4">
        <f>+J31*4%</f>
        <v>214000</v>
      </c>
      <c r="U31" s="4">
        <f>+J31*0.05</f>
        <v>267500</v>
      </c>
      <c r="V31" s="4"/>
      <c r="W31" s="4"/>
      <c r="X31" s="7">
        <v>96000</v>
      </c>
      <c r="Y31" s="4"/>
      <c r="Z31" s="4"/>
      <c r="AA31" s="4">
        <v>810005</v>
      </c>
      <c r="AB31" s="4">
        <f t="shared" si="6"/>
        <v>1387505</v>
      </c>
      <c r="AC31" s="118">
        <f t="shared" ref="AC31:AC37" si="15">S31-AB31</f>
        <v>4962495</v>
      </c>
    </row>
    <row r="32" spans="1:29" ht="24.95" customHeight="1" x14ac:dyDescent="0.25">
      <c r="A32" s="117"/>
      <c r="B32" s="2">
        <v>29</v>
      </c>
      <c r="C32" s="1" t="s">
        <v>168</v>
      </c>
      <c r="D32" s="1" t="s">
        <v>31</v>
      </c>
      <c r="E32" s="2" t="s">
        <v>32</v>
      </c>
      <c r="F32" s="103" t="e">
        <f>INT(YEARFRAC('[1]Perfil Sociodemografico'!F122,'[1]Perfil Sociodemografico'!G122))</f>
        <v>#VALUE!</v>
      </c>
      <c r="G32" s="104" t="s">
        <v>192</v>
      </c>
      <c r="H32" s="104" t="s">
        <v>199</v>
      </c>
      <c r="I32" s="2" t="s">
        <v>195</v>
      </c>
      <c r="J32" s="4">
        <v>5000000</v>
      </c>
      <c r="K32" s="3">
        <v>30</v>
      </c>
      <c r="L32" s="3">
        <f t="shared" si="5"/>
        <v>5000000</v>
      </c>
      <c r="M32" s="3"/>
      <c r="N32" s="4"/>
      <c r="O32" s="4"/>
      <c r="P32" s="4"/>
      <c r="Q32" s="4"/>
      <c r="R32" s="4"/>
      <c r="S32" s="4">
        <f t="shared" si="1"/>
        <v>5000000</v>
      </c>
      <c r="T32" s="4">
        <f>+L32*4%</f>
        <v>200000</v>
      </c>
      <c r="U32" s="4">
        <f>+L32*5%</f>
        <v>250000</v>
      </c>
      <c r="V32" s="4"/>
      <c r="W32" s="4"/>
      <c r="X32" s="7">
        <v>78000</v>
      </c>
      <c r="Y32" s="4"/>
      <c r="Z32" s="4"/>
      <c r="AA32" s="4"/>
      <c r="AB32" s="4">
        <f t="shared" ref="AB32" si="16">SUM(T32:AA32)</f>
        <v>528000</v>
      </c>
      <c r="AC32" s="118">
        <f t="shared" si="15"/>
        <v>4472000</v>
      </c>
    </row>
    <row r="33" spans="1:30" ht="24.95" customHeight="1" x14ac:dyDescent="0.25">
      <c r="A33" s="117"/>
      <c r="B33" s="2">
        <v>30</v>
      </c>
      <c r="C33" s="1" t="s">
        <v>176</v>
      </c>
      <c r="D33" s="1" t="s">
        <v>31</v>
      </c>
      <c r="E33" s="2" t="s">
        <v>32</v>
      </c>
      <c r="F33" s="103" t="e">
        <f>INT(YEARFRAC('[1]Perfil Sociodemografico'!F82,'[1]Perfil Sociodemografico'!G82))</f>
        <v>#VALUE!</v>
      </c>
      <c r="G33" s="104" t="s">
        <v>204</v>
      </c>
      <c r="H33" s="104" t="s">
        <v>199</v>
      </c>
      <c r="I33" s="2" t="s">
        <v>195</v>
      </c>
      <c r="J33" s="4">
        <v>7000000</v>
      </c>
      <c r="K33" s="3">
        <v>30</v>
      </c>
      <c r="L33" s="3">
        <f t="shared" si="5"/>
        <v>7000000</v>
      </c>
      <c r="M33" s="3"/>
      <c r="N33" s="4"/>
      <c r="O33" s="4"/>
      <c r="P33" s="4"/>
      <c r="Q33" s="4"/>
      <c r="R33" s="4"/>
      <c r="S33" s="4">
        <f t="shared" si="1"/>
        <v>7000000</v>
      </c>
      <c r="T33" s="4">
        <f>+S33*4%</f>
        <v>280000</v>
      </c>
      <c r="U33" s="4">
        <f>+S33*5%</f>
        <v>350000</v>
      </c>
      <c r="V33" s="4"/>
      <c r="W33" s="4"/>
      <c r="X33" s="7">
        <v>309000</v>
      </c>
      <c r="Y33" s="4"/>
      <c r="Z33" s="4"/>
      <c r="AA33" s="4"/>
      <c r="AB33" s="4">
        <f t="shared" ref="AB33" si="17">SUM(T33:AA33)</f>
        <v>939000</v>
      </c>
      <c r="AC33" s="118">
        <f t="shared" si="15"/>
        <v>6061000</v>
      </c>
    </row>
    <row r="34" spans="1:30" ht="24.95" customHeight="1" x14ac:dyDescent="0.25">
      <c r="A34" s="117"/>
      <c r="B34" s="2">
        <v>31</v>
      </c>
      <c r="C34" s="1" t="s">
        <v>50</v>
      </c>
      <c r="D34" s="1" t="s">
        <v>31</v>
      </c>
      <c r="E34" s="2" t="s">
        <v>32</v>
      </c>
      <c r="F34" s="103" t="e">
        <f>INT(YEARFRAC('[1]Perfil Sociodemografico'!F102,'[1]Perfil Sociodemografico'!G102))</f>
        <v>#VALUE!</v>
      </c>
      <c r="G34" s="105" t="s">
        <v>204</v>
      </c>
      <c r="H34" s="105" t="s">
        <v>193</v>
      </c>
      <c r="I34" s="2" t="s">
        <v>195</v>
      </c>
      <c r="J34" s="4">
        <v>7000000</v>
      </c>
      <c r="K34" s="3">
        <v>30</v>
      </c>
      <c r="L34" s="3">
        <f>+J34-N34</f>
        <v>4900000</v>
      </c>
      <c r="M34" s="3"/>
      <c r="N34" s="4">
        <v>2100000</v>
      </c>
      <c r="O34" s="4"/>
      <c r="P34" s="4"/>
      <c r="Q34" s="4"/>
      <c r="R34" s="4"/>
      <c r="S34" s="4">
        <f t="shared" si="1"/>
        <v>7000000</v>
      </c>
      <c r="T34" s="4">
        <f>+J34*4%</f>
        <v>280000</v>
      </c>
      <c r="U34" s="4">
        <f>+J34*0.05</f>
        <v>350000</v>
      </c>
      <c r="V34" s="4"/>
      <c r="W34" s="4"/>
      <c r="X34" s="7">
        <v>128000</v>
      </c>
      <c r="Y34" s="4"/>
      <c r="Z34" s="4"/>
      <c r="AA34" s="4"/>
      <c r="AB34" s="4">
        <f t="shared" si="6"/>
        <v>758000</v>
      </c>
      <c r="AC34" s="118">
        <f t="shared" si="15"/>
        <v>6242000</v>
      </c>
    </row>
    <row r="35" spans="1:30" ht="24.95" customHeight="1" x14ac:dyDescent="0.25">
      <c r="A35" s="117"/>
      <c r="B35" s="2">
        <v>32</v>
      </c>
      <c r="C35" s="1" t="s">
        <v>51</v>
      </c>
      <c r="D35" s="1" t="s">
        <v>31</v>
      </c>
      <c r="E35" s="2" t="s">
        <v>32</v>
      </c>
      <c r="F35" s="103" t="e">
        <f>INT(YEARFRAC('[1]Perfil Sociodemografico'!F63,'[1]Perfil Sociodemografico'!G63))</f>
        <v>#VALUE!</v>
      </c>
      <c r="G35" s="104" t="s">
        <v>192</v>
      </c>
      <c r="H35" s="104" t="s">
        <v>193</v>
      </c>
      <c r="I35" s="2" t="s">
        <v>195</v>
      </c>
      <c r="J35" s="4">
        <v>7314000</v>
      </c>
      <c r="K35" s="3">
        <v>30</v>
      </c>
      <c r="L35" s="3">
        <f t="shared" si="5"/>
        <v>7314000</v>
      </c>
      <c r="M35" s="3"/>
      <c r="N35" s="4"/>
      <c r="O35" s="4"/>
      <c r="P35" s="4"/>
      <c r="Q35" s="4">
        <v>1400000</v>
      </c>
      <c r="R35" s="10"/>
      <c r="S35" s="4">
        <f t="shared" si="1"/>
        <v>8714000</v>
      </c>
      <c r="T35" s="4">
        <f>+J35*4%</f>
        <v>292560</v>
      </c>
      <c r="U35" s="4">
        <f>+J35*5%</f>
        <v>365700</v>
      </c>
      <c r="V35" s="4"/>
      <c r="W35" s="4"/>
      <c r="X35" s="7">
        <v>162000</v>
      </c>
      <c r="Y35" s="4">
        <v>1300000</v>
      </c>
      <c r="Z35" s="4"/>
      <c r="AA35" s="4"/>
      <c r="AB35" s="4">
        <f t="shared" si="6"/>
        <v>2120260</v>
      </c>
      <c r="AC35" s="118">
        <f t="shared" si="15"/>
        <v>6593740</v>
      </c>
    </row>
    <row r="36" spans="1:30" ht="24.95" customHeight="1" x14ac:dyDescent="0.25">
      <c r="A36" s="117"/>
      <c r="B36" s="2">
        <v>33</v>
      </c>
      <c r="C36" s="1" t="s">
        <v>177</v>
      </c>
      <c r="D36" s="1" t="s">
        <v>31</v>
      </c>
      <c r="E36" s="2" t="s">
        <v>32</v>
      </c>
      <c r="F36" s="103" t="e">
        <f>INT(YEARFRAC('[1]Perfil Sociodemografico'!F83,'[1]Perfil Sociodemografico'!G83))</f>
        <v>#VALUE!</v>
      </c>
      <c r="G36" s="104" t="s">
        <v>192</v>
      </c>
      <c r="H36" s="104" t="s">
        <v>199</v>
      </c>
      <c r="I36" s="2" t="s">
        <v>195</v>
      </c>
      <c r="J36" s="4">
        <v>5500000</v>
      </c>
      <c r="K36" s="3">
        <v>30</v>
      </c>
      <c r="L36" s="3">
        <f t="shared" si="5"/>
        <v>5500000</v>
      </c>
      <c r="M36" s="3"/>
      <c r="N36" s="4"/>
      <c r="O36" s="4"/>
      <c r="P36" s="4"/>
      <c r="Q36" s="4"/>
      <c r="R36" s="10"/>
      <c r="S36" s="4">
        <f t="shared" si="1"/>
        <v>5500000</v>
      </c>
      <c r="T36" s="4">
        <f>+L36*4%</f>
        <v>220000</v>
      </c>
      <c r="U36" s="4">
        <f>+L36*5%</f>
        <v>275000</v>
      </c>
      <c r="V36" s="4"/>
      <c r="W36" s="4"/>
      <c r="X36" s="7">
        <v>36000</v>
      </c>
      <c r="Y36" s="4"/>
      <c r="Z36" s="4"/>
      <c r="AA36" s="4"/>
      <c r="AB36" s="4">
        <f t="shared" ref="AB36" si="18">SUM(T36:AA36)</f>
        <v>531000</v>
      </c>
      <c r="AC36" s="118">
        <f t="shared" si="15"/>
        <v>4969000</v>
      </c>
    </row>
    <row r="37" spans="1:30" ht="24.95" customHeight="1" x14ac:dyDescent="0.25">
      <c r="A37" s="117"/>
      <c r="B37" s="2">
        <v>34</v>
      </c>
      <c r="C37" s="9" t="s">
        <v>151</v>
      </c>
      <c r="D37" s="1" t="s">
        <v>31</v>
      </c>
      <c r="E37" s="2" t="s">
        <v>32</v>
      </c>
      <c r="F37" s="103" t="e">
        <f>INT(YEARFRAC('[1]Perfil Sociodemografico'!F40,'[1]Perfil Sociodemografico'!G40))</f>
        <v>#VALUE!</v>
      </c>
      <c r="G37" s="104" t="s">
        <v>192</v>
      </c>
      <c r="H37" s="104" t="s">
        <v>193</v>
      </c>
      <c r="I37" s="2" t="s">
        <v>195</v>
      </c>
      <c r="J37" s="4">
        <v>4500000</v>
      </c>
      <c r="K37" s="3">
        <v>30</v>
      </c>
      <c r="L37" s="3">
        <f t="shared" si="5"/>
        <v>4500000</v>
      </c>
      <c r="M37" s="3"/>
      <c r="N37" s="4"/>
      <c r="O37" s="4"/>
      <c r="P37" s="4"/>
      <c r="Q37" s="4"/>
      <c r="R37" s="4"/>
      <c r="S37" s="4">
        <f>+L37+N37+P37+Q37+R37+O37</f>
        <v>4500000</v>
      </c>
      <c r="T37" s="4">
        <v>180000</v>
      </c>
      <c r="U37" s="4">
        <v>225000</v>
      </c>
      <c r="V37" s="4"/>
      <c r="W37" s="4"/>
      <c r="X37" s="4"/>
      <c r="Y37" s="4"/>
      <c r="Z37" s="4"/>
      <c r="AA37" s="4"/>
      <c r="AB37" s="4">
        <f>SUM(T37:AA37)</f>
        <v>405000</v>
      </c>
      <c r="AC37" s="118">
        <f t="shared" si="15"/>
        <v>4095000</v>
      </c>
    </row>
    <row r="38" spans="1:30" ht="24.95" customHeight="1" x14ac:dyDescent="0.25">
      <c r="A38" s="117"/>
      <c r="B38" s="2">
        <v>35</v>
      </c>
      <c r="C38" s="1" t="s">
        <v>52</v>
      </c>
      <c r="D38" s="1" t="s">
        <v>31</v>
      </c>
      <c r="E38" s="2" t="s">
        <v>32</v>
      </c>
      <c r="F38" s="103" t="e">
        <f>INT(YEARFRAC('[1]Perfil Sociodemografico'!F24,'[1]Perfil Sociodemografico'!G24))</f>
        <v>#VALUE!</v>
      </c>
      <c r="G38" s="104" t="s">
        <v>192</v>
      </c>
      <c r="H38" s="104" t="s">
        <v>193</v>
      </c>
      <c r="I38" s="2" t="s">
        <v>195</v>
      </c>
      <c r="J38" s="4">
        <v>5500000</v>
      </c>
      <c r="K38" s="3">
        <v>30</v>
      </c>
      <c r="L38" s="3">
        <f t="shared" si="5"/>
        <v>5500000</v>
      </c>
      <c r="M38" s="3"/>
      <c r="N38" s="4"/>
      <c r="O38" s="4"/>
      <c r="P38" s="4"/>
      <c r="Q38" s="4"/>
      <c r="R38" s="4"/>
      <c r="S38" s="4">
        <f t="shared" si="1"/>
        <v>5500000</v>
      </c>
      <c r="T38" s="4">
        <f>J38*4/100</f>
        <v>220000</v>
      </c>
      <c r="U38" s="4">
        <f>+L38*5%</f>
        <v>275000</v>
      </c>
      <c r="V38" s="4"/>
      <c r="W38" s="4"/>
      <c r="X38" s="4">
        <v>36000</v>
      </c>
      <c r="Y38" s="4"/>
      <c r="Z38" s="4"/>
      <c r="AA38" s="4"/>
      <c r="AB38" s="4">
        <f t="shared" si="6"/>
        <v>531000</v>
      </c>
      <c r="AC38" s="118">
        <f t="shared" ref="AC38:AC44" si="19">+S38-AB38</f>
        <v>4969000</v>
      </c>
    </row>
    <row r="39" spans="1:30" ht="24.95" customHeight="1" x14ac:dyDescent="0.25">
      <c r="A39" s="117"/>
      <c r="B39" s="2">
        <v>36</v>
      </c>
      <c r="C39" s="1" t="s">
        <v>152</v>
      </c>
      <c r="D39" s="1" t="s">
        <v>31</v>
      </c>
      <c r="E39" s="2" t="s">
        <v>32</v>
      </c>
      <c r="F39" s="103" t="e">
        <f>INT(YEARFRAC('[1]Perfil Sociodemografico'!F115,'[1]Perfil Sociodemografico'!G115))</f>
        <v>#VALUE!</v>
      </c>
      <c r="G39" s="105" t="s">
        <v>192</v>
      </c>
      <c r="H39" s="105" t="s">
        <v>193</v>
      </c>
      <c r="I39" s="2" t="s">
        <v>195</v>
      </c>
      <c r="J39" s="4">
        <v>4500000</v>
      </c>
      <c r="K39" s="3">
        <v>30</v>
      </c>
      <c r="L39" s="3">
        <f>+J39/30*K39</f>
        <v>4500000</v>
      </c>
      <c r="M39" s="3"/>
      <c r="N39" s="4"/>
      <c r="O39" s="4"/>
      <c r="P39" s="4"/>
      <c r="Q39" s="4"/>
      <c r="R39" s="4"/>
      <c r="S39" s="4">
        <f t="shared" si="1"/>
        <v>4500000</v>
      </c>
      <c r="T39" s="4">
        <f>S39*4/100</f>
        <v>180000</v>
      </c>
      <c r="U39" s="4">
        <f>+S39*0.05</f>
        <v>225000</v>
      </c>
      <c r="V39" s="4"/>
      <c r="W39" s="4"/>
      <c r="X39" s="7">
        <v>11000</v>
      </c>
      <c r="Y39" s="4"/>
      <c r="Z39" s="4"/>
      <c r="AA39" s="4"/>
      <c r="AB39" s="4">
        <f>SUM(T39:AA39)</f>
        <v>416000</v>
      </c>
      <c r="AC39" s="118">
        <f t="shared" si="19"/>
        <v>4084000</v>
      </c>
    </row>
    <row r="40" spans="1:30" ht="24.95" customHeight="1" x14ac:dyDescent="0.25">
      <c r="A40" s="117"/>
      <c r="B40" s="2">
        <v>37</v>
      </c>
      <c r="C40" s="1" t="s">
        <v>53</v>
      </c>
      <c r="D40" s="1" t="s">
        <v>31</v>
      </c>
      <c r="E40" s="2" t="s">
        <v>32</v>
      </c>
      <c r="F40" s="103" t="e">
        <f>INT(YEARFRAC('[1]Perfil Sociodemografico'!F30,'[1]Perfil Sociodemografico'!G30))</f>
        <v>#VALUE!</v>
      </c>
      <c r="G40" s="104" t="s">
        <v>198</v>
      </c>
      <c r="H40" s="104" t="s">
        <v>193</v>
      </c>
      <c r="I40" s="2" t="s">
        <v>195</v>
      </c>
      <c r="J40" s="4">
        <v>5300000</v>
      </c>
      <c r="K40" s="3">
        <v>30</v>
      </c>
      <c r="L40" s="3">
        <f t="shared" si="5"/>
        <v>5300000</v>
      </c>
      <c r="M40" s="3"/>
      <c r="N40" s="4"/>
      <c r="O40" s="4"/>
      <c r="P40" s="4"/>
      <c r="Q40" s="4">
        <v>1621317</v>
      </c>
      <c r="R40" s="4"/>
      <c r="S40" s="4">
        <f t="shared" si="1"/>
        <v>6921317</v>
      </c>
      <c r="T40" s="4">
        <f t="shared" ref="T40:T67" si="20">J40*4/100</f>
        <v>212000</v>
      </c>
      <c r="U40" s="4">
        <f t="shared" ref="U40:U67" si="21">+J40*0.05</f>
        <v>265000</v>
      </c>
      <c r="V40" s="4"/>
      <c r="W40" s="4"/>
      <c r="X40" s="7">
        <v>100000</v>
      </c>
      <c r="Y40" s="4">
        <v>2000000</v>
      </c>
      <c r="Z40" s="4"/>
      <c r="AA40" s="4">
        <f>884747</f>
        <v>884747</v>
      </c>
      <c r="AB40" s="4">
        <f t="shared" si="6"/>
        <v>3461747</v>
      </c>
      <c r="AC40" s="118">
        <f t="shared" si="19"/>
        <v>3459570</v>
      </c>
    </row>
    <row r="41" spans="1:30" ht="24.95" customHeight="1" x14ac:dyDescent="0.25">
      <c r="A41" s="117"/>
      <c r="B41" s="2">
        <v>38</v>
      </c>
      <c r="C41" s="1" t="s">
        <v>54</v>
      </c>
      <c r="D41" s="1" t="s">
        <v>31</v>
      </c>
      <c r="E41" s="2" t="s">
        <v>32</v>
      </c>
      <c r="F41" s="103">
        <v>32</v>
      </c>
      <c r="G41" s="104" t="s">
        <v>198</v>
      </c>
      <c r="H41" s="104" t="s">
        <v>193</v>
      </c>
      <c r="I41" s="2" t="s">
        <v>194</v>
      </c>
      <c r="J41" s="4">
        <v>4800000</v>
      </c>
      <c r="K41" s="3">
        <v>30</v>
      </c>
      <c r="L41" s="3">
        <f t="shared" si="5"/>
        <v>4800000</v>
      </c>
      <c r="M41" s="3"/>
      <c r="N41" s="4"/>
      <c r="O41" s="4"/>
      <c r="P41" s="4"/>
      <c r="Q41" s="4">
        <v>92925</v>
      </c>
      <c r="R41" s="4"/>
      <c r="S41" s="4">
        <f t="shared" si="1"/>
        <v>4892925</v>
      </c>
      <c r="T41" s="4">
        <f t="shared" si="20"/>
        <v>192000</v>
      </c>
      <c r="U41" s="4">
        <f t="shared" si="21"/>
        <v>240000</v>
      </c>
      <c r="V41" s="4">
        <v>600000</v>
      </c>
      <c r="W41" s="4"/>
      <c r="X41" s="7">
        <v>26000</v>
      </c>
      <c r="Y41" s="4"/>
      <c r="Z41" s="4"/>
      <c r="AA41" s="4"/>
      <c r="AB41" s="4">
        <f t="shared" si="6"/>
        <v>1058000</v>
      </c>
      <c r="AC41" s="118">
        <f t="shared" si="19"/>
        <v>3834925</v>
      </c>
    </row>
    <row r="42" spans="1:30" ht="24.95" customHeight="1" x14ac:dyDescent="0.25">
      <c r="A42" s="117"/>
      <c r="B42" s="2">
        <v>39</v>
      </c>
      <c r="C42" s="1" t="s">
        <v>236</v>
      </c>
      <c r="D42" s="1" t="s">
        <v>31</v>
      </c>
      <c r="E42" s="2" t="s">
        <v>32</v>
      </c>
      <c r="F42" s="103"/>
      <c r="G42" s="104"/>
      <c r="H42" s="104"/>
      <c r="I42" s="2"/>
      <c r="J42" s="4">
        <v>5500000</v>
      </c>
      <c r="K42" s="3">
        <v>20</v>
      </c>
      <c r="L42" s="3">
        <f t="shared" si="5"/>
        <v>3666666.666666667</v>
      </c>
      <c r="M42" s="3"/>
      <c r="N42" s="4"/>
      <c r="O42" s="4"/>
      <c r="P42" s="4"/>
      <c r="Q42" s="4"/>
      <c r="R42" s="4"/>
      <c r="S42" s="4">
        <f t="shared" si="1"/>
        <v>3666666.666666667</v>
      </c>
      <c r="T42" s="4">
        <v>146667</v>
      </c>
      <c r="U42" s="4">
        <f>+L42*0.05</f>
        <v>183333.33333333337</v>
      </c>
      <c r="V42" s="4"/>
      <c r="W42" s="4"/>
      <c r="X42" s="7"/>
      <c r="Y42" s="4"/>
      <c r="Z42" s="4"/>
      <c r="AA42" s="4"/>
      <c r="AB42" s="4">
        <f t="shared" ref="AB42" si="22">SUM(T42:AA42)</f>
        <v>330000.33333333337</v>
      </c>
      <c r="AC42" s="118">
        <f t="shared" si="19"/>
        <v>3336666.3333333335</v>
      </c>
    </row>
    <row r="43" spans="1:30" ht="24.95" customHeight="1" x14ac:dyDescent="0.25">
      <c r="A43" s="117"/>
      <c r="B43" s="2">
        <v>40</v>
      </c>
      <c r="C43" s="1" t="s">
        <v>55</v>
      </c>
      <c r="D43" s="1" t="s">
        <v>31</v>
      </c>
      <c r="E43" s="2" t="s">
        <v>32</v>
      </c>
      <c r="F43" s="103" t="e">
        <f>INT(YEARFRAC('[1]Perfil Sociodemografico'!F73,'[1]Perfil Sociodemografico'!G73))</f>
        <v>#VALUE!</v>
      </c>
      <c r="G43" s="104" t="s">
        <v>192</v>
      </c>
      <c r="H43" s="104" t="s">
        <v>193</v>
      </c>
      <c r="I43" s="2" t="s">
        <v>195</v>
      </c>
      <c r="J43" s="4">
        <v>5500000</v>
      </c>
      <c r="K43" s="3">
        <v>30</v>
      </c>
      <c r="L43" s="3">
        <f>+J43-R43</f>
        <v>4216666</v>
      </c>
      <c r="M43" s="3"/>
      <c r="N43" s="4"/>
      <c r="O43" s="4"/>
      <c r="P43" s="4"/>
      <c r="Q43" s="4"/>
      <c r="R43" s="4">
        <v>1283334</v>
      </c>
      <c r="S43" s="4">
        <f t="shared" si="1"/>
        <v>5500000</v>
      </c>
      <c r="T43" s="4">
        <f>J43*4/100</f>
        <v>220000</v>
      </c>
      <c r="U43" s="4">
        <f>+J43*0.05</f>
        <v>275000</v>
      </c>
      <c r="V43" s="4"/>
      <c r="W43" s="4">
        <v>147000</v>
      </c>
      <c r="X43" s="4"/>
      <c r="Y43" s="4"/>
      <c r="Z43" s="4"/>
      <c r="AA43" s="4"/>
      <c r="AB43" s="4">
        <f t="shared" si="6"/>
        <v>642000</v>
      </c>
      <c r="AC43" s="118">
        <f t="shared" si="19"/>
        <v>4858000</v>
      </c>
    </row>
    <row r="44" spans="1:30" ht="24.95" customHeight="1" x14ac:dyDescent="0.25">
      <c r="A44" s="117"/>
      <c r="B44" s="2">
        <v>41</v>
      </c>
      <c r="C44" s="1" t="s">
        <v>56</v>
      </c>
      <c r="D44" s="1" t="s">
        <v>31</v>
      </c>
      <c r="E44" s="2" t="s">
        <v>32</v>
      </c>
      <c r="F44" s="103" t="e">
        <f>INT(YEARFRAC('[1]Perfil Sociodemografico'!F72,'[1]Perfil Sociodemografico'!G72))</f>
        <v>#VALUE!</v>
      </c>
      <c r="G44" s="104" t="s">
        <v>192</v>
      </c>
      <c r="H44" s="104" t="s">
        <v>193</v>
      </c>
      <c r="I44" s="2" t="s">
        <v>195</v>
      </c>
      <c r="J44" s="4">
        <v>5500000</v>
      </c>
      <c r="K44" s="3">
        <v>30</v>
      </c>
      <c r="L44" s="3">
        <f t="shared" si="5"/>
        <v>5500000</v>
      </c>
      <c r="M44" s="3"/>
      <c r="N44" s="4"/>
      <c r="O44" s="4"/>
      <c r="P44" s="4"/>
      <c r="Q44" s="4"/>
      <c r="R44" s="4"/>
      <c r="S44" s="4">
        <f t="shared" si="1"/>
        <v>5500000</v>
      </c>
      <c r="T44" s="4">
        <f>J44*4/100</f>
        <v>220000</v>
      </c>
      <c r="U44" s="4">
        <f t="shared" si="21"/>
        <v>275000</v>
      </c>
      <c r="V44" s="4"/>
      <c r="W44" s="4"/>
      <c r="X44" s="7">
        <v>116000</v>
      </c>
      <c r="Y44" s="4"/>
      <c r="Z44" s="4"/>
      <c r="AA44" s="4"/>
      <c r="AB44" s="4">
        <f t="shared" si="6"/>
        <v>611000</v>
      </c>
      <c r="AC44" s="118">
        <f t="shared" si="19"/>
        <v>4889000</v>
      </c>
    </row>
    <row r="45" spans="1:30" ht="24.95" customHeight="1" x14ac:dyDescent="0.25">
      <c r="A45" s="117"/>
      <c r="B45" s="2">
        <v>42</v>
      </c>
      <c r="C45" s="1" t="s">
        <v>112</v>
      </c>
      <c r="D45" s="1" t="s">
        <v>31</v>
      </c>
      <c r="E45" s="2" t="s">
        <v>32</v>
      </c>
      <c r="F45" s="103" t="e">
        <f>INT(YEARFRAC('[1]Perfil Sociodemografico'!F56,'[1]Perfil Sociodemografico'!G56))</f>
        <v>#VALUE!</v>
      </c>
      <c r="G45" s="105" t="s">
        <v>198</v>
      </c>
      <c r="H45" s="105" t="s">
        <v>193</v>
      </c>
      <c r="I45" s="2" t="s">
        <v>195</v>
      </c>
      <c r="J45" s="4">
        <v>4300000</v>
      </c>
      <c r="K45" s="3">
        <v>30</v>
      </c>
      <c r="L45" s="3">
        <f t="shared" si="5"/>
        <v>4300000</v>
      </c>
      <c r="M45" s="3"/>
      <c r="N45" s="4"/>
      <c r="O45" s="4"/>
      <c r="P45" s="4"/>
      <c r="Q45" s="4"/>
      <c r="R45" s="4">
        <f>+J45-L45</f>
        <v>0</v>
      </c>
      <c r="S45" s="4">
        <f t="shared" si="1"/>
        <v>4300000</v>
      </c>
      <c r="T45" s="4">
        <f>+J45*4%</f>
        <v>172000</v>
      </c>
      <c r="U45" s="4">
        <f>+J45*5%</f>
        <v>215000</v>
      </c>
      <c r="V45" s="4"/>
      <c r="W45" s="4"/>
      <c r="X45" s="7">
        <v>0</v>
      </c>
      <c r="Y45" s="4"/>
      <c r="Z45" s="4">
        <v>0</v>
      </c>
      <c r="AA45" s="4">
        <v>709704</v>
      </c>
      <c r="AB45" s="4">
        <f t="shared" ref="AB45" si="23">SUM(T45:AA45)</f>
        <v>1096704</v>
      </c>
      <c r="AC45" s="118">
        <f>+S45-AB45</f>
        <v>3203296</v>
      </c>
      <c r="AD45" s="67"/>
    </row>
    <row r="46" spans="1:30" ht="24.95" customHeight="1" x14ac:dyDescent="0.25">
      <c r="A46" s="117"/>
      <c r="B46" s="2">
        <v>43</v>
      </c>
      <c r="C46" s="1" t="s">
        <v>113</v>
      </c>
      <c r="D46" s="1" t="s">
        <v>31</v>
      </c>
      <c r="E46" s="2" t="s">
        <v>32</v>
      </c>
      <c r="F46" s="103" t="e">
        <f>INT(YEARFRAC('[1]Perfil Sociodemografico'!F92,'[1]Perfil Sociodemografico'!G92))</f>
        <v>#VALUE!</v>
      </c>
      <c r="G46" s="104" t="s">
        <v>198</v>
      </c>
      <c r="H46" s="104" t="s">
        <v>193</v>
      </c>
      <c r="I46" s="2" t="s">
        <v>195</v>
      </c>
      <c r="J46" s="4">
        <v>4770000</v>
      </c>
      <c r="K46" s="3">
        <v>30</v>
      </c>
      <c r="L46" s="3">
        <f>+J46-O46</f>
        <v>4770000</v>
      </c>
      <c r="M46" s="3"/>
      <c r="N46" s="4"/>
      <c r="O46" s="4"/>
      <c r="P46" s="4"/>
      <c r="Q46" s="4">
        <v>160000</v>
      </c>
      <c r="R46" s="4"/>
      <c r="S46" s="4">
        <f t="shared" si="1"/>
        <v>4930000</v>
      </c>
      <c r="T46" s="4">
        <f t="shared" ref="T46" si="24">+J46*4%</f>
        <v>190800</v>
      </c>
      <c r="U46" s="4">
        <f>+J46*5%</f>
        <v>238500</v>
      </c>
      <c r="V46" s="4"/>
      <c r="W46" s="4"/>
      <c r="X46" s="7">
        <v>0</v>
      </c>
      <c r="Y46" s="4"/>
      <c r="Z46" s="4"/>
      <c r="AA46" s="4"/>
      <c r="AB46" s="4">
        <f t="shared" ref="AB46" si="25">SUM(T46:AA46)</f>
        <v>429300</v>
      </c>
      <c r="AC46" s="118">
        <f t="shared" ref="AC46" si="26">+S46-AB46</f>
        <v>4500700</v>
      </c>
    </row>
    <row r="47" spans="1:30" ht="24.95" customHeight="1" x14ac:dyDescent="0.25">
      <c r="A47" s="117"/>
      <c r="B47" s="2">
        <v>44</v>
      </c>
      <c r="C47" s="1" t="s">
        <v>60</v>
      </c>
      <c r="D47" s="1" t="s">
        <v>31</v>
      </c>
      <c r="E47" s="2" t="s">
        <v>32</v>
      </c>
      <c r="F47" s="103" t="e">
        <f>INT(YEARFRAC('[1]Perfil Sociodemografico'!F34,'[1]Perfil Sociodemografico'!G34))</f>
        <v>#VALUE!</v>
      </c>
      <c r="G47" s="104" t="s">
        <v>202</v>
      </c>
      <c r="H47" s="104" t="s">
        <v>193</v>
      </c>
      <c r="I47" s="2" t="s">
        <v>195</v>
      </c>
      <c r="J47" s="4">
        <v>7000000</v>
      </c>
      <c r="K47" s="3">
        <v>30</v>
      </c>
      <c r="L47" s="3">
        <f t="shared" si="5"/>
        <v>7000000</v>
      </c>
      <c r="M47" s="3"/>
      <c r="N47" s="4"/>
      <c r="O47" s="4"/>
      <c r="P47" s="4"/>
      <c r="Q47" s="4"/>
      <c r="R47" s="11"/>
      <c r="S47" s="4">
        <f t="shared" si="1"/>
        <v>7000000</v>
      </c>
      <c r="T47" s="4">
        <f t="shared" si="20"/>
        <v>280000</v>
      </c>
      <c r="U47" s="4">
        <f t="shared" si="21"/>
        <v>350000</v>
      </c>
      <c r="V47" s="4"/>
      <c r="W47" s="4"/>
      <c r="X47" s="7">
        <v>86000</v>
      </c>
      <c r="Y47" s="4"/>
      <c r="Z47" s="4"/>
      <c r="AA47" s="4"/>
      <c r="AB47" s="4">
        <f t="shared" si="6"/>
        <v>716000</v>
      </c>
      <c r="AC47" s="118">
        <f>S47-AB47</f>
        <v>6284000</v>
      </c>
    </row>
    <row r="48" spans="1:30" ht="24.95" customHeight="1" x14ac:dyDescent="0.25">
      <c r="A48" s="117"/>
      <c r="B48" s="2">
        <v>45</v>
      </c>
      <c r="C48" s="1" t="s">
        <v>62</v>
      </c>
      <c r="D48" s="1" t="s">
        <v>31</v>
      </c>
      <c r="E48" s="2" t="s">
        <v>32</v>
      </c>
      <c r="F48" s="103" t="e">
        <f>INT(YEARFRAC('[1]Perfil Sociodemografico'!F19,'[1]Perfil Sociodemografico'!G19))</f>
        <v>#VALUE!</v>
      </c>
      <c r="G48" s="105" t="s">
        <v>192</v>
      </c>
      <c r="H48" s="105" t="s">
        <v>193</v>
      </c>
      <c r="I48" s="2" t="s">
        <v>195</v>
      </c>
      <c r="J48" s="4">
        <v>5088000</v>
      </c>
      <c r="K48" s="3">
        <v>30</v>
      </c>
      <c r="L48" s="3">
        <f t="shared" si="5"/>
        <v>5088000</v>
      </c>
      <c r="M48" s="3"/>
      <c r="N48" s="4"/>
      <c r="O48" s="4"/>
      <c r="P48" s="4"/>
      <c r="Q48" s="4"/>
      <c r="R48" s="4"/>
      <c r="S48" s="4">
        <f t="shared" si="1"/>
        <v>5088000</v>
      </c>
      <c r="T48" s="4">
        <f>J48*4/100</f>
        <v>203520</v>
      </c>
      <c r="U48" s="4">
        <f>+J48*0.05</f>
        <v>254400</v>
      </c>
      <c r="V48" s="4"/>
      <c r="W48" s="4"/>
      <c r="X48" s="4">
        <v>0</v>
      </c>
      <c r="Y48" s="4">
        <f>1150000</f>
        <v>1150000</v>
      </c>
      <c r="Z48" s="4"/>
      <c r="AA48" s="4">
        <f>209579</f>
        <v>209579</v>
      </c>
      <c r="AB48" s="4">
        <f t="shared" si="6"/>
        <v>1817499</v>
      </c>
      <c r="AC48" s="118">
        <f>S48-AB48</f>
        <v>3270501</v>
      </c>
    </row>
    <row r="49" spans="1:32" ht="24.95" customHeight="1" x14ac:dyDescent="0.25">
      <c r="A49" s="117"/>
      <c r="B49" s="2">
        <v>46</v>
      </c>
      <c r="C49" s="1" t="s">
        <v>63</v>
      </c>
      <c r="D49" s="1" t="s">
        <v>31</v>
      </c>
      <c r="E49" s="2" t="s">
        <v>32</v>
      </c>
      <c r="F49" s="103" t="e">
        <f>INT(YEARFRAC('[1]Perfil Sociodemografico'!F93,'[1]Perfil Sociodemografico'!G93))</f>
        <v>#VALUE!</v>
      </c>
      <c r="G49" s="105" t="s">
        <v>198</v>
      </c>
      <c r="H49" s="105" t="s">
        <v>193</v>
      </c>
      <c r="I49" s="2" t="s">
        <v>195</v>
      </c>
      <c r="J49" s="4">
        <v>4540000</v>
      </c>
      <c r="K49" s="3">
        <v>30</v>
      </c>
      <c r="L49" s="3">
        <f t="shared" si="5"/>
        <v>4540000</v>
      </c>
      <c r="M49" s="3"/>
      <c r="N49" s="4"/>
      <c r="O49" s="4"/>
      <c r="P49" s="4"/>
      <c r="Q49" s="4"/>
      <c r="R49" s="4"/>
      <c r="S49" s="4">
        <f t="shared" si="1"/>
        <v>4540000</v>
      </c>
      <c r="T49" s="4">
        <f t="shared" si="20"/>
        <v>181600</v>
      </c>
      <c r="U49" s="4">
        <f t="shared" si="21"/>
        <v>227000</v>
      </c>
      <c r="V49" s="4"/>
      <c r="W49" s="4">
        <v>270000</v>
      </c>
      <c r="X49" s="7">
        <v>0</v>
      </c>
      <c r="Y49" s="4"/>
      <c r="Z49" s="4"/>
      <c r="AA49" s="4">
        <v>407106</v>
      </c>
      <c r="AB49" s="4">
        <f t="shared" si="6"/>
        <v>1085706</v>
      </c>
      <c r="AC49" s="118">
        <f>S49-AB49</f>
        <v>3454294</v>
      </c>
    </row>
    <row r="50" spans="1:32" ht="24.95" customHeight="1" x14ac:dyDescent="0.25">
      <c r="A50" s="117"/>
      <c r="B50" s="2">
        <v>47</v>
      </c>
      <c r="C50" s="1" t="s">
        <v>184</v>
      </c>
      <c r="D50" s="1" t="s">
        <v>31</v>
      </c>
      <c r="E50" s="2" t="s">
        <v>32</v>
      </c>
      <c r="F50" s="103" t="e">
        <f>INT(YEARFRAC('[1]Perfil Sociodemografico'!F90,'[1]Perfil Sociodemografico'!G90))</f>
        <v>#VALUE!</v>
      </c>
      <c r="G50" s="104" t="s">
        <v>198</v>
      </c>
      <c r="H50" s="104" t="s">
        <v>193</v>
      </c>
      <c r="I50" s="2" t="s">
        <v>195</v>
      </c>
      <c r="J50" s="4">
        <v>4500000</v>
      </c>
      <c r="K50" s="3">
        <v>30</v>
      </c>
      <c r="L50" s="3">
        <f t="shared" si="5"/>
        <v>4500000</v>
      </c>
      <c r="M50" s="3"/>
      <c r="N50" s="4"/>
      <c r="O50" s="4"/>
      <c r="P50" s="4"/>
      <c r="Q50" s="4"/>
      <c r="R50" s="4"/>
      <c r="S50" s="4">
        <f t="shared" si="1"/>
        <v>4500000</v>
      </c>
      <c r="T50" s="4">
        <f>L50*4/100</f>
        <v>180000</v>
      </c>
      <c r="U50" s="4">
        <f>+L50*0.05</f>
        <v>225000</v>
      </c>
      <c r="V50" s="4"/>
      <c r="W50" s="4"/>
      <c r="X50" s="7">
        <v>11000</v>
      </c>
      <c r="Y50" s="4"/>
      <c r="Z50" s="4"/>
      <c r="AA50" s="4"/>
      <c r="AB50" s="4">
        <f t="shared" si="6"/>
        <v>416000</v>
      </c>
      <c r="AC50" s="118">
        <f>S50-AB50</f>
        <v>4084000</v>
      </c>
    </row>
    <row r="51" spans="1:32" ht="24.95" customHeight="1" x14ac:dyDescent="0.25">
      <c r="A51" s="117"/>
      <c r="B51" s="2">
        <v>48</v>
      </c>
      <c r="C51" s="1" t="s">
        <v>64</v>
      </c>
      <c r="D51" s="1" t="s">
        <v>31</v>
      </c>
      <c r="E51" s="2" t="s">
        <v>32</v>
      </c>
      <c r="F51" s="103" t="e">
        <f>INT(YEARFRAC('[1]Perfil Sociodemografico'!F86,'[1]Perfil Sociodemografico'!G86))</f>
        <v>#VALUE!</v>
      </c>
      <c r="G51" s="104" t="s">
        <v>205</v>
      </c>
      <c r="H51" s="104" t="s">
        <v>206</v>
      </c>
      <c r="I51" s="2" t="s">
        <v>194</v>
      </c>
      <c r="J51" s="4">
        <v>4500000</v>
      </c>
      <c r="K51" s="3">
        <v>30</v>
      </c>
      <c r="L51" s="3">
        <f>+J51-O51</f>
        <v>4500000</v>
      </c>
      <c r="M51" s="3"/>
      <c r="N51" s="4"/>
      <c r="O51" s="4"/>
      <c r="P51" s="4"/>
      <c r="Q51" s="4"/>
      <c r="R51" s="4"/>
      <c r="S51" s="4">
        <f t="shared" si="1"/>
        <v>4500000</v>
      </c>
      <c r="T51" s="4">
        <f>J51*4/100</f>
        <v>180000</v>
      </c>
      <c r="U51" s="4">
        <f t="shared" si="21"/>
        <v>225000</v>
      </c>
      <c r="V51" s="4"/>
      <c r="W51" s="4"/>
      <c r="X51" s="4">
        <v>0</v>
      </c>
      <c r="Y51" s="4"/>
      <c r="Z51" s="4"/>
      <c r="AA51" s="4">
        <v>257196</v>
      </c>
      <c r="AB51" s="4">
        <f t="shared" si="6"/>
        <v>662196</v>
      </c>
      <c r="AC51" s="118">
        <f t="shared" ref="AC51:AC56" si="27">+S51-AB51</f>
        <v>3837804</v>
      </c>
    </row>
    <row r="52" spans="1:32" ht="24.95" customHeight="1" x14ac:dyDescent="0.25">
      <c r="A52" s="117"/>
      <c r="B52" s="2">
        <v>49</v>
      </c>
      <c r="C52" s="1" t="s">
        <v>65</v>
      </c>
      <c r="D52" s="1" t="s">
        <v>31</v>
      </c>
      <c r="E52" s="2" t="s">
        <v>32</v>
      </c>
      <c r="F52" s="103" t="e">
        <f>INT(YEARFRAC('[1]Perfil Sociodemografico'!F98,'[1]Perfil Sociodemografico'!G98))</f>
        <v>#VALUE!</v>
      </c>
      <c r="G52" s="104" t="s">
        <v>207</v>
      </c>
      <c r="H52" s="104" t="s">
        <v>193</v>
      </c>
      <c r="I52" s="2" t="s">
        <v>194</v>
      </c>
      <c r="J52" s="4">
        <v>4500000</v>
      </c>
      <c r="K52" s="3">
        <v>30</v>
      </c>
      <c r="L52" s="3">
        <f t="shared" si="5"/>
        <v>4500000</v>
      </c>
      <c r="M52" s="3"/>
      <c r="N52" s="4"/>
      <c r="O52" s="4"/>
      <c r="P52" s="4" t="s">
        <v>185</v>
      </c>
      <c r="Q52" s="4"/>
      <c r="R52" s="4"/>
      <c r="S52" s="4">
        <f>+L52+N52</f>
        <v>4500000</v>
      </c>
      <c r="T52" s="4">
        <f t="shared" si="20"/>
        <v>180000</v>
      </c>
      <c r="U52" s="4">
        <f t="shared" si="21"/>
        <v>225000</v>
      </c>
      <c r="V52" s="4"/>
      <c r="W52" s="4"/>
      <c r="X52" s="4">
        <v>0</v>
      </c>
      <c r="Y52" s="4"/>
      <c r="Z52" s="4"/>
      <c r="AA52" s="4"/>
      <c r="AB52" s="4">
        <f t="shared" si="6"/>
        <v>405000</v>
      </c>
      <c r="AC52" s="118">
        <f t="shared" si="27"/>
        <v>4095000</v>
      </c>
    </row>
    <row r="53" spans="1:32" ht="24.95" customHeight="1" x14ac:dyDescent="0.25">
      <c r="A53" s="117"/>
      <c r="B53" s="2">
        <v>50</v>
      </c>
      <c r="C53" s="1" t="s">
        <v>66</v>
      </c>
      <c r="D53" s="1" t="s">
        <v>31</v>
      </c>
      <c r="E53" s="2" t="s">
        <v>32</v>
      </c>
      <c r="F53" s="103" t="e">
        <f>INT(YEARFRAC('[1]Perfil Sociodemografico'!F107,'[1]Perfil Sociodemografico'!G107))</f>
        <v>#VALUE!</v>
      </c>
      <c r="G53" s="104" t="s">
        <v>198</v>
      </c>
      <c r="H53" s="104" t="s">
        <v>193</v>
      </c>
      <c r="I53" s="2" t="s">
        <v>195</v>
      </c>
      <c r="J53" s="4">
        <v>6360000</v>
      </c>
      <c r="K53" s="3">
        <v>30</v>
      </c>
      <c r="L53" s="3">
        <f>+J53-R53</f>
        <v>6360000</v>
      </c>
      <c r="M53" s="3"/>
      <c r="N53" s="4"/>
      <c r="O53" s="4"/>
      <c r="P53" s="4"/>
      <c r="Q53" s="4"/>
      <c r="R53" s="4"/>
      <c r="S53" s="4">
        <f t="shared" si="1"/>
        <v>6360000</v>
      </c>
      <c r="T53" s="4">
        <f t="shared" si="20"/>
        <v>254400</v>
      </c>
      <c r="U53" s="4">
        <f t="shared" si="21"/>
        <v>318000</v>
      </c>
      <c r="V53" s="4"/>
      <c r="W53" s="4"/>
      <c r="X53" s="4">
        <v>208000</v>
      </c>
      <c r="Y53" s="4"/>
      <c r="Z53" s="4">
        <v>122614</v>
      </c>
      <c r="AA53" s="4"/>
      <c r="AB53" s="4">
        <f t="shared" si="6"/>
        <v>903014</v>
      </c>
      <c r="AC53" s="118">
        <f t="shared" si="27"/>
        <v>5456986</v>
      </c>
    </row>
    <row r="54" spans="1:32" ht="24.95" customHeight="1" x14ac:dyDescent="0.25">
      <c r="A54" s="117"/>
      <c r="B54" s="2">
        <v>51</v>
      </c>
      <c r="C54" s="1" t="s">
        <v>153</v>
      </c>
      <c r="D54" s="1" t="s">
        <v>31</v>
      </c>
      <c r="E54" s="2" t="s">
        <v>32</v>
      </c>
      <c r="F54" s="103" t="e">
        <f>INT(YEARFRAC('[1]Perfil Sociodemografico'!F76,'[1]Perfil Sociodemografico'!G76))</f>
        <v>#VALUE!</v>
      </c>
      <c r="G54" s="105" t="s">
        <v>192</v>
      </c>
      <c r="H54" s="105" t="s">
        <v>193</v>
      </c>
      <c r="I54" s="2" t="s">
        <v>194</v>
      </c>
      <c r="J54" s="4">
        <v>3500000</v>
      </c>
      <c r="K54" s="3">
        <v>30</v>
      </c>
      <c r="L54" s="3">
        <f>+J54/30*K54</f>
        <v>3500000</v>
      </c>
      <c r="M54" s="3"/>
      <c r="N54" s="4"/>
      <c r="O54" s="4"/>
      <c r="P54" s="4"/>
      <c r="Q54" s="4"/>
      <c r="R54" s="4"/>
      <c r="S54" s="4">
        <f>+L54+N54+P54+Q54+R54+O54</f>
        <v>3500000</v>
      </c>
      <c r="T54" s="4">
        <f>L54*4/100</f>
        <v>140000</v>
      </c>
      <c r="U54" s="4">
        <f>+L54*0.05</f>
        <v>175000</v>
      </c>
      <c r="V54" s="4"/>
      <c r="W54" s="4"/>
      <c r="X54" s="4">
        <v>0</v>
      </c>
      <c r="Y54" s="4"/>
      <c r="Z54" s="4">
        <v>0</v>
      </c>
      <c r="AA54" s="4"/>
      <c r="AB54" s="4">
        <f t="shared" ref="AB54:AB55" si="28">SUM(T54:AA54)</f>
        <v>315000</v>
      </c>
      <c r="AC54" s="118">
        <f t="shared" si="27"/>
        <v>3185000</v>
      </c>
    </row>
    <row r="55" spans="1:32" ht="24.95" customHeight="1" x14ac:dyDescent="0.25">
      <c r="A55" s="117"/>
      <c r="B55" s="2">
        <v>52</v>
      </c>
      <c r="C55" s="1" t="s">
        <v>237</v>
      </c>
      <c r="D55" s="1" t="s">
        <v>31</v>
      </c>
      <c r="E55" s="2" t="s">
        <v>32</v>
      </c>
      <c r="F55" s="103" t="e">
        <f>INT(YEARFRAC('[1]Perfil Sociodemografico'!F77,'[1]Perfil Sociodemografico'!G77))</f>
        <v>#VALUE!</v>
      </c>
      <c r="G55" s="105" t="s">
        <v>192</v>
      </c>
      <c r="H55" s="105" t="s">
        <v>193</v>
      </c>
      <c r="I55" s="2" t="s">
        <v>194</v>
      </c>
      <c r="J55" s="4">
        <v>5000000</v>
      </c>
      <c r="K55" s="3">
        <v>7</v>
      </c>
      <c r="L55" s="3">
        <f>+J55/30*K55</f>
        <v>1166666.6666666665</v>
      </c>
      <c r="M55" s="3"/>
      <c r="N55" s="4">
        <f>+(1000000/30)*K55</f>
        <v>233333.33333333334</v>
      </c>
      <c r="O55" s="4"/>
      <c r="P55" s="4"/>
      <c r="Q55" s="4"/>
      <c r="R55" s="4"/>
      <c r="S55" s="4">
        <f>+L55+N55+P55+Q55+R55+O55</f>
        <v>1399999.9999999998</v>
      </c>
      <c r="T55" s="4">
        <v>46667</v>
      </c>
      <c r="U55" s="4">
        <f>+L55*0.04</f>
        <v>46666.666666666664</v>
      </c>
      <c r="V55" s="4"/>
      <c r="W55" s="4"/>
      <c r="X55" s="4">
        <v>0</v>
      </c>
      <c r="Y55" s="4"/>
      <c r="Z55" s="4">
        <v>0</v>
      </c>
      <c r="AA55" s="4"/>
      <c r="AB55" s="4">
        <f t="shared" si="28"/>
        <v>93333.666666666657</v>
      </c>
      <c r="AC55" s="118">
        <f t="shared" si="27"/>
        <v>1306666.333333333</v>
      </c>
    </row>
    <row r="56" spans="1:32" ht="24.95" customHeight="1" x14ac:dyDescent="0.25">
      <c r="A56" s="117"/>
      <c r="B56" s="2">
        <v>53</v>
      </c>
      <c r="C56" s="1" t="s">
        <v>67</v>
      </c>
      <c r="D56" s="1" t="s">
        <v>31</v>
      </c>
      <c r="E56" s="2" t="s">
        <v>32</v>
      </c>
      <c r="F56" s="103" t="e">
        <f>INT(YEARFRAC('[1]Perfil Sociodemografico'!F50,'[1]Perfil Sociodemografico'!G50))</f>
        <v>#VALUE!</v>
      </c>
      <c r="G56" s="105" t="s">
        <v>192</v>
      </c>
      <c r="H56" s="105" t="s">
        <v>193</v>
      </c>
      <c r="I56" s="2" t="s">
        <v>195</v>
      </c>
      <c r="J56" s="4">
        <v>4770000</v>
      </c>
      <c r="K56" s="3">
        <v>30</v>
      </c>
      <c r="L56" s="3">
        <f t="shared" si="5"/>
        <v>4770000</v>
      </c>
      <c r="M56" s="3"/>
      <c r="N56" s="4"/>
      <c r="O56" s="4"/>
      <c r="P56" s="4"/>
      <c r="Q56" s="4">
        <v>500000</v>
      </c>
      <c r="R56" s="4"/>
      <c r="S56" s="4">
        <f t="shared" si="1"/>
        <v>5270000</v>
      </c>
      <c r="T56" s="4">
        <f t="shared" si="20"/>
        <v>190800</v>
      </c>
      <c r="U56" s="4">
        <f t="shared" si="21"/>
        <v>238500</v>
      </c>
      <c r="V56" s="4"/>
      <c r="W56" s="4"/>
      <c r="X56" s="4">
        <v>22000</v>
      </c>
      <c r="Y56" s="4"/>
      <c r="Z56" s="4"/>
      <c r="AA56" s="4">
        <v>551399</v>
      </c>
      <c r="AB56" s="4">
        <f t="shared" si="6"/>
        <v>1002699</v>
      </c>
      <c r="AC56" s="118">
        <f t="shared" si="27"/>
        <v>4267301</v>
      </c>
    </row>
    <row r="57" spans="1:32" ht="24.95" customHeight="1" x14ac:dyDescent="0.25">
      <c r="A57" s="117"/>
      <c r="B57" s="2">
        <v>54</v>
      </c>
      <c r="C57" s="1" t="s">
        <v>69</v>
      </c>
      <c r="D57" s="1" t="s">
        <v>31</v>
      </c>
      <c r="E57" s="2" t="s">
        <v>32</v>
      </c>
      <c r="F57" s="103" t="e">
        <f>INT(YEARFRAC('[1]Perfil Sociodemografico'!F41,'[1]Perfil Sociodemografico'!G41))</f>
        <v>#VALUE!</v>
      </c>
      <c r="G57" s="104" t="s">
        <v>208</v>
      </c>
      <c r="H57" s="104" t="s">
        <v>193</v>
      </c>
      <c r="I57" s="2" t="s">
        <v>194</v>
      </c>
      <c r="J57" s="4">
        <v>6000000</v>
      </c>
      <c r="K57" s="3">
        <v>30</v>
      </c>
      <c r="L57" s="3">
        <f>+J57-R57</f>
        <v>6000000</v>
      </c>
      <c r="M57" s="3"/>
      <c r="N57" s="4"/>
      <c r="O57" s="4"/>
      <c r="P57" s="4"/>
      <c r="Q57" s="4"/>
      <c r="R57" s="4"/>
      <c r="S57" s="4">
        <f t="shared" si="1"/>
        <v>6000000</v>
      </c>
      <c r="T57" s="4">
        <f t="shared" si="20"/>
        <v>240000</v>
      </c>
      <c r="U57" s="4">
        <f t="shared" si="21"/>
        <v>300000</v>
      </c>
      <c r="V57" s="4">
        <v>0</v>
      </c>
      <c r="W57" s="4"/>
      <c r="X57" s="4">
        <v>0</v>
      </c>
      <c r="Y57" s="4"/>
      <c r="Z57" s="4"/>
      <c r="AA57" s="4"/>
      <c r="AB57" s="4">
        <f t="shared" si="6"/>
        <v>540000</v>
      </c>
      <c r="AC57" s="118">
        <f>S57-AB57</f>
        <v>5460000</v>
      </c>
      <c r="AF57" s="62">
        <v>321831000</v>
      </c>
    </row>
    <row r="58" spans="1:32" ht="24.95" customHeight="1" x14ac:dyDescent="0.25">
      <c r="A58" s="117"/>
      <c r="B58" s="2">
        <v>55</v>
      </c>
      <c r="C58" s="1" t="s">
        <v>70</v>
      </c>
      <c r="D58" s="1" t="s">
        <v>31</v>
      </c>
      <c r="E58" s="2" t="s">
        <v>32</v>
      </c>
      <c r="F58" s="103" t="e">
        <f>INT(YEARFRAC('[1]Perfil Sociodemografico'!F47,'[1]Perfil Sociodemografico'!G47))</f>
        <v>#VALUE!</v>
      </c>
      <c r="G58" s="104" t="s">
        <v>192</v>
      </c>
      <c r="H58" s="104" t="s">
        <v>193</v>
      </c>
      <c r="I58" s="2" t="s">
        <v>195</v>
      </c>
      <c r="J58" s="4">
        <v>7800000</v>
      </c>
      <c r="K58" s="3">
        <v>30</v>
      </c>
      <c r="L58" s="3">
        <f t="shared" si="5"/>
        <v>7800000</v>
      </c>
      <c r="M58" s="3"/>
      <c r="N58" s="4"/>
      <c r="O58" s="4"/>
      <c r="P58" s="4"/>
      <c r="Q58" s="4">
        <v>1200000</v>
      </c>
      <c r="R58" s="4"/>
      <c r="S58" s="4">
        <f t="shared" si="1"/>
        <v>9000000</v>
      </c>
      <c r="T58" s="4">
        <f>(J58*4/100)</f>
        <v>312000</v>
      </c>
      <c r="U58" s="4">
        <f>+(J58*0.05)</f>
        <v>390000</v>
      </c>
      <c r="V58" s="4"/>
      <c r="W58" s="4"/>
      <c r="X58" s="4">
        <v>302000</v>
      </c>
      <c r="Y58" s="4"/>
      <c r="Z58" s="4"/>
      <c r="AA58" s="4"/>
      <c r="AB58" s="4">
        <f t="shared" si="6"/>
        <v>1004000</v>
      </c>
      <c r="AC58" s="118">
        <f>+S58-AB58</f>
        <v>7996000</v>
      </c>
      <c r="AF58" s="62">
        <f>+AF57/2</f>
        <v>160915500</v>
      </c>
    </row>
    <row r="59" spans="1:32" ht="24.95" customHeight="1" x14ac:dyDescent="0.25">
      <c r="A59" s="117"/>
      <c r="B59" s="2">
        <v>56</v>
      </c>
      <c r="C59" s="9" t="s">
        <v>72</v>
      </c>
      <c r="D59" s="1" t="s">
        <v>31</v>
      </c>
      <c r="E59" s="2" t="s">
        <v>32</v>
      </c>
      <c r="F59" s="103" t="e">
        <f>INT(YEARFRAC('[1]Perfil Sociodemografico'!F100,'[1]Perfil Sociodemografico'!G100))</f>
        <v>#VALUE!</v>
      </c>
      <c r="G59" s="104" t="s">
        <v>200</v>
      </c>
      <c r="H59" s="104" t="s">
        <v>193</v>
      </c>
      <c r="I59" s="2" t="s">
        <v>194</v>
      </c>
      <c r="J59" s="4">
        <v>7000000</v>
      </c>
      <c r="K59" s="3">
        <v>30</v>
      </c>
      <c r="L59" s="3">
        <f>+J59-N59</f>
        <v>5366666</v>
      </c>
      <c r="M59" s="3"/>
      <c r="N59" s="4">
        <v>1633334</v>
      </c>
      <c r="O59" s="4"/>
      <c r="P59" s="4">
        <v>0</v>
      </c>
      <c r="Q59" s="4"/>
      <c r="R59" s="4"/>
      <c r="S59" s="4">
        <f t="shared" si="1"/>
        <v>7000000</v>
      </c>
      <c r="T59" s="4">
        <f>J59*4/100</f>
        <v>280000</v>
      </c>
      <c r="U59" s="4">
        <f>+J59*0.05</f>
        <v>350000</v>
      </c>
      <c r="V59" s="4"/>
      <c r="W59" s="4"/>
      <c r="X59" s="4">
        <v>182000</v>
      </c>
      <c r="Y59" s="4"/>
      <c r="Z59" s="4"/>
      <c r="AA59" s="4"/>
      <c r="AB59" s="4">
        <f t="shared" si="6"/>
        <v>812000</v>
      </c>
      <c r="AC59" s="118">
        <f>S59-AB59</f>
        <v>6188000</v>
      </c>
    </row>
    <row r="60" spans="1:32" ht="24.95" customHeight="1" x14ac:dyDescent="0.25">
      <c r="A60" s="117"/>
      <c r="B60" s="2">
        <v>57</v>
      </c>
      <c r="C60" s="1" t="s">
        <v>73</v>
      </c>
      <c r="D60" s="1" t="s">
        <v>31</v>
      </c>
      <c r="E60" s="2" t="s">
        <v>32</v>
      </c>
      <c r="F60" s="103" t="e">
        <f>INT(YEARFRAC('[1]Perfil Sociodemografico'!F25,'[1]Perfil Sociodemografico'!G25))</f>
        <v>#VALUE!</v>
      </c>
      <c r="G60" s="105" t="s">
        <v>192</v>
      </c>
      <c r="H60" s="105" t="s">
        <v>193</v>
      </c>
      <c r="I60" s="2" t="s">
        <v>194</v>
      </c>
      <c r="J60" s="4"/>
      <c r="K60" s="3">
        <v>30</v>
      </c>
      <c r="L60" s="3">
        <f t="shared" si="5"/>
        <v>0</v>
      </c>
      <c r="M60" s="3"/>
      <c r="N60" s="4"/>
      <c r="O60" s="4"/>
      <c r="P60" s="4"/>
      <c r="Q60" s="4"/>
      <c r="R60" s="4"/>
      <c r="S60" s="4">
        <f t="shared" si="1"/>
        <v>0</v>
      </c>
      <c r="T60" s="4">
        <f t="shared" si="20"/>
        <v>0</v>
      </c>
      <c r="U60" s="4">
        <f t="shared" si="21"/>
        <v>0</v>
      </c>
      <c r="V60" s="4"/>
      <c r="W60" s="4"/>
      <c r="X60" s="4"/>
      <c r="Y60" s="4"/>
      <c r="Z60" s="4"/>
      <c r="AA60" s="4"/>
      <c r="AB60" s="4">
        <f t="shared" si="6"/>
        <v>0</v>
      </c>
      <c r="AC60" s="118">
        <f t="shared" ref="AC60:AC66" si="29">+S60-AB60</f>
        <v>0</v>
      </c>
    </row>
    <row r="61" spans="1:32" ht="24.95" customHeight="1" x14ac:dyDescent="0.25">
      <c r="A61" s="117"/>
      <c r="B61" s="2">
        <v>58</v>
      </c>
      <c r="C61" s="1" t="s">
        <v>74</v>
      </c>
      <c r="D61" s="2" t="s">
        <v>31</v>
      </c>
      <c r="E61" s="2" t="s">
        <v>32</v>
      </c>
      <c r="F61" s="103" t="e">
        <f>INT(YEARFRAC('[1]Perfil Sociodemografico'!F42,'[1]Perfil Sociodemografico'!G42))</f>
        <v>#VALUE!</v>
      </c>
      <c r="G61" s="104" t="s">
        <v>198</v>
      </c>
      <c r="H61" s="104" t="s">
        <v>193</v>
      </c>
      <c r="I61" s="2" t="s">
        <v>194</v>
      </c>
      <c r="J61" s="4">
        <v>4500000</v>
      </c>
      <c r="K61" s="3">
        <v>30</v>
      </c>
      <c r="L61" s="3">
        <f>+J61-R61</f>
        <v>4500000</v>
      </c>
      <c r="M61" s="3"/>
      <c r="N61" s="4"/>
      <c r="O61" s="4"/>
      <c r="P61" s="4"/>
      <c r="Q61" s="4"/>
      <c r="R61" s="4"/>
      <c r="S61" s="4">
        <f t="shared" si="1"/>
        <v>4500000</v>
      </c>
      <c r="T61" s="4">
        <f t="shared" si="20"/>
        <v>180000</v>
      </c>
      <c r="U61" s="4">
        <f t="shared" si="21"/>
        <v>225000</v>
      </c>
      <c r="V61" s="4"/>
      <c r="W61" s="4"/>
      <c r="X61" s="4">
        <v>0</v>
      </c>
      <c r="Y61" s="4"/>
      <c r="Z61" s="4"/>
      <c r="AA61" s="4"/>
      <c r="AB61" s="4">
        <f t="shared" si="6"/>
        <v>405000</v>
      </c>
      <c r="AC61" s="118">
        <f t="shared" si="29"/>
        <v>4095000</v>
      </c>
    </row>
    <row r="62" spans="1:32" ht="24.95" customHeight="1" x14ac:dyDescent="0.25">
      <c r="A62" s="117"/>
      <c r="B62" s="2">
        <v>59</v>
      </c>
      <c r="C62" s="1" t="s">
        <v>75</v>
      </c>
      <c r="D62" s="1" t="s">
        <v>31</v>
      </c>
      <c r="E62" s="2" t="s">
        <v>32</v>
      </c>
      <c r="F62" s="103" t="e">
        <f>INT(YEARFRAC('[1]Perfil Sociodemografico'!F111,'[1]Perfil Sociodemografico'!G111))</f>
        <v>#VALUE!</v>
      </c>
      <c r="G62" s="105" t="s">
        <v>192</v>
      </c>
      <c r="H62" s="105" t="s">
        <v>193</v>
      </c>
      <c r="I62" s="2" t="s">
        <v>195</v>
      </c>
      <c r="J62" s="4">
        <v>5100000</v>
      </c>
      <c r="K62" s="3">
        <v>30</v>
      </c>
      <c r="L62" s="3">
        <f t="shared" si="5"/>
        <v>5100000</v>
      </c>
      <c r="M62" s="3"/>
      <c r="N62" s="4"/>
      <c r="O62" s="4"/>
      <c r="P62" s="4"/>
      <c r="Q62" s="4"/>
      <c r="R62" s="4"/>
      <c r="S62" s="4">
        <f t="shared" si="1"/>
        <v>5100000</v>
      </c>
      <c r="T62" s="4">
        <f>S62*4/100</f>
        <v>204000</v>
      </c>
      <c r="U62" s="4">
        <f>+S62*0.05</f>
        <v>255000</v>
      </c>
      <c r="V62" s="4"/>
      <c r="W62" s="4"/>
      <c r="X62" s="4">
        <v>0</v>
      </c>
      <c r="Y62" s="4"/>
      <c r="Z62" s="4"/>
      <c r="AA62" s="4">
        <v>317224</v>
      </c>
      <c r="AB62" s="4">
        <f t="shared" si="6"/>
        <v>776224</v>
      </c>
      <c r="AC62" s="118">
        <f t="shared" si="29"/>
        <v>4323776</v>
      </c>
    </row>
    <row r="63" spans="1:32" ht="24.95" customHeight="1" x14ac:dyDescent="0.25">
      <c r="A63" s="117"/>
      <c r="B63" s="2">
        <v>60</v>
      </c>
      <c r="C63" s="1" t="s">
        <v>163</v>
      </c>
      <c r="D63" s="1" t="s">
        <v>31</v>
      </c>
      <c r="E63" s="2" t="s">
        <v>32</v>
      </c>
      <c r="F63" s="103" t="e">
        <f>INT(YEARFRAC('[1]Perfil Sociodemografico'!F67,'[1]Perfil Sociodemografico'!G67))</f>
        <v>#VALUE!</v>
      </c>
      <c r="G63" s="104" t="s">
        <v>209</v>
      </c>
      <c r="H63" s="104" t="s">
        <v>193</v>
      </c>
      <c r="I63" s="2" t="s">
        <v>195</v>
      </c>
      <c r="J63" s="4">
        <v>6800000</v>
      </c>
      <c r="K63" s="3">
        <v>30</v>
      </c>
      <c r="L63" s="3">
        <f t="shared" si="5"/>
        <v>6800000</v>
      </c>
      <c r="M63" s="3"/>
      <c r="N63" s="4"/>
      <c r="O63" s="4"/>
      <c r="P63" s="4"/>
      <c r="Q63" s="4"/>
      <c r="R63" s="4"/>
      <c r="S63" s="4">
        <f t="shared" si="1"/>
        <v>6800000</v>
      </c>
      <c r="T63" s="4">
        <f>+L63*4%</f>
        <v>272000</v>
      </c>
      <c r="U63" s="4">
        <f>+L63*0.05</f>
        <v>340000</v>
      </c>
      <c r="V63" s="4"/>
      <c r="W63" s="4"/>
      <c r="X63" s="4">
        <v>115000</v>
      </c>
      <c r="Y63" s="4"/>
      <c r="Z63" s="4"/>
      <c r="AA63" s="4"/>
      <c r="AB63" s="4">
        <f t="shared" ref="AB63" si="30">SUM(T63:AA63)</f>
        <v>727000</v>
      </c>
      <c r="AC63" s="118">
        <f t="shared" si="29"/>
        <v>6073000</v>
      </c>
    </row>
    <row r="64" spans="1:32" ht="24.95" customHeight="1" x14ac:dyDescent="0.25">
      <c r="A64" s="117"/>
      <c r="B64" s="2">
        <v>61</v>
      </c>
      <c r="C64" s="1" t="s">
        <v>77</v>
      </c>
      <c r="D64" s="1" t="s">
        <v>31</v>
      </c>
      <c r="E64" s="2" t="s">
        <v>32</v>
      </c>
      <c r="F64" s="103" t="e">
        <f>INT(YEARFRAC('[1]Perfil Sociodemografico'!F110,'[1]Perfil Sociodemografico'!G110))</f>
        <v>#VALUE!</v>
      </c>
      <c r="G64" s="105" t="s">
        <v>192</v>
      </c>
      <c r="H64" s="104" t="s">
        <v>193</v>
      </c>
      <c r="I64" s="2" t="s">
        <v>195</v>
      </c>
      <c r="J64" s="4">
        <v>4400000</v>
      </c>
      <c r="K64" s="3">
        <v>30</v>
      </c>
      <c r="L64" s="3">
        <f>+J64-R64</f>
        <v>4400000</v>
      </c>
      <c r="M64" s="3"/>
      <c r="N64" s="4"/>
      <c r="O64" s="4"/>
      <c r="P64" s="4"/>
      <c r="Q64" s="4"/>
      <c r="R64" s="4"/>
      <c r="S64" s="4">
        <f t="shared" si="1"/>
        <v>4400000</v>
      </c>
      <c r="T64" s="4">
        <f>J64*4/100</f>
        <v>176000</v>
      </c>
      <c r="U64" s="4">
        <f>+J64*0.05</f>
        <v>220000</v>
      </c>
      <c r="V64" s="4"/>
      <c r="W64" s="4"/>
      <c r="X64" s="4">
        <v>0</v>
      </c>
      <c r="Y64" s="4"/>
      <c r="Z64" s="4"/>
      <c r="AA64" s="4">
        <v>141077</v>
      </c>
      <c r="AB64" s="4">
        <f t="shared" si="6"/>
        <v>537077</v>
      </c>
      <c r="AC64" s="118">
        <f t="shared" si="29"/>
        <v>3862923</v>
      </c>
    </row>
    <row r="65" spans="1:29" ht="24.95" customHeight="1" x14ac:dyDescent="0.25">
      <c r="A65" s="117"/>
      <c r="B65" s="2">
        <v>62</v>
      </c>
      <c r="C65" s="1" t="s">
        <v>78</v>
      </c>
      <c r="D65" s="1" t="s">
        <v>31</v>
      </c>
      <c r="E65" s="2" t="s">
        <v>32</v>
      </c>
      <c r="F65" s="2">
        <v>36</v>
      </c>
      <c r="G65" s="105" t="s">
        <v>192</v>
      </c>
      <c r="H65" s="104" t="s">
        <v>193</v>
      </c>
      <c r="I65" s="2" t="s">
        <v>195</v>
      </c>
      <c r="J65" s="4">
        <v>7800000</v>
      </c>
      <c r="K65" s="3">
        <v>30</v>
      </c>
      <c r="L65" s="3">
        <f t="shared" si="5"/>
        <v>7800000</v>
      </c>
      <c r="M65" s="3"/>
      <c r="N65" s="4"/>
      <c r="O65" s="4"/>
      <c r="P65" s="4"/>
      <c r="Q65" s="4">
        <v>400000</v>
      </c>
      <c r="R65" s="4"/>
      <c r="S65" s="4">
        <f t="shared" si="1"/>
        <v>8200000</v>
      </c>
      <c r="T65" s="4">
        <f>J65*4/100</f>
        <v>312000</v>
      </c>
      <c r="U65" s="4">
        <f>+J65*0.05</f>
        <v>390000</v>
      </c>
      <c r="V65" s="4"/>
      <c r="W65" s="4"/>
      <c r="X65" s="4">
        <v>315000</v>
      </c>
      <c r="Y65" s="4"/>
      <c r="Z65" s="4"/>
      <c r="AA65" s="4"/>
      <c r="AB65" s="4">
        <f t="shared" si="6"/>
        <v>1017000</v>
      </c>
      <c r="AC65" s="118">
        <f t="shared" si="29"/>
        <v>7183000</v>
      </c>
    </row>
    <row r="66" spans="1:29" ht="24.95" customHeight="1" x14ac:dyDescent="0.25">
      <c r="A66" s="117"/>
      <c r="B66" s="2">
        <v>63</v>
      </c>
      <c r="C66" s="1" t="s">
        <v>154</v>
      </c>
      <c r="D66" s="1" t="s">
        <v>31</v>
      </c>
      <c r="E66" s="2" t="s">
        <v>32</v>
      </c>
      <c r="F66" s="103" t="e">
        <f>INT(YEARFRAC('[1]Perfil Sociodemografico'!F17,'[1]Perfil Sociodemografico'!G17))</f>
        <v>#VALUE!</v>
      </c>
      <c r="G66" s="105" t="s">
        <v>192</v>
      </c>
      <c r="H66" s="105" t="s">
        <v>193</v>
      </c>
      <c r="I66" s="2" t="s">
        <v>195</v>
      </c>
      <c r="J66" s="4">
        <v>4000000</v>
      </c>
      <c r="K66" s="3">
        <v>30</v>
      </c>
      <c r="L66" s="3">
        <f t="shared" si="5"/>
        <v>4000000.0000000005</v>
      </c>
      <c r="M66" s="3"/>
      <c r="N66" s="4"/>
      <c r="O66" s="4"/>
      <c r="P66" s="4"/>
      <c r="Q66" s="4"/>
      <c r="R66" s="4"/>
      <c r="S66" s="4">
        <f t="shared" si="1"/>
        <v>4000000.0000000005</v>
      </c>
      <c r="T66" s="4">
        <f>L66*4/100</f>
        <v>160000.00000000003</v>
      </c>
      <c r="U66" s="4">
        <f>+L66*0.05</f>
        <v>200000.00000000003</v>
      </c>
      <c r="V66" s="4"/>
      <c r="W66" s="4"/>
      <c r="X66" s="4"/>
      <c r="Y66" s="4"/>
      <c r="Z66" s="4"/>
      <c r="AA66" s="4"/>
      <c r="AB66" s="4">
        <f t="shared" ref="AB66" si="31">SUM(T66:AA66)</f>
        <v>360000.00000000006</v>
      </c>
      <c r="AC66" s="118">
        <f t="shared" si="29"/>
        <v>3640000.0000000005</v>
      </c>
    </row>
    <row r="67" spans="1:29" ht="24.95" customHeight="1" x14ac:dyDescent="0.25">
      <c r="A67" s="117"/>
      <c r="B67" s="2">
        <v>64</v>
      </c>
      <c r="C67" s="1" t="s">
        <v>80</v>
      </c>
      <c r="D67" s="1" t="s">
        <v>31</v>
      </c>
      <c r="E67" s="2" t="s">
        <v>32</v>
      </c>
      <c r="F67" s="103" t="e">
        <f>INT(YEARFRAC('[1]Perfil Sociodemografico'!F32,'[1]Perfil Sociodemografico'!G32))</f>
        <v>#VALUE!</v>
      </c>
      <c r="G67" s="104" t="s">
        <v>198</v>
      </c>
      <c r="H67" s="104" t="s">
        <v>193</v>
      </c>
      <c r="I67" s="2" t="s">
        <v>195</v>
      </c>
      <c r="J67" s="4">
        <v>6000000</v>
      </c>
      <c r="K67" s="3">
        <v>30</v>
      </c>
      <c r="L67" s="3">
        <f t="shared" si="5"/>
        <v>6000000</v>
      </c>
      <c r="M67" s="3"/>
      <c r="N67" s="4"/>
      <c r="O67" s="4"/>
      <c r="P67" s="4"/>
      <c r="Q67" s="4">
        <v>400000</v>
      </c>
      <c r="R67" s="4"/>
      <c r="S67" s="4">
        <f t="shared" si="1"/>
        <v>6400000</v>
      </c>
      <c r="T67" s="4">
        <f t="shared" si="20"/>
        <v>240000</v>
      </c>
      <c r="U67" s="4">
        <f t="shared" si="21"/>
        <v>300000</v>
      </c>
      <c r="V67" s="4"/>
      <c r="W67" s="4"/>
      <c r="X67" s="4">
        <v>120000</v>
      </c>
      <c r="Y67" s="4"/>
      <c r="Z67" s="4"/>
      <c r="AA67" s="4"/>
      <c r="AB67" s="4">
        <f t="shared" si="6"/>
        <v>660000</v>
      </c>
      <c r="AC67" s="118">
        <f>S67-AB67</f>
        <v>5740000</v>
      </c>
    </row>
    <row r="68" spans="1:29" ht="24.95" customHeight="1" x14ac:dyDescent="0.25">
      <c r="A68" s="117"/>
      <c r="B68" s="2">
        <v>65</v>
      </c>
      <c r="C68" s="1" t="s">
        <v>238</v>
      </c>
      <c r="D68" s="1" t="s">
        <v>31</v>
      </c>
      <c r="E68" s="2" t="s">
        <v>32</v>
      </c>
      <c r="F68" s="103"/>
      <c r="G68" s="104"/>
      <c r="H68" s="104"/>
      <c r="I68" s="2"/>
      <c r="J68" s="4">
        <v>4800000</v>
      </c>
      <c r="K68" s="3">
        <v>7</v>
      </c>
      <c r="L68" s="3">
        <f t="shared" si="5"/>
        <v>1120000</v>
      </c>
      <c r="M68" s="3"/>
      <c r="N68" s="4"/>
      <c r="O68" s="4"/>
      <c r="P68" s="4"/>
      <c r="Q68" s="4"/>
      <c r="R68" s="4"/>
      <c r="S68" s="4">
        <f t="shared" si="1"/>
        <v>1120000</v>
      </c>
      <c r="T68" s="4">
        <f>+L68*4%</f>
        <v>44800</v>
      </c>
      <c r="U68" s="4">
        <f>+L68*4%</f>
        <v>44800</v>
      </c>
      <c r="V68" s="4"/>
      <c r="W68" s="4"/>
      <c r="X68" s="4"/>
      <c r="Y68" s="4"/>
      <c r="Z68" s="4"/>
      <c r="AA68" s="4"/>
      <c r="AB68" s="4">
        <f t="shared" ref="AB68:AB69" si="32">SUM(T68:AA68)</f>
        <v>89600</v>
      </c>
      <c r="AC68" s="118">
        <f>+S68-AB68</f>
        <v>1030400</v>
      </c>
    </row>
    <row r="69" spans="1:29" ht="24.95" customHeight="1" x14ac:dyDescent="0.25">
      <c r="A69" s="117"/>
      <c r="B69" s="2">
        <v>66</v>
      </c>
      <c r="C69" s="1" t="s">
        <v>239</v>
      </c>
      <c r="D69" s="1" t="s">
        <v>31</v>
      </c>
      <c r="E69" s="2" t="s">
        <v>32</v>
      </c>
      <c r="F69" s="103"/>
      <c r="G69" s="104"/>
      <c r="H69" s="104"/>
      <c r="I69" s="2"/>
      <c r="J69" s="4">
        <v>4800000</v>
      </c>
      <c r="K69" s="3">
        <v>7</v>
      </c>
      <c r="L69" s="3">
        <f t="shared" si="5"/>
        <v>1120000</v>
      </c>
      <c r="M69" s="3"/>
      <c r="N69" s="4"/>
      <c r="O69" s="4"/>
      <c r="P69" s="4"/>
      <c r="Q69" s="4"/>
      <c r="R69" s="4"/>
      <c r="S69" s="4">
        <f t="shared" si="1"/>
        <v>1120000</v>
      </c>
      <c r="T69" s="4">
        <f>+L69*4%</f>
        <v>44800</v>
      </c>
      <c r="U69" s="4">
        <f>+L69*4%</f>
        <v>44800</v>
      </c>
      <c r="V69" s="4"/>
      <c r="W69" s="4"/>
      <c r="X69" s="4"/>
      <c r="Y69" s="4"/>
      <c r="Z69" s="4"/>
      <c r="AA69" s="4"/>
      <c r="AB69" s="4">
        <f t="shared" si="32"/>
        <v>89600</v>
      </c>
      <c r="AC69" s="118">
        <f>+S69-AB69</f>
        <v>1030400</v>
      </c>
    </row>
    <row r="70" spans="1:29" ht="24.95" customHeight="1" x14ac:dyDescent="0.25">
      <c r="A70" s="117"/>
      <c r="B70" s="2">
        <v>67</v>
      </c>
      <c r="C70" s="1" t="s">
        <v>81</v>
      </c>
      <c r="D70" s="1" t="s">
        <v>31</v>
      </c>
      <c r="E70" s="2" t="s">
        <v>32</v>
      </c>
      <c r="F70" s="103" t="e">
        <f>INT(YEARFRAC('[1]Perfil Sociodemografico'!F120,'[1]Perfil Sociodemografico'!G120))</f>
        <v>#VALUE!</v>
      </c>
      <c r="G70" s="104" t="s">
        <v>192</v>
      </c>
      <c r="H70" s="104" t="s">
        <v>193</v>
      </c>
      <c r="I70" s="2" t="s">
        <v>195</v>
      </c>
      <c r="J70" s="4">
        <v>4800000</v>
      </c>
      <c r="K70" s="3">
        <v>30</v>
      </c>
      <c r="L70" s="3">
        <f t="shared" si="5"/>
        <v>4800000</v>
      </c>
      <c r="M70" s="3"/>
      <c r="N70" s="4"/>
      <c r="O70" s="4"/>
      <c r="P70" s="4"/>
      <c r="Q70" s="4"/>
      <c r="R70" s="4"/>
      <c r="S70" s="4">
        <f t="shared" si="1"/>
        <v>4800000</v>
      </c>
      <c r="T70" s="4">
        <f>+J70*4%</f>
        <v>192000</v>
      </c>
      <c r="U70" s="4">
        <f>+J70*5%</f>
        <v>240000</v>
      </c>
      <c r="V70" s="4"/>
      <c r="W70" s="4"/>
      <c r="X70" s="4">
        <v>26000</v>
      </c>
      <c r="Y70" s="4"/>
      <c r="Z70" s="4"/>
      <c r="AA70" s="4"/>
      <c r="AB70" s="4">
        <f t="shared" si="6"/>
        <v>458000</v>
      </c>
      <c r="AC70" s="118">
        <f>+S70-AB70</f>
        <v>4342000</v>
      </c>
    </row>
    <row r="71" spans="1:29" ht="24.95" customHeight="1" x14ac:dyDescent="0.25">
      <c r="A71" s="117"/>
      <c r="B71" s="2">
        <v>68</v>
      </c>
      <c r="C71" s="1" t="s">
        <v>240</v>
      </c>
      <c r="D71" s="1" t="s">
        <v>31</v>
      </c>
      <c r="E71" s="2" t="s">
        <v>32</v>
      </c>
      <c r="F71" s="103" t="e">
        <f>INT(YEARFRAC('[1]Perfil Sociodemografico'!F121,'[1]Perfil Sociodemografico'!G121))</f>
        <v>#VALUE!</v>
      </c>
      <c r="G71" s="104" t="s">
        <v>192</v>
      </c>
      <c r="H71" s="104" t="s">
        <v>193</v>
      </c>
      <c r="I71" s="2" t="s">
        <v>195</v>
      </c>
      <c r="J71" s="4">
        <v>5200000</v>
      </c>
      <c r="K71" s="3">
        <v>20</v>
      </c>
      <c r="L71" s="3">
        <f t="shared" si="5"/>
        <v>3466666.666666667</v>
      </c>
      <c r="M71" s="3"/>
      <c r="N71" s="4"/>
      <c r="O71" s="4"/>
      <c r="P71" s="4"/>
      <c r="Q71" s="4"/>
      <c r="R71" s="4"/>
      <c r="S71" s="4">
        <f t="shared" si="1"/>
        <v>3466666.666666667</v>
      </c>
      <c r="T71" s="4">
        <v>138667</v>
      </c>
      <c r="U71" s="4">
        <f>+L71*5%</f>
        <v>173333.33333333337</v>
      </c>
      <c r="V71" s="4"/>
      <c r="W71" s="4"/>
      <c r="X71" s="4"/>
      <c r="Y71" s="4"/>
      <c r="Z71" s="4"/>
      <c r="AA71" s="4"/>
      <c r="AB71" s="4">
        <f t="shared" ref="AB71" si="33">SUM(T71:AA71)</f>
        <v>312000.33333333337</v>
      </c>
      <c r="AC71" s="118">
        <f>+S71-AB71</f>
        <v>3154666.3333333335</v>
      </c>
    </row>
    <row r="72" spans="1:29" ht="24.95" customHeight="1" x14ac:dyDescent="0.25">
      <c r="A72" s="117"/>
      <c r="B72" s="2">
        <v>69</v>
      </c>
      <c r="C72" s="1" t="s">
        <v>155</v>
      </c>
      <c r="D72" s="1" t="s">
        <v>31</v>
      </c>
      <c r="E72" s="2" t="s">
        <v>32</v>
      </c>
      <c r="F72" s="103">
        <v>37</v>
      </c>
      <c r="G72" s="104" t="s">
        <v>192</v>
      </c>
      <c r="H72" s="104" t="s">
        <v>193</v>
      </c>
      <c r="I72" s="2" t="s">
        <v>195</v>
      </c>
      <c r="J72" s="4">
        <v>4500000</v>
      </c>
      <c r="K72" s="3">
        <v>30</v>
      </c>
      <c r="L72" s="3">
        <f t="shared" si="5"/>
        <v>4500000</v>
      </c>
      <c r="M72" s="3"/>
      <c r="N72" s="4"/>
      <c r="O72" s="4"/>
      <c r="P72" s="4"/>
      <c r="Q72" s="4"/>
      <c r="R72" s="4"/>
      <c r="S72" s="4">
        <f t="shared" si="1"/>
        <v>4500000</v>
      </c>
      <c r="T72" s="4">
        <f>+L72*4%</f>
        <v>180000</v>
      </c>
      <c r="U72" s="4">
        <f>+L72*5%</f>
        <v>225000</v>
      </c>
      <c r="V72" s="4"/>
      <c r="W72" s="4"/>
      <c r="X72" s="4"/>
      <c r="Y72" s="4"/>
      <c r="Z72" s="4"/>
      <c r="AA72" s="4"/>
      <c r="AB72" s="4">
        <f t="shared" ref="AB72" si="34">SUM(T72:AA72)</f>
        <v>405000</v>
      </c>
      <c r="AC72" s="118">
        <f>+S72-AB72</f>
        <v>4095000</v>
      </c>
    </row>
    <row r="73" spans="1:29" ht="24.95" customHeight="1" x14ac:dyDescent="0.25">
      <c r="A73" s="117"/>
      <c r="B73" s="2">
        <v>70</v>
      </c>
      <c r="C73" s="1" t="s">
        <v>82</v>
      </c>
      <c r="D73" s="1" t="s">
        <v>31</v>
      </c>
      <c r="E73" s="2" t="s">
        <v>32</v>
      </c>
      <c r="F73" s="103" t="e">
        <f>INT(YEARFRAC('[1]Perfil Sociodemografico'!F66,'[1]Perfil Sociodemografico'!G66))</f>
        <v>#VALUE!</v>
      </c>
      <c r="G73" s="104" t="s">
        <v>202</v>
      </c>
      <c r="H73" s="104" t="s">
        <v>193</v>
      </c>
      <c r="I73" s="2" t="s">
        <v>195</v>
      </c>
      <c r="J73" s="4">
        <v>6500000</v>
      </c>
      <c r="K73" s="3">
        <v>30</v>
      </c>
      <c r="L73" s="3">
        <f t="shared" si="5"/>
        <v>6500000</v>
      </c>
      <c r="M73" s="3"/>
      <c r="N73" s="4"/>
      <c r="O73" s="4"/>
      <c r="P73" s="4"/>
      <c r="Q73" s="4"/>
      <c r="R73" s="4"/>
      <c r="S73" s="4">
        <f t="shared" si="1"/>
        <v>6500000</v>
      </c>
      <c r="T73" s="4">
        <f>+J73*0.04</f>
        <v>260000</v>
      </c>
      <c r="U73" s="4">
        <f>+J73*0.05</f>
        <v>325000</v>
      </c>
      <c r="V73" s="4"/>
      <c r="W73" s="4">
        <v>147000</v>
      </c>
      <c r="X73" s="4">
        <v>207372</v>
      </c>
      <c r="Y73" s="4"/>
      <c r="Z73" s="4"/>
      <c r="AA73" s="4"/>
      <c r="AB73" s="4">
        <f t="shared" si="6"/>
        <v>939372</v>
      </c>
      <c r="AC73" s="118">
        <f>S73-AB73</f>
        <v>5560628</v>
      </c>
    </row>
    <row r="74" spans="1:29" ht="24.75" customHeight="1" x14ac:dyDescent="0.25">
      <c r="A74" s="117" t="s">
        <v>83</v>
      </c>
      <c r="B74" s="2">
        <v>1</v>
      </c>
      <c r="C74" s="1" t="s">
        <v>84</v>
      </c>
      <c r="D74" s="1" t="s">
        <v>31</v>
      </c>
      <c r="E74" s="2" t="s">
        <v>32</v>
      </c>
      <c r="F74" s="103" t="e">
        <f>INT(YEARFRAC('[1]Perfil Sociodemografico'!F58,'[1]Perfil Sociodemografico'!G58))</f>
        <v>#VALUE!</v>
      </c>
      <c r="G74" s="104" t="s">
        <v>210</v>
      </c>
      <c r="H74" s="104" t="s">
        <v>193</v>
      </c>
      <c r="I74" s="2" t="s">
        <v>194</v>
      </c>
      <c r="J74" s="4">
        <v>912000</v>
      </c>
      <c r="K74" s="3">
        <v>30</v>
      </c>
      <c r="L74" s="3">
        <f t="shared" si="5"/>
        <v>912000</v>
      </c>
      <c r="M74" s="3"/>
      <c r="N74" s="4">
        <v>88211</v>
      </c>
      <c r="O74" s="4"/>
      <c r="P74" s="4"/>
      <c r="Q74" s="4"/>
      <c r="R74" s="4"/>
      <c r="S74" s="4">
        <f t="shared" si="1"/>
        <v>1000211</v>
      </c>
      <c r="T74" s="4">
        <f>+J74*0.04</f>
        <v>36480</v>
      </c>
      <c r="U74" s="4">
        <f>+J74*0.04</f>
        <v>36480</v>
      </c>
      <c r="V74" s="4"/>
      <c r="W74" s="4"/>
      <c r="X74" s="4"/>
      <c r="Y74" s="4"/>
      <c r="Z74" s="4"/>
      <c r="AA74" s="4"/>
      <c r="AB74" s="4">
        <f>SUM(T74:AA74)</f>
        <v>72960</v>
      </c>
      <c r="AC74" s="118">
        <f>S74-AB74</f>
        <v>927251</v>
      </c>
    </row>
    <row r="75" spans="1:29" ht="24.95" customHeight="1" x14ac:dyDescent="0.25">
      <c r="A75" s="117"/>
      <c r="B75" s="2">
        <v>2</v>
      </c>
      <c r="C75" s="1" t="s">
        <v>85</v>
      </c>
      <c r="D75" s="1" t="s">
        <v>31</v>
      </c>
      <c r="E75" s="2" t="s">
        <v>32</v>
      </c>
      <c r="F75" s="103" t="e">
        <f>INT(YEARFRAC('[1]Perfil Sociodemografico'!F15,'[1]Perfil Sociodemografico'!G15))</f>
        <v>#VALUE!</v>
      </c>
      <c r="G75" s="104" t="s">
        <v>211</v>
      </c>
      <c r="H75" s="104" t="s">
        <v>212</v>
      </c>
      <c r="I75" s="2" t="s">
        <v>195</v>
      </c>
      <c r="J75" s="4">
        <v>3300000</v>
      </c>
      <c r="K75" s="3">
        <v>30</v>
      </c>
      <c r="L75" s="3">
        <f t="shared" si="5"/>
        <v>3300000</v>
      </c>
      <c r="M75" s="3"/>
      <c r="N75" s="4"/>
      <c r="O75" s="4"/>
      <c r="P75" s="4"/>
      <c r="Q75" s="4"/>
      <c r="R75" s="4">
        <f>+J75-L75</f>
        <v>0</v>
      </c>
      <c r="S75" s="4">
        <f t="shared" si="1"/>
        <v>3300000</v>
      </c>
      <c r="T75" s="4">
        <f>+J75*0.04</f>
        <v>132000</v>
      </c>
      <c r="U75" s="4">
        <f>+J75*0.05</f>
        <v>165000</v>
      </c>
      <c r="V75" s="4"/>
      <c r="W75" s="4"/>
      <c r="X75" s="4"/>
      <c r="Y75" s="4"/>
      <c r="Z75" s="4"/>
      <c r="AA75" s="4">
        <v>853816</v>
      </c>
      <c r="AB75" s="4">
        <f t="shared" ref="AB75:AB119" si="35">SUM(T75:AA75)</f>
        <v>1150816</v>
      </c>
      <c r="AC75" s="118">
        <f>S75-AB75</f>
        <v>2149184</v>
      </c>
    </row>
    <row r="76" spans="1:29" ht="24.95" customHeight="1" x14ac:dyDescent="0.25">
      <c r="A76" s="117"/>
      <c r="B76" s="2">
        <v>3</v>
      </c>
      <c r="C76" s="9" t="s">
        <v>86</v>
      </c>
      <c r="D76" s="1" t="s">
        <v>31</v>
      </c>
      <c r="E76" s="2" t="s">
        <v>32</v>
      </c>
      <c r="F76" s="103" t="e">
        <f>INT(YEARFRAC('[1]Perfil Sociodemografico'!F43,'[1]Perfil Sociodemografico'!G43))</f>
        <v>#VALUE!</v>
      </c>
      <c r="G76" s="104" t="s">
        <v>205</v>
      </c>
      <c r="H76" s="104" t="s">
        <v>206</v>
      </c>
      <c r="I76" s="2" t="s">
        <v>195</v>
      </c>
      <c r="J76" s="4">
        <v>2500000</v>
      </c>
      <c r="K76" s="3">
        <v>30</v>
      </c>
      <c r="L76" s="3">
        <f t="shared" si="5"/>
        <v>2500000</v>
      </c>
      <c r="M76" s="3"/>
      <c r="N76" s="4"/>
      <c r="O76" s="4"/>
      <c r="P76" s="4">
        <v>0</v>
      </c>
      <c r="Q76" s="4"/>
      <c r="R76" s="4"/>
      <c r="S76" s="4">
        <f t="shared" si="1"/>
        <v>2500000</v>
      </c>
      <c r="T76" s="4">
        <f>+J76*4%</f>
        <v>100000</v>
      </c>
      <c r="U76" s="4">
        <f>+J76*4%</f>
        <v>100000</v>
      </c>
      <c r="V76" s="4"/>
      <c r="W76" s="4"/>
      <c r="X76" s="4"/>
      <c r="Y76" s="4"/>
      <c r="Z76" s="4"/>
      <c r="AA76" s="4"/>
      <c r="AB76" s="4">
        <f t="shared" si="35"/>
        <v>200000</v>
      </c>
      <c r="AC76" s="118">
        <f>S76-AB76</f>
        <v>2300000</v>
      </c>
    </row>
    <row r="77" spans="1:29" ht="24.95" customHeight="1" x14ac:dyDescent="0.25">
      <c r="A77" s="117"/>
      <c r="B77" s="2">
        <v>4</v>
      </c>
      <c r="C77" s="1" t="s">
        <v>87</v>
      </c>
      <c r="D77" s="1" t="s">
        <v>31</v>
      </c>
      <c r="E77" s="2" t="s">
        <v>32</v>
      </c>
      <c r="F77" s="2">
        <v>22</v>
      </c>
      <c r="G77" s="2" t="s">
        <v>213</v>
      </c>
      <c r="H77" s="2" t="s">
        <v>212</v>
      </c>
      <c r="I77" s="2" t="s">
        <v>194</v>
      </c>
      <c r="J77" s="4">
        <v>3000000</v>
      </c>
      <c r="K77" s="3">
        <v>30</v>
      </c>
      <c r="L77" s="3">
        <f t="shared" si="5"/>
        <v>3000000</v>
      </c>
      <c r="M77" s="3"/>
      <c r="N77" s="4">
        <v>0</v>
      </c>
      <c r="O77" s="4"/>
      <c r="P77" s="4"/>
      <c r="Q77" s="4"/>
      <c r="R77" s="4"/>
      <c r="S77" s="4">
        <f t="shared" si="1"/>
        <v>3000000</v>
      </c>
      <c r="T77" s="4">
        <f>+J77*4%</f>
        <v>120000</v>
      </c>
      <c r="U77" s="4">
        <f>+J77*4%</f>
        <v>120000</v>
      </c>
      <c r="V77" s="4"/>
      <c r="W77" s="4"/>
      <c r="X77" s="7"/>
      <c r="Y77" s="4"/>
      <c r="Z77" s="4"/>
      <c r="AA77" s="4"/>
      <c r="AB77" s="4">
        <f t="shared" si="35"/>
        <v>240000</v>
      </c>
      <c r="AC77" s="118">
        <f t="shared" ref="AC77:AC87" si="36">+S77-AB77</f>
        <v>2760000</v>
      </c>
    </row>
    <row r="78" spans="1:29" ht="24.95" customHeight="1" x14ac:dyDescent="0.25">
      <c r="A78" s="117"/>
      <c r="B78" s="2">
        <v>5</v>
      </c>
      <c r="C78" s="1" t="s">
        <v>156</v>
      </c>
      <c r="D78" s="1" t="s">
        <v>31</v>
      </c>
      <c r="E78" s="2" t="s">
        <v>102</v>
      </c>
      <c r="F78" s="103" t="e">
        <f>INT(YEARFRAC('[1]Perfil Sociodemografico'!F114,'[1]Perfil Sociodemografico'!G114))</f>
        <v>#VALUE!</v>
      </c>
      <c r="G78" s="105" t="s">
        <v>214</v>
      </c>
      <c r="H78" s="105" t="s">
        <v>212</v>
      </c>
      <c r="I78" s="2" t="s">
        <v>195</v>
      </c>
      <c r="J78" s="4">
        <v>781242</v>
      </c>
      <c r="K78" s="3">
        <v>30</v>
      </c>
      <c r="L78" s="3">
        <f t="shared" si="5"/>
        <v>781242</v>
      </c>
      <c r="M78" s="3"/>
      <c r="N78" s="4"/>
      <c r="O78" s="4"/>
      <c r="P78" s="4"/>
      <c r="Q78" s="4"/>
      <c r="R78" s="4"/>
      <c r="S78" s="4">
        <f t="shared" si="1"/>
        <v>781242</v>
      </c>
      <c r="T78" s="4">
        <v>0</v>
      </c>
      <c r="U78" s="4">
        <v>0</v>
      </c>
      <c r="V78" s="4"/>
      <c r="W78" s="4"/>
      <c r="X78" s="7"/>
      <c r="Y78" s="4"/>
      <c r="Z78" s="4"/>
      <c r="AA78" s="4"/>
      <c r="AB78" s="4">
        <f t="shared" ref="AB78" si="37">SUM(T78:AA78)</f>
        <v>0</v>
      </c>
      <c r="AC78" s="118">
        <f t="shared" si="36"/>
        <v>781242</v>
      </c>
    </row>
    <row r="79" spans="1:29" ht="24.95" customHeight="1" x14ac:dyDescent="0.25">
      <c r="A79" s="117"/>
      <c r="B79" s="2">
        <v>6</v>
      </c>
      <c r="C79" s="1" t="s">
        <v>91</v>
      </c>
      <c r="D79" s="1" t="s">
        <v>31</v>
      </c>
      <c r="E79" s="2" t="s">
        <v>32</v>
      </c>
      <c r="F79" s="103" t="e">
        <f>INT(YEARFRAC('[1]Perfil Sociodemografico'!F105,'[1]Perfil Sociodemografico'!G105))</f>
        <v>#VALUE!</v>
      </c>
      <c r="G79" s="104" t="s">
        <v>216</v>
      </c>
      <c r="H79" s="104" t="s">
        <v>212</v>
      </c>
      <c r="I79" s="2" t="s">
        <v>194</v>
      </c>
      <c r="J79" s="4">
        <v>781242</v>
      </c>
      <c r="K79" s="3">
        <v>30</v>
      </c>
      <c r="L79" s="3">
        <f t="shared" si="5"/>
        <v>781242</v>
      </c>
      <c r="M79" s="3"/>
      <c r="N79" s="4">
        <v>88211</v>
      </c>
      <c r="O79" s="4"/>
      <c r="P79" s="4"/>
      <c r="Q79" s="4"/>
      <c r="R79" s="4"/>
      <c r="S79" s="4">
        <f t="shared" si="1"/>
        <v>869453</v>
      </c>
      <c r="T79" s="4">
        <v>31250</v>
      </c>
      <c r="U79" s="4">
        <v>31250</v>
      </c>
      <c r="V79" s="4"/>
      <c r="W79" s="4"/>
      <c r="X79" s="7"/>
      <c r="Y79" s="4"/>
      <c r="Z79" s="4"/>
      <c r="AA79" s="4"/>
      <c r="AB79" s="4">
        <f t="shared" si="35"/>
        <v>62500</v>
      </c>
      <c r="AC79" s="118">
        <f t="shared" si="36"/>
        <v>806953</v>
      </c>
    </row>
    <row r="80" spans="1:29" ht="24.95" customHeight="1" x14ac:dyDescent="0.25">
      <c r="A80" s="117"/>
      <c r="B80" s="2">
        <v>7</v>
      </c>
      <c r="C80" s="1" t="s">
        <v>92</v>
      </c>
      <c r="D80" s="1" t="s">
        <v>31</v>
      </c>
      <c r="E80" s="2" t="s">
        <v>32</v>
      </c>
      <c r="F80" s="103">
        <v>39</v>
      </c>
      <c r="G80" s="104" t="s">
        <v>196</v>
      </c>
      <c r="H80" s="104" t="s">
        <v>212</v>
      </c>
      <c r="I80" s="2" t="s">
        <v>194</v>
      </c>
      <c r="J80" s="4">
        <v>3000000</v>
      </c>
      <c r="K80" s="3">
        <v>27</v>
      </c>
      <c r="L80" s="3">
        <f t="shared" si="5"/>
        <v>2700000</v>
      </c>
      <c r="M80" s="3"/>
      <c r="N80" s="4"/>
      <c r="O80" s="4"/>
      <c r="P80" s="4"/>
      <c r="Q80" s="4"/>
      <c r="R80" s="4"/>
      <c r="S80" s="4">
        <f t="shared" si="1"/>
        <v>2700000</v>
      </c>
      <c r="T80" s="4">
        <f>+L80*4%</f>
        <v>108000</v>
      </c>
      <c r="U80" s="4">
        <f>+L80*4%</f>
        <v>108000</v>
      </c>
      <c r="V80" s="4"/>
      <c r="W80" s="4"/>
      <c r="X80" s="4"/>
      <c r="Y80" s="4"/>
      <c r="Z80" s="4"/>
      <c r="AA80" s="4"/>
      <c r="AB80" s="4">
        <f t="shared" si="35"/>
        <v>216000</v>
      </c>
      <c r="AC80" s="118">
        <f t="shared" si="36"/>
        <v>2484000</v>
      </c>
    </row>
    <row r="81" spans="1:29" ht="24.95" customHeight="1" x14ac:dyDescent="0.25">
      <c r="A81" s="117"/>
      <c r="B81" s="2">
        <v>8</v>
      </c>
      <c r="C81" s="1" t="s">
        <v>94</v>
      </c>
      <c r="D81" s="1" t="s">
        <v>31</v>
      </c>
      <c r="E81" s="2" t="s">
        <v>32</v>
      </c>
      <c r="F81" s="103" t="e">
        <f>INT(YEARFRAC('[1]Perfil Sociodemografico'!F45,'[1]Perfil Sociodemografico'!G45))</f>
        <v>#VALUE!</v>
      </c>
      <c r="G81" s="104" t="s">
        <v>217</v>
      </c>
      <c r="H81" s="104" t="s">
        <v>206</v>
      </c>
      <c r="I81" s="2" t="s">
        <v>195</v>
      </c>
      <c r="J81" s="4">
        <v>4000000</v>
      </c>
      <c r="K81" s="3">
        <v>30</v>
      </c>
      <c r="L81" s="3">
        <f>+J81-R81</f>
        <v>4000000</v>
      </c>
      <c r="M81" s="3"/>
      <c r="N81" s="4"/>
      <c r="O81" s="4"/>
      <c r="P81" s="4"/>
      <c r="Q81" s="4"/>
      <c r="R81" s="4"/>
      <c r="S81" s="4">
        <f t="shared" si="1"/>
        <v>4000000</v>
      </c>
      <c r="T81" s="4">
        <f t="shared" ref="T81:T87" si="38">+J81*4%</f>
        <v>160000</v>
      </c>
      <c r="U81" s="4">
        <f>+J81*5%</f>
        <v>200000</v>
      </c>
      <c r="V81" s="4"/>
      <c r="W81" s="4">
        <v>265625</v>
      </c>
      <c r="X81" s="4">
        <v>0</v>
      </c>
      <c r="Y81" s="4"/>
      <c r="Z81" s="4"/>
      <c r="AA81" s="4">
        <f>200210+224445</f>
        <v>424655</v>
      </c>
      <c r="AB81" s="4">
        <f t="shared" si="35"/>
        <v>1050280</v>
      </c>
      <c r="AC81" s="118">
        <f t="shared" si="36"/>
        <v>2949720</v>
      </c>
    </row>
    <row r="82" spans="1:29" ht="24.95" customHeight="1" x14ac:dyDescent="0.25">
      <c r="A82" s="117"/>
      <c r="B82" s="2">
        <v>9</v>
      </c>
      <c r="C82" s="1" t="s">
        <v>241</v>
      </c>
      <c r="D82" s="1" t="s">
        <v>31</v>
      </c>
      <c r="E82" s="2" t="s">
        <v>32</v>
      </c>
      <c r="F82" s="103"/>
      <c r="G82" s="104"/>
      <c r="H82" s="104"/>
      <c r="I82" s="2"/>
      <c r="J82" s="4">
        <v>3000000</v>
      </c>
      <c r="K82" s="3">
        <v>26</v>
      </c>
      <c r="L82" s="3">
        <f t="shared" si="5"/>
        <v>2600000</v>
      </c>
      <c r="M82" s="3"/>
      <c r="N82" s="4"/>
      <c r="O82" s="4"/>
      <c r="P82" s="4"/>
      <c r="Q82" s="4"/>
      <c r="R82" s="4"/>
      <c r="S82" s="4">
        <f t="shared" si="1"/>
        <v>2600000</v>
      </c>
      <c r="T82" s="4">
        <f>+L82*4%</f>
        <v>104000</v>
      </c>
      <c r="U82" s="4">
        <f>+L82*4%</f>
        <v>104000</v>
      </c>
      <c r="V82" s="4"/>
      <c r="W82" s="4"/>
      <c r="X82" s="4"/>
      <c r="Y82" s="4"/>
      <c r="Z82" s="4"/>
      <c r="AA82" s="4"/>
      <c r="AB82" s="4">
        <f t="shared" ref="AB82:AB83" si="39">SUM(T82:AA82)</f>
        <v>208000</v>
      </c>
      <c r="AC82" s="118">
        <f t="shared" si="36"/>
        <v>2392000</v>
      </c>
    </row>
    <row r="83" spans="1:29" ht="24.95" customHeight="1" x14ac:dyDescent="0.25">
      <c r="A83" s="117"/>
      <c r="B83" s="2">
        <v>10</v>
      </c>
      <c r="C83" s="1" t="s">
        <v>187</v>
      </c>
      <c r="D83" s="1" t="s">
        <v>31</v>
      </c>
      <c r="E83" s="2" t="s">
        <v>32</v>
      </c>
      <c r="F83" s="2">
        <v>23</v>
      </c>
      <c r="G83" s="2" t="s">
        <v>210</v>
      </c>
      <c r="H83" s="104" t="s">
        <v>193</v>
      </c>
      <c r="I83" s="2" t="s">
        <v>194</v>
      </c>
      <c r="J83" s="4">
        <v>781242</v>
      </c>
      <c r="K83" s="3">
        <v>30</v>
      </c>
      <c r="L83" s="3">
        <f t="shared" si="5"/>
        <v>781242</v>
      </c>
      <c r="M83" s="3"/>
      <c r="N83" s="4">
        <f>+((88211/30)*K83)</f>
        <v>88211</v>
      </c>
      <c r="O83" s="4"/>
      <c r="P83" s="4"/>
      <c r="Q83" s="4"/>
      <c r="R83" s="4"/>
      <c r="S83" s="4">
        <f t="shared" si="1"/>
        <v>869453</v>
      </c>
      <c r="T83" s="4">
        <f>+L83*4%</f>
        <v>31249.68</v>
      </c>
      <c r="U83" s="4">
        <f>+L83*4%</f>
        <v>31249.68</v>
      </c>
      <c r="V83" s="4"/>
      <c r="W83" s="4"/>
      <c r="X83" s="4">
        <v>0</v>
      </c>
      <c r="Y83" s="4"/>
      <c r="Z83" s="4"/>
      <c r="AA83" s="4"/>
      <c r="AB83" s="4">
        <f t="shared" si="39"/>
        <v>62499.360000000001</v>
      </c>
      <c r="AC83" s="118">
        <f t="shared" si="36"/>
        <v>806953.64</v>
      </c>
    </row>
    <row r="84" spans="1:29" ht="24.95" customHeight="1" x14ac:dyDescent="0.25">
      <c r="A84" s="117"/>
      <c r="B84" s="2">
        <v>11</v>
      </c>
      <c r="C84" s="1" t="s">
        <v>95</v>
      </c>
      <c r="D84" s="1" t="s">
        <v>31</v>
      </c>
      <c r="E84" s="2" t="s">
        <v>32</v>
      </c>
      <c r="F84" s="103" t="e">
        <f>INT(YEARFRAC('[1]Perfil Sociodemografico'!F81,'[1]Perfil Sociodemografico'!G81))</f>
        <v>#VALUE!</v>
      </c>
      <c r="G84" s="104" t="s">
        <v>205</v>
      </c>
      <c r="H84" s="104" t="s">
        <v>206</v>
      </c>
      <c r="I84" s="2" t="s">
        <v>195</v>
      </c>
      <c r="J84" s="4">
        <v>4000000</v>
      </c>
      <c r="K84" s="3">
        <v>30</v>
      </c>
      <c r="L84" s="3">
        <f>+J84-O84</f>
        <v>4000000</v>
      </c>
      <c r="M84" s="3"/>
      <c r="N84" s="4"/>
      <c r="O84" s="4"/>
      <c r="P84" s="4"/>
      <c r="Q84" s="4"/>
      <c r="R84" s="4"/>
      <c r="S84" s="4">
        <f t="shared" si="1"/>
        <v>4000000</v>
      </c>
      <c r="T84" s="4">
        <f t="shared" si="38"/>
        <v>160000</v>
      </c>
      <c r="U84" s="4">
        <f>+J84*5%</f>
        <v>200000</v>
      </c>
      <c r="V84" s="4">
        <v>0</v>
      </c>
      <c r="W84" s="4"/>
      <c r="X84" s="4">
        <v>0</v>
      </c>
      <c r="Y84" s="4"/>
      <c r="Z84" s="4"/>
      <c r="AA84" s="4">
        <v>422966</v>
      </c>
      <c r="AB84" s="4">
        <f t="shared" si="35"/>
        <v>782966</v>
      </c>
      <c r="AC84" s="118">
        <f t="shared" si="36"/>
        <v>3217034</v>
      </c>
    </row>
    <row r="85" spans="1:29" ht="24.95" customHeight="1" x14ac:dyDescent="0.25">
      <c r="A85" s="117"/>
      <c r="B85" s="2">
        <v>12</v>
      </c>
      <c r="C85" s="1" t="s">
        <v>96</v>
      </c>
      <c r="D85" s="1" t="s">
        <v>31</v>
      </c>
      <c r="E85" s="2" t="s">
        <v>32</v>
      </c>
      <c r="F85" s="103" t="e">
        <f>INT(YEARFRAC('[1]Perfil Sociodemografico'!F48,'[1]Perfil Sociodemografico'!G48))</f>
        <v>#VALUE!</v>
      </c>
      <c r="G85" s="104" t="s">
        <v>210</v>
      </c>
      <c r="H85" s="104" t="s">
        <v>193</v>
      </c>
      <c r="I85" s="2" t="s">
        <v>195</v>
      </c>
      <c r="J85" s="4">
        <v>1500000</v>
      </c>
      <c r="K85" s="3">
        <v>30</v>
      </c>
      <c r="L85" s="3">
        <f>+J85-P85</f>
        <v>1500000</v>
      </c>
      <c r="M85" s="3"/>
      <c r="N85" s="4">
        <v>88211</v>
      </c>
      <c r="O85" s="4"/>
      <c r="P85" s="4"/>
      <c r="Q85" s="4"/>
      <c r="R85" s="4"/>
      <c r="S85" s="4">
        <f t="shared" si="1"/>
        <v>1588211</v>
      </c>
      <c r="T85" s="4">
        <f>+J85*4%</f>
        <v>60000</v>
      </c>
      <c r="U85" s="4">
        <f>+J85*4%</f>
        <v>60000</v>
      </c>
      <c r="V85" s="4"/>
      <c r="W85" s="4"/>
      <c r="X85" s="4">
        <v>0</v>
      </c>
      <c r="Y85" s="4"/>
      <c r="Z85" s="4"/>
      <c r="AA85" s="4"/>
      <c r="AB85" s="4">
        <f t="shared" si="35"/>
        <v>120000</v>
      </c>
      <c r="AC85" s="118">
        <f t="shared" si="36"/>
        <v>1468211</v>
      </c>
    </row>
    <row r="86" spans="1:29" ht="24.95" customHeight="1" x14ac:dyDescent="0.25">
      <c r="A86" s="117"/>
      <c r="B86" s="2">
        <v>13</v>
      </c>
      <c r="C86" s="1" t="s">
        <v>97</v>
      </c>
      <c r="D86" s="1" t="s">
        <v>31</v>
      </c>
      <c r="E86" s="2" t="s">
        <v>32</v>
      </c>
      <c r="F86" s="103" t="e">
        <f>INT(YEARFRAC('[1]Perfil Sociodemografico'!F62,'[1]Perfil Sociodemografico'!G62))</f>
        <v>#VALUE!</v>
      </c>
      <c r="G86" s="105" t="s">
        <v>205</v>
      </c>
      <c r="H86" s="105" t="s">
        <v>193</v>
      </c>
      <c r="I86" s="2" t="s">
        <v>195</v>
      </c>
      <c r="J86" s="4">
        <v>3000000</v>
      </c>
      <c r="K86" s="3">
        <v>30</v>
      </c>
      <c r="L86" s="3">
        <f t="shared" si="5"/>
        <v>3000000</v>
      </c>
      <c r="M86" s="3"/>
      <c r="N86" s="4"/>
      <c r="O86" s="4"/>
      <c r="P86" s="4"/>
      <c r="Q86" s="4">
        <v>200000</v>
      </c>
      <c r="R86" s="4"/>
      <c r="S86" s="4">
        <f t="shared" si="1"/>
        <v>3200000</v>
      </c>
      <c r="T86" s="4">
        <f t="shared" si="38"/>
        <v>120000</v>
      </c>
      <c r="U86" s="4">
        <f>+J86*0.04</f>
        <v>120000</v>
      </c>
      <c r="V86" s="4"/>
      <c r="W86" s="4"/>
      <c r="X86" s="4">
        <v>0</v>
      </c>
      <c r="Y86" s="4"/>
      <c r="Z86" s="4"/>
      <c r="AA86" s="4"/>
      <c r="AB86" s="4">
        <f t="shared" si="35"/>
        <v>240000</v>
      </c>
      <c r="AC86" s="118">
        <f t="shared" si="36"/>
        <v>2960000</v>
      </c>
    </row>
    <row r="87" spans="1:29" ht="24" customHeight="1" x14ac:dyDescent="0.25">
      <c r="A87" s="117"/>
      <c r="B87" s="2">
        <v>14</v>
      </c>
      <c r="C87" s="1" t="s">
        <v>98</v>
      </c>
      <c r="D87" s="1" t="s">
        <v>31</v>
      </c>
      <c r="E87" s="2" t="s">
        <v>32</v>
      </c>
      <c r="F87" s="106" t="e">
        <f>INT(YEARFRAC('[1]Perfil Sociodemografico'!F9,'[1]Perfil Sociodemografico'!G9))</f>
        <v>#VALUE!</v>
      </c>
      <c r="G87" s="107" t="s">
        <v>218</v>
      </c>
      <c r="H87" s="107" t="s">
        <v>193</v>
      </c>
      <c r="I87" s="2" t="s">
        <v>195</v>
      </c>
      <c r="J87" s="4">
        <v>2000000</v>
      </c>
      <c r="K87" s="3">
        <v>30</v>
      </c>
      <c r="L87" s="3">
        <f t="shared" si="5"/>
        <v>2000000.0000000002</v>
      </c>
      <c r="M87" s="3"/>
      <c r="N87" s="4"/>
      <c r="O87" s="4"/>
      <c r="P87" s="4"/>
      <c r="Q87" s="4"/>
      <c r="R87" s="4"/>
      <c r="S87" s="4">
        <f t="shared" si="1"/>
        <v>2000000.0000000002</v>
      </c>
      <c r="T87" s="4">
        <f t="shared" si="38"/>
        <v>80000</v>
      </c>
      <c r="U87" s="4">
        <f>+J87*4%</f>
        <v>80000</v>
      </c>
      <c r="V87" s="4"/>
      <c r="W87" s="4"/>
      <c r="X87" s="4">
        <v>0</v>
      </c>
      <c r="Y87" s="4"/>
      <c r="Z87" s="4"/>
      <c r="AA87" s="4"/>
      <c r="AB87" s="4">
        <f t="shared" si="35"/>
        <v>160000</v>
      </c>
      <c r="AC87" s="118">
        <f t="shared" si="36"/>
        <v>1840000.0000000002</v>
      </c>
    </row>
    <row r="88" spans="1:29" ht="24.95" customHeight="1" x14ac:dyDescent="0.25">
      <c r="A88" s="117"/>
      <c r="B88" s="2">
        <v>15</v>
      </c>
      <c r="C88" s="9" t="s">
        <v>99</v>
      </c>
      <c r="D88" s="1" t="s">
        <v>31</v>
      </c>
      <c r="E88" s="2" t="s">
        <v>32</v>
      </c>
      <c r="F88" s="103" t="e">
        <f>INT(YEARFRAC('[1]Perfil Sociodemografico'!F80,'[1]Perfil Sociodemografico'!G80))</f>
        <v>#VALUE!</v>
      </c>
      <c r="G88" s="105" t="s">
        <v>219</v>
      </c>
      <c r="H88" s="105" t="s">
        <v>193</v>
      </c>
      <c r="I88" s="2" t="s">
        <v>195</v>
      </c>
      <c r="J88" s="4">
        <v>4500000</v>
      </c>
      <c r="K88" s="3">
        <v>30</v>
      </c>
      <c r="L88" s="3">
        <f t="shared" si="5"/>
        <v>4500000</v>
      </c>
      <c r="M88" s="3"/>
      <c r="N88" s="4"/>
      <c r="O88" s="4"/>
      <c r="P88" s="12"/>
      <c r="Q88" s="4"/>
      <c r="R88" s="4"/>
      <c r="S88" s="4">
        <f>+L88+N88+O88+Q88+R88</f>
        <v>4500000</v>
      </c>
      <c r="T88" s="4">
        <f>+S88*4%</f>
        <v>180000</v>
      </c>
      <c r="U88" s="4">
        <f>+S88*5%</f>
        <v>225000</v>
      </c>
      <c r="V88" s="4"/>
      <c r="W88" s="4"/>
      <c r="X88" s="4">
        <v>0</v>
      </c>
      <c r="Y88" s="4"/>
      <c r="Z88" s="4"/>
      <c r="AA88" s="4"/>
      <c r="AB88" s="4">
        <f t="shared" si="35"/>
        <v>405000</v>
      </c>
      <c r="AC88" s="118">
        <f t="shared" ref="AC88:AC96" si="40">S88-AB88</f>
        <v>4095000</v>
      </c>
    </row>
    <row r="89" spans="1:29" ht="24.95" customHeight="1" x14ac:dyDescent="0.25">
      <c r="A89" s="117"/>
      <c r="B89" s="2">
        <v>16</v>
      </c>
      <c r="C89" s="1" t="s">
        <v>101</v>
      </c>
      <c r="D89" s="1" t="s">
        <v>31</v>
      </c>
      <c r="E89" s="2" t="s">
        <v>32</v>
      </c>
      <c r="F89" s="103" t="e">
        <f>INT(YEARFRAC('[1]Perfil Sociodemografico'!F101,'[1]Perfil Sociodemografico'!G101))</f>
        <v>#VALUE!</v>
      </c>
      <c r="G89" s="104" t="s">
        <v>220</v>
      </c>
      <c r="H89" s="104" t="s">
        <v>212</v>
      </c>
      <c r="I89" s="2" t="s">
        <v>195</v>
      </c>
      <c r="J89" s="4">
        <v>1500000</v>
      </c>
      <c r="K89" s="3">
        <v>30</v>
      </c>
      <c r="L89" s="3">
        <f t="shared" si="5"/>
        <v>1500000</v>
      </c>
      <c r="M89" s="3"/>
      <c r="N89" s="4">
        <v>88211</v>
      </c>
      <c r="O89" s="4"/>
      <c r="P89" s="4"/>
      <c r="Q89" s="4"/>
      <c r="R89" s="4"/>
      <c r="S89" s="4">
        <f t="shared" si="1"/>
        <v>1588211</v>
      </c>
      <c r="T89" s="4">
        <f>+J89*4%</f>
        <v>60000</v>
      </c>
      <c r="U89" s="4">
        <f>+J89*4%</f>
        <v>60000</v>
      </c>
      <c r="V89" s="4"/>
      <c r="W89" s="4"/>
      <c r="X89" s="4"/>
      <c r="Y89" s="4"/>
      <c r="Z89" s="4"/>
      <c r="AA89" s="4">
        <v>194767</v>
      </c>
      <c r="AB89" s="4">
        <f t="shared" si="35"/>
        <v>314767</v>
      </c>
      <c r="AC89" s="118">
        <f t="shared" si="40"/>
        <v>1273444</v>
      </c>
    </row>
    <row r="90" spans="1:29" ht="24.95" customHeight="1" x14ac:dyDescent="0.25">
      <c r="A90" s="117"/>
      <c r="B90" s="2">
        <v>17</v>
      </c>
      <c r="C90" s="1" t="s">
        <v>170</v>
      </c>
      <c r="D90" s="1" t="s">
        <v>31</v>
      </c>
      <c r="E90" s="2" t="s">
        <v>102</v>
      </c>
      <c r="F90" s="103" t="e">
        <f>INT(YEARFRAC('[1]Perfil Sociodemografico'!F46,'[1]Perfil Sociodemografico'!G46))</f>
        <v>#VALUE!</v>
      </c>
      <c r="G90" s="104" t="s">
        <v>214</v>
      </c>
      <c r="H90" s="104" t="s">
        <v>212</v>
      </c>
      <c r="I90" s="2" t="s">
        <v>195</v>
      </c>
      <c r="J90" s="4">
        <v>390621</v>
      </c>
      <c r="K90" s="3">
        <v>30</v>
      </c>
      <c r="L90" s="3">
        <f t="shared" si="5"/>
        <v>390621</v>
      </c>
      <c r="M90" s="3"/>
      <c r="N90" s="4"/>
      <c r="O90" s="4"/>
      <c r="P90" s="4"/>
      <c r="Q90" s="4"/>
      <c r="R90" s="4"/>
      <c r="S90" s="4">
        <f t="shared" si="1"/>
        <v>390621</v>
      </c>
      <c r="T90" s="4"/>
      <c r="U90" s="4"/>
      <c r="V90" s="4"/>
      <c r="W90" s="4"/>
      <c r="X90" s="4"/>
      <c r="Y90" s="4"/>
      <c r="Z90" s="4"/>
      <c r="AA90" s="4"/>
      <c r="AB90" s="4"/>
      <c r="AC90" s="118">
        <f t="shared" si="40"/>
        <v>390621</v>
      </c>
    </row>
    <row r="91" spans="1:29" ht="24.95" customHeight="1" x14ac:dyDescent="0.25">
      <c r="A91" s="117"/>
      <c r="B91" s="2">
        <v>18</v>
      </c>
      <c r="C91" s="1" t="s">
        <v>103</v>
      </c>
      <c r="D91" s="1" t="s">
        <v>31</v>
      </c>
      <c r="E91" s="2" t="s">
        <v>32</v>
      </c>
      <c r="F91" s="103" t="e">
        <f>INT(YEARFRAC('[1]Perfil Sociodemografico'!F59,'[1]Perfil Sociodemografico'!G59))</f>
        <v>#VALUE!</v>
      </c>
      <c r="G91" s="104" t="s">
        <v>217</v>
      </c>
      <c r="H91" s="104" t="s">
        <v>206</v>
      </c>
      <c r="I91" s="2" t="s">
        <v>195</v>
      </c>
      <c r="J91" s="4">
        <v>4800000</v>
      </c>
      <c r="K91" s="3">
        <v>30</v>
      </c>
      <c r="L91" s="3">
        <f t="shared" ref="L91:L118" si="41">+J91/30*K91</f>
        <v>4800000</v>
      </c>
      <c r="M91" s="3"/>
      <c r="N91" s="4"/>
      <c r="O91" s="4"/>
      <c r="P91" s="4"/>
      <c r="Q91" s="4"/>
      <c r="R91" s="4"/>
      <c r="S91" s="4">
        <f t="shared" ref="S91:S119" si="42">+L91+N91+P91+Q91+R91+O91</f>
        <v>4800000</v>
      </c>
      <c r="T91" s="4">
        <f>+S91*0.04</f>
        <v>192000</v>
      </c>
      <c r="U91" s="4">
        <f>+S91*0.05</f>
        <v>240000</v>
      </c>
      <c r="V91" s="4"/>
      <c r="W91" s="4"/>
      <c r="X91" s="4">
        <v>31000</v>
      </c>
      <c r="Y91" s="4"/>
      <c r="Z91" s="4"/>
      <c r="AA91" s="4"/>
      <c r="AB91" s="4">
        <f t="shared" si="35"/>
        <v>463000</v>
      </c>
      <c r="AC91" s="118">
        <f t="shared" si="40"/>
        <v>4337000</v>
      </c>
    </row>
    <row r="92" spans="1:29" ht="24.95" customHeight="1" x14ac:dyDescent="0.25">
      <c r="A92" s="117"/>
      <c r="B92" s="2">
        <v>19</v>
      </c>
      <c r="C92" s="1" t="s">
        <v>104</v>
      </c>
      <c r="D92" s="1" t="s">
        <v>31</v>
      </c>
      <c r="E92" s="2" t="s">
        <v>32</v>
      </c>
      <c r="F92" s="103" t="e">
        <f>INT(YEARFRAC('[1]Perfil Sociodemografico'!F68,'[1]Perfil Sociodemografico'!G68))</f>
        <v>#VALUE!</v>
      </c>
      <c r="G92" s="104" t="s">
        <v>205</v>
      </c>
      <c r="H92" s="104" t="s">
        <v>206</v>
      </c>
      <c r="I92" s="2" t="s">
        <v>195</v>
      </c>
      <c r="J92" s="4">
        <v>2500000</v>
      </c>
      <c r="K92" s="3">
        <v>30</v>
      </c>
      <c r="L92" s="3">
        <f t="shared" si="41"/>
        <v>2500000</v>
      </c>
      <c r="M92" s="3"/>
      <c r="N92" s="4"/>
      <c r="O92" s="4"/>
      <c r="P92" s="4"/>
      <c r="Q92" s="4"/>
      <c r="R92" s="4"/>
      <c r="S92" s="4">
        <f t="shared" si="42"/>
        <v>2500000</v>
      </c>
      <c r="T92" s="4">
        <f>+J92*4%</f>
        <v>100000</v>
      </c>
      <c r="U92" s="4">
        <f>+J92*4%</f>
        <v>100000</v>
      </c>
      <c r="V92" s="4"/>
      <c r="W92" s="4"/>
      <c r="X92" s="4"/>
      <c r="Y92" s="4"/>
      <c r="Z92" s="4"/>
      <c r="AA92" s="4"/>
      <c r="AB92" s="4">
        <f t="shared" si="35"/>
        <v>200000</v>
      </c>
      <c r="AC92" s="118">
        <f t="shared" si="40"/>
        <v>2300000</v>
      </c>
    </row>
    <row r="93" spans="1:29" ht="24.95" customHeight="1" x14ac:dyDescent="0.25">
      <c r="A93" s="117"/>
      <c r="B93" s="2">
        <v>20</v>
      </c>
      <c r="C93" s="1" t="s">
        <v>105</v>
      </c>
      <c r="D93" s="1" t="s">
        <v>31</v>
      </c>
      <c r="E93" s="2" t="s">
        <v>32</v>
      </c>
      <c r="F93" s="103">
        <v>29</v>
      </c>
      <c r="G93" s="105" t="s">
        <v>221</v>
      </c>
      <c r="H93" s="105" t="s">
        <v>206</v>
      </c>
      <c r="I93" s="2" t="s">
        <v>195</v>
      </c>
      <c r="J93" s="4">
        <v>1272000</v>
      </c>
      <c r="K93" s="3">
        <v>30</v>
      </c>
      <c r="L93" s="3">
        <f t="shared" si="41"/>
        <v>1272000</v>
      </c>
      <c r="M93" s="3"/>
      <c r="N93" s="4">
        <v>88211</v>
      </c>
      <c r="O93" s="4"/>
      <c r="P93" s="4"/>
      <c r="Q93" s="4"/>
      <c r="R93" s="4"/>
      <c r="S93" s="4">
        <f t="shared" si="42"/>
        <v>1360211</v>
      </c>
      <c r="T93" s="4">
        <f>+J93*4%</f>
        <v>50880</v>
      </c>
      <c r="U93" s="4">
        <f>+J93*4%</f>
        <v>50880</v>
      </c>
      <c r="V93" s="4"/>
      <c r="W93" s="4"/>
      <c r="X93" s="4"/>
      <c r="Y93" s="4"/>
      <c r="Z93" s="4"/>
      <c r="AA93" s="4"/>
      <c r="AB93" s="4">
        <f t="shared" si="35"/>
        <v>101760</v>
      </c>
      <c r="AC93" s="118">
        <f t="shared" si="40"/>
        <v>1258451</v>
      </c>
    </row>
    <row r="94" spans="1:29" ht="24.95" customHeight="1" x14ac:dyDescent="0.25">
      <c r="A94" s="117"/>
      <c r="B94" s="2">
        <v>21</v>
      </c>
      <c r="C94" s="1" t="s">
        <v>106</v>
      </c>
      <c r="D94" s="1" t="s">
        <v>31</v>
      </c>
      <c r="E94" s="2" t="s">
        <v>32</v>
      </c>
      <c r="F94" s="103" t="e">
        <f>INT(YEARFRAC('[1]Perfil Sociodemografico'!F69,'[1]Perfil Sociodemografico'!G69))</f>
        <v>#VALUE!</v>
      </c>
      <c r="G94" s="104" t="s">
        <v>205</v>
      </c>
      <c r="H94" s="104" t="s">
        <v>193</v>
      </c>
      <c r="I94" s="2" t="s">
        <v>195</v>
      </c>
      <c r="J94" s="4">
        <v>3000000</v>
      </c>
      <c r="K94" s="3">
        <v>30</v>
      </c>
      <c r="L94" s="3">
        <f>+J94-O94</f>
        <v>3000000</v>
      </c>
      <c r="M94" s="3"/>
      <c r="N94" s="4"/>
      <c r="O94" s="4"/>
      <c r="P94" s="4"/>
      <c r="Q94" s="4"/>
      <c r="R94" s="4"/>
      <c r="S94" s="4">
        <f t="shared" si="42"/>
        <v>3000000</v>
      </c>
      <c r="T94" s="4">
        <f>+J94*4%</f>
        <v>120000</v>
      </c>
      <c r="U94" s="4">
        <f>+J94*4%</f>
        <v>120000</v>
      </c>
      <c r="V94" s="4"/>
      <c r="W94" s="4"/>
      <c r="X94" s="4">
        <v>0</v>
      </c>
      <c r="Y94" s="4"/>
      <c r="Z94" s="4"/>
      <c r="AA94" s="4"/>
      <c r="AB94" s="4">
        <f t="shared" si="35"/>
        <v>240000</v>
      </c>
      <c r="AC94" s="118">
        <f t="shared" si="40"/>
        <v>2760000</v>
      </c>
    </row>
    <row r="95" spans="1:29" ht="24.95" customHeight="1" x14ac:dyDescent="0.25">
      <c r="A95" s="117"/>
      <c r="B95" s="2">
        <v>22</v>
      </c>
      <c r="C95" s="1" t="s">
        <v>107</v>
      </c>
      <c r="D95" s="1" t="s">
        <v>31</v>
      </c>
      <c r="E95" s="2" t="s">
        <v>102</v>
      </c>
      <c r="F95" s="103" t="e">
        <f>INT(YEARFRAC('[1]Perfil Sociodemografico'!F27,'[1]Perfil Sociodemografico'!G27))</f>
        <v>#VALUE!</v>
      </c>
      <c r="G95" s="105" t="s">
        <v>222</v>
      </c>
      <c r="H95" s="105" t="s">
        <v>193</v>
      </c>
      <c r="I95" s="2" t="s">
        <v>194</v>
      </c>
      <c r="J95" s="4">
        <v>781242</v>
      </c>
      <c r="K95" s="3">
        <v>30</v>
      </c>
      <c r="L95" s="3">
        <f t="shared" si="41"/>
        <v>781242</v>
      </c>
      <c r="M95" s="3"/>
      <c r="N95" s="4"/>
      <c r="O95" s="4"/>
      <c r="P95" s="4"/>
      <c r="Q95" s="4"/>
      <c r="R95" s="4"/>
      <c r="S95" s="4">
        <f t="shared" si="42"/>
        <v>781242</v>
      </c>
      <c r="T95" s="4"/>
      <c r="U95" s="4"/>
      <c r="V95" s="4"/>
      <c r="W95" s="4"/>
      <c r="X95" s="4"/>
      <c r="Y95" s="4"/>
      <c r="Z95" s="4"/>
      <c r="AA95" s="4"/>
      <c r="AB95" s="4">
        <f t="shared" si="35"/>
        <v>0</v>
      </c>
      <c r="AC95" s="118">
        <f t="shared" si="40"/>
        <v>781242</v>
      </c>
    </row>
    <row r="96" spans="1:29" ht="24.95" customHeight="1" x14ac:dyDescent="0.25">
      <c r="A96" s="117"/>
      <c r="B96" s="2">
        <v>23</v>
      </c>
      <c r="C96" s="9" t="s">
        <v>109</v>
      </c>
      <c r="D96" s="1" t="s">
        <v>31</v>
      </c>
      <c r="E96" s="2" t="s">
        <v>32</v>
      </c>
      <c r="F96" s="103" t="e">
        <f>INT(YEARFRAC('[1]Perfil Sociodemografico'!F96,'[1]Perfil Sociodemografico'!G96))</f>
        <v>#VALUE!</v>
      </c>
      <c r="G96" s="104" t="s">
        <v>205</v>
      </c>
      <c r="H96" s="104" t="s">
        <v>193</v>
      </c>
      <c r="I96" s="2" t="s">
        <v>195</v>
      </c>
      <c r="J96" s="4">
        <v>3000000</v>
      </c>
      <c r="K96" s="3">
        <v>30</v>
      </c>
      <c r="L96" s="3">
        <f>+J96-O96</f>
        <v>3000000</v>
      </c>
      <c r="M96" s="3"/>
      <c r="N96" s="4"/>
      <c r="O96" s="4"/>
      <c r="P96" s="4"/>
      <c r="Q96" s="4"/>
      <c r="R96" s="4"/>
      <c r="S96" s="4">
        <f t="shared" si="42"/>
        <v>3000000</v>
      </c>
      <c r="T96" s="4">
        <f t="shared" ref="T96:T104" si="43">+J96*4%</f>
        <v>120000</v>
      </c>
      <c r="U96" s="4">
        <f>+J96*4%</f>
        <v>120000</v>
      </c>
      <c r="V96" s="4"/>
      <c r="W96" s="4"/>
      <c r="X96" s="4"/>
      <c r="Y96" s="4"/>
      <c r="Z96" s="4"/>
      <c r="AA96" s="4"/>
      <c r="AB96" s="4">
        <f t="shared" si="35"/>
        <v>240000</v>
      </c>
      <c r="AC96" s="118">
        <f t="shared" si="40"/>
        <v>2760000</v>
      </c>
    </row>
    <row r="97" spans="1:29" ht="24.95" customHeight="1" x14ac:dyDescent="0.25">
      <c r="A97" s="117"/>
      <c r="B97" s="2">
        <v>24</v>
      </c>
      <c r="C97" s="1" t="s">
        <v>111</v>
      </c>
      <c r="D97" s="1" t="s">
        <v>31</v>
      </c>
      <c r="E97" s="2" t="s">
        <v>32</v>
      </c>
      <c r="F97" s="103" t="e">
        <f>INT(YEARFRAC('[1]Perfil Sociodemografico'!F104,'[1]Perfil Sociodemografico'!G104))</f>
        <v>#VALUE!</v>
      </c>
      <c r="G97" s="104" t="s">
        <v>223</v>
      </c>
      <c r="H97" s="104" t="s">
        <v>206</v>
      </c>
      <c r="I97" s="2" t="s">
        <v>195</v>
      </c>
      <c r="J97" s="4">
        <v>2200000</v>
      </c>
      <c r="K97" s="3">
        <v>30</v>
      </c>
      <c r="L97" s="3">
        <f t="shared" si="41"/>
        <v>2200000</v>
      </c>
      <c r="M97" s="3"/>
      <c r="N97" s="4"/>
      <c r="O97" s="4"/>
      <c r="P97" s="4"/>
      <c r="Q97" s="4"/>
      <c r="R97" s="4"/>
      <c r="S97" s="4">
        <f t="shared" si="42"/>
        <v>2200000</v>
      </c>
      <c r="T97" s="4">
        <f t="shared" si="43"/>
        <v>88000</v>
      </c>
      <c r="U97" s="4">
        <f>+J97*4%</f>
        <v>88000</v>
      </c>
      <c r="V97" s="4"/>
      <c r="W97" s="4"/>
      <c r="X97" s="4">
        <v>0</v>
      </c>
      <c r="Y97" s="4"/>
      <c r="Z97" s="4"/>
      <c r="AA97" s="4"/>
      <c r="AB97" s="4">
        <f t="shared" si="35"/>
        <v>176000</v>
      </c>
      <c r="AC97" s="118">
        <f>+S97-AB97</f>
        <v>2024000</v>
      </c>
    </row>
    <row r="98" spans="1:29" ht="24.95" customHeight="1" x14ac:dyDescent="0.25">
      <c r="A98" s="117"/>
      <c r="B98" s="2">
        <v>25</v>
      </c>
      <c r="C98" s="1" t="s">
        <v>114</v>
      </c>
      <c r="D98" s="1" t="s">
        <v>31</v>
      </c>
      <c r="E98" s="2" t="s">
        <v>32</v>
      </c>
      <c r="F98" s="103" t="e">
        <f>INT(YEARFRAC('[1]Perfil Sociodemografico'!F77,'[1]Perfil Sociodemografico'!G77))</f>
        <v>#VALUE!</v>
      </c>
      <c r="G98" s="105" t="s">
        <v>224</v>
      </c>
      <c r="H98" s="105" t="s">
        <v>212</v>
      </c>
      <c r="I98" s="2" t="s">
        <v>195</v>
      </c>
      <c r="J98" s="4">
        <v>5500000</v>
      </c>
      <c r="K98" s="3">
        <v>30</v>
      </c>
      <c r="L98" s="3">
        <f>+J98-R98</f>
        <v>5500000</v>
      </c>
      <c r="M98" s="3"/>
      <c r="N98" s="4"/>
      <c r="O98" s="4"/>
      <c r="P98" s="4"/>
      <c r="Q98" s="4">
        <v>500000</v>
      </c>
      <c r="R98" s="4"/>
      <c r="S98" s="4">
        <f t="shared" si="42"/>
        <v>6000000</v>
      </c>
      <c r="T98" s="4">
        <f>+J98*4%</f>
        <v>220000</v>
      </c>
      <c r="U98" s="4">
        <f>+J98*5%</f>
        <v>275000</v>
      </c>
      <c r="V98" s="4"/>
      <c r="W98" s="4">
        <v>490000</v>
      </c>
      <c r="X98" s="7">
        <v>69147</v>
      </c>
      <c r="Y98" s="4"/>
      <c r="Z98" s="4"/>
      <c r="AA98" s="4">
        <v>480989</v>
      </c>
      <c r="AB98" s="4">
        <f t="shared" si="35"/>
        <v>1535136</v>
      </c>
      <c r="AC98" s="118">
        <f t="shared" ref="AC98:AC102" si="44">+S98-AB98</f>
        <v>4464864</v>
      </c>
    </row>
    <row r="99" spans="1:29" ht="24.95" customHeight="1" x14ac:dyDescent="0.25">
      <c r="A99" s="117"/>
      <c r="B99" s="2">
        <v>26</v>
      </c>
      <c r="C99" s="1" t="s">
        <v>188</v>
      </c>
      <c r="D99" s="1" t="s">
        <v>31</v>
      </c>
      <c r="E99" s="2" t="s">
        <v>32</v>
      </c>
      <c r="F99" s="103">
        <v>24</v>
      </c>
      <c r="G99" s="104" t="s">
        <v>210</v>
      </c>
      <c r="H99" s="104" t="s">
        <v>193</v>
      </c>
      <c r="I99" s="2" t="s">
        <v>195</v>
      </c>
      <c r="J99" s="4">
        <v>781242</v>
      </c>
      <c r="K99" s="3">
        <v>30</v>
      </c>
      <c r="L99" s="3">
        <f t="shared" si="41"/>
        <v>781242</v>
      </c>
      <c r="M99" s="3"/>
      <c r="N99" s="4">
        <f>+((88211/30)*K99)</f>
        <v>88211</v>
      </c>
      <c r="O99" s="4"/>
      <c r="P99" s="4"/>
      <c r="Q99" s="4"/>
      <c r="R99" s="4"/>
      <c r="S99" s="4">
        <f>+L99+N99+P99+Q99+R99+O99</f>
        <v>869453</v>
      </c>
      <c r="T99" s="4">
        <f>+L99*4%</f>
        <v>31249.68</v>
      </c>
      <c r="U99" s="4">
        <f>+L99*4%</f>
        <v>31249.68</v>
      </c>
      <c r="V99" s="4"/>
      <c r="W99" s="4"/>
      <c r="X99" s="7"/>
      <c r="Y99" s="4"/>
      <c r="Z99" s="4"/>
      <c r="AA99" s="4"/>
      <c r="AB99" s="4">
        <f t="shared" si="35"/>
        <v>62499.360000000001</v>
      </c>
      <c r="AC99" s="118">
        <f t="shared" si="44"/>
        <v>806953.64</v>
      </c>
    </row>
    <row r="100" spans="1:29" ht="24.95" customHeight="1" x14ac:dyDescent="0.25">
      <c r="A100" s="117"/>
      <c r="B100" s="2">
        <v>27</v>
      </c>
      <c r="C100" s="1" t="s">
        <v>116</v>
      </c>
      <c r="D100" s="1" t="s">
        <v>31</v>
      </c>
      <c r="E100" s="2" t="s">
        <v>32</v>
      </c>
      <c r="F100" s="103" t="e">
        <f>INT(YEARFRAC('[1]Perfil Sociodemografico'!F33,'[1]Perfil Sociodemografico'!G33))</f>
        <v>#VALUE!</v>
      </c>
      <c r="G100" s="104" t="s">
        <v>210</v>
      </c>
      <c r="H100" s="104" t="s">
        <v>193</v>
      </c>
      <c r="I100" s="2" t="s">
        <v>195</v>
      </c>
      <c r="J100" s="4">
        <v>2180000</v>
      </c>
      <c r="K100" s="3">
        <v>30</v>
      </c>
      <c r="L100" s="3">
        <f t="shared" si="41"/>
        <v>2180000</v>
      </c>
      <c r="M100" s="3"/>
      <c r="N100" s="4"/>
      <c r="O100" s="4"/>
      <c r="P100" s="4"/>
      <c r="Q100" s="4"/>
      <c r="R100" s="4"/>
      <c r="S100" s="4">
        <f t="shared" si="42"/>
        <v>2180000</v>
      </c>
      <c r="T100" s="4">
        <f t="shared" si="43"/>
        <v>87200</v>
      </c>
      <c r="U100" s="4">
        <f>+J100*4%</f>
        <v>87200</v>
      </c>
      <c r="V100" s="4"/>
      <c r="W100" s="4">
        <v>166667</v>
      </c>
      <c r="X100" s="7"/>
      <c r="Y100" s="4"/>
      <c r="Z100" s="4"/>
      <c r="AA100" s="4"/>
      <c r="AB100" s="4">
        <f t="shared" si="35"/>
        <v>341067</v>
      </c>
      <c r="AC100" s="118">
        <f t="shared" si="44"/>
        <v>1838933</v>
      </c>
    </row>
    <row r="101" spans="1:29" ht="24.95" customHeight="1" x14ac:dyDescent="0.25">
      <c r="A101" s="117"/>
      <c r="B101" s="2">
        <v>28</v>
      </c>
      <c r="C101" s="1" t="s">
        <v>61</v>
      </c>
      <c r="D101" s="1" t="s">
        <v>31</v>
      </c>
      <c r="E101" s="2" t="s">
        <v>32</v>
      </c>
      <c r="F101" s="103" t="e">
        <f>INT(YEARFRAC('[1]Perfil Sociodemografico'!F121,'[1]Perfil Sociodemografico'!G121))</f>
        <v>#VALUE!</v>
      </c>
      <c r="G101" s="104" t="s">
        <v>192</v>
      </c>
      <c r="H101" s="104" t="s">
        <v>206</v>
      </c>
      <c r="I101" s="2" t="s">
        <v>195</v>
      </c>
      <c r="J101" s="4">
        <v>3500000</v>
      </c>
      <c r="K101" s="3">
        <v>30</v>
      </c>
      <c r="L101" s="3">
        <f>+J101-O101</f>
        <v>3500000</v>
      </c>
      <c r="M101" s="3"/>
      <c r="N101" s="4"/>
      <c r="O101" s="4"/>
      <c r="P101" s="4"/>
      <c r="Q101" s="4"/>
      <c r="R101" s="4"/>
      <c r="S101" s="4">
        <f>+L101+N101+P101+Q101+R101+O101</f>
        <v>3500000</v>
      </c>
      <c r="T101" s="4">
        <f t="shared" ref="T101" si="45">J101*4/100</f>
        <v>140000</v>
      </c>
      <c r="U101" s="4">
        <f t="shared" ref="U101" si="46">+J101*0.05</f>
        <v>175000</v>
      </c>
      <c r="V101" s="4"/>
      <c r="W101" s="4"/>
      <c r="X101" s="7">
        <v>0</v>
      </c>
      <c r="Y101" s="4"/>
      <c r="Z101" s="4">
        <v>111000</v>
      </c>
      <c r="AA101" s="4"/>
      <c r="AB101" s="4">
        <f t="shared" si="35"/>
        <v>426000</v>
      </c>
      <c r="AC101" s="118">
        <f>S101-AB101</f>
        <v>3074000</v>
      </c>
    </row>
    <row r="102" spans="1:29" ht="24.95" customHeight="1" x14ac:dyDescent="0.25">
      <c r="A102" s="117"/>
      <c r="B102" s="2">
        <v>29</v>
      </c>
      <c r="C102" s="1" t="s">
        <v>118</v>
      </c>
      <c r="D102" s="1" t="s">
        <v>31</v>
      </c>
      <c r="E102" s="2" t="s">
        <v>32</v>
      </c>
      <c r="F102" s="103" t="e">
        <f>INT(YEARFRAC('[1]Perfil Sociodemografico'!F106,'[1]Perfil Sociodemografico'!G106))</f>
        <v>#VALUE!</v>
      </c>
      <c r="G102" s="104" t="s">
        <v>221</v>
      </c>
      <c r="H102" s="104" t="s">
        <v>206</v>
      </c>
      <c r="I102" s="2" t="s">
        <v>195</v>
      </c>
      <c r="J102" s="4">
        <v>2200000</v>
      </c>
      <c r="K102" s="3">
        <v>30</v>
      </c>
      <c r="L102" s="3">
        <f t="shared" si="41"/>
        <v>2200000</v>
      </c>
      <c r="M102" s="3"/>
      <c r="N102" s="4"/>
      <c r="O102" s="4"/>
      <c r="P102" s="4"/>
      <c r="Q102" s="4"/>
      <c r="R102" s="4"/>
      <c r="S102" s="4">
        <f t="shared" si="42"/>
        <v>2200000</v>
      </c>
      <c r="T102" s="4">
        <f t="shared" si="43"/>
        <v>88000</v>
      </c>
      <c r="U102" s="4">
        <f>+J102*4%</f>
        <v>88000</v>
      </c>
      <c r="V102" s="4"/>
      <c r="W102" s="4"/>
      <c r="X102" s="7">
        <v>0</v>
      </c>
      <c r="Y102" s="4"/>
      <c r="Z102" s="4"/>
      <c r="AA102" s="4"/>
      <c r="AB102" s="4">
        <f t="shared" si="35"/>
        <v>176000</v>
      </c>
      <c r="AC102" s="118">
        <f t="shared" si="44"/>
        <v>2024000</v>
      </c>
    </row>
    <row r="103" spans="1:29" ht="24.95" customHeight="1" x14ac:dyDescent="0.25">
      <c r="A103" s="117"/>
      <c r="B103" s="2">
        <v>30</v>
      </c>
      <c r="C103" s="1" t="s">
        <v>242</v>
      </c>
      <c r="D103" s="1" t="s">
        <v>31</v>
      </c>
      <c r="E103" s="2" t="s">
        <v>32</v>
      </c>
      <c r="F103" s="103">
        <v>32</v>
      </c>
      <c r="G103" s="104" t="s">
        <v>225</v>
      </c>
      <c r="H103" s="104" t="s">
        <v>212</v>
      </c>
      <c r="I103" s="2" t="s">
        <v>194</v>
      </c>
      <c r="J103" s="4">
        <v>1700000</v>
      </c>
      <c r="K103" s="3">
        <v>13</v>
      </c>
      <c r="L103" s="3">
        <f t="shared" si="41"/>
        <v>736666.66666666663</v>
      </c>
      <c r="M103" s="3"/>
      <c r="N103" s="4"/>
      <c r="O103" s="4"/>
      <c r="P103" s="4"/>
      <c r="Q103" s="4"/>
      <c r="R103" s="4"/>
      <c r="S103" s="4">
        <f t="shared" si="42"/>
        <v>736666.66666666663</v>
      </c>
      <c r="T103" s="4">
        <f>+L103*4%</f>
        <v>29466.666666666664</v>
      </c>
      <c r="U103" s="4">
        <f>+L103*4%</f>
        <v>29466.666666666664</v>
      </c>
      <c r="V103" s="4">
        <v>0</v>
      </c>
      <c r="W103" s="4"/>
      <c r="X103" s="4">
        <v>0</v>
      </c>
      <c r="Y103" s="4"/>
      <c r="Z103" s="4"/>
      <c r="AA103" s="4"/>
      <c r="AB103" s="4">
        <f t="shared" ref="AB103" si="47">SUM(T103:AA103)</f>
        <v>58933.333333333328</v>
      </c>
      <c r="AC103" s="118">
        <f t="shared" ref="AC103:AC107" si="48">S103-AB103</f>
        <v>677733.33333333326</v>
      </c>
    </row>
    <row r="104" spans="1:29" ht="24.95" customHeight="1" x14ac:dyDescent="0.25">
      <c r="A104" s="117"/>
      <c r="B104" s="2">
        <v>31</v>
      </c>
      <c r="C104" s="1" t="s">
        <v>122</v>
      </c>
      <c r="D104" s="1" t="s">
        <v>31</v>
      </c>
      <c r="E104" s="2" t="s">
        <v>32</v>
      </c>
      <c r="F104" s="103">
        <v>32</v>
      </c>
      <c r="G104" s="104" t="s">
        <v>225</v>
      </c>
      <c r="H104" s="104" t="s">
        <v>212</v>
      </c>
      <c r="I104" s="2" t="s">
        <v>194</v>
      </c>
      <c r="J104" s="4">
        <v>3500000</v>
      </c>
      <c r="K104" s="3">
        <v>30</v>
      </c>
      <c r="L104" s="3">
        <f t="shared" si="41"/>
        <v>3500000</v>
      </c>
      <c r="M104" s="3"/>
      <c r="N104" s="4"/>
      <c r="O104" s="4"/>
      <c r="P104" s="4"/>
      <c r="Q104" s="4"/>
      <c r="R104" s="4"/>
      <c r="S104" s="4">
        <f t="shared" si="42"/>
        <v>3500000</v>
      </c>
      <c r="T104" s="4">
        <f t="shared" si="43"/>
        <v>140000</v>
      </c>
      <c r="U104" s="4">
        <f>+J104*5%</f>
        <v>175000</v>
      </c>
      <c r="V104" s="4">
        <v>0</v>
      </c>
      <c r="W104" s="4"/>
      <c r="X104" s="4">
        <v>0</v>
      </c>
      <c r="Y104" s="4"/>
      <c r="Z104" s="4"/>
      <c r="AA104" s="4"/>
      <c r="AB104" s="4">
        <f t="shared" si="35"/>
        <v>315000</v>
      </c>
      <c r="AC104" s="118">
        <f t="shared" si="48"/>
        <v>3185000</v>
      </c>
    </row>
    <row r="105" spans="1:29" ht="24.95" customHeight="1" x14ac:dyDescent="0.25">
      <c r="A105" s="117"/>
      <c r="B105" s="2">
        <v>32</v>
      </c>
      <c r="C105" s="9" t="s">
        <v>124</v>
      </c>
      <c r="D105" s="1" t="s">
        <v>31</v>
      </c>
      <c r="E105" s="2" t="s">
        <v>32</v>
      </c>
      <c r="F105" s="103" t="e">
        <f>INT(YEARFRAC('[1]Perfil Sociodemografico'!F89,'[1]Perfil Sociodemografico'!G89))</f>
        <v>#VALUE!</v>
      </c>
      <c r="G105" s="104" t="s">
        <v>226</v>
      </c>
      <c r="H105" s="104" t="s">
        <v>212</v>
      </c>
      <c r="I105" s="2" t="s">
        <v>194</v>
      </c>
      <c r="J105" s="4">
        <v>781242</v>
      </c>
      <c r="K105" s="3">
        <v>30</v>
      </c>
      <c r="L105" s="3">
        <f>+J105</f>
        <v>781242</v>
      </c>
      <c r="M105" s="3"/>
      <c r="N105" s="4">
        <v>88211</v>
      </c>
      <c r="O105" s="4">
        <v>66123</v>
      </c>
      <c r="P105" s="4"/>
      <c r="Q105" s="4"/>
      <c r="R105" s="4"/>
      <c r="S105" s="4">
        <f>+L105+N105+P105+Q105+R105+O105</f>
        <v>935576</v>
      </c>
      <c r="T105" s="4">
        <f>+J105*0.04</f>
        <v>31249.68</v>
      </c>
      <c r="U105" s="4">
        <f>+J105*0.04</f>
        <v>31249.68</v>
      </c>
      <c r="V105" s="4"/>
      <c r="W105" s="4"/>
      <c r="X105" s="4">
        <v>0</v>
      </c>
      <c r="Y105" s="4"/>
      <c r="Z105" s="4"/>
      <c r="AA105" s="4"/>
      <c r="AB105" s="4">
        <f t="shared" si="35"/>
        <v>62499.360000000001</v>
      </c>
      <c r="AC105" s="118">
        <f t="shared" si="48"/>
        <v>873076.64</v>
      </c>
    </row>
    <row r="106" spans="1:29" ht="24.95" customHeight="1" x14ac:dyDescent="0.25">
      <c r="A106" s="117"/>
      <c r="B106" s="2">
        <v>33</v>
      </c>
      <c r="C106" s="1" t="s">
        <v>157</v>
      </c>
      <c r="D106" s="1" t="s">
        <v>31</v>
      </c>
      <c r="E106" s="2" t="s">
        <v>32</v>
      </c>
      <c r="F106" s="103" t="e">
        <f>INT(YEARFRAC('[1]Perfil Sociodemografico'!F13,'[1]Perfil Sociodemografico'!G13))</f>
        <v>#VALUE!</v>
      </c>
      <c r="G106" s="104" t="s">
        <v>214</v>
      </c>
      <c r="H106" s="104" t="s">
        <v>212</v>
      </c>
      <c r="I106" s="2" t="s">
        <v>195</v>
      </c>
      <c r="J106" s="4">
        <v>1000000</v>
      </c>
      <c r="K106" s="3">
        <v>27</v>
      </c>
      <c r="L106" s="3">
        <f t="shared" ref="L106:L107" si="49">+J106/30*K106</f>
        <v>900000.00000000012</v>
      </c>
      <c r="M106" s="3"/>
      <c r="N106" s="4">
        <f>+(88211/30)*K106</f>
        <v>79389.900000000009</v>
      </c>
      <c r="O106" s="4"/>
      <c r="P106" s="4"/>
      <c r="Q106" s="4"/>
      <c r="R106" s="4"/>
      <c r="S106" s="4">
        <f>+L106+N106+P106+Q106+R106+O106</f>
        <v>979389.90000000014</v>
      </c>
      <c r="T106" s="4">
        <f>+L106*0.04</f>
        <v>36000.000000000007</v>
      </c>
      <c r="U106" s="4">
        <f>+L106*0.04</f>
        <v>36000.000000000007</v>
      </c>
      <c r="V106" s="4"/>
      <c r="W106" s="4"/>
      <c r="X106" s="4">
        <v>0</v>
      </c>
      <c r="Y106" s="4"/>
      <c r="Z106" s="4"/>
      <c r="AA106" s="4"/>
      <c r="AB106" s="4">
        <f t="shared" si="35"/>
        <v>72000.000000000015</v>
      </c>
      <c r="AC106" s="118">
        <f t="shared" si="48"/>
        <v>907389.90000000014</v>
      </c>
    </row>
    <row r="107" spans="1:29" ht="24.95" customHeight="1" x14ac:dyDescent="0.25">
      <c r="A107" s="117"/>
      <c r="B107" s="2">
        <v>34</v>
      </c>
      <c r="C107" s="1" t="s">
        <v>126</v>
      </c>
      <c r="D107" s="1" t="s">
        <v>31</v>
      </c>
      <c r="E107" s="2" t="s">
        <v>32</v>
      </c>
      <c r="F107" s="103"/>
      <c r="G107" s="104"/>
      <c r="H107" s="104"/>
      <c r="I107" s="2"/>
      <c r="J107" s="4">
        <v>781242</v>
      </c>
      <c r="K107" s="3">
        <v>26</v>
      </c>
      <c r="L107" s="3">
        <f t="shared" si="49"/>
        <v>677076.4</v>
      </c>
      <c r="M107" s="3"/>
      <c r="N107" s="4">
        <f>+(88211/30)*K107</f>
        <v>76449.53333333334</v>
      </c>
      <c r="O107" s="4">
        <v>38521</v>
      </c>
      <c r="P107" s="4"/>
      <c r="Q107" s="4"/>
      <c r="R107" s="4"/>
      <c r="S107" s="4">
        <f>+L107+N107+P107+Q107+R107+O107</f>
        <v>792046.93333333335</v>
      </c>
      <c r="T107" s="4">
        <f>+L107*0.04</f>
        <v>27083.056</v>
      </c>
      <c r="U107" s="4">
        <f>+L107*0.04</f>
        <v>27083.056</v>
      </c>
      <c r="V107" s="4"/>
      <c r="W107" s="4"/>
      <c r="X107" s="4">
        <v>0</v>
      </c>
      <c r="Y107" s="4"/>
      <c r="Z107" s="4"/>
      <c r="AA107" s="4"/>
      <c r="AB107" s="4">
        <f t="shared" si="35"/>
        <v>54166.112000000001</v>
      </c>
      <c r="AC107" s="118">
        <f t="shared" si="48"/>
        <v>737880.82133333338</v>
      </c>
    </row>
    <row r="108" spans="1:29" ht="24.95" customHeight="1" x14ac:dyDescent="0.25">
      <c r="A108" s="117"/>
      <c r="B108" s="2">
        <v>35</v>
      </c>
      <c r="C108" s="1" t="s">
        <v>128</v>
      </c>
      <c r="D108" s="1" t="s">
        <v>31</v>
      </c>
      <c r="E108" s="2" t="s">
        <v>32</v>
      </c>
      <c r="F108" s="103" t="e">
        <f>INT(YEARFRAC('[1]Perfil Sociodemografico'!F52,'[1]Perfil Sociodemografico'!G52))</f>
        <v>#VALUE!</v>
      </c>
      <c r="G108" s="105" t="s">
        <v>227</v>
      </c>
      <c r="H108" s="105" t="s">
        <v>212</v>
      </c>
      <c r="I108" s="2" t="s">
        <v>195</v>
      </c>
      <c r="J108" s="4">
        <v>19532000</v>
      </c>
      <c r="K108" s="3">
        <v>30</v>
      </c>
      <c r="L108" s="3">
        <f t="shared" si="41"/>
        <v>19532000</v>
      </c>
      <c r="M108" s="3"/>
      <c r="N108" s="4"/>
      <c r="O108" s="4"/>
      <c r="P108" s="4"/>
      <c r="Q108" s="4"/>
      <c r="R108" s="4">
        <v>228000</v>
      </c>
      <c r="S108" s="4">
        <f t="shared" si="42"/>
        <v>19760000</v>
      </c>
      <c r="T108" s="4">
        <f>+L108*4%</f>
        <v>781280</v>
      </c>
      <c r="U108" s="4">
        <f>+L108*6%</f>
        <v>1171920</v>
      </c>
      <c r="V108" s="4">
        <v>112700</v>
      </c>
      <c r="W108" s="4"/>
      <c r="X108" s="4">
        <v>1859000</v>
      </c>
      <c r="Y108" s="4">
        <v>5000000</v>
      </c>
      <c r="Z108" s="4"/>
      <c r="AA108" s="4">
        <v>2314715</v>
      </c>
      <c r="AB108" s="4">
        <f t="shared" si="35"/>
        <v>11239615</v>
      </c>
      <c r="AC108" s="118">
        <f>+S108-AB108</f>
        <v>8520385</v>
      </c>
    </row>
    <row r="109" spans="1:29" ht="24.95" customHeight="1" x14ac:dyDescent="0.25">
      <c r="A109" s="117"/>
      <c r="B109" s="2">
        <v>36</v>
      </c>
      <c r="C109" s="1" t="s">
        <v>129</v>
      </c>
      <c r="D109" s="1" t="s">
        <v>31</v>
      </c>
      <c r="E109" s="2" t="s">
        <v>32</v>
      </c>
      <c r="F109" s="103" t="e">
        <f>INT(YEARFRAC('[1]Perfil Sociodemografico'!F53,'[1]Perfil Sociodemografico'!G53))</f>
        <v>#VALUE!</v>
      </c>
      <c r="G109" s="105" t="s">
        <v>228</v>
      </c>
      <c r="H109" s="105" t="s">
        <v>212</v>
      </c>
      <c r="I109" s="2" t="s">
        <v>195</v>
      </c>
      <c r="J109" s="4">
        <v>5500000</v>
      </c>
      <c r="K109" s="3">
        <v>30</v>
      </c>
      <c r="L109" s="3">
        <f t="shared" si="41"/>
        <v>5500000</v>
      </c>
      <c r="M109" s="3"/>
      <c r="N109" s="4"/>
      <c r="O109" s="4"/>
      <c r="P109" s="4"/>
      <c r="Q109" s="4">
        <v>500000</v>
      </c>
      <c r="R109" s="4">
        <f>+J109-L109</f>
        <v>0</v>
      </c>
      <c r="S109" s="4">
        <f t="shared" si="42"/>
        <v>6000000</v>
      </c>
      <c r="T109" s="4">
        <f>+J109*0.04</f>
        <v>220000</v>
      </c>
      <c r="U109" s="4">
        <f>+J109*0.05</f>
        <v>275000</v>
      </c>
      <c r="V109" s="4"/>
      <c r="W109" s="4"/>
      <c r="X109" s="4">
        <v>120000</v>
      </c>
      <c r="Y109" s="4"/>
      <c r="Z109" s="4"/>
      <c r="AA109" s="4">
        <f>979498+371043</f>
        <v>1350541</v>
      </c>
      <c r="AB109" s="4">
        <f t="shared" si="35"/>
        <v>1965541</v>
      </c>
      <c r="AC109" s="118">
        <f>+S109-AB109</f>
        <v>4034459</v>
      </c>
    </row>
    <row r="110" spans="1:29" ht="24.95" customHeight="1" x14ac:dyDescent="0.25">
      <c r="A110" s="117"/>
      <c r="B110" s="2">
        <v>37</v>
      </c>
      <c r="C110" s="9" t="s">
        <v>132</v>
      </c>
      <c r="D110" s="1" t="s">
        <v>31</v>
      </c>
      <c r="E110" s="2" t="s">
        <v>32</v>
      </c>
      <c r="F110" s="103" t="e">
        <f>INT(YEARFRAC('[1]Perfil Sociodemografico'!F26,'[1]Perfil Sociodemografico'!G26))</f>
        <v>#VALUE!</v>
      </c>
      <c r="G110" s="105" t="s">
        <v>217</v>
      </c>
      <c r="H110" s="105" t="s">
        <v>193</v>
      </c>
      <c r="I110" s="2" t="s">
        <v>195</v>
      </c>
      <c r="J110" s="4">
        <v>4000000</v>
      </c>
      <c r="K110" s="3">
        <v>30</v>
      </c>
      <c r="L110" s="3">
        <f>+J110-O110</f>
        <v>4000000</v>
      </c>
      <c r="M110" s="3"/>
      <c r="N110" s="4"/>
      <c r="O110" s="4"/>
      <c r="P110" s="12"/>
      <c r="Q110" s="4"/>
      <c r="R110" s="4">
        <v>3375067</v>
      </c>
      <c r="S110" s="4">
        <f>+L110+N110+O110+Q110+R110</f>
        <v>7375067</v>
      </c>
      <c r="T110" s="4">
        <f>+S110*0.04</f>
        <v>295002.68</v>
      </c>
      <c r="U110" s="4">
        <v>368753</v>
      </c>
      <c r="V110" s="4"/>
      <c r="W110" s="4"/>
      <c r="X110" s="4">
        <v>0</v>
      </c>
      <c r="Y110" s="4"/>
      <c r="Z110" s="4"/>
      <c r="AA110" s="4"/>
      <c r="AB110" s="4">
        <f t="shared" si="35"/>
        <v>663755.67999999993</v>
      </c>
      <c r="AC110" s="118">
        <f>S110-AB110</f>
        <v>6711311.3200000003</v>
      </c>
    </row>
    <row r="111" spans="1:29" ht="24.95" customHeight="1" x14ac:dyDescent="0.25">
      <c r="A111" s="117"/>
      <c r="B111" s="2">
        <v>38</v>
      </c>
      <c r="C111" s="1" t="s">
        <v>135</v>
      </c>
      <c r="D111" s="1" t="s">
        <v>31</v>
      </c>
      <c r="E111" s="2" t="s">
        <v>32</v>
      </c>
      <c r="F111" s="103" t="e">
        <f>INT(YEARFRAC('[1]Perfil Sociodemografico'!F38,'[1]Perfil Sociodemografico'!G38))</f>
        <v>#VALUE!</v>
      </c>
      <c r="G111" s="104" t="s">
        <v>198</v>
      </c>
      <c r="H111" s="104" t="s">
        <v>193</v>
      </c>
      <c r="I111" s="2" t="s">
        <v>195</v>
      </c>
      <c r="J111" s="4">
        <v>3850220</v>
      </c>
      <c r="K111" s="3">
        <v>20</v>
      </c>
      <c r="L111" s="3">
        <f t="shared" si="41"/>
        <v>2566813.3333333335</v>
      </c>
      <c r="M111" s="3"/>
      <c r="N111" s="4">
        <f>+(676390/30)*K111</f>
        <v>450926.66666666663</v>
      </c>
      <c r="O111" s="4"/>
      <c r="P111" s="4"/>
      <c r="Q111" s="4"/>
      <c r="R111" s="4">
        <v>0</v>
      </c>
      <c r="S111" s="4">
        <f t="shared" si="42"/>
        <v>3017740</v>
      </c>
      <c r="T111" s="4">
        <f>+L111*4%</f>
        <v>102672.53333333334</v>
      </c>
      <c r="U111" s="4">
        <f>+L111*4%</f>
        <v>102672.53333333334</v>
      </c>
      <c r="V111" s="4"/>
      <c r="W111" s="4"/>
      <c r="X111" s="4"/>
      <c r="Y111" s="4"/>
      <c r="Z111" s="4"/>
      <c r="AA111" s="4"/>
      <c r="AB111" s="4">
        <f t="shared" si="35"/>
        <v>205345.06666666668</v>
      </c>
      <c r="AC111" s="118">
        <f>+S111-AB111</f>
        <v>2812394.9333333331</v>
      </c>
    </row>
    <row r="112" spans="1:29" ht="24.95" customHeight="1" x14ac:dyDescent="0.25">
      <c r="A112" s="117"/>
      <c r="B112" s="2">
        <v>39</v>
      </c>
      <c r="C112" s="1" t="s">
        <v>136</v>
      </c>
      <c r="D112" s="1" t="s">
        <v>31</v>
      </c>
      <c r="E112" s="2" t="s">
        <v>32</v>
      </c>
      <c r="F112" s="103" t="e">
        <f>INT(YEARFRAC('[1]Perfil Sociodemografico'!F36,'[1]Perfil Sociodemografico'!G36))</f>
        <v>#VALUE!</v>
      </c>
      <c r="G112" s="105" t="s">
        <v>229</v>
      </c>
      <c r="H112" s="105" t="s">
        <v>212</v>
      </c>
      <c r="I112" s="2" t="s">
        <v>195</v>
      </c>
      <c r="J112" s="4">
        <v>4500000</v>
      </c>
      <c r="K112" s="3">
        <v>30</v>
      </c>
      <c r="L112" s="3">
        <f>+J112-N112</f>
        <v>3000000</v>
      </c>
      <c r="M112" s="3"/>
      <c r="N112" s="4">
        <v>1500000</v>
      </c>
      <c r="O112" s="4"/>
      <c r="P112" s="4"/>
      <c r="Q112" s="4" t="s">
        <v>1</v>
      </c>
      <c r="R112" s="4"/>
      <c r="S112" s="4">
        <f>+L112+N112</f>
        <v>4500000</v>
      </c>
      <c r="T112" s="4">
        <f t="shared" ref="T112:T115" si="50">+J112*4%</f>
        <v>180000</v>
      </c>
      <c r="U112" s="4">
        <f>+J112*5%</f>
        <v>225000</v>
      </c>
      <c r="V112" s="4"/>
      <c r="W112" s="4"/>
      <c r="X112" s="4"/>
      <c r="Y112" s="4"/>
      <c r="Z112" s="4"/>
      <c r="AA112" s="4"/>
      <c r="AB112" s="4">
        <f>SUM(T112:AA112)</f>
        <v>405000</v>
      </c>
      <c r="AC112" s="118">
        <f>+S112-AB112</f>
        <v>4095000</v>
      </c>
    </row>
    <row r="113" spans="1:31" ht="24.95" customHeight="1" x14ac:dyDescent="0.25">
      <c r="A113" s="117"/>
      <c r="B113" s="2">
        <v>40</v>
      </c>
      <c r="C113" s="1" t="s">
        <v>164</v>
      </c>
      <c r="D113" s="1" t="s">
        <v>31</v>
      </c>
      <c r="E113" s="2" t="s">
        <v>102</v>
      </c>
      <c r="F113" s="103" t="e">
        <f>INT(YEARFRAC('[1]Perfil Sociodemografico'!F60,'[1]Perfil Sociodemografico'!G60))</f>
        <v>#VALUE!</v>
      </c>
      <c r="G113" s="104" t="s">
        <v>214</v>
      </c>
      <c r="H113" s="104" t="s">
        <v>212</v>
      </c>
      <c r="I113" s="2" t="s">
        <v>194</v>
      </c>
      <c r="J113" s="4">
        <v>781242</v>
      </c>
      <c r="K113" s="3">
        <v>30</v>
      </c>
      <c r="L113" s="3">
        <f t="shared" si="41"/>
        <v>781242</v>
      </c>
      <c r="M113" s="3"/>
      <c r="N113" s="4"/>
      <c r="O113" s="4"/>
      <c r="P113" s="4"/>
      <c r="Q113" s="4"/>
      <c r="R113" s="4"/>
      <c r="S113" s="4">
        <f>+L113+N113+P113+Q113+R113+O113</f>
        <v>781242</v>
      </c>
      <c r="T113" s="4"/>
      <c r="U113" s="4"/>
      <c r="V113" s="4"/>
      <c r="W113" s="4"/>
      <c r="X113" s="7"/>
      <c r="Y113" s="4"/>
      <c r="Z113" s="4"/>
      <c r="AA113" s="4"/>
      <c r="AB113" s="4">
        <f t="shared" ref="AB113" si="51">SUM(T113:AA113)</f>
        <v>0</v>
      </c>
      <c r="AC113" s="118">
        <f>+S113-AB113</f>
        <v>781242</v>
      </c>
    </row>
    <row r="114" spans="1:31" ht="24.95" customHeight="1" x14ac:dyDescent="0.25">
      <c r="A114" s="117"/>
      <c r="B114" s="2">
        <v>41</v>
      </c>
      <c r="C114" s="9" t="s">
        <v>148</v>
      </c>
      <c r="D114" s="1" t="s">
        <v>31</v>
      </c>
      <c r="E114" s="2" t="s">
        <v>32</v>
      </c>
      <c r="F114" s="103" t="e">
        <f>INT(YEARFRAC('[1]Perfil Sociodemografico'!F57,'[1]Perfil Sociodemografico'!G57))</f>
        <v>#VALUE!</v>
      </c>
      <c r="G114" s="105" t="s">
        <v>231</v>
      </c>
      <c r="H114" s="105" t="s">
        <v>212</v>
      </c>
      <c r="I114" s="2" t="s">
        <v>194</v>
      </c>
      <c r="J114" s="4">
        <v>1500000</v>
      </c>
      <c r="K114" s="3">
        <v>30</v>
      </c>
      <c r="L114" s="3">
        <f t="shared" si="41"/>
        <v>1500000</v>
      </c>
      <c r="M114" s="3"/>
      <c r="N114" s="4">
        <v>88211</v>
      </c>
      <c r="O114" s="4"/>
      <c r="P114" s="4"/>
      <c r="Q114" s="4"/>
      <c r="R114" s="4"/>
      <c r="S114" s="4">
        <f t="shared" si="42"/>
        <v>1588211</v>
      </c>
      <c r="T114" s="4">
        <f>+J114*4%</f>
        <v>60000</v>
      </c>
      <c r="U114" s="4">
        <f>+J114*0.04</f>
        <v>60000</v>
      </c>
      <c r="V114" s="4"/>
      <c r="W114" s="4"/>
      <c r="X114" s="4">
        <v>0</v>
      </c>
      <c r="Y114" s="4"/>
      <c r="Z114" s="4">
        <v>0</v>
      </c>
      <c r="AA114" s="4"/>
      <c r="AB114" s="4">
        <f t="shared" si="35"/>
        <v>120000</v>
      </c>
      <c r="AC114" s="118">
        <f>S114-AB114</f>
        <v>1468211</v>
      </c>
    </row>
    <row r="115" spans="1:31" ht="24.95" customHeight="1" x14ac:dyDescent="0.25">
      <c r="A115" s="117"/>
      <c r="B115" s="2">
        <v>42</v>
      </c>
      <c r="C115" s="1" t="s">
        <v>139</v>
      </c>
      <c r="D115" s="1" t="s">
        <v>31</v>
      </c>
      <c r="E115" s="2" t="s">
        <v>32</v>
      </c>
      <c r="F115" s="103" t="e">
        <f>INT(YEARFRAC('[1]Perfil Sociodemografico'!F97,'[1]Perfil Sociodemografico'!G97))</f>
        <v>#VALUE!</v>
      </c>
      <c r="G115" s="104" t="s">
        <v>205</v>
      </c>
      <c r="H115" s="104" t="s">
        <v>206</v>
      </c>
      <c r="I115" s="2" t="s">
        <v>195</v>
      </c>
      <c r="J115" s="4">
        <v>2300000</v>
      </c>
      <c r="K115" s="3">
        <v>30</v>
      </c>
      <c r="L115" s="3">
        <f t="shared" si="41"/>
        <v>2300000</v>
      </c>
      <c r="M115" s="3"/>
      <c r="N115" s="4"/>
      <c r="O115" s="4"/>
      <c r="P115" s="4"/>
      <c r="Q115" s="4"/>
      <c r="R115" s="4"/>
      <c r="S115" s="4">
        <f t="shared" si="42"/>
        <v>2300000</v>
      </c>
      <c r="T115" s="4">
        <f t="shared" si="50"/>
        <v>92000</v>
      </c>
      <c r="U115" s="4">
        <f>+J115*4%</f>
        <v>92000</v>
      </c>
      <c r="V115" s="4"/>
      <c r="W115" s="4"/>
      <c r="X115" s="4">
        <v>0</v>
      </c>
      <c r="Y115" s="4"/>
      <c r="Z115" s="4"/>
      <c r="AA115" s="4"/>
      <c r="AB115" s="4">
        <f t="shared" si="35"/>
        <v>184000</v>
      </c>
      <c r="AC115" s="118">
        <f t="shared" ref="AC115:AC119" si="52">+S115-AB115</f>
        <v>2116000</v>
      </c>
    </row>
    <row r="116" spans="1:31" ht="24.95" customHeight="1" x14ac:dyDescent="0.25">
      <c r="A116" s="117"/>
      <c r="B116" s="2">
        <v>43</v>
      </c>
      <c r="C116" s="1" t="s">
        <v>140</v>
      </c>
      <c r="D116" s="1" t="s">
        <v>31</v>
      </c>
      <c r="E116" s="2" t="s">
        <v>32</v>
      </c>
      <c r="F116" s="103" t="e">
        <f>INT(YEARFRAC('[1]Perfil Sociodemografico'!F39,'[1]Perfil Sociodemografico'!G39))</f>
        <v>#VALUE!</v>
      </c>
      <c r="G116" s="104" t="s">
        <v>218</v>
      </c>
      <c r="H116" s="104" t="s">
        <v>193</v>
      </c>
      <c r="I116" s="2" t="s">
        <v>194</v>
      </c>
      <c r="J116" s="4">
        <v>1300000</v>
      </c>
      <c r="K116" s="3">
        <v>30</v>
      </c>
      <c r="L116" s="3">
        <f t="shared" si="41"/>
        <v>1300000</v>
      </c>
      <c r="M116" s="3"/>
      <c r="N116" s="4">
        <v>88211</v>
      </c>
      <c r="O116" s="4"/>
      <c r="P116" s="4">
        <v>0</v>
      </c>
      <c r="Q116" s="4"/>
      <c r="R116" s="4"/>
      <c r="S116" s="4">
        <f t="shared" si="42"/>
        <v>1388211</v>
      </c>
      <c r="T116" s="4">
        <f>+J116*0.04</f>
        <v>52000</v>
      </c>
      <c r="U116" s="4">
        <f>+J116*0.04</f>
        <v>52000</v>
      </c>
      <c r="V116" s="4"/>
      <c r="W116" s="4"/>
      <c r="X116" s="4"/>
      <c r="Y116" s="4"/>
      <c r="Z116" s="4"/>
      <c r="AA116" s="4"/>
      <c r="AB116" s="4">
        <f>SUM(T116:AA116)</f>
        <v>104000</v>
      </c>
      <c r="AC116" s="118">
        <f>+S116-AB116</f>
        <v>1284211</v>
      </c>
    </row>
    <row r="117" spans="1:31" ht="24.95" customHeight="1" x14ac:dyDescent="0.25">
      <c r="A117" s="117"/>
      <c r="B117" s="2">
        <v>44</v>
      </c>
      <c r="C117" s="1" t="s">
        <v>141</v>
      </c>
      <c r="D117" s="1" t="s">
        <v>31</v>
      </c>
      <c r="E117" s="2" t="s">
        <v>32</v>
      </c>
      <c r="F117" s="103" t="e">
        <f>INT(YEARFRAC('[1]Perfil Sociodemografico'!F55,'[1]Perfil Sociodemografico'!G55))</f>
        <v>#VALUE!</v>
      </c>
      <c r="G117" s="105" t="s">
        <v>217</v>
      </c>
      <c r="H117" s="105" t="s">
        <v>206</v>
      </c>
      <c r="I117" s="2" t="s">
        <v>195</v>
      </c>
      <c r="J117" s="4">
        <v>4000000</v>
      </c>
      <c r="K117" s="3">
        <v>30</v>
      </c>
      <c r="L117" s="3">
        <f t="shared" si="41"/>
        <v>4000000.0000000005</v>
      </c>
      <c r="M117" s="3"/>
      <c r="N117" s="4"/>
      <c r="O117" s="4"/>
      <c r="P117" s="4"/>
      <c r="Q117" s="4"/>
      <c r="R117" s="4"/>
      <c r="S117" s="4">
        <f t="shared" si="42"/>
        <v>4000000.0000000005</v>
      </c>
      <c r="T117" s="4">
        <f>+J117*0.04</f>
        <v>160000</v>
      </c>
      <c r="U117" s="4">
        <f>+J117*0.05</f>
        <v>200000</v>
      </c>
      <c r="V117" s="4"/>
      <c r="W117" s="4">
        <v>95000</v>
      </c>
      <c r="X117" s="4"/>
      <c r="Y117" s="4"/>
      <c r="Z117" s="4"/>
      <c r="AA117" s="4"/>
      <c r="AB117" s="4">
        <f t="shared" si="35"/>
        <v>455000</v>
      </c>
      <c r="AC117" s="118">
        <f t="shared" si="52"/>
        <v>3545000.0000000005</v>
      </c>
    </row>
    <row r="118" spans="1:31" ht="24.95" customHeight="1" x14ac:dyDescent="0.25">
      <c r="A118" s="117"/>
      <c r="B118" s="2">
        <v>45</v>
      </c>
      <c r="C118" s="1" t="s">
        <v>243</v>
      </c>
      <c r="D118" s="1" t="s">
        <v>31</v>
      </c>
      <c r="E118" s="2" t="s">
        <v>32</v>
      </c>
      <c r="F118" s="103" t="e">
        <f>INT(YEARFRAC('[1]Perfil Sociodemografico'!F56,'[1]Perfil Sociodemografico'!G56))</f>
        <v>#VALUE!</v>
      </c>
      <c r="G118" s="105" t="s">
        <v>217</v>
      </c>
      <c r="H118" s="105" t="s">
        <v>206</v>
      </c>
      <c r="I118" s="2" t="s">
        <v>195</v>
      </c>
      <c r="J118" s="4">
        <v>6500000</v>
      </c>
      <c r="K118" s="3">
        <v>27</v>
      </c>
      <c r="L118" s="3">
        <f t="shared" si="41"/>
        <v>5850000</v>
      </c>
      <c r="M118" s="3"/>
      <c r="N118" s="4"/>
      <c r="O118" s="4"/>
      <c r="P118" s="4"/>
      <c r="Q118" s="4"/>
      <c r="R118" s="4"/>
      <c r="S118" s="4">
        <f t="shared" si="42"/>
        <v>5850000</v>
      </c>
      <c r="T118" s="4">
        <f>+L118*0.04</f>
        <v>234000</v>
      </c>
      <c r="U118" s="4">
        <f>+L118*0.05</f>
        <v>292500</v>
      </c>
      <c r="V118" s="4"/>
      <c r="W118" s="4"/>
      <c r="X118" s="4">
        <v>253000</v>
      </c>
      <c r="Y118" s="4"/>
      <c r="Z118" s="4"/>
      <c r="AA118" s="4"/>
      <c r="AB118" s="4">
        <f t="shared" si="35"/>
        <v>779500</v>
      </c>
      <c r="AC118" s="118">
        <f t="shared" si="52"/>
        <v>5070500</v>
      </c>
    </row>
    <row r="119" spans="1:31" ht="17.25" customHeight="1" x14ac:dyDescent="0.25">
      <c r="A119" s="117"/>
      <c r="B119" s="2">
        <v>46</v>
      </c>
      <c r="C119" s="1" t="s">
        <v>144</v>
      </c>
      <c r="D119" s="1" t="s">
        <v>31</v>
      </c>
      <c r="E119" s="2" t="s">
        <v>32</v>
      </c>
      <c r="F119" s="103" t="e">
        <f>INT(YEARFRAC('[1]Perfil Sociodemografico'!F94,'[1]Perfil Sociodemografico'!G94))</f>
        <v>#VALUE!</v>
      </c>
      <c r="G119" s="104" t="s">
        <v>233</v>
      </c>
      <c r="H119" s="104" t="s">
        <v>212</v>
      </c>
      <c r="I119" s="2" t="s">
        <v>194</v>
      </c>
      <c r="J119" s="4">
        <v>1800000</v>
      </c>
      <c r="K119" s="3">
        <v>30</v>
      </c>
      <c r="L119" s="3">
        <f>+J119-P119</f>
        <v>1800000</v>
      </c>
      <c r="M119" s="3"/>
      <c r="N119" s="4"/>
      <c r="O119" s="4"/>
      <c r="P119" s="4"/>
      <c r="Q119" s="4"/>
      <c r="R119" s="4"/>
      <c r="S119" s="4">
        <f t="shared" si="42"/>
        <v>1800000</v>
      </c>
      <c r="T119" s="4">
        <f>+J119*4%</f>
        <v>72000</v>
      </c>
      <c r="U119" s="4">
        <f>+J119*4%</f>
        <v>72000</v>
      </c>
      <c r="V119" s="4"/>
      <c r="W119" s="4"/>
      <c r="X119" s="4">
        <v>0</v>
      </c>
      <c r="Y119" s="4"/>
      <c r="Z119" s="4"/>
      <c r="AA119" s="4"/>
      <c r="AB119" s="4">
        <f t="shared" si="35"/>
        <v>144000</v>
      </c>
      <c r="AC119" s="118">
        <f t="shared" si="52"/>
        <v>1656000</v>
      </c>
    </row>
    <row r="120" spans="1:31" ht="12.75" thickBot="1" x14ac:dyDescent="0.3">
      <c r="A120" s="119"/>
      <c r="B120" s="120"/>
      <c r="C120" s="120"/>
      <c r="D120" s="121"/>
      <c r="E120" s="121"/>
      <c r="F120" s="121"/>
      <c r="G120" s="121"/>
      <c r="H120" s="121"/>
      <c r="I120" s="121"/>
      <c r="J120" s="122">
        <f>SUM(J4:J119)</f>
        <v>503337777</v>
      </c>
      <c r="K120" s="122"/>
      <c r="L120" s="122">
        <f t="shared" ref="L120:AC120" si="53">SUM(L4:L119)</f>
        <v>472860204.06666666</v>
      </c>
      <c r="M120" s="122"/>
      <c r="N120" s="122">
        <f t="shared" si="53"/>
        <v>7768908.7666666675</v>
      </c>
      <c r="O120" s="122">
        <f t="shared" si="53"/>
        <v>104644</v>
      </c>
      <c r="P120" s="122">
        <f t="shared" si="53"/>
        <v>0</v>
      </c>
      <c r="Q120" s="122">
        <f t="shared" si="53"/>
        <v>11625912</v>
      </c>
      <c r="R120" s="122">
        <f t="shared" si="53"/>
        <v>6153067</v>
      </c>
      <c r="S120" s="122">
        <f t="shared" si="53"/>
        <v>498512735.83333331</v>
      </c>
      <c r="T120" s="122">
        <f t="shared" si="53"/>
        <v>19289771.976000004</v>
      </c>
      <c r="U120" s="122">
        <f t="shared" si="53"/>
        <v>23739504.296000004</v>
      </c>
      <c r="V120" s="122">
        <f t="shared" si="53"/>
        <v>712700</v>
      </c>
      <c r="W120" s="122">
        <f t="shared" si="53"/>
        <v>1728292</v>
      </c>
      <c r="X120" s="122">
        <f t="shared" si="53"/>
        <v>6310231</v>
      </c>
      <c r="Y120" s="122">
        <f t="shared" si="53"/>
        <v>12015000</v>
      </c>
      <c r="Z120" s="122">
        <f t="shared" si="53"/>
        <v>344614</v>
      </c>
      <c r="AA120" s="122">
        <f t="shared" si="53"/>
        <v>14410943</v>
      </c>
      <c r="AB120" s="122">
        <f t="shared" si="53"/>
        <v>78551056.272000015</v>
      </c>
      <c r="AC120" s="123">
        <f t="shared" si="53"/>
        <v>419961679.56133324</v>
      </c>
    </row>
    <row r="121" spans="1:31" x14ac:dyDescent="0.25">
      <c r="D121" s="68"/>
      <c r="E121" s="68"/>
      <c r="F121" s="68"/>
      <c r="G121" s="68"/>
      <c r="H121" s="68"/>
      <c r="I121" s="68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66"/>
    </row>
    <row r="122" spans="1:31" x14ac:dyDescent="0.25">
      <c r="D122" s="68"/>
      <c r="E122" s="68"/>
      <c r="F122" s="68"/>
      <c r="G122" s="68"/>
      <c r="H122" s="68"/>
      <c r="I122" s="68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Z122" s="12"/>
      <c r="AA122" s="12"/>
      <c r="AB122" s="12"/>
      <c r="AC122" s="66"/>
    </row>
    <row r="123" spans="1:31" x14ac:dyDescent="0.25">
      <c r="C123" s="72"/>
      <c r="D123" s="68"/>
      <c r="E123" s="73"/>
      <c r="F123" s="73"/>
      <c r="G123" s="73"/>
      <c r="H123" s="73"/>
      <c r="I123" s="7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Z123" s="12"/>
      <c r="AA123" s="12"/>
      <c r="AB123" s="12"/>
      <c r="AC123" s="68"/>
    </row>
    <row r="124" spans="1:31" x14ac:dyDescent="0.25">
      <c r="C124" s="72"/>
      <c r="D124" s="68"/>
      <c r="E124" s="73"/>
      <c r="F124" s="73"/>
      <c r="G124" s="73"/>
      <c r="H124" s="73"/>
      <c r="I124" s="7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68"/>
      <c r="AD124" s="68"/>
      <c r="AE124" s="68"/>
    </row>
    <row r="125" spans="1:31" x14ac:dyDescent="0.25">
      <c r="B125" s="68"/>
      <c r="C125" s="72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12"/>
      <c r="W125" s="74"/>
      <c r="X125" s="74"/>
      <c r="Y125" s="74"/>
      <c r="Z125" s="74"/>
      <c r="AA125" s="74"/>
      <c r="AB125" s="74"/>
      <c r="AC125" s="74"/>
      <c r="AD125" s="68"/>
      <c r="AE125" s="68"/>
    </row>
    <row r="126" spans="1:31" x14ac:dyDescent="0.25">
      <c r="B126" s="68"/>
      <c r="C126" s="72"/>
      <c r="D126" s="68"/>
      <c r="E126" s="68"/>
      <c r="F126" s="68"/>
      <c r="G126" s="68"/>
      <c r="H126" s="68"/>
      <c r="I126" s="68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68"/>
      <c r="AD126" s="68"/>
      <c r="AE126" s="68"/>
    </row>
    <row r="127" spans="1:31" x14ac:dyDescent="0.25">
      <c r="B127" s="68"/>
      <c r="C127" s="72"/>
      <c r="D127" s="68"/>
      <c r="E127" s="68"/>
      <c r="F127" s="68"/>
      <c r="G127" s="68"/>
      <c r="H127" s="68"/>
      <c r="I127" s="68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68"/>
      <c r="AD127" s="68"/>
      <c r="AE127" s="68"/>
    </row>
    <row r="128" spans="1:31" x14ac:dyDescent="0.25">
      <c r="B128" s="68"/>
      <c r="C128" s="72"/>
      <c r="D128" s="68"/>
      <c r="E128" s="68"/>
      <c r="F128" s="68"/>
      <c r="G128" s="68"/>
      <c r="H128" s="68"/>
      <c r="I128" s="68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68"/>
      <c r="AD128" s="68"/>
      <c r="AE128" s="68"/>
    </row>
    <row r="129" spans="2:31" x14ac:dyDescent="0.25">
      <c r="B129" s="68"/>
      <c r="C129" s="75"/>
      <c r="D129" s="75"/>
      <c r="E129" s="75"/>
      <c r="F129" s="75"/>
      <c r="G129" s="75"/>
      <c r="H129" s="75"/>
      <c r="I129" s="75"/>
      <c r="J129" s="75"/>
      <c r="K129" s="75"/>
      <c r="L129" s="91"/>
      <c r="M129" s="91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68"/>
      <c r="AE129" s="68"/>
    </row>
    <row r="130" spans="2:31" x14ac:dyDescent="0.25">
      <c r="B130" s="78"/>
      <c r="C130" s="92"/>
      <c r="D130" s="76"/>
      <c r="E130" s="76"/>
      <c r="F130" s="76"/>
      <c r="G130" s="76"/>
      <c r="H130" s="76"/>
      <c r="I130" s="76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6"/>
      <c r="AD130" s="68"/>
      <c r="AE130" s="68"/>
    </row>
    <row r="131" spans="2:31" x14ac:dyDescent="0.25">
      <c r="B131" s="68"/>
      <c r="C131" s="93"/>
      <c r="D131" s="68"/>
      <c r="E131" s="68"/>
      <c r="F131" s="68"/>
      <c r="G131" s="68"/>
      <c r="H131" s="68"/>
      <c r="I131" s="68"/>
      <c r="J131" s="12"/>
      <c r="K131" s="12"/>
      <c r="L131" s="80"/>
      <c r="M131" s="80"/>
      <c r="N131" s="12"/>
      <c r="O131" s="12"/>
      <c r="P131" s="12"/>
      <c r="Q131" s="12"/>
      <c r="R131" s="12"/>
      <c r="S131" s="12"/>
      <c r="T131" s="12"/>
      <c r="U131" s="12"/>
      <c r="V131" s="81"/>
      <c r="W131" s="81"/>
      <c r="X131" s="81"/>
      <c r="Y131" s="81"/>
      <c r="Z131" s="81"/>
      <c r="AA131" s="12"/>
      <c r="AB131" s="12"/>
      <c r="AC131" s="68"/>
      <c r="AD131" s="68"/>
      <c r="AE131" s="68"/>
    </row>
    <row r="132" spans="2:31" x14ac:dyDescent="0.25">
      <c r="B132" s="68"/>
      <c r="C132" s="82"/>
      <c r="D132" s="76"/>
      <c r="E132" s="76"/>
      <c r="F132" s="76"/>
      <c r="G132" s="76"/>
      <c r="H132" s="76"/>
      <c r="I132" s="76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76"/>
      <c r="AD132" s="68"/>
      <c r="AE132" s="68"/>
    </row>
    <row r="133" spans="2:31" x14ac:dyDescent="0.25">
      <c r="B133" s="76"/>
      <c r="C133" s="82"/>
      <c r="D133" s="76"/>
      <c r="E133" s="76"/>
      <c r="F133" s="76"/>
      <c r="G133" s="76"/>
      <c r="H133" s="76"/>
      <c r="I133" s="76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  <c r="AA133" s="79"/>
      <c r="AB133" s="79"/>
      <c r="AC133" s="76"/>
      <c r="AD133" s="68"/>
      <c r="AE133" s="68"/>
    </row>
    <row r="134" spans="2:31" x14ac:dyDescent="0.25">
      <c r="B134" s="68"/>
      <c r="C134" s="82"/>
      <c r="D134" s="76"/>
      <c r="E134" s="76"/>
      <c r="F134" s="76"/>
      <c r="G134" s="76"/>
      <c r="H134" s="76"/>
      <c r="I134" s="76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66"/>
      <c r="AD134" s="68"/>
      <c r="AE134" s="68"/>
    </row>
    <row r="135" spans="2:31" x14ac:dyDescent="0.25">
      <c r="C135" s="82"/>
      <c r="D135" s="76"/>
      <c r="E135" s="76"/>
      <c r="F135" s="76"/>
      <c r="G135" s="76"/>
      <c r="H135" s="76"/>
      <c r="I135" s="76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66"/>
      <c r="AD135" s="68"/>
      <c r="AE135" s="68"/>
    </row>
    <row r="136" spans="2:31" x14ac:dyDescent="0.25">
      <c r="C136" s="82"/>
      <c r="D136" s="76"/>
      <c r="E136" s="76"/>
      <c r="F136" s="76"/>
      <c r="G136" s="76"/>
      <c r="H136" s="76"/>
      <c r="I136" s="76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66"/>
      <c r="AD136" s="68"/>
      <c r="AE136" s="68"/>
    </row>
    <row r="137" spans="2:31" x14ac:dyDescent="0.25">
      <c r="C137" s="82"/>
      <c r="D137" s="76"/>
      <c r="E137" s="76"/>
      <c r="F137" s="76"/>
      <c r="G137" s="76"/>
      <c r="H137" s="76"/>
      <c r="I137" s="76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66"/>
      <c r="AD137" s="68"/>
      <c r="AE137" s="68"/>
    </row>
    <row r="138" spans="2:31" x14ac:dyDescent="0.25">
      <c r="C138" s="82"/>
      <c r="D138" s="76"/>
      <c r="E138" s="76"/>
      <c r="F138" s="76"/>
      <c r="G138" s="76"/>
      <c r="H138" s="76"/>
      <c r="I138" s="76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66"/>
      <c r="AD138" s="68"/>
      <c r="AE138" s="68"/>
    </row>
    <row r="139" spans="2:31" x14ac:dyDescent="0.25">
      <c r="C139" s="82"/>
      <c r="D139" s="76"/>
      <c r="E139" s="76"/>
      <c r="F139" s="76"/>
      <c r="G139" s="76"/>
      <c r="H139" s="76"/>
      <c r="I139" s="76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66"/>
      <c r="AD139" s="68"/>
      <c r="AE139" s="68"/>
    </row>
    <row r="140" spans="2:31" x14ac:dyDescent="0.25">
      <c r="C140" s="72"/>
      <c r="D140" s="68"/>
      <c r="E140" s="68"/>
      <c r="F140" s="68"/>
      <c r="G140" s="68"/>
      <c r="H140" s="68"/>
      <c r="I140" s="68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66"/>
      <c r="AD140" s="68"/>
      <c r="AE140" s="68"/>
    </row>
    <row r="141" spans="2:31" x14ac:dyDescent="0.25">
      <c r="C141" s="82"/>
      <c r="D141" s="68"/>
      <c r="E141" s="68"/>
      <c r="F141" s="68"/>
      <c r="G141" s="68"/>
      <c r="H141" s="68"/>
      <c r="I141" s="68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66"/>
      <c r="AD141" s="68"/>
      <c r="AE141" s="68"/>
    </row>
    <row r="142" spans="2:31" x14ac:dyDescent="0.25">
      <c r="C142" s="82"/>
      <c r="D142" s="68"/>
      <c r="E142" s="68"/>
      <c r="F142" s="68"/>
      <c r="G142" s="68"/>
      <c r="H142" s="68"/>
      <c r="I142" s="68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66"/>
      <c r="AD142" s="68"/>
      <c r="AE142" s="68"/>
    </row>
    <row r="143" spans="2:31" x14ac:dyDescent="0.25">
      <c r="C143" s="82"/>
      <c r="D143" s="68"/>
      <c r="E143" s="68"/>
      <c r="F143" s="68"/>
      <c r="G143" s="68"/>
      <c r="H143" s="68"/>
      <c r="I143" s="68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66"/>
      <c r="AD143" s="68"/>
      <c r="AE143" s="68"/>
    </row>
    <row r="144" spans="2:31" x14ac:dyDescent="0.25">
      <c r="C144" s="82"/>
      <c r="D144" s="68"/>
      <c r="E144" s="68"/>
      <c r="F144" s="68"/>
      <c r="G144" s="68"/>
      <c r="H144" s="68"/>
      <c r="I144" s="68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66"/>
      <c r="AD144" s="68"/>
      <c r="AE144" s="68"/>
    </row>
    <row r="145" spans="2:31" x14ac:dyDescent="0.25">
      <c r="C145" s="82"/>
      <c r="D145" s="68"/>
      <c r="E145" s="68"/>
      <c r="F145" s="68"/>
      <c r="G145" s="68"/>
      <c r="H145" s="68"/>
      <c r="I145" s="68"/>
      <c r="J145" s="12"/>
      <c r="K145" s="12"/>
      <c r="L145" s="12"/>
      <c r="M145" s="12"/>
      <c r="N145" s="12"/>
      <c r="O145" s="12"/>
      <c r="P145" s="12"/>
      <c r="Q145" s="12"/>
      <c r="R145" s="12"/>
      <c r="S145" s="12">
        <f>737717*4</f>
        <v>2950868</v>
      </c>
      <c r="T145" s="12">
        <f>737717*2</f>
        <v>1475434</v>
      </c>
      <c r="U145" s="12"/>
      <c r="V145" s="12"/>
      <c r="W145" s="12"/>
      <c r="X145" s="12"/>
      <c r="Y145" s="12"/>
      <c r="Z145" s="12"/>
      <c r="AA145" s="12"/>
      <c r="AB145" s="12"/>
      <c r="AC145" s="66"/>
      <c r="AD145" s="68"/>
      <c r="AE145" s="68"/>
    </row>
    <row r="146" spans="2:31" x14ac:dyDescent="0.25">
      <c r="C146" s="82"/>
      <c r="D146" s="68"/>
      <c r="E146" s="68"/>
      <c r="F146" s="68"/>
      <c r="G146" s="68"/>
      <c r="H146" s="68"/>
      <c r="I146" s="68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66"/>
      <c r="AD146" s="68"/>
      <c r="AE146" s="68"/>
    </row>
    <row r="147" spans="2:31" x14ac:dyDescent="0.25">
      <c r="C147" s="82"/>
      <c r="D147" s="68"/>
      <c r="E147" s="68"/>
      <c r="F147" s="68"/>
      <c r="G147" s="68"/>
      <c r="H147" s="68"/>
      <c r="I147" s="68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66"/>
      <c r="AD147" s="68"/>
      <c r="AE147" s="68"/>
    </row>
    <row r="148" spans="2:31" x14ac:dyDescent="0.25">
      <c r="C148" s="82"/>
      <c r="D148" s="68"/>
      <c r="E148" s="68"/>
      <c r="F148" s="68"/>
      <c r="G148" s="68"/>
      <c r="H148" s="68"/>
      <c r="I148" s="68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66"/>
      <c r="AD148" s="68"/>
      <c r="AE148" s="68"/>
    </row>
    <row r="149" spans="2:31" x14ac:dyDescent="0.25">
      <c r="C149" s="82"/>
      <c r="D149" s="68"/>
      <c r="E149" s="68"/>
      <c r="F149" s="68"/>
      <c r="G149" s="68"/>
      <c r="H149" s="68"/>
      <c r="I149" s="68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66"/>
      <c r="AD149" s="68"/>
      <c r="AE149" s="68"/>
    </row>
    <row r="150" spans="2:31" x14ac:dyDescent="0.25">
      <c r="C150" s="82"/>
      <c r="D150" s="68"/>
      <c r="E150" s="68"/>
      <c r="F150" s="68"/>
      <c r="G150" s="68"/>
      <c r="H150" s="68"/>
      <c r="I150" s="68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66"/>
      <c r="AD150" s="68"/>
      <c r="AE150" s="68"/>
    </row>
    <row r="151" spans="2:31" x14ac:dyDescent="0.25">
      <c r="C151" s="82"/>
      <c r="D151" s="68"/>
      <c r="E151" s="68"/>
      <c r="F151" s="68"/>
      <c r="G151" s="68"/>
      <c r="H151" s="68"/>
      <c r="I151" s="68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66"/>
      <c r="AD151" s="68"/>
      <c r="AE151" s="68"/>
    </row>
    <row r="152" spans="2:31" x14ac:dyDescent="0.25">
      <c r="C152" s="72"/>
      <c r="D152" s="68"/>
      <c r="E152" s="68"/>
      <c r="F152" s="68"/>
      <c r="G152" s="68"/>
      <c r="H152" s="68"/>
      <c r="I152" s="68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68"/>
      <c r="AD152" s="68"/>
      <c r="AE152" s="68"/>
    </row>
    <row r="153" spans="2:31" x14ac:dyDescent="0.25">
      <c r="C153" s="72"/>
      <c r="D153" s="68"/>
      <c r="E153" s="68"/>
      <c r="F153" s="68"/>
      <c r="G153" s="68"/>
      <c r="H153" s="68"/>
      <c r="I153" s="68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68"/>
      <c r="AA153" s="12"/>
      <c r="AB153" s="12"/>
      <c r="AC153" s="68"/>
      <c r="AD153" s="68"/>
      <c r="AE153" s="68"/>
    </row>
    <row r="154" spans="2:31" x14ac:dyDescent="0.25">
      <c r="B154" s="68"/>
      <c r="C154" s="72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68"/>
      <c r="AE154" s="68"/>
    </row>
    <row r="155" spans="2:31" x14ac:dyDescent="0.25">
      <c r="B155" s="68"/>
      <c r="C155" s="72"/>
      <c r="D155" s="68"/>
      <c r="E155" s="68"/>
      <c r="F155" s="68"/>
      <c r="G155" s="68"/>
      <c r="H155" s="68"/>
      <c r="I155" s="68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  <c r="AA155" s="79"/>
      <c r="AB155" s="79"/>
      <c r="AC155" s="76"/>
      <c r="AD155" s="68"/>
      <c r="AE155" s="68"/>
    </row>
    <row r="156" spans="2:31" x14ac:dyDescent="0.25">
      <c r="B156" s="68"/>
      <c r="C156" s="82"/>
      <c r="D156" s="76"/>
      <c r="E156" s="76"/>
      <c r="F156" s="76"/>
      <c r="G156" s="76"/>
      <c r="H156" s="76"/>
      <c r="I156" s="76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  <c r="AA156" s="79"/>
      <c r="AB156" s="79"/>
      <c r="AC156" s="76"/>
    </row>
    <row r="157" spans="2:31" x14ac:dyDescent="0.25">
      <c r="B157" s="85"/>
      <c r="C157" s="82"/>
      <c r="D157" s="76"/>
      <c r="E157" s="76"/>
      <c r="F157" s="76"/>
      <c r="G157" s="76"/>
      <c r="H157" s="76"/>
      <c r="I157" s="76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  <c r="AA157" s="79"/>
      <c r="AB157" s="79"/>
      <c r="AC157" s="76"/>
    </row>
    <row r="158" spans="2:31" x14ac:dyDescent="0.25">
      <c r="C158" s="82"/>
      <c r="D158" s="76"/>
      <c r="E158" s="76"/>
      <c r="F158" s="76"/>
      <c r="G158" s="76"/>
      <c r="H158" s="76"/>
      <c r="I158" s="76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66"/>
    </row>
    <row r="159" spans="2:31" x14ac:dyDescent="0.25">
      <c r="C159" s="82"/>
      <c r="D159" s="76"/>
      <c r="E159" s="76"/>
      <c r="F159" s="76"/>
      <c r="G159" s="76"/>
      <c r="H159" s="76"/>
      <c r="I159" s="76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66"/>
    </row>
    <row r="160" spans="2:31" x14ac:dyDescent="0.25">
      <c r="C160" s="82"/>
      <c r="D160" s="76"/>
      <c r="E160" s="76"/>
      <c r="F160" s="76"/>
      <c r="G160" s="76"/>
      <c r="H160" s="76"/>
      <c r="I160" s="76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66"/>
    </row>
    <row r="161" spans="2:29" x14ac:dyDescent="0.25">
      <c r="C161" s="72"/>
      <c r="D161" s="68"/>
      <c r="E161" s="68"/>
      <c r="F161" s="68"/>
      <c r="G161" s="68"/>
      <c r="H161" s="68"/>
      <c r="I161" s="68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66"/>
    </row>
    <row r="162" spans="2:29" x14ac:dyDescent="0.25">
      <c r="C162" s="82"/>
      <c r="D162" s="68"/>
      <c r="E162" s="68"/>
      <c r="F162" s="68"/>
      <c r="G162" s="68"/>
      <c r="H162" s="68"/>
      <c r="I162" s="68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66"/>
    </row>
    <row r="163" spans="2:29" x14ac:dyDescent="0.25">
      <c r="C163" s="72"/>
      <c r="D163" s="68"/>
      <c r="E163" s="68"/>
      <c r="F163" s="68"/>
      <c r="G163" s="68"/>
      <c r="H163" s="68"/>
      <c r="I163" s="68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68"/>
    </row>
    <row r="164" spans="2:29" x14ac:dyDescent="0.25">
      <c r="C164" s="72"/>
      <c r="D164" s="68"/>
      <c r="E164" s="68"/>
      <c r="F164" s="68"/>
      <c r="G164" s="68"/>
      <c r="H164" s="68"/>
      <c r="I164" s="68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66"/>
    </row>
    <row r="165" spans="2:29" x14ac:dyDescent="0.25">
      <c r="B165" s="68"/>
      <c r="C165" s="72"/>
      <c r="D165" s="68"/>
      <c r="E165" s="68"/>
      <c r="F165" s="68"/>
      <c r="G165" s="68"/>
      <c r="H165" s="68"/>
      <c r="I165" s="68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68"/>
    </row>
    <row r="166" spans="2:29" x14ac:dyDescent="0.25">
      <c r="B166" s="68"/>
      <c r="C166" s="72"/>
      <c r="D166" s="68"/>
      <c r="E166" s="68"/>
      <c r="F166" s="68"/>
      <c r="G166" s="68"/>
      <c r="H166" s="68"/>
      <c r="I166" s="68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68"/>
    </row>
    <row r="167" spans="2:29" x14ac:dyDescent="0.25">
      <c r="B167" s="68"/>
      <c r="C167" s="72"/>
      <c r="D167" s="68"/>
      <c r="E167" s="68"/>
      <c r="F167" s="68"/>
      <c r="G167" s="68"/>
      <c r="H167" s="68"/>
      <c r="I167" s="68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86"/>
    </row>
    <row r="168" spans="2:29" x14ac:dyDescent="0.25">
      <c r="B168" s="68"/>
      <c r="C168" s="72"/>
      <c r="D168" s="68"/>
      <c r="E168" s="68"/>
      <c r="F168" s="68"/>
      <c r="G168" s="68"/>
      <c r="H168" s="68"/>
      <c r="I168" s="68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87"/>
    </row>
    <row r="169" spans="2:29" x14ac:dyDescent="0.25">
      <c r="C169" s="72"/>
      <c r="D169" s="68"/>
      <c r="E169" s="68"/>
      <c r="F169" s="68"/>
      <c r="G169" s="68"/>
      <c r="H169" s="68"/>
      <c r="I169" s="68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68"/>
    </row>
    <row r="170" spans="2:29" x14ac:dyDescent="0.25">
      <c r="C170" s="72"/>
      <c r="D170" s="68"/>
      <c r="E170" s="68"/>
      <c r="F170" s="68"/>
      <c r="G170" s="68"/>
      <c r="H170" s="68"/>
      <c r="I170" s="68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68"/>
    </row>
    <row r="171" spans="2:29" x14ac:dyDescent="0.25">
      <c r="C171" s="72"/>
      <c r="D171" s="68"/>
      <c r="E171" s="68"/>
      <c r="F171" s="68"/>
      <c r="G171" s="68"/>
      <c r="H171" s="68"/>
      <c r="I171" s="68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68"/>
    </row>
    <row r="172" spans="2:29" x14ac:dyDescent="0.25">
      <c r="C172" s="72"/>
      <c r="D172" s="68"/>
      <c r="E172" s="68"/>
      <c r="F172" s="68"/>
      <c r="G172" s="68"/>
      <c r="H172" s="68"/>
      <c r="I172" s="68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68"/>
    </row>
    <row r="173" spans="2:29" x14ac:dyDescent="0.25">
      <c r="C173" s="72"/>
      <c r="D173" s="68"/>
      <c r="E173" s="68"/>
      <c r="F173" s="68"/>
      <c r="G173" s="68"/>
      <c r="H173" s="68"/>
      <c r="I173" s="68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68"/>
    </row>
    <row r="174" spans="2:29" x14ac:dyDescent="0.25">
      <c r="C174" s="72"/>
      <c r="D174" s="68"/>
      <c r="E174" s="68"/>
      <c r="F174" s="68"/>
      <c r="G174" s="68"/>
      <c r="H174" s="68"/>
      <c r="I174" s="68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68"/>
    </row>
    <row r="175" spans="2:29" x14ac:dyDescent="0.25">
      <c r="C175" s="72"/>
      <c r="D175" s="68"/>
      <c r="E175" s="68"/>
      <c r="F175" s="68"/>
      <c r="G175" s="68"/>
      <c r="H175" s="68"/>
      <c r="I175" s="68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68"/>
    </row>
    <row r="176" spans="2:29" x14ac:dyDescent="0.25">
      <c r="C176" s="72"/>
      <c r="D176" s="68"/>
      <c r="E176" s="68"/>
      <c r="F176" s="68"/>
      <c r="G176" s="68"/>
      <c r="H176" s="68"/>
      <c r="I176" s="68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>
        <v>3003000</v>
      </c>
      <c r="U176" s="12"/>
      <c r="V176" s="12"/>
      <c r="W176" s="12"/>
      <c r="X176" s="12"/>
      <c r="Y176" s="12"/>
      <c r="Z176" s="12"/>
      <c r="AA176" s="12"/>
      <c r="AB176" s="12"/>
      <c r="AC176" s="68"/>
    </row>
    <row r="177" spans="3:29" x14ac:dyDescent="0.25">
      <c r="C177" s="82"/>
      <c r="D177" s="68"/>
      <c r="E177" s="68"/>
      <c r="F177" s="68"/>
      <c r="G177" s="68"/>
      <c r="H177" s="68"/>
      <c r="I177" s="68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68"/>
    </row>
    <row r="178" spans="3:29" x14ac:dyDescent="0.25">
      <c r="C178" s="82"/>
      <c r="D178" s="68"/>
      <c r="E178" s="68"/>
      <c r="F178" s="68"/>
      <c r="G178" s="68"/>
      <c r="H178" s="68"/>
      <c r="I178" s="68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68"/>
    </row>
    <row r="179" spans="3:29" x14ac:dyDescent="0.25">
      <c r="C179" s="82"/>
      <c r="D179" s="68"/>
      <c r="E179" s="68"/>
      <c r="F179" s="68"/>
      <c r="G179" s="68"/>
      <c r="H179" s="68"/>
      <c r="I179" s="68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68"/>
    </row>
    <row r="180" spans="3:29" x14ac:dyDescent="0.25">
      <c r="C180" s="82"/>
      <c r="D180" s="68"/>
      <c r="E180" s="68"/>
      <c r="F180" s="68"/>
      <c r="G180" s="68"/>
      <c r="H180" s="68"/>
      <c r="I180" s="68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68"/>
    </row>
    <row r="181" spans="3:29" x14ac:dyDescent="0.25">
      <c r="C181" s="72">
        <v>42614840</v>
      </c>
      <c r="D181" s="68"/>
      <c r="E181" s="68"/>
      <c r="F181" s="68"/>
      <c r="G181" s="68"/>
      <c r="H181" s="68"/>
      <c r="I181" s="68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>
        <v>412608</v>
      </c>
      <c r="AC181" s="68"/>
    </row>
    <row r="182" spans="3:29" x14ac:dyDescent="0.25">
      <c r="C182" s="72">
        <v>9675182</v>
      </c>
      <c r="D182" s="68"/>
      <c r="E182" s="68"/>
      <c r="F182" s="68"/>
      <c r="G182" s="68"/>
      <c r="H182" s="68"/>
      <c r="I182" s="68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>
        <v>1880000</v>
      </c>
      <c r="AC182" s="68"/>
    </row>
    <row r="183" spans="3:29" x14ac:dyDescent="0.25">
      <c r="C183" s="72">
        <v>17903600</v>
      </c>
      <c r="D183" s="68"/>
      <c r="E183" s="68"/>
      <c r="F183" s="68"/>
      <c r="G183" s="68"/>
      <c r="H183" s="68"/>
      <c r="I183" s="68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68"/>
    </row>
    <row r="184" spans="3:29" x14ac:dyDescent="0.25">
      <c r="C184" s="72">
        <f>SUM(C181:C183)</f>
        <v>70193622</v>
      </c>
      <c r="D184" s="68"/>
      <c r="E184" s="68"/>
      <c r="F184" s="68"/>
      <c r="G184" s="68"/>
      <c r="H184" s="68"/>
      <c r="I184" s="68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68"/>
    </row>
    <row r="185" spans="3:29" x14ac:dyDescent="0.25">
      <c r="C185" s="72">
        <v>400000</v>
      </c>
      <c r="D185" s="68"/>
      <c r="E185" s="68"/>
      <c r="F185" s="68"/>
      <c r="G185" s="68"/>
      <c r="H185" s="68"/>
      <c r="I185" s="68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68"/>
    </row>
    <row r="186" spans="3:29" x14ac:dyDescent="0.25">
      <c r="C186" s="72">
        <f>+C184+C185</f>
        <v>70593622</v>
      </c>
      <c r="D186" s="68"/>
      <c r="E186" s="68"/>
      <c r="F186" s="68"/>
      <c r="G186" s="68"/>
      <c r="H186" s="68"/>
      <c r="I186" s="68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68"/>
    </row>
    <row r="190" spans="3:29" x14ac:dyDescent="0.25">
      <c r="C190" s="13">
        <v>11000000</v>
      </c>
    </row>
    <row r="191" spans="3:29" x14ac:dyDescent="0.25">
      <c r="C191" s="13">
        <f>+C189+C190</f>
        <v>11000000</v>
      </c>
    </row>
    <row r="196" spans="3:3" x14ac:dyDescent="0.25">
      <c r="C196" s="13">
        <v>3185000</v>
      </c>
    </row>
    <row r="197" spans="3:3" x14ac:dyDescent="0.25">
      <c r="C197" s="13">
        <v>1080000</v>
      </c>
    </row>
    <row r="198" spans="3:3" x14ac:dyDescent="0.25">
      <c r="C198" s="13">
        <v>4850100</v>
      </c>
    </row>
    <row r="199" spans="3:3" x14ac:dyDescent="0.25">
      <c r="C199" s="13">
        <v>5027500</v>
      </c>
    </row>
    <row r="200" spans="3:3" x14ac:dyDescent="0.25">
      <c r="C200" s="13">
        <v>4566000</v>
      </c>
    </row>
    <row r="201" spans="3:3" x14ac:dyDescent="0.25">
      <c r="C201" s="13">
        <v>1050000</v>
      </c>
    </row>
    <row r="202" spans="3:3" x14ac:dyDescent="0.25">
      <c r="C202" s="13">
        <v>3877333</v>
      </c>
    </row>
    <row r="203" spans="3:3" x14ac:dyDescent="0.25">
      <c r="C203" s="13">
        <v>6732440</v>
      </c>
    </row>
    <row r="204" spans="3:3" x14ac:dyDescent="0.25">
      <c r="C204" s="13">
        <v>3460000</v>
      </c>
    </row>
    <row r="205" spans="3:3" x14ac:dyDescent="0.25">
      <c r="C205" s="13">
        <v>588800</v>
      </c>
    </row>
    <row r="206" spans="3:3" x14ac:dyDescent="0.25">
      <c r="C206" s="13">
        <v>1868000</v>
      </c>
    </row>
    <row r="207" spans="3:3" x14ac:dyDescent="0.25">
      <c r="C207" s="13">
        <v>10313000</v>
      </c>
    </row>
    <row r="208" spans="3:3" x14ac:dyDescent="0.25">
      <c r="C208" s="13">
        <v>3443800</v>
      </c>
    </row>
    <row r="209" spans="3:3" x14ac:dyDescent="0.25">
      <c r="C209" s="13">
        <v>8136400</v>
      </c>
    </row>
    <row r="210" spans="3:3" x14ac:dyDescent="0.25">
      <c r="C210" s="13">
        <v>9675183</v>
      </c>
    </row>
    <row r="211" spans="3:3" x14ac:dyDescent="0.25">
      <c r="C211" s="13">
        <f>SUM(C195:C210)</f>
        <v>67853556</v>
      </c>
    </row>
  </sheetData>
  <mergeCells count="8">
    <mergeCell ref="J153:Y153"/>
    <mergeCell ref="D154:AC154"/>
    <mergeCell ref="A1:AC1"/>
    <mergeCell ref="A2:S2"/>
    <mergeCell ref="T2:AB2"/>
    <mergeCell ref="A4:A73"/>
    <mergeCell ref="A74:A119"/>
    <mergeCell ref="B120:C120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F411-D987-4F2D-86D7-C19B753F8C69}">
  <dimension ref="A1:AF213"/>
  <sheetViews>
    <sheetView workbookViewId="0">
      <selection sqref="A1:XFD1048576"/>
    </sheetView>
  </sheetViews>
  <sheetFormatPr baseColWidth="10" defaultRowHeight="12" x14ac:dyDescent="0.25"/>
  <cols>
    <col min="1" max="1" width="6.7109375" style="62" customWidth="1"/>
    <col min="2" max="2" width="4.85546875" style="62" customWidth="1"/>
    <col min="3" max="3" width="32.28515625" style="13" customWidth="1"/>
    <col min="4" max="4" width="8.5703125" style="62" hidden="1" customWidth="1"/>
    <col min="5" max="9" width="11" style="62" hidden="1" customWidth="1"/>
    <col min="10" max="10" width="15" style="71" customWidth="1"/>
    <col min="11" max="11" width="4.42578125" style="71" customWidth="1"/>
    <col min="12" max="13" width="15.5703125" style="71" customWidth="1"/>
    <col min="14" max="14" width="11.28515625" style="71" customWidth="1"/>
    <col min="15" max="15" width="11.42578125" style="71"/>
    <col min="16" max="16" width="9.5703125" style="71" customWidth="1"/>
    <col min="17" max="17" width="12.28515625" style="71" customWidth="1"/>
    <col min="18" max="18" width="12.5703125" style="71" customWidth="1"/>
    <col min="19" max="19" width="16" style="71" customWidth="1"/>
    <col min="20" max="20" width="13" style="71" customWidth="1"/>
    <col min="21" max="21" width="14.140625" style="71" customWidth="1"/>
    <col min="22" max="23" width="11.28515625" style="71" customWidth="1"/>
    <col min="24" max="24" width="14.140625" style="71" customWidth="1"/>
    <col min="25" max="25" width="12.28515625" style="71" customWidth="1"/>
    <col min="26" max="26" width="11.28515625" style="71" customWidth="1"/>
    <col min="27" max="27" width="15.7109375" style="71" customWidth="1"/>
    <col min="28" max="28" width="12.42578125" style="71" customWidth="1"/>
    <col min="29" max="29" width="18" style="62" bestFit="1" customWidth="1"/>
    <col min="30" max="30" width="15.7109375" style="62" bestFit="1" customWidth="1"/>
    <col min="31" max="249" width="11.42578125" style="62"/>
    <col min="250" max="250" width="10.5703125" style="62" customWidth="1"/>
    <col min="251" max="251" width="4.85546875" style="62" customWidth="1"/>
    <col min="252" max="252" width="32.42578125" style="62" customWidth="1"/>
    <col min="253" max="253" width="9.85546875" style="62" customWidth="1"/>
    <col min="254" max="254" width="10.140625" style="62" customWidth="1"/>
    <col min="255" max="255" width="12.28515625" style="62" customWidth="1"/>
    <col min="256" max="256" width="15.42578125" style="62" customWidth="1"/>
    <col min="257" max="257" width="11.85546875" style="62" customWidth="1"/>
    <col min="258" max="258" width="13.28515625" style="62" customWidth="1"/>
    <col min="259" max="259" width="15.28515625" style="62" customWidth="1"/>
    <col min="260" max="260" width="11.85546875" style="62" customWidth="1"/>
    <col min="261" max="261" width="6.140625" style="62" customWidth="1"/>
    <col min="262" max="262" width="11.85546875" style="62" customWidth="1"/>
    <col min="263" max="263" width="9.42578125" style="62" customWidth="1"/>
    <col min="264" max="264" width="14.7109375" style="62" customWidth="1"/>
    <col min="265" max="265" width="11.5703125" style="62" customWidth="1"/>
    <col min="266" max="266" width="0.42578125" style="62" customWidth="1"/>
    <col min="267" max="267" width="10.5703125" style="62" bestFit="1" customWidth="1"/>
    <col min="268" max="268" width="12.28515625" style="62" customWidth="1"/>
    <col min="269" max="269" width="12.5703125" style="62" customWidth="1"/>
    <col min="270" max="270" width="10.5703125" style="62" customWidth="1"/>
    <col min="271" max="271" width="10.140625" style="62" customWidth="1"/>
    <col min="272" max="272" width="8.42578125" style="62" customWidth="1"/>
    <col min="273" max="273" width="18.85546875" style="62" customWidth="1"/>
    <col min="274" max="274" width="10.28515625" style="62" customWidth="1"/>
    <col min="275" max="275" width="11.42578125" style="62"/>
    <col min="276" max="276" width="12.140625" style="62" customWidth="1"/>
    <col min="277" max="277" width="10.5703125" style="62" customWidth="1"/>
    <col min="278" max="278" width="12.42578125" style="62" customWidth="1"/>
    <col min="279" max="279" width="15.140625" style="62" customWidth="1"/>
    <col min="280" max="280" width="13.5703125" style="62" customWidth="1"/>
    <col min="281" max="281" width="13.140625" style="62" customWidth="1"/>
    <col min="282" max="282" width="15.7109375" style="62" customWidth="1"/>
    <col min="283" max="283" width="37.5703125" style="62" customWidth="1"/>
    <col min="284" max="505" width="11.42578125" style="62"/>
    <col min="506" max="506" width="10.5703125" style="62" customWidth="1"/>
    <col min="507" max="507" width="4.85546875" style="62" customWidth="1"/>
    <col min="508" max="508" width="32.42578125" style="62" customWidth="1"/>
    <col min="509" max="509" width="9.85546875" style="62" customWidth="1"/>
    <col min="510" max="510" width="10.140625" style="62" customWidth="1"/>
    <col min="511" max="511" width="12.28515625" style="62" customWidth="1"/>
    <col min="512" max="512" width="15.42578125" style="62" customWidth="1"/>
    <col min="513" max="513" width="11.85546875" style="62" customWidth="1"/>
    <col min="514" max="514" width="13.28515625" style="62" customWidth="1"/>
    <col min="515" max="515" width="15.28515625" style="62" customWidth="1"/>
    <col min="516" max="516" width="11.85546875" style="62" customWidth="1"/>
    <col min="517" max="517" width="6.140625" style="62" customWidth="1"/>
    <col min="518" max="518" width="11.85546875" style="62" customWidth="1"/>
    <col min="519" max="519" width="9.42578125" style="62" customWidth="1"/>
    <col min="520" max="520" width="14.7109375" style="62" customWidth="1"/>
    <col min="521" max="521" width="11.5703125" style="62" customWidth="1"/>
    <col min="522" max="522" width="0.42578125" style="62" customWidth="1"/>
    <col min="523" max="523" width="10.5703125" style="62" bestFit="1" customWidth="1"/>
    <col min="524" max="524" width="12.28515625" style="62" customWidth="1"/>
    <col min="525" max="525" width="12.5703125" style="62" customWidth="1"/>
    <col min="526" max="526" width="10.5703125" style="62" customWidth="1"/>
    <col min="527" max="527" width="10.140625" style="62" customWidth="1"/>
    <col min="528" max="528" width="8.42578125" style="62" customWidth="1"/>
    <col min="529" max="529" width="18.85546875" style="62" customWidth="1"/>
    <col min="530" max="530" width="10.28515625" style="62" customWidth="1"/>
    <col min="531" max="531" width="11.42578125" style="62"/>
    <col min="532" max="532" width="12.140625" style="62" customWidth="1"/>
    <col min="533" max="533" width="10.5703125" style="62" customWidth="1"/>
    <col min="534" max="534" width="12.42578125" style="62" customWidth="1"/>
    <col min="535" max="535" width="15.140625" style="62" customWidth="1"/>
    <col min="536" max="536" width="13.5703125" style="62" customWidth="1"/>
    <col min="537" max="537" width="13.140625" style="62" customWidth="1"/>
    <col min="538" max="538" width="15.7109375" style="62" customWidth="1"/>
    <col min="539" max="539" width="37.5703125" style="62" customWidth="1"/>
    <col min="540" max="761" width="11.42578125" style="62"/>
    <col min="762" max="762" width="10.5703125" style="62" customWidth="1"/>
    <col min="763" max="763" width="4.85546875" style="62" customWidth="1"/>
    <col min="764" max="764" width="32.42578125" style="62" customWidth="1"/>
    <col min="765" max="765" width="9.85546875" style="62" customWidth="1"/>
    <col min="766" max="766" width="10.140625" style="62" customWidth="1"/>
    <col min="767" max="767" width="12.28515625" style="62" customWidth="1"/>
    <col min="768" max="768" width="15.42578125" style="62" customWidth="1"/>
    <col min="769" max="769" width="11.85546875" style="62" customWidth="1"/>
    <col min="770" max="770" width="13.28515625" style="62" customWidth="1"/>
    <col min="771" max="771" width="15.28515625" style="62" customWidth="1"/>
    <col min="772" max="772" width="11.85546875" style="62" customWidth="1"/>
    <col min="773" max="773" width="6.140625" style="62" customWidth="1"/>
    <col min="774" max="774" width="11.85546875" style="62" customWidth="1"/>
    <col min="775" max="775" width="9.42578125" style="62" customWidth="1"/>
    <col min="776" max="776" width="14.7109375" style="62" customWidth="1"/>
    <col min="777" max="777" width="11.5703125" style="62" customWidth="1"/>
    <col min="778" max="778" width="0.42578125" style="62" customWidth="1"/>
    <col min="779" max="779" width="10.5703125" style="62" bestFit="1" customWidth="1"/>
    <col min="780" max="780" width="12.28515625" style="62" customWidth="1"/>
    <col min="781" max="781" width="12.5703125" style="62" customWidth="1"/>
    <col min="782" max="782" width="10.5703125" style="62" customWidth="1"/>
    <col min="783" max="783" width="10.140625" style="62" customWidth="1"/>
    <col min="784" max="784" width="8.42578125" style="62" customWidth="1"/>
    <col min="785" max="785" width="18.85546875" style="62" customWidth="1"/>
    <col min="786" max="786" width="10.28515625" style="62" customWidth="1"/>
    <col min="787" max="787" width="11.42578125" style="62"/>
    <col min="788" max="788" width="12.140625" style="62" customWidth="1"/>
    <col min="789" max="789" width="10.5703125" style="62" customWidth="1"/>
    <col min="790" max="790" width="12.42578125" style="62" customWidth="1"/>
    <col min="791" max="791" width="15.140625" style="62" customWidth="1"/>
    <col min="792" max="792" width="13.5703125" style="62" customWidth="1"/>
    <col min="793" max="793" width="13.140625" style="62" customWidth="1"/>
    <col min="794" max="794" width="15.7109375" style="62" customWidth="1"/>
    <col min="795" max="795" width="37.5703125" style="62" customWidth="1"/>
    <col min="796" max="1017" width="11.42578125" style="62"/>
    <col min="1018" max="1018" width="10.5703125" style="62" customWidth="1"/>
    <col min="1019" max="1019" width="4.85546875" style="62" customWidth="1"/>
    <col min="1020" max="1020" width="32.42578125" style="62" customWidth="1"/>
    <col min="1021" max="1021" width="9.85546875" style="62" customWidth="1"/>
    <col min="1022" max="1022" width="10.140625" style="62" customWidth="1"/>
    <col min="1023" max="1023" width="12.28515625" style="62" customWidth="1"/>
    <col min="1024" max="1024" width="15.42578125" style="62" customWidth="1"/>
    <col min="1025" max="1025" width="11.85546875" style="62" customWidth="1"/>
    <col min="1026" max="1026" width="13.28515625" style="62" customWidth="1"/>
    <col min="1027" max="1027" width="15.28515625" style="62" customWidth="1"/>
    <col min="1028" max="1028" width="11.85546875" style="62" customWidth="1"/>
    <col min="1029" max="1029" width="6.140625" style="62" customWidth="1"/>
    <col min="1030" max="1030" width="11.85546875" style="62" customWidth="1"/>
    <col min="1031" max="1031" width="9.42578125" style="62" customWidth="1"/>
    <col min="1032" max="1032" width="14.7109375" style="62" customWidth="1"/>
    <col min="1033" max="1033" width="11.5703125" style="62" customWidth="1"/>
    <col min="1034" max="1034" width="0.42578125" style="62" customWidth="1"/>
    <col min="1035" max="1035" width="10.5703125" style="62" bestFit="1" customWidth="1"/>
    <col min="1036" max="1036" width="12.28515625" style="62" customWidth="1"/>
    <col min="1037" max="1037" width="12.5703125" style="62" customWidth="1"/>
    <col min="1038" max="1038" width="10.5703125" style="62" customWidth="1"/>
    <col min="1039" max="1039" width="10.140625" style="62" customWidth="1"/>
    <col min="1040" max="1040" width="8.42578125" style="62" customWidth="1"/>
    <col min="1041" max="1041" width="18.85546875" style="62" customWidth="1"/>
    <col min="1042" max="1042" width="10.28515625" style="62" customWidth="1"/>
    <col min="1043" max="1043" width="11.42578125" style="62"/>
    <col min="1044" max="1044" width="12.140625" style="62" customWidth="1"/>
    <col min="1045" max="1045" width="10.5703125" style="62" customWidth="1"/>
    <col min="1046" max="1046" width="12.42578125" style="62" customWidth="1"/>
    <col min="1047" max="1047" width="15.140625" style="62" customWidth="1"/>
    <col min="1048" max="1048" width="13.5703125" style="62" customWidth="1"/>
    <col min="1049" max="1049" width="13.140625" style="62" customWidth="1"/>
    <col min="1050" max="1050" width="15.7109375" style="62" customWidth="1"/>
    <col min="1051" max="1051" width="37.5703125" style="62" customWidth="1"/>
    <col min="1052" max="1273" width="11.42578125" style="62"/>
    <col min="1274" max="1274" width="10.5703125" style="62" customWidth="1"/>
    <col min="1275" max="1275" width="4.85546875" style="62" customWidth="1"/>
    <col min="1276" max="1276" width="32.42578125" style="62" customWidth="1"/>
    <col min="1277" max="1277" width="9.85546875" style="62" customWidth="1"/>
    <col min="1278" max="1278" width="10.140625" style="62" customWidth="1"/>
    <col min="1279" max="1279" width="12.28515625" style="62" customWidth="1"/>
    <col min="1280" max="1280" width="15.42578125" style="62" customWidth="1"/>
    <col min="1281" max="1281" width="11.85546875" style="62" customWidth="1"/>
    <col min="1282" max="1282" width="13.28515625" style="62" customWidth="1"/>
    <col min="1283" max="1283" width="15.28515625" style="62" customWidth="1"/>
    <col min="1284" max="1284" width="11.85546875" style="62" customWidth="1"/>
    <col min="1285" max="1285" width="6.140625" style="62" customWidth="1"/>
    <col min="1286" max="1286" width="11.85546875" style="62" customWidth="1"/>
    <col min="1287" max="1287" width="9.42578125" style="62" customWidth="1"/>
    <col min="1288" max="1288" width="14.7109375" style="62" customWidth="1"/>
    <col min="1289" max="1289" width="11.5703125" style="62" customWidth="1"/>
    <col min="1290" max="1290" width="0.42578125" style="62" customWidth="1"/>
    <col min="1291" max="1291" width="10.5703125" style="62" bestFit="1" customWidth="1"/>
    <col min="1292" max="1292" width="12.28515625" style="62" customWidth="1"/>
    <col min="1293" max="1293" width="12.5703125" style="62" customWidth="1"/>
    <col min="1294" max="1294" width="10.5703125" style="62" customWidth="1"/>
    <col min="1295" max="1295" width="10.140625" style="62" customWidth="1"/>
    <col min="1296" max="1296" width="8.42578125" style="62" customWidth="1"/>
    <col min="1297" max="1297" width="18.85546875" style="62" customWidth="1"/>
    <col min="1298" max="1298" width="10.28515625" style="62" customWidth="1"/>
    <col min="1299" max="1299" width="11.42578125" style="62"/>
    <col min="1300" max="1300" width="12.140625" style="62" customWidth="1"/>
    <col min="1301" max="1301" width="10.5703125" style="62" customWidth="1"/>
    <col min="1302" max="1302" width="12.42578125" style="62" customWidth="1"/>
    <col min="1303" max="1303" width="15.140625" style="62" customWidth="1"/>
    <col min="1304" max="1304" width="13.5703125" style="62" customWidth="1"/>
    <col min="1305" max="1305" width="13.140625" style="62" customWidth="1"/>
    <col min="1306" max="1306" width="15.7109375" style="62" customWidth="1"/>
    <col min="1307" max="1307" width="37.5703125" style="62" customWidth="1"/>
    <col min="1308" max="1529" width="11.42578125" style="62"/>
    <col min="1530" max="1530" width="10.5703125" style="62" customWidth="1"/>
    <col min="1531" max="1531" width="4.85546875" style="62" customWidth="1"/>
    <col min="1532" max="1532" width="32.42578125" style="62" customWidth="1"/>
    <col min="1533" max="1533" width="9.85546875" style="62" customWidth="1"/>
    <col min="1534" max="1534" width="10.140625" style="62" customWidth="1"/>
    <col min="1535" max="1535" width="12.28515625" style="62" customWidth="1"/>
    <col min="1536" max="1536" width="15.42578125" style="62" customWidth="1"/>
    <col min="1537" max="1537" width="11.85546875" style="62" customWidth="1"/>
    <col min="1538" max="1538" width="13.28515625" style="62" customWidth="1"/>
    <col min="1539" max="1539" width="15.28515625" style="62" customWidth="1"/>
    <col min="1540" max="1540" width="11.85546875" style="62" customWidth="1"/>
    <col min="1541" max="1541" width="6.140625" style="62" customWidth="1"/>
    <col min="1542" max="1542" width="11.85546875" style="62" customWidth="1"/>
    <col min="1543" max="1543" width="9.42578125" style="62" customWidth="1"/>
    <col min="1544" max="1544" width="14.7109375" style="62" customWidth="1"/>
    <col min="1545" max="1545" width="11.5703125" style="62" customWidth="1"/>
    <col min="1546" max="1546" width="0.42578125" style="62" customWidth="1"/>
    <col min="1547" max="1547" width="10.5703125" style="62" bestFit="1" customWidth="1"/>
    <col min="1548" max="1548" width="12.28515625" style="62" customWidth="1"/>
    <col min="1549" max="1549" width="12.5703125" style="62" customWidth="1"/>
    <col min="1550" max="1550" width="10.5703125" style="62" customWidth="1"/>
    <col min="1551" max="1551" width="10.140625" style="62" customWidth="1"/>
    <col min="1552" max="1552" width="8.42578125" style="62" customWidth="1"/>
    <col min="1553" max="1553" width="18.85546875" style="62" customWidth="1"/>
    <col min="1554" max="1554" width="10.28515625" style="62" customWidth="1"/>
    <col min="1555" max="1555" width="11.42578125" style="62"/>
    <col min="1556" max="1556" width="12.140625" style="62" customWidth="1"/>
    <col min="1557" max="1557" width="10.5703125" style="62" customWidth="1"/>
    <col min="1558" max="1558" width="12.42578125" style="62" customWidth="1"/>
    <col min="1559" max="1559" width="15.140625" style="62" customWidth="1"/>
    <col min="1560" max="1560" width="13.5703125" style="62" customWidth="1"/>
    <col min="1561" max="1561" width="13.140625" style="62" customWidth="1"/>
    <col min="1562" max="1562" width="15.7109375" style="62" customWidth="1"/>
    <col min="1563" max="1563" width="37.5703125" style="62" customWidth="1"/>
    <col min="1564" max="1785" width="11.42578125" style="62"/>
    <col min="1786" max="1786" width="10.5703125" style="62" customWidth="1"/>
    <col min="1787" max="1787" width="4.85546875" style="62" customWidth="1"/>
    <col min="1788" max="1788" width="32.42578125" style="62" customWidth="1"/>
    <col min="1789" max="1789" width="9.85546875" style="62" customWidth="1"/>
    <col min="1790" max="1790" width="10.140625" style="62" customWidth="1"/>
    <col min="1791" max="1791" width="12.28515625" style="62" customWidth="1"/>
    <col min="1792" max="1792" width="15.42578125" style="62" customWidth="1"/>
    <col min="1793" max="1793" width="11.85546875" style="62" customWidth="1"/>
    <col min="1794" max="1794" width="13.28515625" style="62" customWidth="1"/>
    <col min="1795" max="1795" width="15.28515625" style="62" customWidth="1"/>
    <col min="1796" max="1796" width="11.85546875" style="62" customWidth="1"/>
    <col min="1797" max="1797" width="6.140625" style="62" customWidth="1"/>
    <col min="1798" max="1798" width="11.85546875" style="62" customWidth="1"/>
    <col min="1799" max="1799" width="9.42578125" style="62" customWidth="1"/>
    <col min="1800" max="1800" width="14.7109375" style="62" customWidth="1"/>
    <col min="1801" max="1801" width="11.5703125" style="62" customWidth="1"/>
    <col min="1802" max="1802" width="0.42578125" style="62" customWidth="1"/>
    <col min="1803" max="1803" width="10.5703125" style="62" bestFit="1" customWidth="1"/>
    <col min="1804" max="1804" width="12.28515625" style="62" customWidth="1"/>
    <col min="1805" max="1805" width="12.5703125" style="62" customWidth="1"/>
    <col min="1806" max="1806" width="10.5703125" style="62" customWidth="1"/>
    <col min="1807" max="1807" width="10.140625" style="62" customWidth="1"/>
    <col min="1808" max="1808" width="8.42578125" style="62" customWidth="1"/>
    <col min="1809" max="1809" width="18.85546875" style="62" customWidth="1"/>
    <col min="1810" max="1810" width="10.28515625" style="62" customWidth="1"/>
    <col min="1811" max="1811" width="11.42578125" style="62"/>
    <col min="1812" max="1812" width="12.140625" style="62" customWidth="1"/>
    <col min="1813" max="1813" width="10.5703125" style="62" customWidth="1"/>
    <col min="1814" max="1814" width="12.42578125" style="62" customWidth="1"/>
    <col min="1815" max="1815" width="15.140625" style="62" customWidth="1"/>
    <col min="1816" max="1816" width="13.5703125" style="62" customWidth="1"/>
    <col min="1817" max="1817" width="13.140625" style="62" customWidth="1"/>
    <col min="1818" max="1818" width="15.7109375" style="62" customWidth="1"/>
    <col min="1819" max="1819" width="37.5703125" style="62" customWidth="1"/>
    <col min="1820" max="2041" width="11.42578125" style="62"/>
    <col min="2042" max="2042" width="10.5703125" style="62" customWidth="1"/>
    <col min="2043" max="2043" width="4.85546875" style="62" customWidth="1"/>
    <col min="2044" max="2044" width="32.42578125" style="62" customWidth="1"/>
    <col min="2045" max="2045" width="9.85546875" style="62" customWidth="1"/>
    <col min="2046" max="2046" width="10.140625" style="62" customWidth="1"/>
    <col min="2047" max="2047" width="12.28515625" style="62" customWidth="1"/>
    <col min="2048" max="2048" width="15.42578125" style="62" customWidth="1"/>
    <col min="2049" max="2049" width="11.85546875" style="62" customWidth="1"/>
    <col min="2050" max="2050" width="13.28515625" style="62" customWidth="1"/>
    <col min="2051" max="2051" width="15.28515625" style="62" customWidth="1"/>
    <col min="2052" max="2052" width="11.85546875" style="62" customWidth="1"/>
    <col min="2053" max="2053" width="6.140625" style="62" customWidth="1"/>
    <col min="2054" max="2054" width="11.85546875" style="62" customWidth="1"/>
    <col min="2055" max="2055" width="9.42578125" style="62" customWidth="1"/>
    <col min="2056" max="2056" width="14.7109375" style="62" customWidth="1"/>
    <col min="2057" max="2057" width="11.5703125" style="62" customWidth="1"/>
    <col min="2058" max="2058" width="0.42578125" style="62" customWidth="1"/>
    <col min="2059" max="2059" width="10.5703125" style="62" bestFit="1" customWidth="1"/>
    <col min="2060" max="2060" width="12.28515625" style="62" customWidth="1"/>
    <col min="2061" max="2061" width="12.5703125" style="62" customWidth="1"/>
    <col min="2062" max="2062" width="10.5703125" style="62" customWidth="1"/>
    <col min="2063" max="2063" width="10.140625" style="62" customWidth="1"/>
    <col min="2064" max="2064" width="8.42578125" style="62" customWidth="1"/>
    <col min="2065" max="2065" width="18.85546875" style="62" customWidth="1"/>
    <col min="2066" max="2066" width="10.28515625" style="62" customWidth="1"/>
    <col min="2067" max="2067" width="11.42578125" style="62"/>
    <col min="2068" max="2068" width="12.140625" style="62" customWidth="1"/>
    <col min="2069" max="2069" width="10.5703125" style="62" customWidth="1"/>
    <col min="2070" max="2070" width="12.42578125" style="62" customWidth="1"/>
    <col min="2071" max="2071" width="15.140625" style="62" customWidth="1"/>
    <col min="2072" max="2072" width="13.5703125" style="62" customWidth="1"/>
    <col min="2073" max="2073" width="13.140625" style="62" customWidth="1"/>
    <col min="2074" max="2074" width="15.7109375" style="62" customWidth="1"/>
    <col min="2075" max="2075" width="37.5703125" style="62" customWidth="1"/>
    <col min="2076" max="2297" width="11.42578125" style="62"/>
    <col min="2298" max="2298" width="10.5703125" style="62" customWidth="1"/>
    <col min="2299" max="2299" width="4.85546875" style="62" customWidth="1"/>
    <col min="2300" max="2300" width="32.42578125" style="62" customWidth="1"/>
    <col min="2301" max="2301" width="9.85546875" style="62" customWidth="1"/>
    <col min="2302" max="2302" width="10.140625" style="62" customWidth="1"/>
    <col min="2303" max="2303" width="12.28515625" style="62" customWidth="1"/>
    <col min="2304" max="2304" width="15.42578125" style="62" customWidth="1"/>
    <col min="2305" max="2305" width="11.85546875" style="62" customWidth="1"/>
    <col min="2306" max="2306" width="13.28515625" style="62" customWidth="1"/>
    <col min="2307" max="2307" width="15.28515625" style="62" customWidth="1"/>
    <col min="2308" max="2308" width="11.85546875" style="62" customWidth="1"/>
    <col min="2309" max="2309" width="6.140625" style="62" customWidth="1"/>
    <col min="2310" max="2310" width="11.85546875" style="62" customWidth="1"/>
    <col min="2311" max="2311" width="9.42578125" style="62" customWidth="1"/>
    <col min="2312" max="2312" width="14.7109375" style="62" customWidth="1"/>
    <col min="2313" max="2313" width="11.5703125" style="62" customWidth="1"/>
    <col min="2314" max="2314" width="0.42578125" style="62" customWidth="1"/>
    <col min="2315" max="2315" width="10.5703125" style="62" bestFit="1" customWidth="1"/>
    <col min="2316" max="2316" width="12.28515625" style="62" customWidth="1"/>
    <col min="2317" max="2317" width="12.5703125" style="62" customWidth="1"/>
    <col min="2318" max="2318" width="10.5703125" style="62" customWidth="1"/>
    <col min="2319" max="2319" width="10.140625" style="62" customWidth="1"/>
    <col min="2320" max="2320" width="8.42578125" style="62" customWidth="1"/>
    <col min="2321" max="2321" width="18.85546875" style="62" customWidth="1"/>
    <col min="2322" max="2322" width="10.28515625" style="62" customWidth="1"/>
    <col min="2323" max="2323" width="11.42578125" style="62"/>
    <col min="2324" max="2324" width="12.140625" style="62" customWidth="1"/>
    <col min="2325" max="2325" width="10.5703125" style="62" customWidth="1"/>
    <col min="2326" max="2326" width="12.42578125" style="62" customWidth="1"/>
    <col min="2327" max="2327" width="15.140625" style="62" customWidth="1"/>
    <col min="2328" max="2328" width="13.5703125" style="62" customWidth="1"/>
    <col min="2329" max="2329" width="13.140625" style="62" customWidth="1"/>
    <col min="2330" max="2330" width="15.7109375" style="62" customWidth="1"/>
    <col min="2331" max="2331" width="37.5703125" style="62" customWidth="1"/>
    <col min="2332" max="2553" width="11.42578125" style="62"/>
    <col min="2554" max="2554" width="10.5703125" style="62" customWidth="1"/>
    <col min="2555" max="2555" width="4.85546875" style="62" customWidth="1"/>
    <col min="2556" max="2556" width="32.42578125" style="62" customWidth="1"/>
    <col min="2557" max="2557" width="9.85546875" style="62" customWidth="1"/>
    <col min="2558" max="2558" width="10.140625" style="62" customWidth="1"/>
    <col min="2559" max="2559" width="12.28515625" style="62" customWidth="1"/>
    <col min="2560" max="2560" width="15.42578125" style="62" customWidth="1"/>
    <col min="2561" max="2561" width="11.85546875" style="62" customWidth="1"/>
    <col min="2562" max="2562" width="13.28515625" style="62" customWidth="1"/>
    <col min="2563" max="2563" width="15.28515625" style="62" customWidth="1"/>
    <col min="2564" max="2564" width="11.85546875" style="62" customWidth="1"/>
    <col min="2565" max="2565" width="6.140625" style="62" customWidth="1"/>
    <col min="2566" max="2566" width="11.85546875" style="62" customWidth="1"/>
    <col min="2567" max="2567" width="9.42578125" style="62" customWidth="1"/>
    <col min="2568" max="2568" width="14.7109375" style="62" customWidth="1"/>
    <col min="2569" max="2569" width="11.5703125" style="62" customWidth="1"/>
    <col min="2570" max="2570" width="0.42578125" style="62" customWidth="1"/>
    <col min="2571" max="2571" width="10.5703125" style="62" bestFit="1" customWidth="1"/>
    <col min="2572" max="2572" width="12.28515625" style="62" customWidth="1"/>
    <col min="2573" max="2573" width="12.5703125" style="62" customWidth="1"/>
    <col min="2574" max="2574" width="10.5703125" style="62" customWidth="1"/>
    <col min="2575" max="2575" width="10.140625" style="62" customWidth="1"/>
    <col min="2576" max="2576" width="8.42578125" style="62" customWidth="1"/>
    <col min="2577" max="2577" width="18.85546875" style="62" customWidth="1"/>
    <col min="2578" max="2578" width="10.28515625" style="62" customWidth="1"/>
    <col min="2579" max="2579" width="11.42578125" style="62"/>
    <col min="2580" max="2580" width="12.140625" style="62" customWidth="1"/>
    <col min="2581" max="2581" width="10.5703125" style="62" customWidth="1"/>
    <col min="2582" max="2582" width="12.42578125" style="62" customWidth="1"/>
    <col min="2583" max="2583" width="15.140625" style="62" customWidth="1"/>
    <col min="2584" max="2584" width="13.5703125" style="62" customWidth="1"/>
    <col min="2585" max="2585" width="13.140625" style="62" customWidth="1"/>
    <col min="2586" max="2586" width="15.7109375" style="62" customWidth="1"/>
    <col min="2587" max="2587" width="37.5703125" style="62" customWidth="1"/>
    <col min="2588" max="2809" width="11.42578125" style="62"/>
    <col min="2810" max="2810" width="10.5703125" style="62" customWidth="1"/>
    <col min="2811" max="2811" width="4.85546875" style="62" customWidth="1"/>
    <col min="2812" max="2812" width="32.42578125" style="62" customWidth="1"/>
    <col min="2813" max="2813" width="9.85546875" style="62" customWidth="1"/>
    <col min="2814" max="2814" width="10.140625" style="62" customWidth="1"/>
    <col min="2815" max="2815" width="12.28515625" style="62" customWidth="1"/>
    <col min="2816" max="2816" width="15.42578125" style="62" customWidth="1"/>
    <col min="2817" max="2817" width="11.85546875" style="62" customWidth="1"/>
    <col min="2818" max="2818" width="13.28515625" style="62" customWidth="1"/>
    <col min="2819" max="2819" width="15.28515625" style="62" customWidth="1"/>
    <col min="2820" max="2820" width="11.85546875" style="62" customWidth="1"/>
    <col min="2821" max="2821" width="6.140625" style="62" customWidth="1"/>
    <col min="2822" max="2822" width="11.85546875" style="62" customWidth="1"/>
    <col min="2823" max="2823" width="9.42578125" style="62" customWidth="1"/>
    <col min="2824" max="2824" width="14.7109375" style="62" customWidth="1"/>
    <col min="2825" max="2825" width="11.5703125" style="62" customWidth="1"/>
    <col min="2826" max="2826" width="0.42578125" style="62" customWidth="1"/>
    <col min="2827" max="2827" width="10.5703125" style="62" bestFit="1" customWidth="1"/>
    <col min="2828" max="2828" width="12.28515625" style="62" customWidth="1"/>
    <col min="2829" max="2829" width="12.5703125" style="62" customWidth="1"/>
    <col min="2830" max="2830" width="10.5703125" style="62" customWidth="1"/>
    <col min="2831" max="2831" width="10.140625" style="62" customWidth="1"/>
    <col min="2832" max="2832" width="8.42578125" style="62" customWidth="1"/>
    <col min="2833" max="2833" width="18.85546875" style="62" customWidth="1"/>
    <col min="2834" max="2834" width="10.28515625" style="62" customWidth="1"/>
    <col min="2835" max="2835" width="11.42578125" style="62"/>
    <col min="2836" max="2836" width="12.140625" style="62" customWidth="1"/>
    <col min="2837" max="2837" width="10.5703125" style="62" customWidth="1"/>
    <col min="2838" max="2838" width="12.42578125" style="62" customWidth="1"/>
    <col min="2839" max="2839" width="15.140625" style="62" customWidth="1"/>
    <col min="2840" max="2840" width="13.5703125" style="62" customWidth="1"/>
    <col min="2841" max="2841" width="13.140625" style="62" customWidth="1"/>
    <col min="2842" max="2842" width="15.7109375" style="62" customWidth="1"/>
    <col min="2843" max="2843" width="37.5703125" style="62" customWidth="1"/>
    <col min="2844" max="3065" width="11.42578125" style="62"/>
    <col min="3066" max="3066" width="10.5703125" style="62" customWidth="1"/>
    <col min="3067" max="3067" width="4.85546875" style="62" customWidth="1"/>
    <col min="3068" max="3068" width="32.42578125" style="62" customWidth="1"/>
    <col min="3069" max="3069" width="9.85546875" style="62" customWidth="1"/>
    <col min="3070" max="3070" width="10.140625" style="62" customWidth="1"/>
    <col min="3071" max="3071" width="12.28515625" style="62" customWidth="1"/>
    <col min="3072" max="3072" width="15.42578125" style="62" customWidth="1"/>
    <col min="3073" max="3073" width="11.85546875" style="62" customWidth="1"/>
    <col min="3074" max="3074" width="13.28515625" style="62" customWidth="1"/>
    <col min="3075" max="3075" width="15.28515625" style="62" customWidth="1"/>
    <col min="3076" max="3076" width="11.85546875" style="62" customWidth="1"/>
    <col min="3077" max="3077" width="6.140625" style="62" customWidth="1"/>
    <col min="3078" max="3078" width="11.85546875" style="62" customWidth="1"/>
    <col min="3079" max="3079" width="9.42578125" style="62" customWidth="1"/>
    <col min="3080" max="3080" width="14.7109375" style="62" customWidth="1"/>
    <col min="3081" max="3081" width="11.5703125" style="62" customWidth="1"/>
    <col min="3082" max="3082" width="0.42578125" style="62" customWidth="1"/>
    <col min="3083" max="3083" width="10.5703125" style="62" bestFit="1" customWidth="1"/>
    <col min="3084" max="3084" width="12.28515625" style="62" customWidth="1"/>
    <col min="3085" max="3085" width="12.5703125" style="62" customWidth="1"/>
    <col min="3086" max="3086" width="10.5703125" style="62" customWidth="1"/>
    <col min="3087" max="3087" width="10.140625" style="62" customWidth="1"/>
    <col min="3088" max="3088" width="8.42578125" style="62" customWidth="1"/>
    <col min="3089" max="3089" width="18.85546875" style="62" customWidth="1"/>
    <col min="3090" max="3090" width="10.28515625" style="62" customWidth="1"/>
    <col min="3091" max="3091" width="11.42578125" style="62"/>
    <col min="3092" max="3092" width="12.140625" style="62" customWidth="1"/>
    <col min="3093" max="3093" width="10.5703125" style="62" customWidth="1"/>
    <col min="3094" max="3094" width="12.42578125" style="62" customWidth="1"/>
    <col min="3095" max="3095" width="15.140625" style="62" customWidth="1"/>
    <col min="3096" max="3096" width="13.5703125" style="62" customWidth="1"/>
    <col min="3097" max="3097" width="13.140625" style="62" customWidth="1"/>
    <col min="3098" max="3098" width="15.7109375" style="62" customWidth="1"/>
    <col min="3099" max="3099" width="37.5703125" style="62" customWidth="1"/>
    <col min="3100" max="3321" width="11.42578125" style="62"/>
    <col min="3322" max="3322" width="10.5703125" style="62" customWidth="1"/>
    <col min="3323" max="3323" width="4.85546875" style="62" customWidth="1"/>
    <col min="3324" max="3324" width="32.42578125" style="62" customWidth="1"/>
    <col min="3325" max="3325" width="9.85546875" style="62" customWidth="1"/>
    <col min="3326" max="3326" width="10.140625" style="62" customWidth="1"/>
    <col min="3327" max="3327" width="12.28515625" style="62" customWidth="1"/>
    <col min="3328" max="3328" width="15.42578125" style="62" customWidth="1"/>
    <col min="3329" max="3329" width="11.85546875" style="62" customWidth="1"/>
    <col min="3330" max="3330" width="13.28515625" style="62" customWidth="1"/>
    <col min="3331" max="3331" width="15.28515625" style="62" customWidth="1"/>
    <col min="3332" max="3332" width="11.85546875" style="62" customWidth="1"/>
    <col min="3333" max="3333" width="6.140625" style="62" customWidth="1"/>
    <col min="3334" max="3334" width="11.85546875" style="62" customWidth="1"/>
    <col min="3335" max="3335" width="9.42578125" style="62" customWidth="1"/>
    <col min="3336" max="3336" width="14.7109375" style="62" customWidth="1"/>
    <col min="3337" max="3337" width="11.5703125" style="62" customWidth="1"/>
    <col min="3338" max="3338" width="0.42578125" style="62" customWidth="1"/>
    <col min="3339" max="3339" width="10.5703125" style="62" bestFit="1" customWidth="1"/>
    <col min="3340" max="3340" width="12.28515625" style="62" customWidth="1"/>
    <col min="3341" max="3341" width="12.5703125" style="62" customWidth="1"/>
    <col min="3342" max="3342" width="10.5703125" style="62" customWidth="1"/>
    <col min="3343" max="3343" width="10.140625" style="62" customWidth="1"/>
    <col min="3344" max="3344" width="8.42578125" style="62" customWidth="1"/>
    <col min="3345" max="3345" width="18.85546875" style="62" customWidth="1"/>
    <col min="3346" max="3346" width="10.28515625" style="62" customWidth="1"/>
    <col min="3347" max="3347" width="11.42578125" style="62"/>
    <col min="3348" max="3348" width="12.140625" style="62" customWidth="1"/>
    <col min="3349" max="3349" width="10.5703125" style="62" customWidth="1"/>
    <col min="3350" max="3350" width="12.42578125" style="62" customWidth="1"/>
    <col min="3351" max="3351" width="15.140625" style="62" customWidth="1"/>
    <col min="3352" max="3352" width="13.5703125" style="62" customWidth="1"/>
    <col min="3353" max="3353" width="13.140625" style="62" customWidth="1"/>
    <col min="3354" max="3354" width="15.7109375" style="62" customWidth="1"/>
    <col min="3355" max="3355" width="37.5703125" style="62" customWidth="1"/>
    <col min="3356" max="3577" width="11.42578125" style="62"/>
    <col min="3578" max="3578" width="10.5703125" style="62" customWidth="1"/>
    <col min="3579" max="3579" width="4.85546875" style="62" customWidth="1"/>
    <col min="3580" max="3580" width="32.42578125" style="62" customWidth="1"/>
    <col min="3581" max="3581" width="9.85546875" style="62" customWidth="1"/>
    <col min="3582" max="3582" width="10.140625" style="62" customWidth="1"/>
    <col min="3583" max="3583" width="12.28515625" style="62" customWidth="1"/>
    <col min="3584" max="3584" width="15.42578125" style="62" customWidth="1"/>
    <col min="3585" max="3585" width="11.85546875" style="62" customWidth="1"/>
    <col min="3586" max="3586" width="13.28515625" style="62" customWidth="1"/>
    <col min="3587" max="3587" width="15.28515625" style="62" customWidth="1"/>
    <col min="3588" max="3588" width="11.85546875" style="62" customWidth="1"/>
    <col min="3589" max="3589" width="6.140625" style="62" customWidth="1"/>
    <col min="3590" max="3590" width="11.85546875" style="62" customWidth="1"/>
    <col min="3591" max="3591" width="9.42578125" style="62" customWidth="1"/>
    <col min="3592" max="3592" width="14.7109375" style="62" customWidth="1"/>
    <col min="3593" max="3593" width="11.5703125" style="62" customWidth="1"/>
    <col min="3594" max="3594" width="0.42578125" style="62" customWidth="1"/>
    <col min="3595" max="3595" width="10.5703125" style="62" bestFit="1" customWidth="1"/>
    <col min="3596" max="3596" width="12.28515625" style="62" customWidth="1"/>
    <col min="3597" max="3597" width="12.5703125" style="62" customWidth="1"/>
    <col min="3598" max="3598" width="10.5703125" style="62" customWidth="1"/>
    <col min="3599" max="3599" width="10.140625" style="62" customWidth="1"/>
    <col min="3600" max="3600" width="8.42578125" style="62" customWidth="1"/>
    <col min="3601" max="3601" width="18.85546875" style="62" customWidth="1"/>
    <col min="3602" max="3602" width="10.28515625" style="62" customWidth="1"/>
    <col min="3603" max="3603" width="11.42578125" style="62"/>
    <col min="3604" max="3604" width="12.140625" style="62" customWidth="1"/>
    <col min="3605" max="3605" width="10.5703125" style="62" customWidth="1"/>
    <col min="3606" max="3606" width="12.42578125" style="62" customWidth="1"/>
    <col min="3607" max="3607" width="15.140625" style="62" customWidth="1"/>
    <col min="3608" max="3608" width="13.5703125" style="62" customWidth="1"/>
    <col min="3609" max="3609" width="13.140625" style="62" customWidth="1"/>
    <col min="3610" max="3610" width="15.7109375" style="62" customWidth="1"/>
    <col min="3611" max="3611" width="37.5703125" style="62" customWidth="1"/>
    <col min="3612" max="3833" width="11.42578125" style="62"/>
    <col min="3834" max="3834" width="10.5703125" style="62" customWidth="1"/>
    <col min="3835" max="3835" width="4.85546875" style="62" customWidth="1"/>
    <col min="3836" max="3836" width="32.42578125" style="62" customWidth="1"/>
    <col min="3837" max="3837" width="9.85546875" style="62" customWidth="1"/>
    <col min="3838" max="3838" width="10.140625" style="62" customWidth="1"/>
    <col min="3839" max="3839" width="12.28515625" style="62" customWidth="1"/>
    <col min="3840" max="3840" width="15.42578125" style="62" customWidth="1"/>
    <col min="3841" max="3841" width="11.85546875" style="62" customWidth="1"/>
    <col min="3842" max="3842" width="13.28515625" style="62" customWidth="1"/>
    <col min="3843" max="3843" width="15.28515625" style="62" customWidth="1"/>
    <col min="3844" max="3844" width="11.85546875" style="62" customWidth="1"/>
    <col min="3845" max="3845" width="6.140625" style="62" customWidth="1"/>
    <col min="3846" max="3846" width="11.85546875" style="62" customWidth="1"/>
    <col min="3847" max="3847" width="9.42578125" style="62" customWidth="1"/>
    <col min="3848" max="3848" width="14.7109375" style="62" customWidth="1"/>
    <col min="3849" max="3849" width="11.5703125" style="62" customWidth="1"/>
    <col min="3850" max="3850" width="0.42578125" style="62" customWidth="1"/>
    <col min="3851" max="3851" width="10.5703125" style="62" bestFit="1" customWidth="1"/>
    <col min="3852" max="3852" width="12.28515625" style="62" customWidth="1"/>
    <col min="3853" max="3853" width="12.5703125" style="62" customWidth="1"/>
    <col min="3854" max="3854" width="10.5703125" style="62" customWidth="1"/>
    <col min="3855" max="3855" width="10.140625" style="62" customWidth="1"/>
    <col min="3856" max="3856" width="8.42578125" style="62" customWidth="1"/>
    <col min="3857" max="3857" width="18.85546875" style="62" customWidth="1"/>
    <col min="3858" max="3858" width="10.28515625" style="62" customWidth="1"/>
    <col min="3859" max="3859" width="11.42578125" style="62"/>
    <col min="3860" max="3860" width="12.140625" style="62" customWidth="1"/>
    <col min="3861" max="3861" width="10.5703125" style="62" customWidth="1"/>
    <col min="3862" max="3862" width="12.42578125" style="62" customWidth="1"/>
    <col min="3863" max="3863" width="15.140625" style="62" customWidth="1"/>
    <col min="3864" max="3864" width="13.5703125" style="62" customWidth="1"/>
    <col min="3865" max="3865" width="13.140625" style="62" customWidth="1"/>
    <col min="3866" max="3866" width="15.7109375" style="62" customWidth="1"/>
    <col min="3867" max="3867" width="37.5703125" style="62" customWidth="1"/>
    <col min="3868" max="4089" width="11.42578125" style="62"/>
    <col min="4090" max="4090" width="10.5703125" style="62" customWidth="1"/>
    <col min="4091" max="4091" width="4.85546875" style="62" customWidth="1"/>
    <col min="4092" max="4092" width="32.42578125" style="62" customWidth="1"/>
    <col min="4093" max="4093" width="9.85546875" style="62" customWidth="1"/>
    <col min="4094" max="4094" width="10.140625" style="62" customWidth="1"/>
    <col min="4095" max="4095" width="12.28515625" style="62" customWidth="1"/>
    <col min="4096" max="4096" width="15.42578125" style="62" customWidth="1"/>
    <col min="4097" max="4097" width="11.85546875" style="62" customWidth="1"/>
    <col min="4098" max="4098" width="13.28515625" style="62" customWidth="1"/>
    <col min="4099" max="4099" width="15.28515625" style="62" customWidth="1"/>
    <col min="4100" max="4100" width="11.85546875" style="62" customWidth="1"/>
    <col min="4101" max="4101" width="6.140625" style="62" customWidth="1"/>
    <col min="4102" max="4102" width="11.85546875" style="62" customWidth="1"/>
    <col min="4103" max="4103" width="9.42578125" style="62" customWidth="1"/>
    <col min="4104" max="4104" width="14.7109375" style="62" customWidth="1"/>
    <col min="4105" max="4105" width="11.5703125" style="62" customWidth="1"/>
    <col min="4106" max="4106" width="0.42578125" style="62" customWidth="1"/>
    <col min="4107" max="4107" width="10.5703125" style="62" bestFit="1" customWidth="1"/>
    <col min="4108" max="4108" width="12.28515625" style="62" customWidth="1"/>
    <col min="4109" max="4109" width="12.5703125" style="62" customWidth="1"/>
    <col min="4110" max="4110" width="10.5703125" style="62" customWidth="1"/>
    <col min="4111" max="4111" width="10.140625" style="62" customWidth="1"/>
    <col min="4112" max="4112" width="8.42578125" style="62" customWidth="1"/>
    <col min="4113" max="4113" width="18.85546875" style="62" customWidth="1"/>
    <col min="4114" max="4114" width="10.28515625" style="62" customWidth="1"/>
    <col min="4115" max="4115" width="11.42578125" style="62"/>
    <col min="4116" max="4116" width="12.140625" style="62" customWidth="1"/>
    <col min="4117" max="4117" width="10.5703125" style="62" customWidth="1"/>
    <col min="4118" max="4118" width="12.42578125" style="62" customWidth="1"/>
    <col min="4119" max="4119" width="15.140625" style="62" customWidth="1"/>
    <col min="4120" max="4120" width="13.5703125" style="62" customWidth="1"/>
    <col min="4121" max="4121" width="13.140625" style="62" customWidth="1"/>
    <col min="4122" max="4122" width="15.7109375" style="62" customWidth="1"/>
    <col min="4123" max="4123" width="37.5703125" style="62" customWidth="1"/>
    <col min="4124" max="4345" width="11.42578125" style="62"/>
    <col min="4346" max="4346" width="10.5703125" style="62" customWidth="1"/>
    <col min="4347" max="4347" width="4.85546875" style="62" customWidth="1"/>
    <col min="4348" max="4348" width="32.42578125" style="62" customWidth="1"/>
    <col min="4349" max="4349" width="9.85546875" style="62" customWidth="1"/>
    <col min="4350" max="4350" width="10.140625" style="62" customWidth="1"/>
    <col min="4351" max="4351" width="12.28515625" style="62" customWidth="1"/>
    <col min="4352" max="4352" width="15.42578125" style="62" customWidth="1"/>
    <col min="4353" max="4353" width="11.85546875" style="62" customWidth="1"/>
    <col min="4354" max="4354" width="13.28515625" style="62" customWidth="1"/>
    <col min="4355" max="4355" width="15.28515625" style="62" customWidth="1"/>
    <col min="4356" max="4356" width="11.85546875" style="62" customWidth="1"/>
    <col min="4357" max="4357" width="6.140625" style="62" customWidth="1"/>
    <col min="4358" max="4358" width="11.85546875" style="62" customWidth="1"/>
    <col min="4359" max="4359" width="9.42578125" style="62" customWidth="1"/>
    <col min="4360" max="4360" width="14.7109375" style="62" customWidth="1"/>
    <col min="4361" max="4361" width="11.5703125" style="62" customWidth="1"/>
    <col min="4362" max="4362" width="0.42578125" style="62" customWidth="1"/>
    <col min="4363" max="4363" width="10.5703125" style="62" bestFit="1" customWidth="1"/>
    <col min="4364" max="4364" width="12.28515625" style="62" customWidth="1"/>
    <col min="4365" max="4365" width="12.5703125" style="62" customWidth="1"/>
    <col min="4366" max="4366" width="10.5703125" style="62" customWidth="1"/>
    <col min="4367" max="4367" width="10.140625" style="62" customWidth="1"/>
    <col min="4368" max="4368" width="8.42578125" style="62" customWidth="1"/>
    <col min="4369" max="4369" width="18.85546875" style="62" customWidth="1"/>
    <col min="4370" max="4370" width="10.28515625" style="62" customWidth="1"/>
    <col min="4371" max="4371" width="11.42578125" style="62"/>
    <col min="4372" max="4372" width="12.140625" style="62" customWidth="1"/>
    <col min="4373" max="4373" width="10.5703125" style="62" customWidth="1"/>
    <col min="4374" max="4374" width="12.42578125" style="62" customWidth="1"/>
    <col min="4375" max="4375" width="15.140625" style="62" customWidth="1"/>
    <col min="4376" max="4376" width="13.5703125" style="62" customWidth="1"/>
    <col min="4377" max="4377" width="13.140625" style="62" customWidth="1"/>
    <col min="4378" max="4378" width="15.7109375" style="62" customWidth="1"/>
    <col min="4379" max="4379" width="37.5703125" style="62" customWidth="1"/>
    <col min="4380" max="4601" width="11.42578125" style="62"/>
    <col min="4602" max="4602" width="10.5703125" style="62" customWidth="1"/>
    <col min="4603" max="4603" width="4.85546875" style="62" customWidth="1"/>
    <col min="4604" max="4604" width="32.42578125" style="62" customWidth="1"/>
    <col min="4605" max="4605" width="9.85546875" style="62" customWidth="1"/>
    <col min="4606" max="4606" width="10.140625" style="62" customWidth="1"/>
    <col min="4607" max="4607" width="12.28515625" style="62" customWidth="1"/>
    <col min="4608" max="4608" width="15.42578125" style="62" customWidth="1"/>
    <col min="4609" max="4609" width="11.85546875" style="62" customWidth="1"/>
    <col min="4610" max="4610" width="13.28515625" style="62" customWidth="1"/>
    <col min="4611" max="4611" width="15.28515625" style="62" customWidth="1"/>
    <col min="4612" max="4612" width="11.85546875" style="62" customWidth="1"/>
    <col min="4613" max="4613" width="6.140625" style="62" customWidth="1"/>
    <col min="4614" max="4614" width="11.85546875" style="62" customWidth="1"/>
    <col min="4615" max="4615" width="9.42578125" style="62" customWidth="1"/>
    <col min="4616" max="4616" width="14.7109375" style="62" customWidth="1"/>
    <col min="4617" max="4617" width="11.5703125" style="62" customWidth="1"/>
    <col min="4618" max="4618" width="0.42578125" style="62" customWidth="1"/>
    <col min="4619" max="4619" width="10.5703125" style="62" bestFit="1" customWidth="1"/>
    <col min="4620" max="4620" width="12.28515625" style="62" customWidth="1"/>
    <col min="4621" max="4621" width="12.5703125" style="62" customWidth="1"/>
    <col min="4622" max="4622" width="10.5703125" style="62" customWidth="1"/>
    <col min="4623" max="4623" width="10.140625" style="62" customWidth="1"/>
    <col min="4624" max="4624" width="8.42578125" style="62" customWidth="1"/>
    <col min="4625" max="4625" width="18.85546875" style="62" customWidth="1"/>
    <col min="4626" max="4626" width="10.28515625" style="62" customWidth="1"/>
    <col min="4627" max="4627" width="11.42578125" style="62"/>
    <col min="4628" max="4628" width="12.140625" style="62" customWidth="1"/>
    <col min="4629" max="4629" width="10.5703125" style="62" customWidth="1"/>
    <col min="4630" max="4630" width="12.42578125" style="62" customWidth="1"/>
    <col min="4631" max="4631" width="15.140625" style="62" customWidth="1"/>
    <col min="4632" max="4632" width="13.5703125" style="62" customWidth="1"/>
    <col min="4633" max="4633" width="13.140625" style="62" customWidth="1"/>
    <col min="4634" max="4634" width="15.7109375" style="62" customWidth="1"/>
    <col min="4635" max="4635" width="37.5703125" style="62" customWidth="1"/>
    <col min="4636" max="4857" width="11.42578125" style="62"/>
    <col min="4858" max="4858" width="10.5703125" style="62" customWidth="1"/>
    <col min="4859" max="4859" width="4.85546875" style="62" customWidth="1"/>
    <col min="4860" max="4860" width="32.42578125" style="62" customWidth="1"/>
    <col min="4861" max="4861" width="9.85546875" style="62" customWidth="1"/>
    <col min="4862" max="4862" width="10.140625" style="62" customWidth="1"/>
    <col min="4863" max="4863" width="12.28515625" style="62" customWidth="1"/>
    <col min="4864" max="4864" width="15.42578125" style="62" customWidth="1"/>
    <col min="4865" max="4865" width="11.85546875" style="62" customWidth="1"/>
    <col min="4866" max="4866" width="13.28515625" style="62" customWidth="1"/>
    <col min="4867" max="4867" width="15.28515625" style="62" customWidth="1"/>
    <col min="4868" max="4868" width="11.85546875" style="62" customWidth="1"/>
    <col min="4869" max="4869" width="6.140625" style="62" customWidth="1"/>
    <col min="4870" max="4870" width="11.85546875" style="62" customWidth="1"/>
    <col min="4871" max="4871" width="9.42578125" style="62" customWidth="1"/>
    <col min="4872" max="4872" width="14.7109375" style="62" customWidth="1"/>
    <col min="4873" max="4873" width="11.5703125" style="62" customWidth="1"/>
    <col min="4874" max="4874" width="0.42578125" style="62" customWidth="1"/>
    <col min="4875" max="4875" width="10.5703125" style="62" bestFit="1" customWidth="1"/>
    <col min="4876" max="4876" width="12.28515625" style="62" customWidth="1"/>
    <col min="4877" max="4877" width="12.5703125" style="62" customWidth="1"/>
    <col min="4878" max="4878" width="10.5703125" style="62" customWidth="1"/>
    <col min="4879" max="4879" width="10.140625" style="62" customWidth="1"/>
    <col min="4880" max="4880" width="8.42578125" style="62" customWidth="1"/>
    <col min="4881" max="4881" width="18.85546875" style="62" customWidth="1"/>
    <col min="4882" max="4882" width="10.28515625" style="62" customWidth="1"/>
    <col min="4883" max="4883" width="11.42578125" style="62"/>
    <col min="4884" max="4884" width="12.140625" style="62" customWidth="1"/>
    <col min="4885" max="4885" width="10.5703125" style="62" customWidth="1"/>
    <col min="4886" max="4886" width="12.42578125" style="62" customWidth="1"/>
    <col min="4887" max="4887" width="15.140625" style="62" customWidth="1"/>
    <col min="4888" max="4888" width="13.5703125" style="62" customWidth="1"/>
    <col min="4889" max="4889" width="13.140625" style="62" customWidth="1"/>
    <col min="4890" max="4890" width="15.7109375" style="62" customWidth="1"/>
    <col min="4891" max="4891" width="37.5703125" style="62" customWidth="1"/>
    <col min="4892" max="5113" width="11.42578125" style="62"/>
    <col min="5114" max="5114" width="10.5703125" style="62" customWidth="1"/>
    <col min="5115" max="5115" width="4.85546875" style="62" customWidth="1"/>
    <col min="5116" max="5116" width="32.42578125" style="62" customWidth="1"/>
    <col min="5117" max="5117" width="9.85546875" style="62" customWidth="1"/>
    <col min="5118" max="5118" width="10.140625" style="62" customWidth="1"/>
    <col min="5119" max="5119" width="12.28515625" style="62" customWidth="1"/>
    <col min="5120" max="5120" width="15.42578125" style="62" customWidth="1"/>
    <col min="5121" max="5121" width="11.85546875" style="62" customWidth="1"/>
    <col min="5122" max="5122" width="13.28515625" style="62" customWidth="1"/>
    <col min="5123" max="5123" width="15.28515625" style="62" customWidth="1"/>
    <col min="5124" max="5124" width="11.85546875" style="62" customWidth="1"/>
    <col min="5125" max="5125" width="6.140625" style="62" customWidth="1"/>
    <col min="5126" max="5126" width="11.85546875" style="62" customWidth="1"/>
    <col min="5127" max="5127" width="9.42578125" style="62" customWidth="1"/>
    <col min="5128" max="5128" width="14.7109375" style="62" customWidth="1"/>
    <col min="5129" max="5129" width="11.5703125" style="62" customWidth="1"/>
    <col min="5130" max="5130" width="0.42578125" style="62" customWidth="1"/>
    <col min="5131" max="5131" width="10.5703125" style="62" bestFit="1" customWidth="1"/>
    <col min="5132" max="5132" width="12.28515625" style="62" customWidth="1"/>
    <col min="5133" max="5133" width="12.5703125" style="62" customWidth="1"/>
    <col min="5134" max="5134" width="10.5703125" style="62" customWidth="1"/>
    <col min="5135" max="5135" width="10.140625" style="62" customWidth="1"/>
    <col min="5136" max="5136" width="8.42578125" style="62" customWidth="1"/>
    <col min="5137" max="5137" width="18.85546875" style="62" customWidth="1"/>
    <col min="5138" max="5138" width="10.28515625" style="62" customWidth="1"/>
    <col min="5139" max="5139" width="11.42578125" style="62"/>
    <col min="5140" max="5140" width="12.140625" style="62" customWidth="1"/>
    <col min="5141" max="5141" width="10.5703125" style="62" customWidth="1"/>
    <col min="5142" max="5142" width="12.42578125" style="62" customWidth="1"/>
    <col min="5143" max="5143" width="15.140625" style="62" customWidth="1"/>
    <col min="5144" max="5144" width="13.5703125" style="62" customWidth="1"/>
    <col min="5145" max="5145" width="13.140625" style="62" customWidth="1"/>
    <col min="5146" max="5146" width="15.7109375" style="62" customWidth="1"/>
    <col min="5147" max="5147" width="37.5703125" style="62" customWidth="1"/>
    <col min="5148" max="5369" width="11.42578125" style="62"/>
    <col min="5370" max="5370" width="10.5703125" style="62" customWidth="1"/>
    <col min="5371" max="5371" width="4.85546875" style="62" customWidth="1"/>
    <col min="5372" max="5372" width="32.42578125" style="62" customWidth="1"/>
    <col min="5373" max="5373" width="9.85546875" style="62" customWidth="1"/>
    <col min="5374" max="5374" width="10.140625" style="62" customWidth="1"/>
    <col min="5375" max="5375" width="12.28515625" style="62" customWidth="1"/>
    <col min="5376" max="5376" width="15.42578125" style="62" customWidth="1"/>
    <col min="5377" max="5377" width="11.85546875" style="62" customWidth="1"/>
    <col min="5378" max="5378" width="13.28515625" style="62" customWidth="1"/>
    <col min="5379" max="5379" width="15.28515625" style="62" customWidth="1"/>
    <col min="5380" max="5380" width="11.85546875" style="62" customWidth="1"/>
    <col min="5381" max="5381" width="6.140625" style="62" customWidth="1"/>
    <col min="5382" max="5382" width="11.85546875" style="62" customWidth="1"/>
    <col min="5383" max="5383" width="9.42578125" style="62" customWidth="1"/>
    <col min="5384" max="5384" width="14.7109375" style="62" customWidth="1"/>
    <col min="5385" max="5385" width="11.5703125" style="62" customWidth="1"/>
    <col min="5386" max="5386" width="0.42578125" style="62" customWidth="1"/>
    <col min="5387" max="5387" width="10.5703125" style="62" bestFit="1" customWidth="1"/>
    <col min="5388" max="5388" width="12.28515625" style="62" customWidth="1"/>
    <col min="5389" max="5389" width="12.5703125" style="62" customWidth="1"/>
    <col min="5390" max="5390" width="10.5703125" style="62" customWidth="1"/>
    <col min="5391" max="5391" width="10.140625" style="62" customWidth="1"/>
    <col min="5392" max="5392" width="8.42578125" style="62" customWidth="1"/>
    <col min="5393" max="5393" width="18.85546875" style="62" customWidth="1"/>
    <col min="5394" max="5394" width="10.28515625" style="62" customWidth="1"/>
    <col min="5395" max="5395" width="11.42578125" style="62"/>
    <col min="5396" max="5396" width="12.140625" style="62" customWidth="1"/>
    <col min="5397" max="5397" width="10.5703125" style="62" customWidth="1"/>
    <col min="5398" max="5398" width="12.42578125" style="62" customWidth="1"/>
    <col min="5399" max="5399" width="15.140625" style="62" customWidth="1"/>
    <col min="5400" max="5400" width="13.5703125" style="62" customWidth="1"/>
    <col min="5401" max="5401" width="13.140625" style="62" customWidth="1"/>
    <col min="5402" max="5402" width="15.7109375" style="62" customWidth="1"/>
    <col min="5403" max="5403" width="37.5703125" style="62" customWidth="1"/>
    <col min="5404" max="5625" width="11.42578125" style="62"/>
    <col min="5626" max="5626" width="10.5703125" style="62" customWidth="1"/>
    <col min="5627" max="5627" width="4.85546875" style="62" customWidth="1"/>
    <col min="5628" max="5628" width="32.42578125" style="62" customWidth="1"/>
    <col min="5629" max="5629" width="9.85546875" style="62" customWidth="1"/>
    <col min="5630" max="5630" width="10.140625" style="62" customWidth="1"/>
    <col min="5631" max="5631" width="12.28515625" style="62" customWidth="1"/>
    <col min="5632" max="5632" width="15.42578125" style="62" customWidth="1"/>
    <col min="5633" max="5633" width="11.85546875" style="62" customWidth="1"/>
    <col min="5634" max="5634" width="13.28515625" style="62" customWidth="1"/>
    <col min="5635" max="5635" width="15.28515625" style="62" customWidth="1"/>
    <col min="5636" max="5636" width="11.85546875" style="62" customWidth="1"/>
    <col min="5637" max="5637" width="6.140625" style="62" customWidth="1"/>
    <col min="5638" max="5638" width="11.85546875" style="62" customWidth="1"/>
    <col min="5639" max="5639" width="9.42578125" style="62" customWidth="1"/>
    <col min="5640" max="5640" width="14.7109375" style="62" customWidth="1"/>
    <col min="5641" max="5641" width="11.5703125" style="62" customWidth="1"/>
    <col min="5642" max="5642" width="0.42578125" style="62" customWidth="1"/>
    <col min="5643" max="5643" width="10.5703125" style="62" bestFit="1" customWidth="1"/>
    <col min="5644" max="5644" width="12.28515625" style="62" customWidth="1"/>
    <col min="5645" max="5645" width="12.5703125" style="62" customWidth="1"/>
    <col min="5646" max="5646" width="10.5703125" style="62" customWidth="1"/>
    <col min="5647" max="5647" width="10.140625" style="62" customWidth="1"/>
    <col min="5648" max="5648" width="8.42578125" style="62" customWidth="1"/>
    <col min="5649" max="5649" width="18.85546875" style="62" customWidth="1"/>
    <col min="5650" max="5650" width="10.28515625" style="62" customWidth="1"/>
    <col min="5651" max="5651" width="11.42578125" style="62"/>
    <col min="5652" max="5652" width="12.140625" style="62" customWidth="1"/>
    <col min="5653" max="5653" width="10.5703125" style="62" customWidth="1"/>
    <col min="5654" max="5654" width="12.42578125" style="62" customWidth="1"/>
    <col min="5655" max="5655" width="15.140625" style="62" customWidth="1"/>
    <col min="5656" max="5656" width="13.5703125" style="62" customWidth="1"/>
    <col min="5657" max="5657" width="13.140625" style="62" customWidth="1"/>
    <col min="5658" max="5658" width="15.7109375" style="62" customWidth="1"/>
    <col min="5659" max="5659" width="37.5703125" style="62" customWidth="1"/>
    <col min="5660" max="5881" width="11.42578125" style="62"/>
    <col min="5882" max="5882" width="10.5703125" style="62" customWidth="1"/>
    <col min="5883" max="5883" width="4.85546875" style="62" customWidth="1"/>
    <col min="5884" max="5884" width="32.42578125" style="62" customWidth="1"/>
    <col min="5885" max="5885" width="9.85546875" style="62" customWidth="1"/>
    <col min="5886" max="5886" width="10.140625" style="62" customWidth="1"/>
    <col min="5887" max="5887" width="12.28515625" style="62" customWidth="1"/>
    <col min="5888" max="5888" width="15.42578125" style="62" customWidth="1"/>
    <col min="5889" max="5889" width="11.85546875" style="62" customWidth="1"/>
    <col min="5890" max="5890" width="13.28515625" style="62" customWidth="1"/>
    <col min="5891" max="5891" width="15.28515625" style="62" customWidth="1"/>
    <col min="5892" max="5892" width="11.85546875" style="62" customWidth="1"/>
    <col min="5893" max="5893" width="6.140625" style="62" customWidth="1"/>
    <col min="5894" max="5894" width="11.85546875" style="62" customWidth="1"/>
    <col min="5895" max="5895" width="9.42578125" style="62" customWidth="1"/>
    <col min="5896" max="5896" width="14.7109375" style="62" customWidth="1"/>
    <col min="5897" max="5897" width="11.5703125" style="62" customWidth="1"/>
    <col min="5898" max="5898" width="0.42578125" style="62" customWidth="1"/>
    <col min="5899" max="5899" width="10.5703125" style="62" bestFit="1" customWidth="1"/>
    <col min="5900" max="5900" width="12.28515625" style="62" customWidth="1"/>
    <col min="5901" max="5901" width="12.5703125" style="62" customWidth="1"/>
    <col min="5902" max="5902" width="10.5703125" style="62" customWidth="1"/>
    <col min="5903" max="5903" width="10.140625" style="62" customWidth="1"/>
    <col min="5904" max="5904" width="8.42578125" style="62" customWidth="1"/>
    <col min="5905" max="5905" width="18.85546875" style="62" customWidth="1"/>
    <col min="5906" max="5906" width="10.28515625" style="62" customWidth="1"/>
    <col min="5907" max="5907" width="11.42578125" style="62"/>
    <col min="5908" max="5908" width="12.140625" style="62" customWidth="1"/>
    <col min="5909" max="5909" width="10.5703125" style="62" customWidth="1"/>
    <col min="5910" max="5910" width="12.42578125" style="62" customWidth="1"/>
    <col min="5911" max="5911" width="15.140625" style="62" customWidth="1"/>
    <col min="5912" max="5912" width="13.5703125" style="62" customWidth="1"/>
    <col min="5913" max="5913" width="13.140625" style="62" customWidth="1"/>
    <col min="5914" max="5914" width="15.7109375" style="62" customWidth="1"/>
    <col min="5915" max="5915" width="37.5703125" style="62" customWidth="1"/>
    <col min="5916" max="6137" width="11.42578125" style="62"/>
    <col min="6138" max="6138" width="10.5703125" style="62" customWidth="1"/>
    <col min="6139" max="6139" width="4.85546875" style="62" customWidth="1"/>
    <col min="6140" max="6140" width="32.42578125" style="62" customWidth="1"/>
    <col min="6141" max="6141" width="9.85546875" style="62" customWidth="1"/>
    <col min="6142" max="6142" width="10.140625" style="62" customWidth="1"/>
    <col min="6143" max="6143" width="12.28515625" style="62" customWidth="1"/>
    <col min="6144" max="6144" width="15.42578125" style="62" customWidth="1"/>
    <col min="6145" max="6145" width="11.85546875" style="62" customWidth="1"/>
    <col min="6146" max="6146" width="13.28515625" style="62" customWidth="1"/>
    <col min="6147" max="6147" width="15.28515625" style="62" customWidth="1"/>
    <col min="6148" max="6148" width="11.85546875" style="62" customWidth="1"/>
    <col min="6149" max="6149" width="6.140625" style="62" customWidth="1"/>
    <col min="6150" max="6150" width="11.85546875" style="62" customWidth="1"/>
    <col min="6151" max="6151" width="9.42578125" style="62" customWidth="1"/>
    <col min="6152" max="6152" width="14.7109375" style="62" customWidth="1"/>
    <col min="6153" max="6153" width="11.5703125" style="62" customWidth="1"/>
    <col min="6154" max="6154" width="0.42578125" style="62" customWidth="1"/>
    <col min="6155" max="6155" width="10.5703125" style="62" bestFit="1" customWidth="1"/>
    <col min="6156" max="6156" width="12.28515625" style="62" customWidth="1"/>
    <col min="6157" max="6157" width="12.5703125" style="62" customWidth="1"/>
    <col min="6158" max="6158" width="10.5703125" style="62" customWidth="1"/>
    <col min="6159" max="6159" width="10.140625" style="62" customWidth="1"/>
    <col min="6160" max="6160" width="8.42578125" style="62" customWidth="1"/>
    <col min="6161" max="6161" width="18.85546875" style="62" customWidth="1"/>
    <col min="6162" max="6162" width="10.28515625" style="62" customWidth="1"/>
    <col min="6163" max="6163" width="11.42578125" style="62"/>
    <col min="6164" max="6164" width="12.140625" style="62" customWidth="1"/>
    <col min="6165" max="6165" width="10.5703125" style="62" customWidth="1"/>
    <col min="6166" max="6166" width="12.42578125" style="62" customWidth="1"/>
    <col min="6167" max="6167" width="15.140625" style="62" customWidth="1"/>
    <col min="6168" max="6168" width="13.5703125" style="62" customWidth="1"/>
    <col min="6169" max="6169" width="13.140625" style="62" customWidth="1"/>
    <col min="6170" max="6170" width="15.7109375" style="62" customWidth="1"/>
    <col min="6171" max="6171" width="37.5703125" style="62" customWidth="1"/>
    <col min="6172" max="6393" width="11.42578125" style="62"/>
    <col min="6394" max="6394" width="10.5703125" style="62" customWidth="1"/>
    <col min="6395" max="6395" width="4.85546875" style="62" customWidth="1"/>
    <col min="6396" max="6396" width="32.42578125" style="62" customWidth="1"/>
    <col min="6397" max="6397" width="9.85546875" style="62" customWidth="1"/>
    <col min="6398" max="6398" width="10.140625" style="62" customWidth="1"/>
    <col min="6399" max="6399" width="12.28515625" style="62" customWidth="1"/>
    <col min="6400" max="6400" width="15.42578125" style="62" customWidth="1"/>
    <col min="6401" max="6401" width="11.85546875" style="62" customWidth="1"/>
    <col min="6402" max="6402" width="13.28515625" style="62" customWidth="1"/>
    <col min="6403" max="6403" width="15.28515625" style="62" customWidth="1"/>
    <col min="6404" max="6404" width="11.85546875" style="62" customWidth="1"/>
    <col min="6405" max="6405" width="6.140625" style="62" customWidth="1"/>
    <col min="6406" max="6406" width="11.85546875" style="62" customWidth="1"/>
    <col min="6407" max="6407" width="9.42578125" style="62" customWidth="1"/>
    <col min="6408" max="6408" width="14.7109375" style="62" customWidth="1"/>
    <col min="6409" max="6409" width="11.5703125" style="62" customWidth="1"/>
    <col min="6410" max="6410" width="0.42578125" style="62" customWidth="1"/>
    <col min="6411" max="6411" width="10.5703125" style="62" bestFit="1" customWidth="1"/>
    <col min="6412" max="6412" width="12.28515625" style="62" customWidth="1"/>
    <col min="6413" max="6413" width="12.5703125" style="62" customWidth="1"/>
    <col min="6414" max="6414" width="10.5703125" style="62" customWidth="1"/>
    <col min="6415" max="6415" width="10.140625" style="62" customWidth="1"/>
    <col min="6416" max="6416" width="8.42578125" style="62" customWidth="1"/>
    <col min="6417" max="6417" width="18.85546875" style="62" customWidth="1"/>
    <col min="6418" max="6418" width="10.28515625" style="62" customWidth="1"/>
    <col min="6419" max="6419" width="11.42578125" style="62"/>
    <col min="6420" max="6420" width="12.140625" style="62" customWidth="1"/>
    <col min="6421" max="6421" width="10.5703125" style="62" customWidth="1"/>
    <col min="6422" max="6422" width="12.42578125" style="62" customWidth="1"/>
    <col min="6423" max="6423" width="15.140625" style="62" customWidth="1"/>
    <col min="6424" max="6424" width="13.5703125" style="62" customWidth="1"/>
    <col min="6425" max="6425" width="13.140625" style="62" customWidth="1"/>
    <col min="6426" max="6426" width="15.7109375" style="62" customWidth="1"/>
    <col min="6427" max="6427" width="37.5703125" style="62" customWidth="1"/>
    <col min="6428" max="6649" width="11.42578125" style="62"/>
    <col min="6650" max="6650" width="10.5703125" style="62" customWidth="1"/>
    <col min="6651" max="6651" width="4.85546875" style="62" customWidth="1"/>
    <col min="6652" max="6652" width="32.42578125" style="62" customWidth="1"/>
    <col min="6653" max="6653" width="9.85546875" style="62" customWidth="1"/>
    <col min="6654" max="6654" width="10.140625" style="62" customWidth="1"/>
    <col min="6655" max="6655" width="12.28515625" style="62" customWidth="1"/>
    <col min="6656" max="6656" width="15.42578125" style="62" customWidth="1"/>
    <col min="6657" max="6657" width="11.85546875" style="62" customWidth="1"/>
    <col min="6658" max="6658" width="13.28515625" style="62" customWidth="1"/>
    <col min="6659" max="6659" width="15.28515625" style="62" customWidth="1"/>
    <col min="6660" max="6660" width="11.85546875" style="62" customWidth="1"/>
    <col min="6661" max="6661" width="6.140625" style="62" customWidth="1"/>
    <col min="6662" max="6662" width="11.85546875" style="62" customWidth="1"/>
    <col min="6663" max="6663" width="9.42578125" style="62" customWidth="1"/>
    <col min="6664" max="6664" width="14.7109375" style="62" customWidth="1"/>
    <col min="6665" max="6665" width="11.5703125" style="62" customWidth="1"/>
    <col min="6666" max="6666" width="0.42578125" style="62" customWidth="1"/>
    <col min="6667" max="6667" width="10.5703125" style="62" bestFit="1" customWidth="1"/>
    <col min="6668" max="6668" width="12.28515625" style="62" customWidth="1"/>
    <col min="6669" max="6669" width="12.5703125" style="62" customWidth="1"/>
    <col min="6670" max="6670" width="10.5703125" style="62" customWidth="1"/>
    <col min="6671" max="6671" width="10.140625" style="62" customWidth="1"/>
    <col min="6672" max="6672" width="8.42578125" style="62" customWidth="1"/>
    <col min="6673" max="6673" width="18.85546875" style="62" customWidth="1"/>
    <col min="6674" max="6674" width="10.28515625" style="62" customWidth="1"/>
    <col min="6675" max="6675" width="11.42578125" style="62"/>
    <col min="6676" max="6676" width="12.140625" style="62" customWidth="1"/>
    <col min="6677" max="6677" width="10.5703125" style="62" customWidth="1"/>
    <col min="6678" max="6678" width="12.42578125" style="62" customWidth="1"/>
    <col min="6679" max="6679" width="15.140625" style="62" customWidth="1"/>
    <col min="6680" max="6680" width="13.5703125" style="62" customWidth="1"/>
    <col min="6681" max="6681" width="13.140625" style="62" customWidth="1"/>
    <col min="6682" max="6682" width="15.7109375" style="62" customWidth="1"/>
    <col min="6683" max="6683" width="37.5703125" style="62" customWidth="1"/>
    <col min="6684" max="6905" width="11.42578125" style="62"/>
    <col min="6906" max="6906" width="10.5703125" style="62" customWidth="1"/>
    <col min="6907" max="6907" width="4.85546875" style="62" customWidth="1"/>
    <col min="6908" max="6908" width="32.42578125" style="62" customWidth="1"/>
    <col min="6909" max="6909" width="9.85546875" style="62" customWidth="1"/>
    <col min="6910" max="6910" width="10.140625" style="62" customWidth="1"/>
    <col min="6911" max="6911" width="12.28515625" style="62" customWidth="1"/>
    <col min="6912" max="6912" width="15.42578125" style="62" customWidth="1"/>
    <col min="6913" max="6913" width="11.85546875" style="62" customWidth="1"/>
    <col min="6914" max="6914" width="13.28515625" style="62" customWidth="1"/>
    <col min="6915" max="6915" width="15.28515625" style="62" customWidth="1"/>
    <col min="6916" max="6916" width="11.85546875" style="62" customWidth="1"/>
    <col min="6917" max="6917" width="6.140625" style="62" customWidth="1"/>
    <col min="6918" max="6918" width="11.85546875" style="62" customWidth="1"/>
    <col min="6919" max="6919" width="9.42578125" style="62" customWidth="1"/>
    <col min="6920" max="6920" width="14.7109375" style="62" customWidth="1"/>
    <col min="6921" max="6921" width="11.5703125" style="62" customWidth="1"/>
    <col min="6922" max="6922" width="0.42578125" style="62" customWidth="1"/>
    <col min="6923" max="6923" width="10.5703125" style="62" bestFit="1" customWidth="1"/>
    <col min="6924" max="6924" width="12.28515625" style="62" customWidth="1"/>
    <col min="6925" max="6925" width="12.5703125" style="62" customWidth="1"/>
    <col min="6926" max="6926" width="10.5703125" style="62" customWidth="1"/>
    <col min="6927" max="6927" width="10.140625" style="62" customWidth="1"/>
    <col min="6928" max="6928" width="8.42578125" style="62" customWidth="1"/>
    <col min="6929" max="6929" width="18.85546875" style="62" customWidth="1"/>
    <col min="6930" max="6930" width="10.28515625" style="62" customWidth="1"/>
    <col min="6931" max="6931" width="11.42578125" style="62"/>
    <col min="6932" max="6932" width="12.140625" style="62" customWidth="1"/>
    <col min="6933" max="6933" width="10.5703125" style="62" customWidth="1"/>
    <col min="6934" max="6934" width="12.42578125" style="62" customWidth="1"/>
    <col min="6935" max="6935" width="15.140625" style="62" customWidth="1"/>
    <col min="6936" max="6936" width="13.5703125" style="62" customWidth="1"/>
    <col min="6937" max="6937" width="13.140625" style="62" customWidth="1"/>
    <col min="6938" max="6938" width="15.7109375" style="62" customWidth="1"/>
    <col min="6939" max="6939" width="37.5703125" style="62" customWidth="1"/>
    <col min="6940" max="7161" width="11.42578125" style="62"/>
    <col min="7162" max="7162" width="10.5703125" style="62" customWidth="1"/>
    <col min="7163" max="7163" width="4.85546875" style="62" customWidth="1"/>
    <col min="7164" max="7164" width="32.42578125" style="62" customWidth="1"/>
    <col min="7165" max="7165" width="9.85546875" style="62" customWidth="1"/>
    <col min="7166" max="7166" width="10.140625" style="62" customWidth="1"/>
    <col min="7167" max="7167" width="12.28515625" style="62" customWidth="1"/>
    <col min="7168" max="7168" width="15.42578125" style="62" customWidth="1"/>
    <col min="7169" max="7169" width="11.85546875" style="62" customWidth="1"/>
    <col min="7170" max="7170" width="13.28515625" style="62" customWidth="1"/>
    <col min="7171" max="7171" width="15.28515625" style="62" customWidth="1"/>
    <col min="7172" max="7172" width="11.85546875" style="62" customWidth="1"/>
    <col min="7173" max="7173" width="6.140625" style="62" customWidth="1"/>
    <col min="7174" max="7174" width="11.85546875" style="62" customWidth="1"/>
    <col min="7175" max="7175" width="9.42578125" style="62" customWidth="1"/>
    <col min="7176" max="7176" width="14.7109375" style="62" customWidth="1"/>
    <col min="7177" max="7177" width="11.5703125" style="62" customWidth="1"/>
    <col min="7178" max="7178" width="0.42578125" style="62" customWidth="1"/>
    <col min="7179" max="7179" width="10.5703125" style="62" bestFit="1" customWidth="1"/>
    <col min="7180" max="7180" width="12.28515625" style="62" customWidth="1"/>
    <col min="7181" max="7181" width="12.5703125" style="62" customWidth="1"/>
    <col min="7182" max="7182" width="10.5703125" style="62" customWidth="1"/>
    <col min="7183" max="7183" width="10.140625" style="62" customWidth="1"/>
    <col min="7184" max="7184" width="8.42578125" style="62" customWidth="1"/>
    <col min="7185" max="7185" width="18.85546875" style="62" customWidth="1"/>
    <col min="7186" max="7186" width="10.28515625" style="62" customWidth="1"/>
    <col min="7187" max="7187" width="11.42578125" style="62"/>
    <col min="7188" max="7188" width="12.140625" style="62" customWidth="1"/>
    <col min="7189" max="7189" width="10.5703125" style="62" customWidth="1"/>
    <col min="7190" max="7190" width="12.42578125" style="62" customWidth="1"/>
    <col min="7191" max="7191" width="15.140625" style="62" customWidth="1"/>
    <col min="7192" max="7192" width="13.5703125" style="62" customWidth="1"/>
    <col min="7193" max="7193" width="13.140625" style="62" customWidth="1"/>
    <col min="7194" max="7194" width="15.7109375" style="62" customWidth="1"/>
    <col min="7195" max="7195" width="37.5703125" style="62" customWidth="1"/>
    <col min="7196" max="7417" width="11.42578125" style="62"/>
    <col min="7418" max="7418" width="10.5703125" style="62" customWidth="1"/>
    <col min="7419" max="7419" width="4.85546875" style="62" customWidth="1"/>
    <col min="7420" max="7420" width="32.42578125" style="62" customWidth="1"/>
    <col min="7421" max="7421" width="9.85546875" style="62" customWidth="1"/>
    <col min="7422" max="7422" width="10.140625" style="62" customWidth="1"/>
    <col min="7423" max="7423" width="12.28515625" style="62" customWidth="1"/>
    <col min="7424" max="7424" width="15.42578125" style="62" customWidth="1"/>
    <col min="7425" max="7425" width="11.85546875" style="62" customWidth="1"/>
    <col min="7426" max="7426" width="13.28515625" style="62" customWidth="1"/>
    <col min="7427" max="7427" width="15.28515625" style="62" customWidth="1"/>
    <col min="7428" max="7428" width="11.85546875" style="62" customWidth="1"/>
    <col min="7429" max="7429" width="6.140625" style="62" customWidth="1"/>
    <col min="7430" max="7430" width="11.85546875" style="62" customWidth="1"/>
    <col min="7431" max="7431" width="9.42578125" style="62" customWidth="1"/>
    <col min="7432" max="7432" width="14.7109375" style="62" customWidth="1"/>
    <col min="7433" max="7433" width="11.5703125" style="62" customWidth="1"/>
    <col min="7434" max="7434" width="0.42578125" style="62" customWidth="1"/>
    <col min="7435" max="7435" width="10.5703125" style="62" bestFit="1" customWidth="1"/>
    <col min="7436" max="7436" width="12.28515625" style="62" customWidth="1"/>
    <col min="7437" max="7437" width="12.5703125" style="62" customWidth="1"/>
    <col min="7438" max="7438" width="10.5703125" style="62" customWidth="1"/>
    <col min="7439" max="7439" width="10.140625" style="62" customWidth="1"/>
    <col min="7440" max="7440" width="8.42578125" style="62" customWidth="1"/>
    <col min="7441" max="7441" width="18.85546875" style="62" customWidth="1"/>
    <col min="7442" max="7442" width="10.28515625" style="62" customWidth="1"/>
    <col min="7443" max="7443" width="11.42578125" style="62"/>
    <col min="7444" max="7444" width="12.140625" style="62" customWidth="1"/>
    <col min="7445" max="7445" width="10.5703125" style="62" customWidth="1"/>
    <col min="7446" max="7446" width="12.42578125" style="62" customWidth="1"/>
    <col min="7447" max="7447" width="15.140625" style="62" customWidth="1"/>
    <col min="7448" max="7448" width="13.5703125" style="62" customWidth="1"/>
    <col min="7449" max="7449" width="13.140625" style="62" customWidth="1"/>
    <col min="7450" max="7450" width="15.7109375" style="62" customWidth="1"/>
    <col min="7451" max="7451" width="37.5703125" style="62" customWidth="1"/>
    <col min="7452" max="7673" width="11.42578125" style="62"/>
    <col min="7674" max="7674" width="10.5703125" style="62" customWidth="1"/>
    <col min="7675" max="7675" width="4.85546875" style="62" customWidth="1"/>
    <col min="7676" max="7676" width="32.42578125" style="62" customWidth="1"/>
    <col min="7677" max="7677" width="9.85546875" style="62" customWidth="1"/>
    <col min="7678" max="7678" width="10.140625" style="62" customWidth="1"/>
    <col min="7679" max="7679" width="12.28515625" style="62" customWidth="1"/>
    <col min="7680" max="7680" width="15.42578125" style="62" customWidth="1"/>
    <col min="7681" max="7681" width="11.85546875" style="62" customWidth="1"/>
    <col min="7682" max="7682" width="13.28515625" style="62" customWidth="1"/>
    <col min="7683" max="7683" width="15.28515625" style="62" customWidth="1"/>
    <col min="7684" max="7684" width="11.85546875" style="62" customWidth="1"/>
    <col min="7685" max="7685" width="6.140625" style="62" customWidth="1"/>
    <col min="7686" max="7686" width="11.85546875" style="62" customWidth="1"/>
    <col min="7687" max="7687" width="9.42578125" style="62" customWidth="1"/>
    <col min="7688" max="7688" width="14.7109375" style="62" customWidth="1"/>
    <col min="7689" max="7689" width="11.5703125" style="62" customWidth="1"/>
    <col min="7690" max="7690" width="0.42578125" style="62" customWidth="1"/>
    <col min="7691" max="7691" width="10.5703125" style="62" bestFit="1" customWidth="1"/>
    <col min="7692" max="7692" width="12.28515625" style="62" customWidth="1"/>
    <col min="7693" max="7693" width="12.5703125" style="62" customWidth="1"/>
    <col min="7694" max="7694" width="10.5703125" style="62" customWidth="1"/>
    <col min="7695" max="7695" width="10.140625" style="62" customWidth="1"/>
    <col min="7696" max="7696" width="8.42578125" style="62" customWidth="1"/>
    <col min="7697" max="7697" width="18.85546875" style="62" customWidth="1"/>
    <col min="7698" max="7698" width="10.28515625" style="62" customWidth="1"/>
    <col min="7699" max="7699" width="11.42578125" style="62"/>
    <col min="7700" max="7700" width="12.140625" style="62" customWidth="1"/>
    <col min="7701" max="7701" width="10.5703125" style="62" customWidth="1"/>
    <col min="7702" max="7702" width="12.42578125" style="62" customWidth="1"/>
    <col min="7703" max="7703" width="15.140625" style="62" customWidth="1"/>
    <col min="7704" max="7704" width="13.5703125" style="62" customWidth="1"/>
    <col min="7705" max="7705" width="13.140625" style="62" customWidth="1"/>
    <col min="7706" max="7706" width="15.7109375" style="62" customWidth="1"/>
    <col min="7707" max="7707" width="37.5703125" style="62" customWidth="1"/>
    <col min="7708" max="7929" width="11.42578125" style="62"/>
    <col min="7930" max="7930" width="10.5703125" style="62" customWidth="1"/>
    <col min="7931" max="7931" width="4.85546875" style="62" customWidth="1"/>
    <col min="7932" max="7932" width="32.42578125" style="62" customWidth="1"/>
    <col min="7933" max="7933" width="9.85546875" style="62" customWidth="1"/>
    <col min="7934" max="7934" width="10.140625" style="62" customWidth="1"/>
    <col min="7935" max="7935" width="12.28515625" style="62" customWidth="1"/>
    <col min="7936" max="7936" width="15.42578125" style="62" customWidth="1"/>
    <col min="7937" max="7937" width="11.85546875" style="62" customWidth="1"/>
    <col min="7938" max="7938" width="13.28515625" style="62" customWidth="1"/>
    <col min="7939" max="7939" width="15.28515625" style="62" customWidth="1"/>
    <col min="7940" max="7940" width="11.85546875" style="62" customWidth="1"/>
    <col min="7941" max="7941" width="6.140625" style="62" customWidth="1"/>
    <col min="7942" max="7942" width="11.85546875" style="62" customWidth="1"/>
    <col min="7943" max="7943" width="9.42578125" style="62" customWidth="1"/>
    <col min="7944" max="7944" width="14.7109375" style="62" customWidth="1"/>
    <col min="7945" max="7945" width="11.5703125" style="62" customWidth="1"/>
    <col min="7946" max="7946" width="0.42578125" style="62" customWidth="1"/>
    <col min="7947" max="7947" width="10.5703125" style="62" bestFit="1" customWidth="1"/>
    <col min="7948" max="7948" width="12.28515625" style="62" customWidth="1"/>
    <col min="7949" max="7949" width="12.5703125" style="62" customWidth="1"/>
    <col min="7950" max="7950" width="10.5703125" style="62" customWidth="1"/>
    <col min="7951" max="7951" width="10.140625" style="62" customWidth="1"/>
    <col min="7952" max="7952" width="8.42578125" style="62" customWidth="1"/>
    <col min="7953" max="7953" width="18.85546875" style="62" customWidth="1"/>
    <col min="7954" max="7954" width="10.28515625" style="62" customWidth="1"/>
    <col min="7955" max="7955" width="11.42578125" style="62"/>
    <col min="7956" max="7956" width="12.140625" style="62" customWidth="1"/>
    <col min="7957" max="7957" width="10.5703125" style="62" customWidth="1"/>
    <col min="7958" max="7958" width="12.42578125" style="62" customWidth="1"/>
    <col min="7959" max="7959" width="15.140625" style="62" customWidth="1"/>
    <col min="7960" max="7960" width="13.5703125" style="62" customWidth="1"/>
    <col min="7961" max="7961" width="13.140625" style="62" customWidth="1"/>
    <col min="7962" max="7962" width="15.7109375" style="62" customWidth="1"/>
    <col min="7963" max="7963" width="37.5703125" style="62" customWidth="1"/>
    <col min="7964" max="8185" width="11.42578125" style="62"/>
    <col min="8186" max="8186" width="10.5703125" style="62" customWidth="1"/>
    <col min="8187" max="8187" width="4.85546875" style="62" customWidth="1"/>
    <col min="8188" max="8188" width="32.42578125" style="62" customWidth="1"/>
    <col min="8189" max="8189" width="9.85546875" style="62" customWidth="1"/>
    <col min="8190" max="8190" width="10.140625" style="62" customWidth="1"/>
    <col min="8191" max="8191" width="12.28515625" style="62" customWidth="1"/>
    <col min="8192" max="8192" width="15.42578125" style="62" customWidth="1"/>
    <col min="8193" max="8193" width="11.85546875" style="62" customWidth="1"/>
    <col min="8194" max="8194" width="13.28515625" style="62" customWidth="1"/>
    <col min="8195" max="8195" width="15.28515625" style="62" customWidth="1"/>
    <col min="8196" max="8196" width="11.85546875" style="62" customWidth="1"/>
    <col min="8197" max="8197" width="6.140625" style="62" customWidth="1"/>
    <col min="8198" max="8198" width="11.85546875" style="62" customWidth="1"/>
    <col min="8199" max="8199" width="9.42578125" style="62" customWidth="1"/>
    <col min="8200" max="8200" width="14.7109375" style="62" customWidth="1"/>
    <col min="8201" max="8201" width="11.5703125" style="62" customWidth="1"/>
    <col min="8202" max="8202" width="0.42578125" style="62" customWidth="1"/>
    <col min="8203" max="8203" width="10.5703125" style="62" bestFit="1" customWidth="1"/>
    <col min="8204" max="8204" width="12.28515625" style="62" customWidth="1"/>
    <col min="8205" max="8205" width="12.5703125" style="62" customWidth="1"/>
    <col min="8206" max="8206" width="10.5703125" style="62" customWidth="1"/>
    <col min="8207" max="8207" width="10.140625" style="62" customWidth="1"/>
    <col min="8208" max="8208" width="8.42578125" style="62" customWidth="1"/>
    <col min="8209" max="8209" width="18.85546875" style="62" customWidth="1"/>
    <col min="8210" max="8210" width="10.28515625" style="62" customWidth="1"/>
    <col min="8211" max="8211" width="11.42578125" style="62"/>
    <col min="8212" max="8212" width="12.140625" style="62" customWidth="1"/>
    <col min="8213" max="8213" width="10.5703125" style="62" customWidth="1"/>
    <col min="8214" max="8214" width="12.42578125" style="62" customWidth="1"/>
    <col min="8215" max="8215" width="15.140625" style="62" customWidth="1"/>
    <col min="8216" max="8216" width="13.5703125" style="62" customWidth="1"/>
    <col min="8217" max="8217" width="13.140625" style="62" customWidth="1"/>
    <col min="8218" max="8218" width="15.7109375" style="62" customWidth="1"/>
    <col min="8219" max="8219" width="37.5703125" style="62" customWidth="1"/>
    <col min="8220" max="8441" width="11.42578125" style="62"/>
    <col min="8442" max="8442" width="10.5703125" style="62" customWidth="1"/>
    <col min="8443" max="8443" width="4.85546875" style="62" customWidth="1"/>
    <col min="8444" max="8444" width="32.42578125" style="62" customWidth="1"/>
    <col min="8445" max="8445" width="9.85546875" style="62" customWidth="1"/>
    <col min="8446" max="8446" width="10.140625" style="62" customWidth="1"/>
    <col min="8447" max="8447" width="12.28515625" style="62" customWidth="1"/>
    <col min="8448" max="8448" width="15.42578125" style="62" customWidth="1"/>
    <col min="8449" max="8449" width="11.85546875" style="62" customWidth="1"/>
    <col min="8450" max="8450" width="13.28515625" style="62" customWidth="1"/>
    <col min="8451" max="8451" width="15.28515625" style="62" customWidth="1"/>
    <col min="8452" max="8452" width="11.85546875" style="62" customWidth="1"/>
    <col min="8453" max="8453" width="6.140625" style="62" customWidth="1"/>
    <col min="8454" max="8454" width="11.85546875" style="62" customWidth="1"/>
    <col min="8455" max="8455" width="9.42578125" style="62" customWidth="1"/>
    <col min="8456" max="8456" width="14.7109375" style="62" customWidth="1"/>
    <col min="8457" max="8457" width="11.5703125" style="62" customWidth="1"/>
    <col min="8458" max="8458" width="0.42578125" style="62" customWidth="1"/>
    <col min="8459" max="8459" width="10.5703125" style="62" bestFit="1" customWidth="1"/>
    <col min="8460" max="8460" width="12.28515625" style="62" customWidth="1"/>
    <col min="8461" max="8461" width="12.5703125" style="62" customWidth="1"/>
    <col min="8462" max="8462" width="10.5703125" style="62" customWidth="1"/>
    <col min="8463" max="8463" width="10.140625" style="62" customWidth="1"/>
    <col min="8464" max="8464" width="8.42578125" style="62" customWidth="1"/>
    <col min="8465" max="8465" width="18.85546875" style="62" customWidth="1"/>
    <col min="8466" max="8466" width="10.28515625" style="62" customWidth="1"/>
    <col min="8467" max="8467" width="11.42578125" style="62"/>
    <col min="8468" max="8468" width="12.140625" style="62" customWidth="1"/>
    <col min="8469" max="8469" width="10.5703125" style="62" customWidth="1"/>
    <col min="8470" max="8470" width="12.42578125" style="62" customWidth="1"/>
    <col min="8471" max="8471" width="15.140625" style="62" customWidth="1"/>
    <col min="8472" max="8472" width="13.5703125" style="62" customWidth="1"/>
    <col min="8473" max="8473" width="13.140625" style="62" customWidth="1"/>
    <col min="8474" max="8474" width="15.7109375" style="62" customWidth="1"/>
    <col min="8475" max="8475" width="37.5703125" style="62" customWidth="1"/>
    <col min="8476" max="8697" width="11.42578125" style="62"/>
    <col min="8698" max="8698" width="10.5703125" style="62" customWidth="1"/>
    <col min="8699" max="8699" width="4.85546875" style="62" customWidth="1"/>
    <col min="8700" max="8700" width="32.42578125" style="62" customWidth="1"/>
    <col min="8701" max="8701" width="9.85546875" style="62" customWidth="1"/>
    <col min="8702" max="8702" width="10.140625" style="62" customWidth="1"/>
    <col min="8703" max="8703" width="12.28515625" style="62" customWidth="1"/>
    <col min="8704" max="8704" width="15.42578125" style="62" customWidth="1"/>
    <col min="8705" max="8705" width="11.85546875" style="62" customWidth="1"/>
    <col min="8706" max="8706" width="13.28515625" style="62" customWidth="1"/>
    <col min="8707" max="8707" width="15.28515625" style="62" customWidth="1"/>
    <col min="8708" max="8708" width="11.85546875" style="62" customWidth="1"/>
    <col min="8709" max="8709" width="6.140625" style="62" customWidth="1"/>
    <col min="8710" max="8710" width="11.85546875" style="62" customWidth="1"/>
    <col min="8711" max="8711" width="9.42578125" style="62" customWidth="1"/>
    <col min="8712" max="8712" width="14.7109375" style="62" customWidth="1"/>
    <col min="8713" max="8713" width="11.5703125" style="62" customWidth="1"/>
    <col min="8714" max="8714" width="0.42578125" style="62" customWidth="1"/>
    <col min="8715" max="8715" width="10.5703125" style="62" bestFit="1" customWidth="1"/>
    <col min="8716" max="8716" width="12.28515625" style="62" customWidth="1"/>
    <col min="8717" max="8717" width="12.5703125" style="62" customWidth="1"/>
    <col min="8718" max="8718" width="10.5703125" style="62" customWidth="1"/>
    <col min="8719" max="8719" width="10.140625" style="62" customWidth="1"/>
    <col min="8720" max="8720" width="8.42578125" style="62" customWidth="1"/>
    <col min="8721" max="8721" width="18.85546875" style="62" customWidth="1"/>
    <col min="8722" max="8722" width="10.28515625" style="62" customWidth="1"/>
    <col min="8723" max="8723" width="11.42578125" style="62"/>
    <col min="8724" max="8724" width="12.140625" style="62" customWidth="1"/>
    <col min="8725" max="8725" width="10.5703125" style="62" customWidth="1"/>
    <col min="8726" max="8726" width="12.42578125" style="62" customWidth="1"/>
    <col min="8727" max="8727" width="15.140625" style="62" customWidth="1"/>
    <col min="8728" max="8728" width="13.5703125" style="62" customWidth="1"/>
    <col min="8729" max="8729" width="13.140625" style="62" customWidth="1"/>
    <col min="8730" max="8730" width="15.7109375" style="62" customWidth="1"/>
    <col min="8731" max="8731" width="37.5703125" style="62" customWidth="1"/>
    <col min="8732" max="8953" width="11.42578125" style="62"/>
    <col min="8954" max="8954" width="10.5703125" style="62" customWidth="1"/>
    <col min="8955" max="8955" width="4.85546875" style="62" customWidth="1"/>
    <col min="8956" max="8956" width="32.42578125" style="62" customWidth="1"/>
    <col min="8957" max="8957" width="9.85546875" style="62" customWidth="1"/>
    <col min="8958" max="8958" width="10.140625" style="62" customWidth="1"/>
    <col min="8959" max="8959" width="12.28515625" style="62" customWidth="1"/>
    <col min="8960" max="8960" width="15.42578125" style="62" customWidth="1"/>
    <col min="8961" max="8961" width="11.85546875" style="62" customWidth="1"/>
    <col min="8962" max="8962" width="13.28515625" style="62" customWidth="1"/>
    <col min="8963" max="8963" width="15.28515625" style="62" customWidth="1"/>
    <col min="8964" max="8964" width="11.85546875" style="62" customWidth="1"/>
    <col min="8965" max="8965" width="6.140625" style="62" customWidth="1"/>
    <col min="8966" max="8966" width="11.85546875" style="62" customWidth="1"/>
    <col min="8967" max="8967" width="9.42578125" style="62" customWidth="1"/>
    <col min="8968" max="8968" width="14.7109375" style="62" customWidth="1"/>
    <col min="8969" max="8969" width="11.5703125" style="62" customWidth="1"/>
    <col min="8970" max="8970" width="0.42578125" style="62" customWidth="1"/>
    <col min="8971" max="8971" width="10.5703125" style="62" bestFit="1" customWidth="1"/>
    <col min="8972" max="8972" width="12.28515625" style="62" customWidth="1"/>
    <col min="8973" max="8973" width="12.5703125" style="62" customWidth="1"/>
    <col min="8974" max="8974" width="10.5703125" style="62" customWidth="1"/>
    <col min="8975" max="8975" width="10.140625" style="62" customWidth="1"/>
    <col min="8976" max="8976" width="8.42578125" style="62" customWidth="1"/>
    <col min="8977" max="8977" width="18.85546875" style="62" customWidth="1"/>
    <col min="8978" max="8978" width="10.28515625" style="62" customWidth="1"/>
    <col min="8979" max="8979" width="11.42578125" style="62"/>
    <col min="8980" max="8980" width="12.140625" style="62" customWidth="1"/>
    <col min="8981" max="8981" width="10.5703125" style="62" customWidth="1"/>
    <col min="8982" max="8982" width="12.42578125" style="62" customWidth="1"/>
    <col min="8983" max="8983" width="15.140625" style="62" customWidth="1"/>
    <col min="8984" max="8984" width="13.5703125" style="62" customWidth="1"/>
    <col min="8985" max="8985" width="13.140625" style="62" customWidth="1"/>
    <col min="8986" max="8986" width="15.7109375" style="62" customWidth="1"/>
    <col min="8987" max="8987" width="37.5703125" style="62" customWidth="1"/>
    <col min="8988" max="9209" width="11.42578125" style="62"/>
    <col min="9210" max="9210" width="10.5703125" style="62" customWidth="1"/>
    <col min="9211" max="9211" width="4.85546875" style="62" customWidth="1"/>
    <col min="9212" max="9212" width="32.42578125" style="62" customWidth="1"/>
    <col min="9213" max="9213" width="9.85546875" style="62" customWidth="1"/>
    <col min="9214" max="9214" width="10.140625" style="62" customWidth="1"/>
    <col min="9215" max="9215" width="12.28515625" style="62" customWidth="1"/>
    <col min="9216" max="9216" width="15.42578125" style="62" customWidth="1"/>
    <col min="9217" max="9217" width="11.85546875" style="62" customWidth="1"/>
    <col min="9218" max="9218" width="13.28515625" style="62" customWidth="1"/>
    <col min="9219" max="9219" width="15.28515625" style="62" customWidth="1"/>
    <col min="9220" max="9220" width="11.85546875" style="62" customWidth="1"/>
    <col min="9221" max="9221" width="6.140625" style="62" customWidth="1"/>
    <col min="9222" max="9222" width="11.85546875" style="62" customWidth="1"/>
    <col min="9223" max="9223" width="9.42578125" style="62" customWidth="1"/>
    <col min="9224" max="9224" width="14.7109375" style="62" customWidth="1"/>
    <col min="9225" max="9225" width="11.5703125" style="62" customWidth="1"/>
    <col min="9226" max="9226" width="0.42578125" style="62" customWidth="1"/>
    <col min="9227" max="9227" width="10.5703125" style="62" bestFit="1" customWidth="1"/>
    <col min="9228" max="9228" width="12.28515625" style="62" customWidth="1"/>
    <col min="9229" max="9229" width="12.5703125" style="62" customWidth="1"/>
    <col min="9230" max="9230" width="10.5703125" style="62" customWidth="1"/>
    <col min="9231" max="9231" width="10.140625" style="62" customWidth="1"/>
    <col min="9232" max="9232" width="8.42578125" style="62" customWidth="1"/>
    <col min="9233" max="9233" width="18.85546875" style="62" customWidth="1"/>
    <col min="9234" max="9234" width="10.28515625" style="62" customWidth="1"/>
    <col min="9235" max="9235" width="11.42578125" style="62"/>
    <col min="9236" max="9236" width="12.140625" style="62" customWidth="1"/>
    <col min="9237" max="9237" width="10.5703125" style="62" customWidth="1"/>
    <col min="9238" max="9238" width="12.42578125" style="62" customWidth="1"/>
    <col min="9239" max="9239" width="15.140625" style="62" customWidth="1"/>
    <col min="9240" max="9240" width="13.5703125" style="62" customWidth="1"/>
    <col min="9241" max="9241" width="13.140625" style="62" customWidth="1"/>
    <col min="9242" max="9242" width="15.7109375" style="62" customWidth="1"/>
    <col min="9243" max="9243" width="37.5703125" style="62" customWidth="1"/>
    <col min="9244" max="9465" width="11.42578125" style="62"/>
    <col min="9466" max="9466" width="10.5703125" style="62" customWidth="1"/>
    <col min="9467" max="9467" width="4.85546875" style="62" customWidth="1"/>
    <col min="9468" max="9468" width="32.42578125" style="62" customWidth="1"/>
    <col min="9469" max="9469" width="9.85546875" style="62" customWidth="1"/>
    <col min="9470" max="9470" width="10.140625" style="62" customWidth="1"/>
    <col min="9471" max="9471" width="12.28515625" style="62" customWidth="1"/>
    <col min="9472" max="9472" width="15.42578125" style="62" customWidth="1"/>
    <col min="9473" max="9473" width="11.85546875" style="62" customWidth="1"/>
    <col min="9474" max="9474" width="13.28515625" style="62" customWidth="1"/>
    <col min="9475" max="9475" width="15.28515625" style="62" customWidth="1"/>
    <col min="9476" max="9476" width="11.85546875" style="62" customWidth="1"/>
    <col min="9477" max="9477" width="6.140625" style="62" customWidth="1"/>
    <col min="9478" max="9478" width="11.85546875" style="62" customWidth="1"/>
    <col min="9479" max="9479" width="9.42578125" style="62" customWidth="1"/>
    <col min="9480" max="9480" width="14.7109375" style="62" customWidth="1"/>
    <col min="9481" max="9481" width="11.5703125" style="62" customWidth="1"/>
    <col min="9482" max="9482" width="0.42578125" style="62" customWidth="1"/>
    <col min="9483" max="9483" width="10.5703125" style="62" bestFit="1" customWidth="1"/>
    <col min="9484" max="9484" width="12.28515625" style="62" customWidth="1"/>
    <col min="9485" max="9485" width="12.5703125" style="62" customWidth="1"/>
    <col min="9486" max="9486" width="10.5703125" style="62" customWidth="1"/>
    <col min="9487" max="9487" width="10.140625" style="62" customWidth="1"/>
    <col min="9488" max="9488" width="8.42578125" style="62" customWidth="1"/>
    <col min="9489" max="9489" width="18.85546875" style="62" customWidth="1"/>
    <col min="9490" max="9490" width="10.28515625" style="62" customWidth="1"/>
    <col min="9491" max="9491" width="11.42578125" style="62"/>
    <col min="9492" max="9492" width="12.140625" style="62" customWidth="1"/>
    <col min="9493" max="9493" width="10.5703125" style="62" customWidth="1"/>
    <col min="9494" max="9494" width="12.42578125" style="62" customWidth="1"/>
    <col min="9495" max="9495" width="15.140625" style="62" customWidth="1"/>
    <col min="9496" max="9496" width="13.5703125" style="62" customWidth="1"/>
    <col min="9497" max="9497" width="13.140625" style="62" customWidth="1"/>
    <col min="9498" max="9498" width="15.7109375" style="62" customWidth="1"/>
    <col min="9499" max="9499" width="37.5703125" style="62" customWidth="1"/>
    <col min="9500" max="9721" width="11.42578125" style="62"/>
    <col min="9722" max="9722" width="10.5703125" style="62" customWidth="1"/>
    <col min="9723" max="9723" width="4.85546875" style="62" customWidth="1"/>
    <col min="9724" max="9724" width="32.42578125" style="62" customWidth="1"/>
    <col min="9725" max="9725" width="9.85546875" style="62" customWidth="1"/>
    <col min="9726" max="9726" width="10.140625" style="62" customWidth="1"/>
    <col min="9727" max="9727" width="12.28515625" style="62" customWidth="1"/>
    <col min="9728" max="9728" width="15.42578125" style="62" customWidth="1"/>
    <col min="9729" max="9729" width="11.85546875" style="62" customWidth="1"/>
    <col min="9730" max="9730" width="13.28515625" style="62" customWidth="1"/>
    <col min="9731" max="9731" width="15.28515625" style="62" customWidth="1"/>
    <col min="9732" max="9732" width="11.85546875" style="62" customWidth="1"/>
    <col min="9733" max="9733" width="6.140625" style="62" customWidth="1"/>
    <col min="9734" max="9734" width="11.85546875" style="62" customWidth="1"/>
    <col min="9735" max="9735" width="9.42578125" style="62" customWidth="1"/>
    <col min="9736" max="9736" width="14.7109375" style="62" customWidth="1"/>
    <col min="9737" max="9737" width="11.5703125" style="62" customWidth="1"/>
    <col min="9738" max="9738" width="0.42578125" style="62" customWidth="1"/>
    <col min="9739" max="9739" width="10.5703125" style="62" bestFit="1" customWidth="1"/>
    <col min="9740" max="9740" width="12.28515625" style="62" customWidth="1"/>
    <col min="9741" max="9741" width="12.5703125" style="62" customWidth="1"/>
    <col min="9742" max="9742" width="10.5703125" style="62" customWidth="1"/>
    <col min="9743" max="9743" width="10.140625" style="62" customWidth="1"/>
    <col min="9744" max="9744" width="8.42578125" style="62" customWidth="1"/>
    <col min="9745" max="9745" width="18.85546875" style="62" customWidth="1"/>
    <col min="9746" max="9746" width="10.28515625" style="62" customWidth="1"/>
    <col min="9747" max="9747" width="11.42578125" style="62"/>
    <col min="9748" max="9748" width="12.140625" style="62" customWidth="1"/>
    <col min="9749" max="9749" width="10.5703125" style="62" customWidth="1"/>
    <col min="9750" max="9750" width="12.42578125" style="62" customWidth="1"/>
    <col min="9751" max="9751" width="15.140625" style="62" customWidth="1"/>
    <col min="9752" max="9752" width="13.5703125" style="62" customWidth="1"/>
    <col min="9753" max="9753" width="13.140625" style="62" customWidth="1"/>
    <col min="9754" max="9754" width="15.7109375" style="62" customWidth="1"/>
    <col min="9755" max="9755" width="37.5703125" style="62" customWidth="1"/>
    <col min="9756" max="9977" width="11.42578125" style="62"/>
    <col min="9978" max="9978" width="10.5703125" style="62" customWidth="1"/>
    <col min="9979" max="9979" width="4.85546875" style="62" customWidth="1"/>
    <col min="9980" max="9980" width="32.42578125" style="62" customWidth="1"/>
    <col min="9981" max="9981" width="9.85546875" style="62" customWidth="1"/>
    <col min="9982" max="9982" width="10.140625" style="62" customWidth="1"/>
    <col min="9983" max="9983" width="12.28515625" style="62" customWidth="1"/>
    <col min="9984" max="9984" width="15.42578125" style="62" customWidth="1"/>
    <col min="9985" max="9985" width="11.85546875" style="62" customWidth="1"/>
    <col min="9986" max="9986" width="13.28515625" style="62" customWidth="1"/>
    <col min="9987" max="9987" width="15.28515625" style="62" customWidth="1"/>
    <col min="9988" max="9988" width="11.85546875" style="62" customWidth="1"/>
    <col min="9989" max="9989" width="6.140625" style="62" customWidth="1"/>
    <col min="9990" max="9990" width="11.85546875" style="62" customWidth="1"/>
    <col min="9991" max="9991" width="9.42578125" style="62" customWidth="1"/>
    <col min="9992" max="9992" width="14.7109375" style="62" customWidth="1"/>
    <col min="9993" max="9993" width="11.5703125" style="62" customWidth="1"/>
    <col min="9994" max="9994" width="0.42578125" style="62" customWidth="1"/>
    <col min="9995" max="9995" width="10.5703125" style="62" bestFit="1" customWidth="1"/>
    <col min="9996" max="9996" width="12.28515625" style="62" customWidth="1"/>
    <col min="9997" max="9997" width="12.5703125" style="62" customWidth="1"/>
    <col min="9998" max="9998" width="10.5703125" style="62" customWidth="1"/>
    <col min="9999" max="9999" width="10.140625" style="62" customWidth="1"/>
    <col min="10000" max="10000" width="8.42578125" style="62" customWidth="1"/>
    <col min="10001" max="10001" width="18.85546875" style="62" customWidth="1"/>
    <col min="10002" max="10002" width="10.28515625" style="62" customWidth="1"/>
    <col min="10003" max="10003" width="11.42578125" style="62"/>
    <col min="10004" max="10004" width="12.140625" style="62" customWidth="1"/>
    <col min="10005" max="10005" width="10.5703125" style="62" customWidth="1"/>
    <col min="10006" max="10006" width="12.42578125" style="62" customWidth="1"/>
    <col min="10007" max="10007" width="15.140625" style="62" customWidth="1"/>
    <col min="10008" max="10008" width="13.5703125" style="62" customWidth="1"/>
    <col min="10009" max="10009" width="13.140625" style="62" customWidth="1"/>
    <col min="10010" max="10010" width="15.7109375" style="62" customWidth="1"/>
    <col min="10011" max="10011" width="37.5703125" style="62" customWidth="1"/>
    <col min="10012" max="10233" width="11.42578125" style="62"/>
    <col min="10234" max="10234" width="10.5703125" style="62" customWidth="1"/>
    <col min="10235" max="10235" width="4.85546875" style="62" customWidth="1"/>
    <col min="10236" max="10236" width="32.42578125" style="62" customWidth="1"/>
    <col min="10237" max="10237" width="9.85546875" style="62" customWidth="1"/>
    <col min="10238" max="10238" width="10.140625" style="62" customWidth="1"/>
    <col min="10239" max="10239" width="12.28515625" style="62" customWidth="1"/>
    <col min="10240" max="10240" width="15.42578125" style="62" customWidth="1"/>
    <col min="10241" max="10241" width="11.85546875" style="62" customWidth="1"/>
    <col min="10242" max="10242" width="13.28515625" style="62" customWidth="1"/>
    <col min="10243" max="10243" width="15.28515625" style="62" customWidth="1"/>
    <col min="10244" max="10244" width="11.85546875" style="62" customWidth="1"/>
    <col min="10245" max="10245" width="6.140625" style="62" customWidth="1"/>
    <col min="10246" max="10246" width="11.85546875" style="62" customWidth="1"/>
    <col min="10247" max="10247" width="9.42578125" style="62" customWidth="1"/>
    <col min="10248" max="10248" width="14.7109375" style="62" customWidth="1"/>
    <col min="10249" max="10249" width="11.5703125" style="62" customWidth="1"/>
    <col min="10250" max="10250" width="0.42578125" style="62" customWidth="1"/>
    <col min="10251" max="10251" width="10.5703125" style="62" bestFit="1" customWidth="1"/>
    <col min="10252" max="10252" width="12.28515625" style="62" customWidth="1"/>
    <col min="10253" max="10253" width="12.5703125" style="62" customWidth="1"/>
    <col min="10254" max="10254" width="10.5703125" style="62" customWidth="1"/>
    <col min="10255" max="10255" width="10.140625" style="62" customWidth="1"/>
    <col min="10256" max="10256" width="8.42578125" style="62" customWidth="1"/>
    <col min="10257" max="10257" width="18.85546875" style="62" customWidth="1"/>
    <col min="10258" max="10258" width="10.28515625" style="62" customWidth="1"/>
    <col min="10259" max="10259" width="11.42578125" style="62"/>
    <col min="10260" max="10260" width="12.140625" style="62" customWidth="1"/>
    <col min="10261" max="10261" width="10.5703125" style="62" customWidth="1"/>
    <col min="10262" max="10262" width="12.42578125" style="62" customWidth="1"/>
    <col min="10263" max="10263" width="15.140625" style="62" customWidth="1"/>
    <col min="10264" max="10264" width="13.5703125" style="62" customWidth="1"/>
    <col min="10265" max="10265" width="13.140625" style="62" customWidth="1"/>
    <col min="10266" max="10266" width="15.7109375" style="62" customWidth="1"/>
    <col min="10267" max="10267" width="37.5703125" style="62" customWidth="1"/>
    <col min="10268" max="10489" width="11.42578125" style="62"/>
    <col min="10490" max="10490" width="10.5703125" style="62" customWidth="1"/>
    <col min="10491" max="10491" width="4.85546875" style="62" customWidth="1"/>
    <col min="10492" max="10492" width="32.42578125" style="62" customWidth="1"/>
    <col min="10493" max="10493" width="9.85546875" style="62" customWidth="1"/>
    <col min="10494" max="10494" width="10.140625" style="62" customWidth="1"/>
    <col min="10495" max="10495" width="12.28515625" style="62" customWidth="1"/>
    <col min="10496" max="10496" width="15.42578125" style="62" customWidth="1"/>
    <col min="10497" max="10497" width="11.85546875" style="62" customWidth="1"/>
    <col min="10498" max="10498" width="13.28515625" style="62" customWidth="1"/>
    <col min="10499" max="10499" width="15.28515625" style="62" customWidth="1"/>
    <col min="10500" max="10500" width="11.85546875" style="62" customWidth="1"/>
    <col min="10501" max="10501" width="6.140625" style="62" customWidth="1"/>
    <col min="10502" max="10502" width="11.85546875" style="62" customWidth="1"/>
    <col min="10503" max="10503" width="9.42578125" style="62" customWidth="1"/>
    <col min="10504" max="10504" width="14.7109375" style="62" customWidth="1"/>
    <col min="10505" max="10505" width="11.5703125" style="62" customWidth="1"/>
    <col min="10506" max="10506" width="0.42578125" style="62" customWidth="1"/>
    <col min="10507" max="10507" width="10.5703125" style="62" bestFit="1" customWidth="1"/>
    <col min="10508" max="10508" width="12.28515625" style="62" customWidth="1"/>
    <col min="10509" max="10509" width="12.5703125" style="62" customWidth="1"/>
    <col min="10510" max="10510" width="10.5703125" style="62" customWidth="1"/>
    <col min="10511" max="10511" width="10.140625" style="62" customWidth="1"/>
    <col min="10512" max="10512" width="8.42578125" style="62" customWidth="1"/>
    <col min="10513" max="10513" width="18.85546875" style="62" customWidth="1"/>
    <col min="10514" max="10514" width="10.28515625" style="62" customWidth="1"/>
    <col min="10515" max="10515" width="11.42578125" style="62"/>
    <col min="10516" max="10516" width="12.140625" style="62" customWidth="1"/>
    <col min="10517" max="10517" width="10.5703125" style="62" customWidth="1"/>
    <col min="10518" max="10518" width="12.42578125" style="62" customWidth="1"/>
    <col min="10519" max="10519" width="15.140625" style="62" customWidth="1"/>
    <col min="10520" max="10520" width="13.5703125" style="62" customWidth="1"/>
    <col min="10521" max="10521" width="13.140625" style="62" customWidth="1"/>
    <col min="10522" max="10522" width="15.7109375" style="62" customWidth="1"/>
    <col min="10523" max="10523" width="37.5703125" style="62" customWidth="1"/>
    <col min="10524" max="10745" width="11.42578125" style="62"/>
    <col min="10746" max="10746" width="10.5703125" style="62" customWidth="1"/>
    <col min="10747" max="10747" width="4.85546875" style="62" customWidth="1"/>
    <col min="10748" max="10748" width="32.42578125" style="62" customWidth="1"/>
    <col min="10749" max="10749" width="9.85546875" style="62" customWidth="1"/>
    <col min="10750" max="10750" width="10.140625" style="62" customWidth="1"/>
    <col min="10751" max="10751" width="12.28515625" style="62" customWidth="1"/>
    <col min="10752" max="10752" width="15.42578125" style="62" customWidth="1"/>
    <col min="10753" max="10753" width="11.85546875" style="62" customWidth="1"/>
    <col min="10754" max="10754" width="13.28515625" style="62" customWidth="1"/>
    <col min="10755" max="10755" width="15.28515625" style="62" customWidth="1"/>
    <col min="10756" max="10756" width="11.85546875" style="62" customWidth="1"/>
    <col min="10757" max="10757" width="6.140625" style="62" customWidth="1"/>
    <col min="10758" max="10758" width="11.85546875" style="62" customWidth="1"/>
    <col min="10759" max="10759" width="9.42578125" style="62" customWidth="1"/>
    <col min="10760" max="10760" width="14.7109375" style="62" customWidth="1"/>
    <col min="10761" max="10761" width="11.5703125" style="62" customWidth="1"/>
    <col min="10762" max="10762" width="0.42578125" style="62" customWidth="1"/>
    <col min="10763" max="10763" width="10.5703125" style="62" bestFit="1" customWidth="1"/>
    <col min="10764" max="10764" width="12.28515625" style="62" customWidth="1"/>
    <col min="10765" max="10765" width="12.5703125" style="62" customWidth="1"/>
    <col min="10766" max="10766" width="10.5703125" style="62" customWidth="1"/>
    <col min="10767" max="10767" width="10.140625" style="62" customWidth="1"/>
    <col min="10768" max="10768" width="8.42578125" style="62" customWidth="1"/>
    <col min="10769" max="10769" width="18.85546875" style="62" customWidth="1"/>
    <col min="10770" max="10770" width="10.28515625" style="62" customWidth="1"/>
    <col min="10771" max="10771" width="11.42578125" style="62"/>
    <col min="10772" max="10772" width="12.140625" style="62" customWidth="1"/>
    <col min="10773" max="10773" width="10.5703125" style="62" customWidth="1"/>
    <col min="10774" max="10774" width="12.42578125" style="62" customWidth="1"/>
    <col min="10775" max="10775" width="15.140625" style="62" customWidth="1"/>
    <col min="10776" max="10776" width="13.5703125" style="62" customWidth="1"/>
    <col min="10777" max="10777" width="13.140625" style="62" customWidth="1"/>
    <col min="10778" max="10778" width="15.7109375" style="62" customWidth="1"/>
    <col min="10779" max="10779" width="37.5703125" style="62" customWidth="1"/>
    <col min="10780" max="11001" width="11.42578125" style="62"/>
    <col min="11002" max="11002" width="10.5703125" style="62" customWidth="1"/>
    <col min="11003" max="11003" width="4.85546875" style="62" customWidth="1"/>
    <col min="11004" max="11004" width="32.42578125" style="62" customWidth="1"/>
    <col min="11005" max="11005" width="9.85546875" style="62" customWidth="1"/>
    <col min="11006" max="11006" width="10.140625" style="62" customWidth="1"/>
    <col min="11007" max="11007" width="12.28515625" style="62" customWidth="1"/>
    <col min="11008" max="11008" width="15.42578125" style="62" customWidth="1"/>
    <col min="11009" max="11009" width="11.85546875" style="62" customWidth="1"/>
    <col min="11010" max="11010" width="13.28515625" style="62" customWidth="1"/>
    <col min="11011" max="11011" width="15.28515625" style="62" customWidth="1"/>
    <col min="11012" max="11012" width="11.85546875" style="62" customWidth="1"/>
    <col min="11013" max="11013" width="6.140625" style="62" customWidth="1"/>
    <col min="11014" max="11014" width="11.85546875" style="62" customWidth="1"/>
    <col min="11015" max="11015" width="9.42578125" style="62" customWidth="1"/>
    <col min="11016" max="11016" width="14.7109375" style="62" customWidth="1"/>
    <col min="11017" max="11017" width="11.5703125" style="62" customWidth="1"/>
    <col min="11018" max="11018" width="0.42578125" style="62" customWidth="1"/>
    <col min="11019" max="11019" width="10.5703125" style="62" bestFit="1" customWidth="1"/>
    <col min="11020" max="11020" width="12.28515625" style="62" customWidth="1"/>
    <col min="11021" max="11021" width="12.5703125" style="62" customWidth="1"/>
    <col min="11022" max="11022" width="10.5703125" style="62" customWidth="1"/>
    <col min="11023" max="11023" width="10.140625" style="62" customWidth="1"/>
    <col min="11024" max="11024" width="8.42578125" style="62" customWidth="1"/>
    <col min="11025" max="11025" width="18.85546875" style="62" customWidth="1"/>
    <col min="11026" max="11026" width="10.28515625" style="62" customWidth="1"/>
    <col min="11027" max="11027" width="11.42578125" style="62"/>
    <col min="11028" max="11028" width="12.140625" style="62" customWidth="1"/>
    <col min="11029" max="11029" width="10.5703125" style="62" customWidth="1"/>
    <col min="11030" max="11030" width="12.42578125" style="62" customWidth="1"/>
    <col min="11031" max="11031" width="15.140625" style="62" customWidth="1"/>
    <col min="11032" max="11032" width="13.5703125" style="62" customWidth="1"/>
    <col min="11033" max="11033" width="13.140625" style="62" customWidth="1"/>
    <col min="11034" max="11034" width="15.7109375" style="62" customWidth="1"/>
    <col min="11035" max="11035" width="37.5703125" style="62" customWidth="1"/>
    <col min="11036" max="11257" width="11.42578125" style="62"/>
    <col min="11258" max="11258" width="10.5703125" style="62" customWidth="1"/>
    <col min="11259" max="11259" width="4.85546875" style="62" customWidth="1"/>
    <col min="11260" max="11260" width="32.42578125" style="62" customWidth="1"/>
    <col min="11261" max="11261" width="9.85546875" style="62" customWidth="1"/>
    <col min="11262" max="11262" width="10.140625" style="62" customWidth="1"/>
    <col min="11263" max="11263" width="12.28515625" style="62" customWidth="1"/>
    <col min="11264" max="11264" width="15.42578125" style="62" customWidth="1"/>
    <col min="11265" max="11265" width="11.85546875" style="62" customWidth="1"/>
    <col min="11266" max="11266" width="13.28515625" style="62" customWidth="1"/>
    <col min="11267" max="11267" width="15.28515625" style="62" customWidth="1"/>
    <col min="11268" max="11268" width="11.85546875" style="62" customWidth="1"/>
    <col min="11269" max="11269" width="6.140625" style="62" customWidth="1"/>
    <col min="11270" max="11270" width="11.85546875" style="62" customWidth="1"/>
    <col min="11271" max="11271" width="9.42578125" style="62" customWidth="1"/>
    <col min="11272" max="11272" width="14.7109375" style="62" customWidth="1"/>
    <col min="11273" max="11273" width="11.5703125" style="62" customWidth="1"/>
    <col min="11274" max="11274" width="0.42578125" style="62" customWidth="1"/>
    <col min="11275" max="11275" width="10.5703125" style="62" bestFit="1" customWidth="1"/>
    <col min="11276" max="11276" width="12.28515625" style="62" customWidth="1"/>
    <col min="11277" max="11277" width="12.5703125" style="62" customWidth="1"/>
    <col min="11278" max="11278" width="10.5703125" style="62" customWidth="1"/>
    <col min="11279" max="11279" width="10.140625" style="62" customWidth="1"/>
    <col min="11280" max="11280" width="8.42578125" style="62" customWidth="1"/>
    <col min="11281" max="11281" width="18.85546875" style="62" customWidth="1"/>
    <col min="11282" max="11282" width="10.28515625" style="62" customWidth="1"/>
    <col min="11283" max="11283" width="11.42578125" style="62"/>
    <col min="11284" max="11284" width="12.140625" style="62" customWidth="1"/>
    <col min="11285" max="11285" width="10.5703125" style="62" customWidth="1"/>
    <col min="11286" max="11286" width="12.42578125" style="62" customWidth="1"/>
    <col min="11287" max="11287" width="15.140625" style="62" customWidth="1"/>
    <col min="11288" max="11288" width="13.5703125" style="62" customWidth="1"/>
    <col min="11289" max="11289" width="13.140625" style="62" customWidth="1"/>
    <col min="11290" max="11290" width="15.7109375" style="62" customWidth="1"/>
    <col min="11291" max="11291" width="37.5703125" style="62" customWidth="1"/>
    <col min="11292" max="11513" width="11.42578125" style="62"/>
    <col min="11514" max="11514" width="10.5703125" style="62" customWidth="1"/>
    <col min="11515" max="11515" width="4.85546875" style="62" customWidth="1"/>
    <col min="11516" max="11516" width="32.42578125" style="62" customWidth="1"/>
    <col min="11517" max="11517" width="9.85546875" style="62" customWidth="1"/>
    <col min="11518" max="11518" width="10.140625" style="62" customWidth="1"/>
    <col min="11519" max="11519" width="12.28515625" style="62" customWidth="1"/>
    <col min="11520" max="11520" width="15.42578125" style="62" customWidth="1"/>
    <col min="11521" max="11521" width="11.85546875" style="62" customWidth="1"/>
    <col min="11522" max="11522" width="13.28515625" style="62" customWidth="1"/>
    <col min="11523" max="11523" width="15.28515625" style="62" customWidth="1"/>
    <col min="11524" max="11524" width="11.85546875" style="62" customWidth="1"/>
    <col min="11525" max="11525" width="6.140625" style="62" customWidth="1"/>
    <col min="11526" max="11526" width="11.85546875" style="62" customWidth="1"/>
    <col min="11527" max="11527" width="9.42578125" style="62" customWidth="1"/>
    <col min="11528" max="11528" width="14.7109375" style="62" customWidth="1"/>
    <col min="11529" max="11529" width="11.5703125" style="62" customWidth="1"/>
    <col min="11530" max="11530" width="0.42578125" style="62" customWidth="1"/>
    <col min="11531" max="11531" width="10.5703125" style="62" bestFit="1" customWidth="1"/>
    <col min="11532" max="11532" width="12.28515625" style="62" customWidth="1"/>
    <col min="11533" max="11533" width="12.5703125" style="62" customWidth="1"/>
    <col min="11534" max="11534" width="10.5703125" style="62" customWidth="1"/>
    <col min="11535" max="11535" width="10.140625" style="62" customWidth="1"/>
    <col min="11536" max="11536" width="8.42578125" style="62" customWidth="1"/>
    <col min="11537" max="11537" width="18.85546875" style="62" customWidth="1"/>
    <col min="11538" max="11538" width="10.28515625" style="62" customWidth="1"/>
    <col min="11539" max="11539" width="11.42578125" style="62"/>
    <col min="11540" max="11540" width="12.140625" style="62" customWidth="1"/>
    <col min="11541" max="11541" width="10.5703125" style="62" customWidth="1"/>
    <col min="11542" max="11542" width="12.42578125" style="62" customWidth="1"/>
    <col min="11543" max="11543" width="15.140625" style="62" customWidth="1"/>
    <col min="11544" max="11544" width="13.5703125" style="62" customWidth="1"/>
    <col min="11545" max="11545" width="13.140625" style="62" customWidth="1"/>
    <col min="11546" max="11546" width="15.7109375" style="62" customWidth="1"/>
    <col min="11547" max="11547" width="37.5703125" style="62" customWidth="1"/>
    <col min="11548" max="11769" width="11.42578125" style="62"/>
    <col min="11770" max="11770" width="10.5703125" style="62" customWidth="1"/>
    <col min="11771" max="11771" width="4.85546875" style="62" customWidth="1"/>
    <col min="11772" max="11772" width="32.42578125" style="62" customWidth="1"/>
    <col min="11773" max="11773" width="9.85546875" style="62" customWidth="1"/>
    <col min="11774" max="11774" width="10.140625" style="62" customWidth="1"/>
    <col min="11775" max="11775" width="12.28515625" style="62" customWidth="1"/>
    <col min="11776" max="11776" width="15.42578125" style="62" customWidth="1"/>
    <col min="11777" max="11777" width="11.85546875" style="62" customWidth="1"/>
    <col min="11778" max="11778" width="13.28515625" style="62" customWidth="1"/>
    <col min="11779" max="11779" width="15.28515625" style="62" customWidth="1"/>
    <col min="11780" max="11780" width="11.85546875" style="62" customWidth="1"/>
    <col min="11781" max="11781" width="6.140625" style="62" customWidth="1"/>
    <col min="11782" max="11782" width="11.85546875" style="62" customWidth="1"/>
    <col min="11783" max="11783" width="9.42578125" style="62" customWidth="1"/>
    <col min="11784" max="11784" width="14.7109375" style="62" customWidth="1"/>
    <col min="11785" max="11785" width="11.5703125" style="62" customWidth="1"/>
    <col min="11786" max="11786" width="0.42578125" style="62" customWidth="1"/>
    <col min="11787" max="11787" width="10.5703125" style="62" bestFit="1" customWidth="1"/>
    <col min="11788" max="11788" width="12.28515625" style="62" customWidth="1"/>
    <col min="11789" max="11789" width="12.5703125" style="62" customWidth="1"/>
    <col min="11790" max="11790" width="10.5703125" style="62" customWidth="1"/>
    <col min="11791" max="11791" width="10.140625" style="62" customWidth="1"/>
    <col min="11792" max="11792" width="8.42578125" style="62" customWidth="1"/>
    <col min="11793" max="11793" width="18.85546875" style="62" customWidth="1"/>
    <col min="11794" max="11794" width="10.28515625" style="62" customWidth="1"/>
    <col min="11795" max="11795" width="11.42578125" style="62"/>
    <col min="11796" max="11796" width="12.140625" style="62" customWidth="1"/>
    <col min="11797" max="11797" width="10.5703125" style="62" customWidth="1"/>
    <col min="11798" max="11798" width="12.42578125" style="62" customWidth="1"/>
    <col min="11799" max="11799" width="15.140625" style="62" customWidth="1"/>
    <col min="11800" max="11800" width="13.5703125" style="62" customWidth="1"/>
    <col min="11801" max="11801" width="13.140625" style="62" customWidth="1"/>
    <col min="11802" max="11802" width="15.7109375" style="62" customWidth="1"/>
    <col min="11803" max="11803" width="37.5703125" style="62" customWidth="1"/>
    <col min="11804" max="12025" width="11.42578125" style="62"/>
    <col min="12026" max="12026" width="10.5703125" style="62" customWidth="1"/>
    <col min="12027" max="12027" width="4.85546875" style="62" customWidth="1"/>
    <col min="12028" max="12028" width="32.42578125" style="62" customWidth="1"/>
    <col min="12029" max="12029" width="9.85546875" style="62" customWidth="1"/>
    <col min="12030" max="12030" width="10.140625" style="62" customWidth="1"/>
    <col min="12031" max="12031" width="12.28515625" style="62" customWidth="1"/>
    <col min="12032" max="12032" width="15.42578125" style="62" customWidth="1"/>
    <col min="12033" max="12033" width="11.85546875" style="62" customWidth="1"/>
    <col min="12034" max="12034" width="13.28515625" style="62" customWidth="1"/>
    <col min="12035" max="12035" width="15.28515625" style="62" customWidth="1"/>
    <col min="12036" max="12036" width="11.85546875" style="62" customWidth="1"/>
    <col min="12037" max="12037" width="6.140625" style="62" customWidth="1"/>
    <col min="12038" max="12038" width="11.85546875" style="62" customWidth="1"/>
    <col min="12039" max="12039" width="9.42578125" style="62" customWidth="1"/>
    <col min="12040" max="12040" width="14.7109375" style="62" customWidth="1"/>
    <col min="12041" max="12041" width="11.5703125" style="62" customWidth="1"/>
    <col min="12042" max="12042" width="0.42578125" style="62" customWidth="1"/>
    <col min="12043" max="12043" width="10.5703125" style="62" bestFit="1" customWidth="1"/>
    <col min="12044" max="12044" width="12.28515625" style="62" customWidth="1"/>
    <col min="12045" max="12045" width="12.5703125" style="62" customWidth="1"/>
    <col min="12046" max="12046" width="10.5703125" style="62" customWidth="1"/>
    <col min="12047" max="12047" width="10.140625" style="62" customWidth="1"/>
    <col min="12048" max="12048" width="8.42578125" style="62" customWidth="1"/>
    <col min="12049" max="12049" width="18.85546875" style="62" customWidth="1"/>
    <col min="12050" max="12050" width="10.28515625" style="62" customWidth="1"/>
    <col min="12051" max="12051" width="11.42578125" style="62"/>
    <col min="12052" max="12052" width="12.140625" style="62" customWidth="1"/>
    <col min="12053" max="12053" width="10.5703125" style="62" customWidth="1"/>
    <col min="12054" max="12054" width="12.42578125" style="62" customWidth="1"/>
    <col min="12055" max="12055" width="15.140625" style="62" customWidth="1"/>
    <col min="12056" max="12056" width="13.5703125" style="62" customWidth="1"/>
    <col min="12057" max="12057" width="13.140625" style="62" customWidth="1"/>
    <col min="12058" max="12058" width="15.7109375" style="62" customWidth="1"/>
    <col min="12059" max="12059" width="37.5703125" style="62" customWidth="1"/>
    <col min="12060" max="12281" width="11.42578125" style="62"/>
    <col min="12282" max="12282" width="10.5703125" style="62" customWidth="1"/>
    <col min="12283" max="12283" width="4.85546875" style="62" customWidth="1"/>
    <col min="12284" max="12284" width="32.42578125" style="62" customWidth="1"/>
    <col min="12285" max="12285" width="9.85546875" style="62" customWidth="1"/>
    <col min="12286" max="12286" width="10.140625" style="62" customWidth="1"/>
    <col min="12287" max="12287" width="12.28515625" style="62" customWidth="1"/>
    <col min="12288" max="12288" width="15.42578125" style="62" customWidth="1"/>
    <col min="12289" max="12289" width="11.85546875" style="62" customWidth="1"/>
    <col min="12290" max="12290" width="13.28515625" style="62" customWidth="1"/>
    <col min="12291" max="12291" width="15.28515625" style="62" customWidth="1"/>
    <col min="12292" max="12292" width="11.85546875" style="62" customWidth="1"/>
    <col min="12293" max="12293" width="6.140625" style="62" customWidth="1"/>
    <col min="12294" max="12294" width="11.85546875" style="62" customWidth="1"/>
    <col min="12295" max="12295" width="9.42578125" style="62" customWidth="1"/>
    <col min="12296" max="12296" width="14.7109375" style="62" customWidth="1"/>
    <col min="12297" max="12297" width="11.5703125" style="62" customWidth="1"/>
    <col min="12298" max="12298" width="0.42578125" style="62" customWidth="1"/>
    <col min="12299" max="12299" width="10.5703125" style="62" bestFit="1" customWidth="1"/>
    <col min="12300" max="12300" width="12.28515625" style="62" customWidth="1"/>
    <col min="12301" max="12301" width="12.5703125" style="62" customWidth="1"/>
    <col min="12302" max="12302" width="10.5703125" style="62" customWidth="1"/>
    <col min="12303" max="12303" width="10.140625" style="62" customWidth="1"/>
    <col min="12304" max="12304" width="8.42578125" style="62" customWidth="1"/>
    <col min="12305" max="12305" width="18.85546875" style="62" customWidth="1"/>
    <col min="12306" max="12306" width="10.28515625" style="62" customWidth="1"/>
    <col min="12307" max="12307" width="11.42578125" style="62"/>
    <col min="12308" max="12308" width="12.140625" style="62" customWidth="1"/>
    <col min="12309" max="12309" width="10.5703125" style="62" customWidth="1"/>
    <col min="12310" max="12310" width="12.42578125" style="62" customWidth="1"/>
    <col min="12311" max="12311" width="15.140625" style="62" customWidth="1"/>
    <col min="12312" max="12312" width="13.5703125" style="62" customWidth="1"/>
    <col min="12313" max="12313" width="13.140625" style="62" customWidth="1"/>
    <col min="12314" max="12314" width="15.7109375" style="62" customWidth="1"/>
    <col min="12315" max="12315" width="37.5703125" style="62" customWidth="1"/>
    <col min="12316" max="12537" width="11.42578125" style="62"/>
    <col min="12538" max="12538" width="10.5703125" style="62" customWidth="1"/>
    <col min="12539" max="12539" width="4.85546875" style="62" customWidth="1"/>
    <col min="12540" max="12540" width="32.42578125" style="62" customWidth="1"/>
    <col min="12541" max="12541" width="9.85546875" style="62" customWidth="1"/>
    <col min="12542" max="12542" width="10.140625" style="62" customWidth="1"/>
    <col min="12543" max="12543" width="12.28515625" style="62" customWidth="1"/>
    <col min="12544" max="12544" width="15.42578125" style="62" customWidth="1"/>
    <col min="12545" max="12545" width="11.85546875" style="62" customWidth="1"/>
    <col min="12546" max="12546" width="13.28515625" style="62" customWidth="1"/>
    <col min="12547" max="12547" width="15.28515625" style="62" customWidth="1"/>
    <col min="12548" max="12548" width="11.85546875" style="62" customWidth="1"/>
    <col min="12549" max="12549" width="6.140625" style="62" customWidth="1"/>
    <col min="12550" max="12550" width="11.85546875" style="62" customWidth="1"/>
    <col min="12551" max="12551" width="9.42578125" style="62" customWidth="1"/>
    <col min="12552" max="12552" width="14.7109375" style="62" customWidth="1"/>
    <col min="12553" max="12553" width="11.5703125" style="62" customWidth="1"/>
    <col min="12554" max="12554" width="0.42578125" style="62" customWidth="1"/>
    <col min="12555" max="12555" width="10.5703125" style="62" bestFit="1" customWidth="1"/>
    <col min="12556" max="12556" width="12.28515625" style="62" customWidth="1"/>
    <col min="12557" max="12557" width="12.5703125" style="62" customWidth="1"/>
    <col min="12558" max="12558" width="10.5703125" style="62" customWidth="1"/>
    <col min="12559" max="12559" width="10.140625" style="62" customWidth="1"/>
    <col min="12560" max="12560" width="8.42578125" style="62" customWidth="1"/>
    <col min="12561" max="12561" width="18.85546875" style="62" customWidth="1"/>
    <col min="12562" max="12562" width="10.28515625" style="62" customWidth="1"/>
    <col min="12563" max="12563" width="11.42578125" style="62"/>
    <col min="12564" max="12564" width="12.140625" style="62" customWidth="1"/>
    <col min="12565" max="12565" width="10.5703125" style="62" customWidth="1"/>
    <col min="12566" max="12566" width="12.42578125" style="62" customWidth="1"/>
    <col min="12567" max="12567" width="15.140625" style="62" customWidth="1"/>
    <col min="12568" max="12568" width="13.5703125" style="62" customWidth="1"/>
    <col min="12569" max="12569" width="13.140625" style="62" customWidth="1"/>
    <col min="12570" max="12570" width="15.7109375" style="62" customWidth="1"/>
    <col min="12571" max="12571" width="37.5703125" style="62" customWidth="1"/>
    <col min="12572" max="12793" width="11.42578125" style="62"/>
    <col min="12794" max="12794" width="10.5703125" style="62" customWidth="1"/>
    <col min="12795" max="12795" width="4.85546875" style="62" customWidth="1"/>
    <col min="12796" max="12796" width="32.42578125" style="62" customWidth="1"/>
    <col min="12797" max="12797" width="9.85546875" style="62" customWidth="1"/>
    <col min="12798" max="12798" width="10.140625" style="62" customWidth="1"/>
    <col min="12799" max="12799" width="12.28515625" style="62" customWidth="1"/>
    <col min="12800" max="12800" width="15.42578125" style="62" customWidth="1"/>
    <col min="12801" max="12801" width="11.85546875" style="62" customWidth="1"/>
    <col min="12802" max="12802" width="13.28515625" style="62" customWidth="1"/>
    <col min="12803" max="12803" width="15.28515625" style="62" customWidth="1"/>
    <col min="12804" max="12804" width="11.85546875" style="62" customWidth="1"/>
    <col min="12805" max="12805" width="6.140625" style="62" customWidth="1"/>
    <col min="12806" max="12806" width="11.85546875" style="62" customWidth="1"/>
    <col min="12807" max="12807" width="9.42578125" style="62" customWidth="1"/>
    <col min="12808" max="12808" width="14.7109375" style="62" customWidth="1"/>
    <col min="12809" max="12809" width="11.5703125" style="62" customWidth="1"/>
    <col min="12810" max="12810" width="0.42578125" style="62" customWidth="1"/>
    <col min="12811" max="12811" width="10.5703125" style="62" bestFit="1" customWidth="1"/>
    <col min="12812" max="12812" width="12.28515625" style="62" customWidth="1"/>
    <col min="12813" max="12813" width="12.5703125" style="62" customWidth="1"/>
    <col min="12814" max="12814" width="10.5703125" style="62" customWidth="1"/>
    <col min="12815" max="12815" width="10.140625" style="62" customWidth="1"/>
    <col min="12816" max="12816" width="8.42578125" style="62" customWidth="1"/>
    <col min="12817" max="12817" width="18.85546875" style="62" customWidth="1"/>
    <col min="12818" max="12818" width="10.28515625" style="62" customWidth="1"/>
    <col min="12819" max="12819" width="11.42578125" style="62"/>
    <col min="12820" max="12820" width="12.140625" style="62" customWidth="1"/>
    <col min="12821" max="12821" width="10.5703125" style="62" customWidth="1"/>
    <col min="12822" max="12822" width="12.42578125" style="62" customWidth="1"/>
    <col min="12823" max="12823" width="15.140625" style="62" customWidth="1"/>
    <col min="12824" max="12824" width="13.5703125" style="62" customWidth="1"/>
    <col min="12825" max="12825" width="13.140625" style="62" customWidth="1"/>
    <col min="12826" max="12826" width="15.7109375" style="62" customWidth="1"/>
    <col min="12827" max="12827" width="37.5703125" style="62" customWidth="1"/>
    <col min="12828" max="13049" width="11.42578125" style="62"/>
    <col min="13050" max="13050" width="10.5703125" style="62" customWidth="1"/>
    <col min="13051" max="13051" width="4.85546875" style="62" customWidth="1"/>
    <col min="13052" max="13052" width="32.42578125" style="62" customWidth="1"/>
    <col min="13053" max="13053" width="9.85546875" style="62" customWidth="1"/>
    <col min="13054" max="13054" width="10.140625" style="62" customWidth="1"/>
    <col min="13055" max="13055" width="12.28515625" style="62" customWidth="1"/>
    <col min="13056" max="13056" width="15.42578125" style="62" customWidth="1"/>
    <col min="13057" max="13057" width="11.85546875" style="62" customWidth="1"/>
    <col min="13058" max="13058" width="13.28515625" style="62" customWidth="1"/>
    <col min="13059" max="13059" width="15.28515625" style="62" customWidth="1"/>
    <col min="13060" max="13060" width="11.85546875" style="62" customWidth="1"/>
    <col min="13061" max="13061" width="6.140625" style="62" customWidth="1"/>
    <col min="13062" max="13062" width="11.85546875" style="62" customWidth="1"/>
    <col min="13063" max="13063" width="9.42578125" style="62" customWidth="1"/>
    <col min="13064" max="13064" width="14.7109375" style="62" customWidth="1"/>
    <col min="13065" max="13065" width="11.5703125" style="62" customWidth="1"/>
    <col min="13066" max="13066" width="0.42578125" style="62" customWidth="1"/>
    <col min="13067" max="13067" width="10.5703125" style="62" bestFit="1" customWidth="1"/>
    <col min="13068" max="13068" width="12.28515625" style="62" customWidth="1"/>
    <col min="13069" max="13069" width="12.5703125" style="62" customWidth="1"/>
    <col min="13070" max="13070" width="10.5703125" style="62" customWidth="1"/>
    <col min="13071" max="13071" width="10.140625" style="62" customWidth="1"/>
    <col min="13072" max="13072" width="8.42578125" style="62" customWidth="1"/>
    <col min="13073" max="13073" width="18.85546875" style="62" customWidth="1"/>
    <col min="13074" max="13074" width="10.28515625" style="62" customWidth="1"/>
    <col min="13075" max="13075" width="11.42578125" style="62"/>
    <col min="13076" max="13076" width="12.140625" style="62" customWidth="1"/>
    <col min="13077" max="13077" width="10.5703125" style="62" customWidth="1"/>
    <col min="13078" max="13078" width="12.42578125" style="62" customWidth="1"/>
    <col min="13079" max="13079" width="15.140625" style="62" customWidth="1"/>
    <col min="13080" max="13080" width="13.5703125" style="62" customWidth="1"/>
    <col min="13081" max="13081" width="13.140625" style="62" customWidth="1"/>
    <col min="13082" max="13082" width="15.7109375" style="62" customWidth="1"/>
    <col min="13083" max="13083" width="37.5703125" style="62" customWidth="1"/>
    <col min="13084" max="13305" width="11.42578125" style="62"/>
    <col min="13306" max="13306" width="10.5703125" style="62" customWidth="1"/>
    <col min="13307" max="13307" width="4.85546875" style="62" customWidth="1"/>
    <col min="13308" max="13308" width="32.42578125" style="62" customWidth="1"/>
    <col min="13309" max="13309" width="9.85546875" style="62" customWidth="1"/>
    <col min="13310" max="13310" width="10.140625" style="62" customWidth="1"/>
    <col min="13311" max="13311" width="12.28515625" style="62" customWidth="1"/>
    <col min="13312" max="13312" width="15.42578125" style="62" customWidth="1"/>
    <col min="13313" max="13313" width="11.85546875" style="62" customWidth="1"/>
    <col min="13314" max="13314" width="13.28515625" style="62" customWidth="1"/>
    <col min="13315" max="13315" width="15.28515625" style="62" customWidth="1"/>
    <col min="13316" max="13316" width="11.85546875" style="62" customWidth="1"/>
    <col min="13317" max="13317" width="6.140625" style="62" customWidth="1"/>
    <col min="13318" max="13318" width="11.85546875" style="62" customWidth="1"/>
    <col min="13319" max="13319" width="9.42578125" style="62" customWidth="1"/>
    <col min="13320" max="13320" width="14.7109375" style="62" customWidth="1"/>
    <col min="13321" max="13321" width="11.5703125" style="62" customWidth="1"/>
    <col min="13322" max="13322" width="0.42578125" style="62" customWidth="1"/>
    <col min="13323" max="13323" width="10.5703125" style="62" bestFit="1" customWidth="1"/>
    <col min="13324" max="13324" width="12.28515625" style="62" customWidth="1"/>
    <col min="13325" max="13325" width="12.5703125" style="62" customWidth="1"/>
    <col min="13326" max="13326" width="10.5703125" style="62" customWidth="1"/>
    <col min="13327" max="13327" width="10.140625" style="62" customWidth="1"/>
    <col min="13328" max="13328" width="8.42578125" style="62" customWidth="1"/>
    <col min="13329" max="13329" width="18.85546875" style="62" customWidth="1"/>
    <col min="13330" max="13330" width="10.28515625" style="62" customWidth="1"/>
    <col min="13331" max="13331" width="11.42578125" style="62"/>
    <col min="13332" max="13332" width="12.140625" style="62" customWidth="1"/>
    <col min="13333" max="13333" width="10.5703125" style="62" customWidth="1"/>
    <col min="13334" max="13334" width="12.42578125" style="62" customWidth="1"/>
    <col min="13335" max="13335" width="15.140625" style="62" customWidth="1"/>
    <col min="13336" max="13336" width="13.5703125" style="62" customWidth="1"/>
    <col min="13337" max="13337" width="13.140625" style="62" customWidth="1"/>
    <col min="13338" max="13338" width="15.7109375" style="62" customWidth="1"/>
    <col min="13339" max="13339" width="37.5703125" style="62" customWidth="1"/>
    <col min="13340" max="13561" width="11.42578125" style="62"/>
    <col min="13562" max="13562" width="10.5703125" style="62" customWidth="1"/>
    <col min="13563" max="13563" width="4.85546875" style="62" customWidth="1"/>
    <col min="13564" max="13564" width="32.42578125" style="62" customWidth="1"/>
    <col min="13565" max="13565" width="9.85546875" style="62" customWidth="1"/>
    <col min="13566" max="13566" width="10.140625" style="62" customWidth="1"/>
    <col min="13567" max="13567" width="12.28515625" style="62" customWidth="1"/>
    <col min="13568" max="13568" width="15.42578125" style="62" customWidth="1"/>
    <col min="13569" max="13569" width="11.85546875" style="62" customWidth="1"/>
    <col min="13570" max="13570" width="13.28515625" style="62" customWidth="1"/>
    <col min="13571" max="13571" width="15.28515625" style="62" customWidth="1"/>
    <col min="13572" max="13572" width="11.85546875" style="62" customWidth="1"/>
    <col min="13573" max="13573" width="6.140625" style="62" customWidth="1"/>
    <col min="13574" max="13574" width="11.85546875" style="62" customWidth="1"/>
    <col min="13575" max="13575" width="9.42578125" style="62" customWidth="1"/>
    <col min="13576" max="13576" width="14.7109375" style="62" customWidth="1"/>
    <col min="13577" max="13577" width="11.5703125" style="62" customWidth="1"/>
    <col min="13578" max="13578" width="0.42578125" style="62" customWidth="1"/>
    <col min="13579" max="13579" width="10.5703125" style="62" bestFit="1" customWidth="1"/>
    <col min="13580" max="13580" width="12.28515625" style="62" customWidth="1"/>
    <col min="13581" max="13581" width="12.5703125" style="62" customWidth="1"/>
    <col min="13582" max="13582" width="10.5703125" style="62" customWidth="1"/>
    <col min="13583" max="13583" width="10.140625" style="62" customWidth="1"/>
    <col min="13584" max="13584" width="8.42578125" style="62" customWidth="1"/>
    <col min="13585" max="13585" width="18.85546875" style="62" customWidth="1"/>
    <col min="13586" max="13586" width="10.28515625" style="62" customWidth="1"/>
    <col min="13587" max="13587" width="11.42578125" style="62"/>
    <col min="13588" max="13588" width="12.140625" style="62" customWidth="1"/>
    <col min="13589" max="13589" width="10.5703125" style="62" customWidth="1"/>
    <col min="13590" max="13590" width="12.42578125" style="62" customWidth="1"/>
    <col min="13591" max="13591" width="15.140625" style="62" customWidth="1"/>
    <col min="13592" max="13592" width="13.5703125" style="62" customWidth="1"/>
    <col min="13593" max="13593" width="13.140625" style="62" customWidth="1"/>
    <col min="13594" max="13594" width="15.7109375" style="62" customWidth="1"/>
    <col min="13595" max="13595" width="37.5703125" style="62" customWidth="1"/>
    <col min="13596" max="13817" width="11.42578125" style="62"/>
    <col min="13818" max="13818" width="10.5703125" style="62" customWidth="1"/>
    <col min="13819" max="13819" width="4.85546875" style="62" customWidth="1"/>
    <col min="13820" max="13820" width="32.42578125" style="62" customWidth="1"/>
    <col min="13821" max="13821" width="9.85546875" style="62" customWidth="1"/>
    <col min="13822" max="13822" width="10.140625" style="62" customWidth="1"/>
    <col min="13823" max="13823" width="12.28515625" style="62" customWidth="1"/>
    <col min="13824" max="13824" width="15.42578125" style="62" customWidth="1"/>
    <col min="13825" max="13825" width="11.85546875" style="62" customWidth="1"/>
    <col min="13826" max="13826" width="13.28515625" style="62" customWidth="1"/>
    <col min="13827" max="13827" width="15.28515625" style="62" customWidth="1"/>
    <col min="13828" max="13828" width="11.85546875" style="62" customWidth="1"/>
    <col min="13829" max="13829" width="6.140625" style="62" customWidth="1"/>
    <col min="13830" max="13830" width="11.85546875" style="62" customWidth="1"/>
    <col min="13831" max="13831" width="9.42578125" style="62" customWidth="1"/>
    <col min="13832" max="13832" width="14.7109375" style="62" customWidth="1"/>
    <col min="13833" max="13833" width="11.5703125" style="62" customWidth="1"/>
    <col min="13834" max="13834" width="0.42578125" style="62" customWidth="1"/>
    <col min="13835" max="13835" width="10.5703125" style="62" bestFit="1" customWidth="1"/>
    <col min="13836" max="13836" width="12.28515625" style="62" customWidth="1"/>
    <col min="13837" max="13837" width="12.5703125" style="62" customWidth="1"/>
    <col min="13838" max="13838" width="10.5703125" style="62" customWidth="1"/>
    <col min="13839" max="13839" width="10.140625" style="62" customWidth="1"/>
    <col min="13840" max="13840" width="8.42578125" style="62" customWidth="1"/>
    <col min="13841" max="13841" width="18.85546875" style="62" customWidth="1"/>
    <col min="13842" max="13842" width="10.28515625" style="62" customWidth="1"/>
    <col min="13843" max="13843" width="11.42578125" style="62"/>
    <col min="13844" max="13844" width="12.140625" style="62" customWidth="1"/>
    <col min="13845" max="13845" width="10.5703125" style="62" customWidth="1"/>
    <col min="13846" max="13846" width="12.42578125" style="62" customWidth="1"/>
    <col min="13847" max="13847" width="15.140625" style="62" customWidth="1"/>
    <col min="13848" max="13848" width="13.5703125" style="62" customWidth="1"/>
    <col min="13849" max="13849" width="13.140625" style="62" customWidth="1"/>
    <col min="13850" max="13850" width="15.7109375" style="62" customWidth="1"/>
    <col min="13851" max="13851" width="37.5703125" style="62" customWidth="1"/>
    <col min="13852" max="14073" width="11.42578125" style="62"/>
    <col min="14074" max="14074" width="10.5703125" style="62" customWidth="1"/>
    <col min="14075" max="14075" width="4.85546875" style="62" customWidth="1"/>
    <col min="14076" max="14076" width="32.42578125" style="62" customWidth="1"/>
    <col min="14077" max="14077" width="9.85546875" style="62" customWidth="1"/>
    <col min="14078" max="14078" width="10.140625" style="62" customWidth="1"/>
    <col min="14079" max="14079" width="12.28515625" style="62" customWidth="1"/>
    <col min="14080" max="14080" width="15.42578125" style="62" customWidth="1"/>
    <col min="14081" max="14081" width="11.85546875" style="62" customWidth="1"/>
    <col min="14082" max="14082" width="13.28515625" style="62" customWidth="1"/>
    <col min="14083" max="14083" width="15.28515625" style="62" customWidth="1"/>
    <col min="14084" max="14084" width="11.85546875" style="62" customWidth="1"/>
    <col min="14085" max="14085" width="6.140625" style="62" customWidth="1"/>
    <col min="14086" max="14086" width="11.85546875" style="62" customWidth="1"/>
    <col min="14087" max="14087" width="9.42578125" style="62" customWidth="1"/>
    <col min="14088" max="14088" width="14.7109375" style="62" customWidth="1"/>
    <col min="14089" max="14089" width="11.5703125" style="62" customWidth="1"/>
    <col min="14090" max="14090" width="0.42578125" style="62" customWidth="1"/>
    <col min="14091" max="14091" width="10.5703125" style="62" bestFit="1" customWidth="1"/>
    <col min="14092" max="14092" width="12.28515625" style="62" customWidth="1"/>
    <col min="14093" max="14093" width="12.5703125" style="62" customWidth="1"/>
    <col min="14094" max="14094" width="10.5703125" style="62" customWidth="1"/>
    <col min="14095" max="14095" width="10.140625" style="62" customWidth="1"/>
    <col min="14096" max="14096" width="8.42578125" style="62" customWidth="1"/>
    <col min="14097" max="14097" width="18.85546875" style="62" customWidth="1"/>
    <col min="14098" max="14098" width="10.28515625" style="62" customWidth="1"/>
    <col min="14099" max="14099" width="11.42578125" style="62"/>
    <col min="14100" max="14100" width="12.140625" style="62" customWidth="1"/>
    <col min="14101" max="14101" width="10.5703125" style="62" customWidth="1"/>
    <col min="14102" max="14102" width="12.42578125" style="62" customWidth="1"/>
    <col min="14103" max="14103" width="15.140625" style="62" customWidth="1"/>
    <col min="14104" max="14104" width="13.5703125" style="62" customWidth="1"/>
    <col min="14105" max="14105" width="13.140625" style="62" customWidth="1"/>
    <col min="14106" max="14106" width="15.7109375" style="62" customWidth="1"/>
    <col min="14107" max="14107" width="37.5703125" style="62" customWidth="1"/>
    <col min="14108" max="14329" width="11.42578125" style="62"/>
    <col min="14330" max="14330" width="10.5703125" style="62" customWidth="1"/>
    <col min="14331" max="14331" width="4.85546875" style="62" customWidth="1"/>
    <col min="14332" max="14332" width="32.42578125" style="62" customWidth="1"/>
    <col min="14333" max="14333" width="9.85546875" style="62" customWidth="1"/>
    <col min="14334" max="14334" width="10.140625" style="62" customWidth="1"/>
    <col min="14335" max="14335" width="12.28515625" style="62" customWidth="1"/>
    <col min="14336" max="14336" width="15.42578125" style="62" customWidth="1"/>
    <col min="14337" max="14337" width="11.85546875" style="62" customWidth="1"/>
    <col min="14338" max="14338" width="13.28515625" style="62" customWidth="1"/>
    <col min="14339" max="14339" width="15.28515625" style="62" customWidth="1"/>
    <col min="14340" max="14340" width="11.85546875" style="62" customWidth="1"/>
    <col min="14341" max="14341" width="6.140625" style="62" customWidth="1"/>
    <col min="14342" max="14342" width="11.85546875" style="62" customWidth="1"/>
    <col min="14343" max="14343" width="9.42578125" style="62" customWidth="1"/>
    <col min="14344" max="14344" width="14.7109375" style="62" customWidth="1"/>
    <col min="14345" max="14345" width="11.5703125" style="62" customWidth="1"/>
    <col min="14346" max="14346" width="0.42578125" style="62" customWidth="1"/>
    <col min="14347" max="14347" width="10.5703125" style="62" bestFit="1" customWidth="1"/>
    <col min="14348" max="14348" width="12.28515625" style="62" customWidth="1"/>
    <col min="14349" max="14349" width="12.5703125" style="62" customWidth="1"/>
    <col min="14350" max="14350" width="10.5703125" style="62" customWidth="1"/>
    <col min="14351" max="14351" width="10.140625" style="62" customWidth="1"/>
    <col min="14352" max="14352" width="8.42578125" style="62" customWidth="1"/>
    <col min="14353" max="14353" width="18.85546875" style="62" customWidth="1"/>
    <col min="14354" max="14354" width="10.28515625" style="62" customWidth="1"/>
    <col min="14355" max="14355" width="11.42578125" style="62"/>
    <col min="14356" max="14356" width="12.140625" style="62" customWidth="1"/>
    <col min="14357" max="14357" width="10.5703125" style="62" customWidth="1"/>
    <col min="14358" max="14358" width="12.42578125" style="62" customWidth="1"/>
    <col min="14359" max="14359" width="15.140625" style="62" customWidth="1"/>
    <col min="14360" max="14360" width="13.5703125" style="62" customWidth="1"/>
    <col min="14361" max="14361" width="13.140625" style="62" customWidth="1"/>
    <col min="14362" max="14362" width="15.7109375" style="62" customWidth="1"/>
    <col min="14363" max="14363" width="37.5703125" style="62" customWidth="1"/>
    <col min="14364" max="14585" width="11.42578125" style="62"/>
    <col min="14586" max="14586" width="10.5703125" style="62" customWidth="1"/>
    <col min="14587" max="14587" width="4.85546875" style="62" customWidth="1"/>
    <col min="14588" max="14588" width="32.42578125" style="62" customWidth="1"/>
    <col min="14589" max="14589" width="9.85546875" style="62" customWidth="1"/>
    <col min="14590" max="14590" width="10.140625" style="62" customWidth="1"/>
    <col min="14591" max="14591" width="12.28515625" style="62" customWidth="1"/>
    <col min="14592" max="14592" width="15.42578125" style="62" customWidth="1"/>
    <col min="14593" max="14593" width="11.85546875" style="62" customWidth="1"/>
    <col min="14594" max="14594" width="13.28515625" style="62" customWidth="1"/>
    <col min="14595" max="14595" width="15.28515625" style="62" customWidth="1"/>
    <col min="14596" max="14596" width="11.85546875" style="62" customWidth="1"/>
    <col min="14597" max="14597" width="6.140625" style="62" customWidth="1"/>
    <col min="14598" max="14598" width="11.85546875" style="62" customWidth="1"/>
    <col min="14599" max="14599" width="9.42578125" style="62" customWidth="1"/>
    <col min="14600" max="14600" width="14.7109375" style="62" customWidth="1"/>
    <col min="14601" max="14601" width="11.5703125" style="62" customWidth="1"/>
    <col min="14602" max="14602" width="0.42578125" style="62" customWidth="1"/>
    <col min="14603" max="14603" width="10.5703125" style="62" bestFit="1" customWidth="1"/>
    <col min="14604" max="14604" width="12.28515625" style="62" customWidth="1"/>
    <col min="14605" max="14605" width="12.5703125" style="62" customWidth="1"/>
    <col min="14606" max="14606" width="10.5703125" style="62" customWidth="1"/>
    <col min="14607" max="14607" width="10.140625" style="62" customWidth="1"/>
    <col min="14608" max="14608" width="8.42578125" style="62" customWidth="1"/>
    <col min="14609" max="14609" width="18.85546875" style="62" customWidth="1"/>
    <col min="14610" max="14610" width="10.28515625" style="62" customWidth="1"/>
    <col min="14611" max="14611" width="11.42578125" style="62"/>
    <col min="14612" max="14612" width="12.140625" style="62" customWidth="1"/>
    <col min="14613" max="14613" width="10.5703125" style="62" customWidth="1"/>
    <col min="14614" max="14614" width="12.42578125" style="62" customWidth="1"/>
    <col min="14615" max="14615" width="15.140625" style="62" customWidth="1"/>
    <col min="14616" max="14616" width="13.5703125" style="62" customWidth="1"/>
    <col min="14617" max="14617" width="13.140625" style="62" customWidth="1"/>
    <col min="14618" max="14618" width="15.7109375" style="62" customWidth="1"/>
    <col min="14619" max="14619" width="37.5703125" style="62" customWidth="1"/>
    <col min="14620" max="14841" width="11.42578125" style="62"/>
    <col min="14842" max="14842" width="10.5703125" style="62" customWidth="1"/>
    <col min="14843" max="14843" width="4.85546875" style="62" customWidth="1"/>
    <col min="14844" max="14844" width="32.42578125" style="62" customWidth="1"/>
    <col min="14845" max="14845" width="9.85546875" style="62" customWidth="1"/>
    <col min="14846" max="14846" width="10.140625" style="62" customWidth="1"/>
    <col min="14847" max="14847" width="12.28515625" style="62" customWidth="1"/>
    <col min="14848" max="14848" width="15.42578125" style="62" customWidth="1"/>
    <col min="14849" max="14849" width="11.85546875" style="62" customWidth="1"/>
    <col min="14850" max="14850" width="13.28515625" style="62" customWidth="1"/>
    <col min="14851" max="14851" width="15.28515625" style="62" customWidth="1"/>
    <col min="14852" max="14852" width="11.85546875" style="62" customWidth="1"/>
    <col min="14853" max="14853" width="6.140625" style="62" customWidth="1"/>
    <col min="14854" max="14854" width="11.85546875" style="62" customWidth="1"/>
    <col min="14855" max="14855" width="9.42578125" style="62" customWidth="1"/>
    <col min="14856" max="14856" width="14.7109375" style="62" customWidth="1"/>
    <col min="14857" max="14857" width="11.5703125" style="62" customWidth="1"/>
    <col min="14858" max="14858" width="0.42578125" style="62" customWidth="1"/>
    <col min="14859" max="14859" width="10.5703125" style="62" bestFit="1" customWidth="1"/>
    <col min="14860" max="14860" width="12.28515625" style="62" customWidth="1"/>
    <col min="14861" max="14861" width="12.5703125" style="62" customWidth="1"/>
    <col min="14862" max="14862" width="10.5703125" style="62" customWidth="1"/>
    <col min="14863" max="14863" width="10.140625" style="62" customWidth="1"/>
    <col min="14864" max="14864" width="8.42578125" style="62" customWidth="1"/>
    <col min="14865" max="14865" width="18.85546875" style="62" customWidth="1"/>
    <col min="14866" max="14866" width="10.28515625" style="62" customWidth="1"/>
    <col min="14867" max="14867" width="11.42578125" style="62"/>
    <col min="14868" max="14868" width="12.140625" style="62" customWidth="1"/>
    <col min="14869" max="14869" width="10.5703125" style="62" customWidth="1"/>
    <col min="14870" max="14870" width="12.42578125" style="62" customWidth="1"/>
    <col min="14871" max="14871" width="15.140625" style="62" customWidth="1"/>
    <col min="14872" max="14872" width="13.5703125" style="62" customWidth="1"/>
    <col min="14873" max="14873" width="13.140625" style="62" customWidth="1"/>
    <col min="14874" max="14874" width="15.7109375" style="62" customWidth="1"/>
    <col min="14875" max="14875" width="37.5703125" style="62" customWidth="1"/>
    <col min="14876" max="15097" width="11.42578125" style="62"/>
    <col min="15098" max="15098" width="10.5703125" style="62" customWidth="1"/>
    <col min="15099" max="15099" width="4.85546875" style="62" customWidth="1"/>
    <col min="15100" max="15100" width="32.42578125" style="62" customWidth="1"/>
    <col min="15101" max="15101" width="9.85546875" style="62" customWidth="1"/>
    <col min="15102" max="15102" width="10.140625" style="62" customWidth="1"/>
    <col min="15103" max="15103" width="12.28515625" style="62" customWidth="1"/>
    <col min="15104" max="15104" width="15.42578125" style="62" customWidth="1"/>
    <col min="15105" max="15105" width="11.85546875" style="62" customWidth="1"/>
    <col min="15106" max="15106" width="13.28515625" style="62" customWidth="1"/>
    <col min="15107" max="15107" width="15.28515625" style="62" customWidth="1"/>
    <col min="15108" max="15108" width="11.85546875" style="62" customWidth="1"/>
    <col min="15109" max="15109" width="6.140625" style="62" customWidth="1"/>
    <col min="15110" max="15110" width="11.85546875" style="62" customWidth="1"/>
    <col min="15111" max="15111" width="9.42578125" style="62" customWidth="1"/>
    <col min="15112" max="15112" width="14.7109375" style="62" customWidth="1"/>
    <col min="15113" max="15113" width="11.5703125" style="62" customWidth="1"/>
    <col min="15114" max="15114" width="0.42578125" style="62" customWidth="1"/>
    <col min="15115" max="15115" width="10.5703125" style="62" bestFit="1" customWidth="1"/>
    <col min="15116" max="15116" width="12.28515625" style="62" customWidth="1"/>
    <col min="15117" max="15117" width="12.5703125" style="62" customWidth="1"/>
    <col min="15118" max="15118" width="10.5703125" style="62" customWidth="1"/>
    <col min="15119" max="15119" width="10.140625" style="62" customWidth="1"/>
    <col min="15120" max="15120" width="8.42578125" style="62" customWidth="1"/>
    <col min="15121" max="15121" width="18.85546875" style="62" customWidth="1"/>
    <col min="15122" max="15122" width="10.28515625" style="62" customWidth="1"/>
    <col min="15123" max="15123" width="11.42578125" style="62"/>
    <col min="15124" max="15124" width="12.140625" style="62" customWidth="1"/>
    <col min="15125" max="15125" width="10.5703125" style="62" customWidth="1"/>
    <col min="15126" max="15126" width="12.42578125" style="62" customWidth="1"/>
    <col min="15127" max="15127" width="15.140625" style="62" customWidth="1"/>
    <col min="15128" max="15128" width="13.5703125" style="62" customWidth="1"/>
    <col min="15129" max="15129" width="13.140625" style="62" customWidth="1"/>
    <col min="15130" max="15130" width="15.7109375" style="62" customWidth="1"/>
    <col min="15131" max="15131" width="37.5703125" style="62" customWidth="1"/>
    <col min="15132" max="15353" width="11.42578125" style="62"/>
    <col min="15354" max="15354" width="10.5703125" style="62" customWidth="1"/>
    <col min="15355" max="15355" width="4.85546875" style="62" customWidth="1"/>
    <col min="15356" max="15356" width="32.42578125" style="62" customWidth="1"/>
    <col min="15357" max="15357" width="9.85546875" style="62" customWidth="1"/>
    <col min="15358" max="15358" width="10.140625" style="62" customWidth="1"/>
    <col min="15359" max="15359" width="12.28515625" style="62" customWidth="1"/>
    <col min="15360" max="15360" width="15.42578125" style="62" customWidth="1"/>
    <col min="15361" max="15361" width="11.85546875" style="62" customWidth="1"/>
    <col min="15362" max="15362" width="13.28515625" style="62" customWidth="1"/>
    <col min="15363" max="15363" width="15.28515625" style="62" customWidth="1"/>
    <col min="15364" max="15364" width="11.85546875" style="62" customWidth="1"/>
    <col min="15365" max="15365" width="6.140625" style="62" customWidth="1"/>
    <col min="15366" max="15366" width="11.85546875" style="62" customWidth="1"/>
    <col min="15367" max="15367" width="9.42578125" style="62" customWidth="1"/>
    <col min="15368" max="15368" width="14.7109375" style="62" customWidth="1"/>
    <col min="15369" max="15369" width="11.5703125" style="62" customWidth="1"/>
    <col min="15370" max="15370" width="0.42578125" style="62" customWidth="1"/>
    <col min="15371" max="15371" width="10.5703125" style="62" bestFit="1" customWidth="1"/>
    <col min="15372" max="15372" width="12.28515625" style="62" customWidth="1"/>
    <col min="15373" max="15373" width="12.5703125" style="62" customWidth="1"/>
    <col min="15374" max="15374" width="10.5703125" style="62" customWidth="1"/>
    <col min="15375" max="15375" width="10.140625" style="62" customWidth="1"/>
    <col min="15376" max="15376" width="8.42578125" style="62" customWidth="1"/>
    <col min="15377" max="15377" width="18.85546875" style="62" customWidth="1"/>
    <col min="15378" max="15378" width="10.28515625" style="62" customWidth="1"/>
    <col min="15379" max="15379" width="11.42578125" style="62"/>
    <col min="15380" max="15380" width="12.140625" style="62" customWidth="1"/>
    <col min="15381" max="15381" width="10.5703125" style="62" customWidth="1"/>
    <col min="15382" max="15382" width="12.42578125" style="62" customWidth="1"/>
    <col min="15383" max="15383" width="15.140625" style="62" customWidth="1"/>
    <col min="15384" max="15384" width="13.5703125" style="62" customWidth="1"/>
    <col min="15385" max="15385" width="13.140625" style="62" customWidth="1"/>
    <col min="15386" max="15386" width="15.7109375" style="62" customWidth="1"/>
    <col min="15387" max="15387" width="37.5703125" style="62" customWidth="1"/>
    <col min="15388" max="15609" width="11.42578125" style="62"/>
    <col min="15610" max="15610" width="10.5703125" style="62" customWidth="1"/>
    <col min="15611" max="15611" width="4.85546875" style="62" customWidth="1"/>
    <col min="15612" max="15612" width="32.42578125" style="62" customWidth="1"/>
    <col min="15613" max="15613" width="9.85546875" style="62" customWidth="1"/>
    <col min="15614" max="15614" width="10.140625" style="62" customWidth="1"/>
    <col min="15615" max="15615" width="12.28515625" style="62" customWidth="1"/>
    <col min="15616" max="15616" width="15.42578125" style="62" customWidth="1"/>
    <col min="15617" max="15617" width="11.85546875" style="62" customWidth="1"/>
    <col min="15618" max="15618" width="13.28515625" style="62" customWidth="1"/>
    <col min="15619" max="15619" width="15.28515625" style="62" customWidth="1"/>
    <col min="15620" max="15620" width="11.85546875" style="62" customWidth="1"/>
    <col min="15621" max="15621" width="6.140625" style="62" customWidth="1"/>
    <col min="15622" max="15622" width="11.85546875" style="62" customWidth="1"/>
    <col min="15623" max="15623" width="9.42578125" style="62" customWidth="1"/>
    <col min="15624" max="15624" width="14.7109375" style="62" customWidth="1"/>
    <col min="15625" max="15625" width="11.5703125" style="62" customWidth="1"/>
    <col min="15626" max="15626" width="0.42578125" style="62" customWidth="1"/>
    <col min="15627" max="15627" width="10.5703125" style="62" bestFit="1" customWidth="1"/>
    <col min="15628" max="15628" width="12.28515625" style="62" customWidth="1"/>
    <col min="15629" max="15629" width="12.5703125" style="62" customWidth="1"/>
    <col min="15630" max="15630" width="10.5703125" style="62" customWidth="1"/>
    <col min="15631" max="15631" width="10.140625" style="62" customWidth="1"/>
    <col min="15632" max="15632" width="8.42578125" style="62" customWidth="1"/>
    <col min="15633" max="15633" width="18.85546875" style="62" customWidth="1"/>
    <col min="15634" max="15634" width="10.28515625" style="62" customWidth="1"/>
    <col min="15635" max="15635" width="11.42578125" style="62"/>
    <col min="15636" max="15636" width="12.140625" style="62" customWidth="1"/>
    <col min="15637" max="15637" width="10.5703125" style="62" customWidth="1"/>
    <col min="15638" max="15638" width="12.42578125" style="62" customWidth="1"/>
    <col min="15639" max="15639" width="15.140625" style="62" customWidth="1"/>
    <col min="15640" max="15640" width="13.5703125" style="62" customWidth="1"/>
    <col min="15641" max="15641" width="13.140625" style="62" customWidth="1"/>
    <col min="15642" max="15642" width="15.7109375" style="62" customWidth="1"/>
    <col min="15643" max="15643" width="37.5703125" style="62" customWidth="1"/>
    <col min="15644" max="15865" width="11.42578125" style="62"/>
    <col min="15866" max="15866" width="10.5703125" style="62" customWidth="1"/>
    <col min="15867" max="15867" width="4.85546875" style="62" customWidth="1"/>
    <col min="15868" max="15868" width="32.42578125" style="62" customWidth="1"/>
    <col min="15869" max="15869" width="9.85546875" style="62" customWidth="1"/>
    <col min="15870" max="15870" width="10.140625" style="62" customWidth="1"/>
    <col min="15871" max="15871" width="12.28515625" style="62" customWidth="1"/>
    <col min="15872" max="15872" width="15.42578125" style="62" customWidth="1"/>
    <col min="15873" max="15873" width="11.85546875" style="62" customWidth="1"/>
    <col min="15874" max="15874" width="13.28515625" style="62" customWidth="1"/>
    <col min="15875" max="15875" width="15.28515625" style="62" customWidth="1"/>
    <col min="15876" max="15876" width="11.85546875" style="62" customWidth="1"/>
    <col min="15877" max="15877" width="6.140625" style="62" customWidth="1"/>
    <col min="15878" max="15878" width="11.85546875" style="62" customWidth="1"/>
    <col min="15879" max="15879" width="9.42578125" style="62" customWidth="1"/>
    <col min="15880" max="15880" width="14.7109375" style="62" customWidth="1"/>
    <col min="15881" max="15881" width="11.5703125" style="62" customWidth="1"/>
    <col min="15882" max="15882" width="0.42578125" style="62" customWidth="1"/>
    <col min="15883" max="15883" width="10.5703125" style="62" bestFit="1" customWidth="1"/>
    <col min="15884" max="15884" width="12.28515625" style="62" customWidth="1"/>
    <col min="15885" max="15885" width="12.5703125" style="62" customWidth="1"/>
    <col min="15886" max="15886" width="10.5703125" style="62" customWidth="1"/>
    <col min="15887" max="15887" width="10.140625" style="62" customWidth="1"/>
    <col min="15888" max="15888" width="8.42578125" style="62" customWidth="1"/>
    <col min="15889" max="15889" width="18.85546875" style="62" customWidth="1"/>
    <col min="15890" max="15890" width="10.28515625" style="62" customWidth="1"/>
    <col min="15891" max="15891" width="11.42578125" style="62"/>
    <col min="15892" max="15892" width="12.140625" style="62" customWidth="1"/>
    <col min="15893" max="15893" width="10.5703125" style="62" customWidth="1"/>
    <col min="15894" max="15894" width="12.42578125" style="62" customWidth="1"/>
    <col min="15895" max="15895" width="15.140625" style="62" customWidth="1"/>
    <col min="15896" max="15896" width="13.5703125" style="62" customWidth="1"/>
    <col min="15897" max="15897" width="13.140625" style="62" customWidth="1"/>
    <col min="15898" max="15898" width="15.7109375" style="62" customWidth="1"/>
    <col min="15899" max="15899" width="37.5703125" style="62" customWidth="1"/>
    <col min="15900" max="16121" width="11.42578125" style="62"/>
    <col min="16122" max="16122" width="10.5703125" style="62" customWidth="1"/>
    <col min="16123" max="16123" width="4.85546875" style="62" customWidth="1"/>
    <col min="16124" max="16124" width="32.42578125" style="62" customWidth="1"/>
    <col min="16125" max="16125" width="9.85546875" style="62" customWidth="1"/>
    <col min="16126" max="16126" width="10.140625" style="62" customWidth="1"/>
    <col min="16127" max="16127" width="12.28515625" style="62" customWidth="1"/>
    <col min="16128" max="16128" width="15.42578125" style="62" customWidth="1"/>
    <col min="16129" max="16129" width="11.85546875" style="62" customWidth="1"/>
    <col min="16130" max="16130" width="13.28515625" style="62" customWidth="1"/>
    <col min="16131" max="16131" width="15.28515625" style="62" customWidth="1"/>
    <col min="16132" max="16132" width="11.85546875" style="62" customWidth="1"/>
    <col min="16133" max="16133" width="6.140625" style="62" customWidth="1"/>
    <col min="16134" max="16134" width="11.85546875" style="62" customWidth="1"/>
    <col min="16135" max="16135" width="9.42578125" style="62" customWidth="1"/>
    <col min="16136" max="16136" width="14.7109375" style="62" customWidth="1"/>
    <col min="16137" max="16137" width="11.5703125" style="62" customWidth="1"/>
    <col min="16138" max="16138" width="0.42578125" style="62" customWidth="1"/>
    <col min="16139" max="16139" width="10.5703125" style="62" bestFit="1" customWidth="1"/>
    <col min="16140" max="16140" width="12.28515625" style="62" customWidth="1"/>
    <col min="16141" max="16141" width="12.5703125" style="62" customWidth="1"/>
    <col min="16142" max="16142" width="10.5703125" style="62" customWidth="1"/>
    <col min="16143" max="16143" width="10.140625" style="62" customWidth="1"/>
    <col min="16144" max="16144" width="8.42578125" style="62" customWidth="1"/>
    <col min="16145" max="16145" width="18.85546875" style="62" customWidth="1"/>
    <col min="16146" max="16146" width="10.28515625" style="62" customWidth="1"/>
    <col min="16147" max="16147" width="11.42578125" style="62"/>
    <col min="16148" max="16148" width="12.140625" style="62" customWidth="1"/>
    <col min="16149" max="16149" width="10.5703125" style="62" customWidth="1"/>
    <col min="16150" max="16150" width="12.42578125" style="62" customWidth="1"/>
    <col min="16151" max="16151" width="15.140625" style="62" customWidth="1"/>
    <col min="16152" max="16152" width="13.5703125" style="62" customWidth="1"/>
    <col min="16153" max="16153" width="13.140625" style="62" customWidth="1"/>
    <col min="16154" max="16154" width="15.7109375" style="62" customWidth="1"/>
    <col min="16155" max="16155" width="37.5703125" style="62" customWidth="1"/>
    <col min="16156" max="16384" width="11.42578125" style="62"/>
  </cols>
  <sheetData>
    <row r="1" spans="1:30" ht="15" customHeight="1" x14ac:dyDescent="0.25">
      <c r="A1" s="110" t="s">
        <v>244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2"/>
    </row>
    <row r="2" spans="1:30" ht="15" customHeight="1" x14ac:dyDescent="0.25">
      <c r="A2" s="113" t="s">
        <v>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5"/>
      <c r="T2" s="96" t="s">
        <v>3</v>
      </c>
      <c r="U2" s="97"/>
      <c r="V2" s="97"/>
      <c r="W2" s="97"/>
      <c r="X2" s="97"/>
      <c r="Y2" s="97"/>
      <c r="Z2" s="97"/>
      <c r="AA2" s="97"/>
      <c r="AB2" s="98"/>
      <c r="AC2" s="114"/>
    </row>
    <row r="3" spans="1:30" ht="24.75" customHeight="1" x14ac:dyDescent="0.25">
      <c r="A3" s="115"/>
      <c r="B3" s="2" t="s">
        <v>4</v>
      </c>
      <c r="C3" s="2" t="s">
        <v>5</v>
      </c>
      <c r="D3" s="2" t="s">
        <v>6</v>
      </c>
      <c r="E3" s="2" t="s">
        <v>7</v>
      </c>
      <c r="F3" s="2" t="s">
        <v>190</v>
      </c>
      <c r="G3" s="2" t="s">
        <v>8</v>
      </c>
      <c r="H3" s="2" t="s">
        <v>191</v>
      </c>
      <c r="I3" s="2"/>
      <c r="J3" s="3" t="s">
        <v>9</v>
      </c>
      <c r="K3" s="3" t="s">
        <v>10</v>
      </c>
      <c r="L3" s="3" t="s">
        <v>11</v>
      </c>
      <c r="M3" s="3" t="s">
        <v>245</v>
      </c>
      <c r="N3" s="3" t="s">
        <v>12</v>
      </c>
      <c r="O3" s="3" t="s">
        <v>172</v>
      </c>
      <c r="P3" s="3" t="s">
        <v>173</v>
      </c>
      <c r="Q3" s="3" t="s">
        <v>14</v>
      </c>
      <c r="R3" s="3" t="s">
        <v>174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159</v>
      </c>
      <c r="X3" s="3" t="s">
        <v>22</v>
      </c>
      <c r="Y3" s="3" t="s">
        <v>23</v>
      </c>
      <c r="Z3" s="3" t="s">
        <v>180</v>
      </c>
      <c r="AA3" s="3" t="s">
        <v>25</v>
      </c>
      <c r="AB3" s="3" t="s">
        <v>26</v>
      </c>
      <c r="AC3" s="116" t="s">
        <v>27</v>
      </c>
    </row>
    <row r="4" spans="1:30" s="13" customFormat="1" ht="24.95" customHeight="1" x14ac:dyDescent="0.25">
      <c r="A4" s="117" t="s">
        <v>29</v>
      </c>
      <c r="B4" s="2">
        <v>1</v>
      </c>
      <c r="C4" s="1" t="s">
        <v>147</v>
      </c>
      <c r="D4" s="1" t="s">
        <v>31</v>
      </c>
      <c r="E4" s="2" t="s">
        <v>32</v>
      </c>
      <c r="F4" s="103" t="e">
        <f>INT(YEARFRAC('[1]Perfil Sociodemografico'!F109,'[1]Perfil Sociodemografico'!G109))</f>
        <v>#VALUE!</v>
      </c>
      <c r="G4" s="104" t="s">
        <v>192</v>
      </c>
      <c r="H4" s="104" t="s">
        <v>193</v>
      </c>
      <c r="I4" s="2" t="s">
        <v>194</v>
      </c>
      <c r="J4" s="3">
        <v>4500000</v>
      </c>
      <c r="K4" s="3">
        <v>30</v>
      </c>
      <c r="L4" s="3">
        <f>+J4/30*K4</f>
        <v>4500000</v>
      </c>
      <c r="M4" s="3"/>
      <c r="N4" s="3"/>
      <c r="O4" s="3"/>
      <c r="P4" s="3"/>
      <c r="Q4" s="3"/>
      <c r="R4" s="3"/>
      <c r="S4" s="3">
        <f>+L4+R4+Q4+P4+O4+N4</f>
        <v>4500000</v>
      </c>
      <c r="T4" s="3">
        <f>+J4*0.04</f>
        <v>180000</v>
      </c>
      <c r="U4" s="3">
        <f>+J4*0.05</f>
        <v>225000</v>
      </c>
      <c r="V4" s="3"/>
      <c r="W4" s="3"/>
      <c r="X4" s="3">
        <v>11000</v>
      </c>
      <c r="Y4" s="3"/>
      <c r="Z4" s="3"/>
      <c r="AA4" s="3"/>
      <c r="AB4" s="4">
        <f>SUM(T4:AA4)</f>
        <v>416000</v>
      </c>
      <c r="AC4" s="118">
        <f>+S4-AB4</f>
        <v>4084000</v>
      </c>
    </row>
    <row r="5" spans="1:30" ht="24.95" customHeight="1" x14ac:dyDescent="0.25">
      <c r="A5" s="117"/>
      <c r="B5" s="2">
        <v>2</v>
      </c>
      <c r="C5" s="1" t="s">
        <v>30</v>
      </c>
      <c r="D5" s="1" t="s">
        <v>31</v>
      </c>
      <c r="E5" s="2" t="s">
        <v>32</v>
      </c>
      <c r="F5" s="103" t="e">
        <f>INT(YEARFRAC('[1]Perfil Sociodemografico'!F11,'[1]Perfil Sociodemografico'!G11))</f>
        <v>#VALUE!</v>
      </c>
      <c r="G5" s="104" t="s">
        <v>192</v>
      </c>
      <c r="H5" s="104" t="s">
        <v>193</v>
      </c>
      <c r="I5" s="2" t="s">
        <v>195</v>
      </c>
      <c r="J5" s="4">
        <v>5000000</v>
      </c>
      <c r="K5" s="3">
        <v>30</v>
      </c>
      <c r="L5" s="3">
        <f>+J5-O5</f>
        <v>5000000</v>
      </c>
      <c r="M5" s="3"/>
      <c r="N5" s="4"/>
      <c r="O5" s="4"/>
      <c r="P5" s="4"/>
      <c r="Q5" s="4">
        <v>500000</v>
      </c>
      <c r="R5" s="4">
        <v>1230469</v>
      </c>
      <c r="S5" s="4">
        <f>+L5+N5+P5+Q5+R5+O5</f>
        <v>6730469</v>
      </c>
      <c r="T5" s="4">
        <f>+(J5+R5)*4%</f>
        <v>249218.76</v>
      </c>
      <c r="U5" s="4">
        <f>+(J5+R5)*5%</f>
        <v>311523.45</v>
      </c>
      <c r="V5" s="4"/>
      <c r="W5" s="4"/>
      <c r="X5" s="4">
        <v>30672</v>
      </c>
      <c r="Y5" s="4"/>
      <c r="Z5" s="4"/>
      <c r="AA5" s="4"/>
      <c r="AB5" s="4">
        <f t="shared" ref="AB5:AB10" si="0">SUM(T5:AA5)</f>
        <v>591414.21</v>
      </c>
      <c r="AC5" s="118">
        <f>+S5-AB5</f>
        <v>6139054.79</v>
      </c>
      <c r="AD5" s="124">
        <v>6239055</v>
      </c>
    </row>
    <row r="6" spans="1:30" ht="24.95" customHeight="1" x14ac:dyDescent="0.25">
      <c r="A6" s="117"/>
      <c r="B6" s="2">
        <v>3</v>
      </c>
      <c r="C6" s="1" t="s">
        <v>33</v>
      </c>
      <c r="D6" s="1" t="s">
        <v>31</v>
      </c>
      <c r="E6" s="2" t="s">
        <v>32</v>
      </c>
      <c r="F6" s="103" t="e">
        <f>INT(YEARFRAC('[1]Perfil Sociodemografico'!F113,'[1]Perfil Sociodemografico'!G113))</f>
        <v>#VALUE!</v>
      </c>
      <c r="G6" s="105" t="s">
        <v>192</v>
      </c>
      <c r="H6" s="105" t="s">
        <v>193</v>
      </c>
      <c r="I6" s="2" t="s">
        <v>195</v>
      </c>
      <c r="J6" s="4">
        <v>6000000</v>
      </c>
      <c r="K6" s="3">
        <v>30</v>
      </c>
      <c r="L6" s="3">
        <f>+J6-O6</f>
        <v>5000000</v>
      </c>
      <c r="M6" s="3"/>
      <c r="N6" s="4"/>
      <c r="O6" s="4">
        <v>1000000</v>
      </c>
      <c r="P6" s="4"/>
      <c r="Q6" s="4">
        <v>600000</v>
      </c>
      <c r="R6" s="4"/>
      <c r="S6" s="4">
        <f t="shared" ref="S6:S91" si="1">+L6+N6+P6+Q6+R6+O6</f>
        <v>6600000</v>
      </c>
      <c r="T6" s="4">
        <f>J6*4%</f>
        <v>240000</v>
      </c>
      <c r="U6" s="4">
        <f>J6*5%</f>
        <v>300000</v>
      </c>
      <c r="V6" s="4"/>
      <c r="W6" s="4"/>
      <c r="X6" s="4">
        <v>102000</v>
      </c>
      <c r="Y6" s="4"/>
      <c r="Z6" s="4"/>
      <c r="AA6" s="4">
        <v>1212777</v>
      </c>
      <c r="AB6" s="4">
        <f t="shared" si="0"/>
        <v>1854777</v>
      </c>
      <c r="AC6" s="118">
        <f t="shared" ref="AC6:AC7" si="2">+S6-AB6</f>
        <v>4745223</v>
      </c>
    </row>
    <row r="7" spans="1:30" ht="24.95" customHeight="1" x14ac:dyDescent="0.25">
      <c r="A7" s="117"/>
      <c r="B7" s="2">
        <v>4</v>
      </c>
      <c r="C7" s="1" t="s">
        <v>34</v>
      </c>
      <c r="D7" s="1" t="s">
        <v>31</v>
      </c>
      <c r="E7" s="2" t="s">
        <v>32</v>
      </c>
      <c r="F7" s="103" t="e">
        <f>INT(YEARFRAC('[1]Perfil Sociodemografico'!F14,'[1]Perfil Sociodemografico'!G14))</f>
        <v>#VALUE!</v>
      </c>
      <c r="G7" s="105" t="s">
        <v>192</v>
      </c>
      <c r="H7" s="105" t="s">
        <v>193</v>
      </c>
      <c r="I7" s="2" t="s">
        <v>194</v>
      </c>
      <c r="J7" s="4">
        <v>6000000</v>
      </c>
      <c r="K7" s="3">
        <v>30</v>
      </c>
      <c r="L7" s="3">
        <f>+J7-R7</f>
        <v>6000000</v>
      </c>
      <c r="M7" s="3"/>
      <c r="N7" s="4"/>
      <c r="O7" s="4"/>
      <c r="P7" s="4"/>
      <c r="Q7" s="4"/>
      <c r="R7" s="4"/>
      <c r="S7" s="4">
        <f t="shared" si="1"/>
        <v>6000000</v>
      </c>
      <c r="T7" s="4">
        <f>+S7*4%</f>
        <v>240000</v>
      </c>
      <c r="U7" s="4">
        <f>+S7*5%</f>
        <v>300000</v>
      </c>
      <c r="V7" s="4"/>
      <c r="W7" s="4"/>
      <c r="X7" s="7">
        <v>98000</v>
      </c>
      <c r="Y7" s="4"/>
      <c r="Z7" s="4"/>
      <c r="AA7" s="4">
        <v>726520</v>
      </c>
      <c r="AB7" s="4">
        <f t="shared" si="0"/>
        <v>1364520</v>
      </c>
      <c r="AC7" s="118">
        <f t="shared" si="2"/>
        <v>4635480</v>
      </c>
    </row>
    <row r="8" spans="1:30" ht="24.95" customHeight="1" x14ac:dyDescent="0.25">
      <c r="A8" s="117"/>
      <c r="B8" s="2">
        <v>5</v>
      </c>
      <c r="C8" s="1" t="s">
        <v>35</v>
      </c>
      <c r="D8" s="1" t="s">
        <v>31</v>
      </c>
      <c r="E8" s="2" t="s">
        <v>32</v>
      </c>
      <c r="F8" s="103" t="e">
        <f>INT(YEARFRAC('[1]Perfil Sociodemografico'!F18,'[1]Perfil Sociodemografico'!G18))</f>
        <v>#VALUE!</v>
      </c>
      <c r="G8" s="104" t="s">
        <v>196</v>
      </c>
      <c r="H8" s="104" t="s">
        <v>193</v>
      </c>
      <c r="I8" s="2" t="s">
        <v>194</v>
      </c>
      <c r="J8" s="4">
        <v>5000000</v>
      </c>
      <c r="K8" s="3">
        <v>30</v>
      </c>
      <c r="L8" s="3">
        <f>+J8-O8</f>
        <v>5000000</v>
      </c>
      <c r="M8" s="3"/>
      <c r="N8" s="4"/>
      <c r="O8" s="4"/>
      <c r="P8" s="4"/>
      <c r="Q8" s="4"/>
      <c r="R8" s="4"/>
      <c r="S8" s="4">
        <f t="shared" si="1"/>
        <v>5000000</v>
      </c>
      <c r="T8" s="4">
        <f t="shared" ref="T8:T9" si="3">+J8*4%</f>
        <v>200000</v>
      </c>
      <c r="U8" s="4">
        <f t="shared" ref="U8:U17" si="4">+J8*5%</f>
        <v>250000</v>
      </c>
      <c r="V8" s="4"/>
      <c r="W8" s="4"/>
      <c r="X8" s="7">
        <v>21409</v>
      </c>
      <c r="Y8" s="4">
        <v>500000</v>
      </c>
      <c r="Z8" s="4">
        <v>111000</v>
      </c>
      <c r="AA8" s="4"/>
      <c r="AB8" s="4">
        <f t="shared" si="0"/>
        <v>1082409</v>
      </c>
      <c r="AC8" s="118">
        <f>+S8-AB8</f>
        <v>3917591</v>
      </c>
    </row>
    <row r="9" spans="1:30" ht="24.95" customHeight="1" x14ac:dyDescent="0.25">
      <c r="A9" s="117"/>
      <c r="B9" s="2">
        <v>6</v>
      </c>
      <c r="C9" s="1" t="s">
        <v>36</v>
      </c>
      <c r="D9" s="1" t="s">
        <v>31</v>
      </c>
      <c r="E9" s="2" t="s">
        <v>32</v>
      </c>
      <c r="F9" s="103" t="e">
        <f>INT(YEARFRAC('[1]Perfil Sociodemografico'!F49,'[1]Perfil Sociodemografico'!G49))</f>
        <v>#VALUE!</v>
      </c>
      <c r="G9" s="105" t="s">
        <v>192</v>
      </c>
      <c r="H9" s="105" t="s">
        <v>193</v>
      </c>
      <c r="I9" s="2" t="s">
        <v>195</v>
      </c>
      <c r="J9" s="4">
        <v>5300000</v>
      </c>
      <c r="K9" s="3">
        <v>30</v>
      </c>
      <c r="L9" s="3">
        <f t="shared" ref="L9:L91" si="5">+J9/30*K9</f>
        <v>5300000</v>
      </c>
      <c r="M9" s="3"/>
      <c r="N9" s="4"/>
      <c r="O9" s="4"/>
      <c r="P9" s="4"/>
      <c r="Q9" s="4">
        <v>2012670</v>
      </c>
      <c r="R9" s="4"/>
      <c r="S9" s="4">
        <f t="shared" si="1"/>
        <v>7312670</v>
      </c>
      <c r="T9" s="4">
        <f t="shared" si="3"/>
        <v>212000</v>
      </c>
      <c r="U9" s="4">
        <f t="shared" si="4"/>
        <v>265000</v>
      </c>
      <c r="V9" s="4"/>
      <c r="W9" s="4"/>
      <c r="X9" s="4">
        <v>50000</v>
      </c>
      <c r="Y9" s="4">
        <v>700000</v>
      </c>
      <c r="Z9" s="4"/>
      <c r="AA9" s="4"/>
      <c r="AB9" s="4">
        <f t="shared" si="0"/>
        <v>1227000</v>
      </c>
      <c r="AC9" s="118">
        <f>+S9-AB9</f>
        <v>6085670</v>
      </c>
    </row>
    <row r="10" spans="1:30" ht="24.95" customHeight="1" x14ac:dyDescent="0.25">
      <c r="A10" s="117"/>
      <c r="B10" s="2">
        <v>7</v>
      </c>
      <c r="C10" s="1" t="s">
        <v>37</v>
      </c>
      <c r="D10" s="1" t="s">
        <v>31</v>
      </c>
      <c r="E10" s="2" t="s">
        <v>32</v>
      </c>
      <c r="F10" s="103" t="e">
        <f>INT(YEARFRAC('[1]Perfil Sociodemografico'!F95,'[1]Perfil Sociodemografico'!G95))</f>
        <v>#VALUE!</v>
      </c>
      <c r="G10" s="104" t="s">
        <v>192</v>
      </c>
      <c r="H10" s="104" t="s">
        <v>193</v>
      </c>
      <c r="I10" s="2" t="s">
        <v>194</v>
      </c>
      <c r="J10" s="4">
        <v>5200000</v>
      </c>
      <c r="K10" s="3">
        <v>30</v>
      </c>
      <c r="L10" s="3">
        <f>+J10-R10</f>
        <v>5200000</v>
      </c>
      <c r="M10" s="3"/>
      <c r="N10" s="4"/>
      <c r="O10" s="4"/>
      <c r="P10" s="4"/>
      <c r="Q10" s="4">
        <v>89000</v>
      </c>
      <c r="R10" s="4"/>
      <c r="S10" s="4">
        <f t="shared" si="1"/>
        <v>5289000</v>
      </c>
      <c r="T10" s="4">
        <f>+J10*4%</f>
        <v>208000</v>
      </c>
      <c r="U10" s="4">
        <f>+J10*5%</f>
        <v>260000</v>
      </c>
      <c r="V10" s="4"/>
      <c r="W10" s="4"/>
      <c r="X10" s="4">
        <v>5500</v>
      </c>
      <c r="Y10" s="4"/>
      <c r="Z10" s="4"/>
      <c r="AA10" s="4">
        <f>945750+420786</f>
        <v>1366536</v>
      </c>
      <c r="AB10" s="4">
        <f t="shared" si="0"/>
        <v>1840036</v>
      </c>
      <c r="AC10" s="118">
        <f>S10-AB10</f>
        <v>3448964</v>
      </c>
    </row>
    <row r="11" spans="1:30" ht="24.95" customHeight="1" x14ac:dyDescent="0.25">
      <c r="A11" s="117"/>
      <c r="B11" s="2">
        <v>8</v>
      </c>
      <c r="C11" s="1" t="s">
        <v>39</v>
      </c>
      <c r="D11" s="1" t="s">
        <v>31</v>
      </c>
      <c r="E11" s="2" t="s">
        <v>32</v>
      </c>
      <c r="F11" s="103" t="e">
        <f>INT(YEARFRAC('[1]Perfil Sociodemografico'!F116,'[1]Perfil Sociodemografico'!G116))</f>
        <v>#VALUE!</v>
      </c>
      <c r="G11" s="104" t="s">
        <v>192</v>
      </c>
      <c r="H11" s="104" t="s">
        <v>193</v>
      </c>
      <c r="I11" s="2" t="s">
        <v>194</v>
      </c>
      <c r="J11" s="4">
        <v>5184000</v>
      </c>
      <c r="K11" s="3">
        <v>30</v>
      </c>
      <c r="L11" s="3">
        <f t="shared" si="5"/>
        <v>5184000</v>
      </c>
      <c r="M11" s="3"/>
      <c r="N11" s="4"/>
      <c r="O11" s="4"/>
      <c r="P11" s="4"/>
      <c r="Q11" s="4"/>
      <c r="R11" s="4"/>
      <c r="S11" s="4">
        <f t="shared" si="1"/>
        <v>5184000</v>
      </c>
      <c r="T11" s="4">
        <f>+L11*4%</f>
        <v>207360</v>
      </c>
      <c r="U11" s="4">
        <f>+L11*5%</f>
        <v>259200</v>
      </c>
      <c r="V11" s="4"/>
      <c r="W11" s="4"/>
      <c r="X11" s="4">
        <v>78000</v>
      </c>
      <c r="Y11" s="4"/>
      <c r="Z11" s="4"/>
      <c r="AA11" s="4"/>
      <c r="AB11" s="4">
        <f t="shared" ref="AB11:AB72" si="6">SUM(T11:AA11)</f>
        <v>544560</v>
      </c>
      <c r="AC11" s="118">
        <f>S11-AB11</f>
        <v>4639440</v>
      </c>
    </row>
    <row r="12" spans="1:30" ht="24.95" customHeight="1" x14ac:dyDescent="0.25">
      <c r="A12" s="117"/>
      <c r="B12" s="2">
        <v>9</v>
      </c>
      <c r="C12" s="1" t="s">
        <v>160</v>
      </c>
      <c r="D12" s="1" t="s">
        <v>45</v>
      </c>
      <c r="E12" s="2" t="s">
        <v>32</v>
      </c>
      <c r="F12" s="103" t="e">
        <f>INT(YEARFRAC('[1]Perfil Sociodemografico'!F123,'[1]Perfil Sociodemografico'!G123))</f>
        <v>#VALUE!</v>
      </c>
      <c r="G12" s="105" t="s">
        <v>197</v>
      </c>
      <c r="H12" s="105" t="s">
        <v>193</v>
      </c>
      <c r="I12" s="2" t="s">
        <v>194</v>
      </c>
      <c r="J12" s="4">
        <v>3700000</v>
      </c>
      <c r="K12" s="3">
        <v>30</v>
      </c>
      <c r="L12" s="3">
        <f t="shared" si="5"/>
        <v>3700000</v>
      </c>
      <c r="M12" s="3"/>
      <c r="N12" s="4"/>
      <c r="O12" s="4"/>
      <c r="P12" s="4"/>
      <c r="Q12" s="4"/>
      <c r="R12" s="4"/>
      <c r="S12" s="4">
        <f t="shared" si="1"/>
        <v>3700000</v>
      </c>
      <c r="T12" s="4">
        <f>+L12*4%</f>
        <v>148000</v>
      </c>
      <c r="U12" s="4">
        <f>+L12*5%</f>
        <v>185000</v>
      </c>
      <c r="V12" s="4"/>
      <c r="W12" s="4"/>
      <c r="X12" s="4"/>
      <c r="Y12" s="4"/>
      <c r="Z12" s="4"/>
      <c r="AA12" s="4"/>
      <c r="AB12" s="4">
        <f t="shared" ref="AB12:AB15" si="7">SUM(T12:AA12)</f>
        <v>333000</v>
      </c>
      <c r="AC12" s="118">
        <f>S12-AB12</f>
        <v>3367000</v>
      </c>
    </row>
    <row r="13" spans="1:30" ht="24.95" customHeight="1" x14ac:dyDescent="0.25">
      <c r="A13" s="117"/>
      <c r="B13" s="2">
        <v>10</v>
      </c>
      <c r="C13" s="1" t="s">
        <v>181</v>
      </c>
      <c r="D13" s="1" t="s">
        <v>31</v>
      </c>
      <c r="E13" s="2" t="s">
        <v>32</v>
      </c>
      <c r="F13" s="103">
        <v>38</v>
      </c>
      <c r="G13" s="105" t="s">
        <v>197</v>
      </c>
      <c r="H13" s="105" t="s">
        <v>193</v>
      </c>
      <c r="I13" s="2" t="s">
        <v>195</v>
      </c>
      <c r="J13" s="4">
        <v>5600000</v>
      </c>
      <c r="K13" s="3">
        <v>30</v>
      </c>
      <c r="L13" s="3">
        <f t="shared" si="5"/>
        <v>5600000</v>
      </c>
      <c r="M13" s="3"/>
      <c r="N13" s="4"/>
      <c r="O13" s="4"/>
      <c r="P13" s="4"/>
      <c r="Q13" s="4"/>
      <c r="R13" s="4"/>
      <c r="S13" s="4">
        <f t="shared" si="1"/>
        <v>5600000</v>
      </c>
      <c r="T13" s="4">
        <f t="shared" ref="T13" si="8">+L13*4%</f>
        <v>224000</v>
      </c>
      <c r="U13" s="4">
        <f>+L13*5%</f>
        <v>280000</v>
      </c>
      <c r="V13" s="4"/>
      <c r="W13" s="4"/>
      <c r="X13" s="4">
        <v>36000</v>
      </c>
      <c r="Y13" s="4"/>
      <c r="Z13" s="4"/>
      <c r="AA13" s="4"/>
      <c r="AB13" s="4">
        <f t="shared" si="7"/>
        <v>540000</v>
      </c>
      <c r="AC13" s="118">
        <f t="shared" ref="AC13:AC14" si="9">S13-AB13</f>
        <v>5060000</v>
      </c>
    </row>
    <row r="14" spans="1:30" ht="24.95" customHeight="1" x14ac:dyDescent="0.25">
      <c r="A14" s="117"/>
      <c r="B14" s="2">
        <v>11</v>
      </c>
      <c r="C14" s="1" t="s">
        <v>182</v>
      </c>
      <c r="D14" s="1" t="s">
        <v>31</v>
      </c>
      <c r="E14" s="2" t="s">
        <v>32</v>
      </c>
      <c r="F14" s="103" t="e">
        <f>INT(YEARFRAC('[1]Perfil Sociodemografico'!F88,'[1]Perfil Sociodemografico'!G88))</f>
        <v>#VALUE!</v>
      </c>
      <c r="G14" s="104" t="s">
        <v>198</v>
      </c>
      <c r="H14" s="104" t="s">
        <v>193</v>
      </c>
      <c r="I14" s="2" t="s">
        <v>195</v>
      </c>
      <c r="J14" s="4">
        <v>4750000</v>
      </c>
      <c r="K14" s="3">
        <v>30</v>
      </c>
      <c r="L14" s="3">
        <f t="shared" si="5"/>
        <v>4750000</v>
      </c>
      <c r="M14" s="3"/>
      <c r="N14" s="4"/>
      <c r="O14" s="4"/>
      <c r="P14" s="4"/>
      <c r="Q14" s="4"/>
      <c r="R14" s="4">
        <v>296875</v>
      </c>
      <c r="S14" s="4">
        <f t="shared" si="1"/>
        <v>5046875</v>
      </c>
      <c r="T14" s="4">
        <f>+S14*4%</f>
        <v>201875</v>
      </c>
      <c r="U14" s="4">
        <f>+S14*5%</f>
        <v>252343.75</v>
      </c>
      <c r="V14" s="4"/>
      <c r="W14" s="4"/>
      <c r="X14" s="4">
        <v>45000</v>
      </c>
      <c r="Y14" s="4"/>
      <c r="Z14" s="4"/>
      <c r="AA14" s="4"/>
      <c r="AB14" s="4">
        <f t="shared" si="7"/>
        <v>499218.75</v>
      </c>
      <c r="AC14" s="118">
        <f t="shared" si="9"/>
        <v>4547656.25</v>
      </c>
    </row>
    <row r="15" spans="1:30" ht="24.95" customHeight="1" x14ac:dyDescent="0.25">
      <c r="A15" s="117"/>
      <c r="B15" s="2">
        <v>12</v>
      </c>
      <c r="C15" s="1" t="s">
        <v>166</v>
      </c>
      <c r="D15" s="1" t="s">
        <v>45</v>
      </c>
      <c r="E15" s="2" t="s">
        <v>32</v>
      </c>
      <c r="F15" s="103" t="e">
        <f>INT(YEARFRAC('[1]Perfil Sociodemografico'!F64,'[1]Perfil Sociodemografico'!G64))</f>
        <v>#VALUE!</v>
      </c>
      <c r="G15" s="104" t="s">
        <v>197</v>
      </c>
      <c r="H15" s="104" t="s">
        <v>199</v>
      </c>
      <c r="I15" s="2" t="s">
        <v>195</v>
      </c>
      <c r="J15" s="4">
        <v>4000000</v>
      </c>
      <c r="K15" s="3">
        <v>30</v>
      </c>
      <c r="L15" s="3">
        <f t="shared" si="5"/>
        <v>4000000.0000000005</v>
      </c>
      <c r="M15" s="3"/>
      <c r="N15" s="4"/>
      <c r="O15" s="4"/>
      <c r="P15" s="4"/>
      <c r="Q15" s="4"/>
      <c r="R15" s="4"/>
      <c r="S15" s="4">
        <f t="shared" si="1"/>
        <v>4000000.0000000005</v>
      </c>
      <c r="T15" s="4">
        <f>+L15*4%</f>
        <v>160000.00000000003</v>
      </c>
      <c r="U15" s="4">
        <f>+L15*5%</f>
        <v>200000.00000000003</v>
      </c>
      <c r="V15" s="4"/>
      <c r="W15" s="4"/>
      <c r="X15" s="4"/>
      <c r="Y15" s="4"/>
      <c r="Z15" s="4"/>
      <c r="AA15" s="4"/>
      <c r="AB15" s="4">
        <f t="shared" si="7"/>
        <v>360000.00000000006</v>
      </c>
      <c r="AC15" s="118">
        <f>S15-AB15</f>
        <v>3640000.0000000005</v>
      </c>
    </row>
    <row r="16" spans="1:30" ht="24.95" customHeight="1" x14ac:dyDescent="0.25">
      <c r="A16" s="117"/>
      <c r="B16" s="2">
        <v>13</v>
      </c>
      <c r="C16" s="1" t="s">
        <v>40</v>
      </c>
      <c r="D16" s="1" t="s">
        <v>31</v>
      </c>
      <c r="E16" s="2" t="s">
        <v>32</v>
      </c>
      <c r="F16" s="103" t="e">
        <f>INT(YEARFRAC('[1]Perfil Sociodemografico'!F91,'[1]Perfil Sociodemografico'!G91))</f>
        <v>#VALUE!</v>
      </c>
      <c r="G16" s="104" t="s">
        <v>192</v>
      </c>
      <c r="H16" s="104" t="s">
        <v>193</v>
      </c>
      <c r="I16" s="2" t="s">
        <v>194</v>
      </c>
      <c r="J16" s="4">
        <v>5725000</v>
      </c>
      <c r="K16" s="3">
        <v>30</v>
      </c>
      <c r="L16" s="3">
        <f>+J16-R16</f>
        <v>5725000</v>
      </c>
      <c r="M16" s="3"/>
      <c r="N16" s="4"/>
      <c r="O16" s="4"/>
      <c r="P16" s="4"/>
      <c r="Q16" s="4">
        <v>97757</v>
      </c>
      <c r="R16" s="4"/>
      <c r="S16" s="4">
        <f t="shared" si="1"/>
        <v>5822757</v>
      </c>
      <c r="T16" s="4">
        <f>+J16*4%</f>
        <v>229000</v>
      </c>
      <c r="U16" s="4">
        <f t="shared" si="4"/>
        <v>286250</v>
      </c>
      <c r="V16" s="4"/>
      <c r="W16" s="4"/>
      <c r="X16" s="4">
        <v>0</v>
      </c>
      <c r="Y16" s="4"/>
      <c r="Z16" s="4"/>
      <c r="AA16" s="4"/>
      <c r="AB16" s="4">
        <f t="shared" si="6"/>
        <v>515250</v>
      </c>
      <c r="AC16" s="118">
        <f t="shared" ref="AC16:AC30" si="10">+S16-AB16</f>
        <v>5307507</v>
      </c>
    </row>
    <row r="17" spans="1:29" ht="24.95" customHeight="1" x14ac:dyDescent="0.25">
      <c r="A17" s="117"/>
      <c r="B17" s="2">
        <v>14</v>
      </c>
      <c r="C17" s="1" t="s">
        <v>246</v>
      </c>
      <c r="D17" s="1"/>
      <c r="E17" s="2"/>
      <c r="F17" s="103"/>
      <c r="G17" s="104"/>
      <c r="H17" s="104"/>
      <c r="I17" s="2"/>
      <c r="J17" s="4">
        <v>7300000</v>
      </c>
      <c r="K17" s="3">
        <v>30</v>
      </c>
      <c r="L17" s="3">
        <f>+J17-R17</f>
        <v>7300000</v>
      </c>
      <c r="M17" s="3"/>
      <c r="N17" s="4"/>
      <c r="O17" s="4"/>
      <c r="P17" s="4"/>
      <c r="Q17" s="4"/>
      <c r="R17" s="4"/>
      <c r="S17" s="4">
        <f t="shared" si="1"/>
        <v>7300000</v>
      </c>
      <c r="T17" s="4">
        <f>+J17*4%</f>
        <v>292000</v>
      </c>
      <c r="U17" s="4">
        <f t="shared" si="4"/>
        <v>365000</v>
      </c>
      <c r="V17" s="4"/>
      <c r="W17" s="4"/>
      <c r="X17" s="4">
        <v>395000</v>
      </c>
      <c r="Y17" s="4"/>
      <c r="Z17" s="4"/>
      <c r="AA17" s="4"/>
      <c r="AB17" s="4">
        <f t="shared" si="6"/>
        <v>1052000</v>
      </c>
      <c r="AC17" s="118">
        <f t="shared" si="10"/>
        <v>6248000</v>
      </c>
    </row>
    <row r="18" spans="1:29" ht="24.95" customHeight="1" x14ac:dyDescent="0.25">
      <c r="A18" s="117"/>
      <c r="B18" s="2">
        <v>15</v>
      </c>
      <c r="C18" s="1" t="s">
        <v>93</v>
      </c>
      <c r="D18" s="1" t="s">
        <v>31</v>
      </c>
      <c r="E18" s="2" t="s">
        <v>32</v>
      </c>
      <c r="F18" s="103" t="e">
        <f>INT(YEARFRAC('[1]Perfil Sociodemografico'!F54,'[1]Perfil Sociodemografico'!G54))</f>
        <v>#VALUE!</v>
      </c>
      <c r="G18" s="104" t="s">
        <v>192</v>
      </c>
      <c r="H18" s="104" t="s">
        <v>193</v>
      </c>
      <c r="I18" s="2" t="s">
        <v>195</v>
      </c>
      <c r="J18" s="4">
        <v>5500000</v>
      </c>
      <c r="K18" s="3">
        <v>30</v>
      </c>
      <c r="L18" s="3">
        <f t="shared" ref="L18:L20" si="11">+J18/30*K18</f>
        <v>5500000</v>
      </c>
      <c r="M18" s="3"/>
      <c r="N18" s="4"/>
      <c r="O18" s="4"/>
      <c r="P18" s="4"/>
      <c r="Q18" s="4"/>
      <c r="R18" s="4">
        <v>206250</v>
      </c>
      <c r="S18" s="4">
        <f t="shared" si="1"/>
        <v>5706250</v>
      </c>
      <c r="T18" s="4">
        <f>+S18*4%</f>
        <v>228250</v>
      </c>
      <c r="U18" s="4">
        <f>+S18*5%</f>
        <v>285312.5</v>
      </c>
      <c r="V18" s="4"/>
      <c r="W18" s="4"/>
      <c r="X18" s="4">
        <v>48000</v>
      </c>
      <c r="Y18" s="4"/>
      <c r="Z18" s="4"/>
      <c r="AA18" s="4"/>
      <c r="AB18" s="4">
        <f t="shared" ref="AB18" si="12">SUM(T18:AA18)</f>
        <v>561562.5</v>
      </c>
      <c r="AC18" s="118">
        <f t="shared" si="10"/>
        <v>5144687.5</v>
      </c>
    </row>
    <row r="19" spans="1:29" ht="24.95" customHeight="1" x14ac:dyDescent="0.25">
      <c r="A19" s="117"/>
      <c r="B19" s="2">
        <v>16</v>
      </c>
      <c r="C19" s="1" t="s">
        <v>183</v>
      </c>
      <c r="D19" s="1" t="s">
        <v>31</v>
      </c>
      <c r="E19" s="2" t="s">
        <v>32</v>
      </c>
      <c r="F19" s="103" t="e">
        <f>INT(YEARFRAC('[1]Perfil Sociodemografico'!F118,'[1]Perfil Sociodemografico'!G118))</f>
        <v>#VALUE!</v>
      </c>
      <c r="G19" s="104" t="s">
        <v>200</v>
      </c>
      <c r="H19" s="104" t="s">
        <v>193</v>
      </c>
      <c r="I19" s="2" t="s">
        <v>195</v>
      </c>
      <c r="J19" s="4">
        <v>7000000</v>
      </c>
      <c r="K19" s="3">
        <v>30</v>
      </c>
      <c r="L19" s="3">
        <f t="shared" si="11"/>
        <v>7000000</v>
      </c>
      <c r="M19" s="3"/>
      <c r="N19" s="4"/>
      <c r="O19" s="4"/>
      <c r="P19" s="4"/>
      <c r="Q19" s="4"/>
      <c r="R19" s="4"/>
      <c r="S19" s="4">
        <f t="shared" si="1"/>
        <v>7000000</v>
      </c>
      <c r="T19" s="4">
        <f>+L19*4%</f>
        <v>280000</v>
      </c>
      <c r="U19" s="4">
        <f>+L19*5%</f>
        <v>350000</v>
      </c>
      <c r="V19" s="4"/>
      <c r="W19" s="4"/>
      <c r="X19" s="4">
        <v>0</v>
      </c>
      <c r="Y19" s="4"/>
      <c r="Z19" s="4"/>
      <c r="AA19" s="4"/>
      <c r="AB19" s="4">
        <f t="shared" ref="AB19:AB20" si="13">SUM(T19:AA19)</f>
        <v>630000</v>
      </c>
      <c r="AC19" s="118">
        <f t="shared" si="10"/>
        <v>6370000</v>
      </c>
    </row>
    <row r="20" spans="1:29" ht="24.95" customHeight="1" x14ac:dyDescent="0.25">
      <c r="A20" s="117"/>
      <c r="B20" s="2">
        <v>17</v>
      </c>
      <c r="C20" s="1" t="s">
        <v>167</v>
      </c>
      <c r="D20" s="1" t="s">
        <v>31</v>
      </c>
      <c r="E20" s="2" t="s">
        <v>32</v>
      </c>
      <c r="F20" s="106" t="e">
        <f>INT(YEARFRAC('[1]Perfil Sociodemografico'!F8,'[1]Perfil Sociodemografico'!G8))</f>
        <v>#VALUE!</v>
      </c>
      <c r="G20" s="107" t="s">
        <v>192</v>
      </c>
      <c r="H20" s="107" t="s">
        <v>193</v>
      </c>
      <c r="I20" s="2" t="s">
        <v>195</v>
      </c>
      <c r="J20" s="4">
        <v>5500000</v>
      </c>
      <c r="K20" s="3">
        <v>30</v>
      </c>
      <c r="L20" s="3">
        <f t="shared" si="11"/>
        <v>5500000</v>
      </c>
      <c r="M20" s="3"/>
      <c r="N20" s="4"/>
      <c r="O20" s="4"/>
      <c r="P20" s="4"/>
      <c r="Q20" s="4"/>
      <c r="R20" s="4"/>
      <c r="S20" s="4">
        <f t="shared" si="1"/>
        <v>5500000</v>
      </c>
      <c r="T20" s="4">
        <f>+L20*4%</f>
        <v>220000</v>
      </c>
      <c r="U20" s="4">
        <f>+L20*5%</f>
        <v>275000</v>
      </c>
      <c r="V20" s="4"/>
      <c r="W20" s="4"/>
      <c r="X20" s="4">
        <v>21000</v>
      </c>
      <c r="Y20" s="4"/>
      <c r="Z20" s="4"/>
      <c r="AA20" s="4"/>
      <c r="AB20" s="4">
        <f t="shared" si="13"/>
        <v>516000</v>
      </c>
      <c r="AC20" s="118">
        <f t="shared" si="10"/>
        <v>4984000</v>
      </c>
    </row>
    <row r="21" spans="1:29" ht="24.95" customHeight="1" x14ac:dyDescent="0.25">
      <c r="A21" s="117"/>
      <c r="B21" s="2">
        <v>18</v>
      </c>
      <c r="C21" s="9" t="s">
        <v>42</v>
      </c>
      <c r="D21" s="1" t="s">
        <v>31</v>
      </c>
      <c r="E21" s="2" t="s">
        <v>32</v>
      </c>
      <c r="F21" s="103" t="e">
        <f>INT(YEARFRAC('[1]Perfil Sociodemografico'!F75,'[1]Perfil Sociodemografico'!G75))</f>
        <v>#VALUE!</v>
      </c>
      <c r="G21" s="105" t="s">
        <v>192</v>
      </c>
      <c r="H21" s="105" t="s">
        <v>193</v>
      </c>
      <c r="I21" s="2" t="s">
        <v>195</v>
      </c>
      <c r="J21" s="4">
        <v>4800000</v>
      </c>
      <c r="K21" s="3">
        <v>23</v>
      </c>
      <c r="L21" s="3">
        <f t="shared" si="5"/>
        <v>3680000</v>
      </c>
      <c r="M21" s="3">
        <f>106672*7</f>
        <v>746704</v>
      </c>
      <c r="N21" s="4"/>
      <c r="O21" s="4"/>
      <c r="P21" s="4"/>
      <c r="Q21" s="4"/>
      <c r="R21" s="4">
        <v>1770000</v>
      </c>
      <c r="S21" s="4">
        <f>+L21+N21+P21+Q21+R21+O21+M21</f>
        <v>6196704</v>
      </c>
      <c r="T21" s="4">
        <f>+(J21+R21)*4%</f>
        <v>262800</v>
      </c>
      <c r="U21" s="4">
        <f>+(J21+R21)*5%</f>
        <v>328500</v>
      </c>
      <c r="V21" s="4"/>
      <c r="W21" s="4"/>
      <c r="X21" s="4">
        <v>0</v>
      </c>
      <c r="Y21" s="4"/>
      <c r="Z21" s="4"/>
      <c r="AA21" s="4"/>
      <c r="AB21" s="4">
        <f t="shared" si="6"/>
        <v>591300</v>
      </c>
      <c r="AC21" s="118">
        <f t="shared" si="10"/>
        <v>5605404</v>
      </c>
    </row>
    <row r="22" spans="1:29" ht="24.95" customHeight="1" x14ac:dyDescent="0.25">
      <c r="A22" s="117"/>
      <c r="B22" s="2">
        <v>19</v>
      </c>
      <c r="C22" s="9" t="s">
        <v>201</v>
      </c>
      <c r="D22" s="1" t="s">
        <v>31</v>
      </c>
      <c r="E22" s="2" t="s">
        <v>32</v>
      </c>
      <c r="F22" s="103" t="e">
        <f>INT(YEARFRAC('[1]Perfil Sociodemografico'!F103,'[1]Perfil Sociodemografico'!G103))</f>
        <v>#VALUE!</v>
      </c>
      <c r="G22" s="105" t="s">
        <v>198</v>
      </c>
      <c r="H22" s="105" t="s">
        <v>193</v>
      </c>
      <c r="I22" s="2" t="s">
        <v>195</v>
      </c>
      <c r="J22" s="4">
        <v>6200000</v>
      </c>
      <c r="K22" s="3">
        <v>30</v>
      </c>
      <c r="L22" s="3">
        <f t="shared" si="5"/>
        <v>6200000</v>
      </c>
      <c r="M22" s="3"/>
      <c r="N22" s="4"/>
      <c r="O22" s="4"/>
      <c r="P22" s="4"/>
      <c r="Q22" s="4"/>
      <c r="R22" s="4"/>
      <c r="S22" s="4">
        <f t="shared" ref="S22" si="14">+L22+N22+P22+Q22+R22+O22</f>
        <v>6200000</v>
      </c>
      <c r="T22" s="4">
        <f>+L22*4%</f>
        <v>248000</v>
      </c>
      <c r="U22" s="4">
        <f>+L22*0.05</f>
        <v>310000</v>
      </c>
      <c r="V22" s="4"/>
      <c r="W22" s="4"/>
      <c r="X22" s="4">
        <v>153000</v>
      </c>
      <c r="Y22" s="4"/>
      <c r="Z22" s="4"/>
      <c r="AA22" s="4"/>
      <c r="AB22" s="4">
        <f t="shared" ref="AB22:AB24" si="15">SUM(T22:AA22)</f>
        <v>711000</v>
      </c>
      <c r="AC22" s="118">
        <f t="shared" si="10"/>
        <v>5489000</v>
      </c>
    </row>
    <row r="23" spans="1:29" ht="24.95" customHeight="1" x14ac:dyDescent="0.25">
      <c r="A23" s="117"/>
      <c r="B23" s="2">
        <v>20</v>
      </c>
      <c r="C23" s="9" t="s">
        <v>161</v>
      </c>
      <c r="D23" s="1" t="s">
        <v>31</v>
      </c>
      <c r="E23" s="2" t="s">
        <v>32</v>
      </c>
      <c r="F23" s="103" t="e">
        <f>INT(YEARFRAC('[1]Perfil Sociodemografico'!F21,'[1]Perfil Sociodemografico'!G21))</f>
        <v>#VALUE!</v>
      </c>
      <c r="G23" s="104" t="s">
        <v>197</v>
      </c>
      <c r="H23" s="104" t="s">
        <v>193</v>
      </c>
      <c r="I23" s="2" t="s">
        <v>195</v>
      </c>
      <c r="J23" s="4">
        <v>4600000</v>
      </c>
      <c r="K23" s="3">
        <v>30</v>
      </c>
      <c r="L23" s="3">
        <f t="shared" si="5"/>
        <v>4600000</v>
      </c>
      <c r="M23" s="3"/>
      <c r="N23" s="4"/>
      <c r="O23" s="4"/>
      <c r="P23" s="4"/>
      <c r="Q23" s="4"/>
      <c r="R23" s="4"/>
      <c r="S23" s="4">
        <f t="shared" si="1"/>
        <v>4600000</v>
      </c>
      <c r="T23" s="4">
        <f>+J23*4%</f>
        <v>184000</v>
      </c>
      <c r="U23" s="4">
        <f>+J23*0.05</f>
        <v>230000</v>
      </c>
      <c r="V23" s="4"/>
      <c r="W23" s="4"/>
      <c r="X23" s="4">
        <v>24000</v>
      </c>
      <c r="Y23" s="4"/>
      <c r="Z23" s="4"/>
      <c r="AA23" s="4"/>
      <c r="AB23" s="4">
        <f t="shared" si="15"/>
        <v>438000</v>
      </c>
      <c r="AC23" s="118">
        <f t="shared" si="10"/>
        <v>4162000</v>
      </c>
    </row>
    <row r="24" spans="1:29" ht="24.95" customHeight="1" x14ac:dyDescent="0.25">
      <c r="A24" s="117"/>
      <c r="B24" s="2">
        <v>21</v>
      </c>
      <c r="C24" s="9" t="s">
        <v>235</v>
      </c>
      <c r="D24" s="1" t="s">
        <v>31</v>
      </c>
      <c r="E24" s="2" t="s">
        <v>32</v>
      </c>
      <c r="F24" s="103"/>
      <c r="G24" s="104"/>
      <c r="H24" s="104"/>
      <c r="I24" s="2"/>
      <c r="J24" s="4">
        <v>5600000</v>
      </c>
      <c r="K24" s="3">
        <v>29</v>
      </c>
      <c r="L24" s="3">
        <f t="shared" si="5"/>
        <v>5413333.333333333</v>
      </c>
      <c r="M24" s="3">
        <v>124451</v>
      </c>
      <c r="N24" s="4">
        <f>+(400000/30)*30</f>
        <v>400000</v>
      </c>
      <c r="O24" s="4"/>
      <c r="P24" s="4"/>
      <c r="Q24" s="4"/>
      <c r="R24" s="4"/>
      <c r="S24" s="4">
        <f>+L24+N24+P24+Q24+R24+O24+M24</f>
        <v>5937784.333333333</v>
      </c>
      <c r="T24" s="4">
        <f>+J24*4%</f>
        <v>224000</v>
      </c>
      <c r="U24" s="4">
        <f>+J24*0.05</f>
        <v>280000</v>
      </c>
      <c r="V24" s="4"/>
      <c r="W24" s="4"/>
      <c r="X24" s="4">
        <v>9300</v>
      </c>
      <c r="Y24" s="4"/>
      <c r="Z24" s="4"/>
      <c r="AA24" s="4"/>
      <c r="AB24" s="4">
        <f t="shared" si="15"/>
        <v>513300</v>
      </c>
      <c r="AC24" s="118">
        <f t="shared" si="10"/>
        <v>5424484.333333333</v>
      </c>
    </row>
    <row r="25" spans="1:29" ht="24.95" customHeight="1" x14ac:dyDescent="0.25">
      <c r="A25" s="117"/>
      <c r="B25" s="2">
        <v>22</v>
      </c>
      <c r="C25" s="9" t="s">
        <v>44</v>
      </c>
      <c r="D25" s="1" t="s">
        <v>31</v>
      </c>
      <c r="E25" s="2" t="s">
        <v>32</v>
      </c>
      <c r="F25" s="103" t="e">
        <f>INT(YEARFRAC('[1]Perfil Sociodemografico'!F112,'[1]Perfil Sociodemografico'!G112))</f>
        <v>#VALUE!</v>
      </c>
      <c r="G25" s="105" t="s">
        <v>192</v>
      </c>
      <c r="H25" s="105" t="s">
        <v>193</v>
      </c>
      <c r="I25" s="2" t="s">
        <v>195</v>
      </c>
      <c r="J25" s="4">
        <v>4400000</v>
      </c>
      <c r="K25" s="3">
        <v>30</v>
      </c>
      <c r="L25" s="3">
        <f t="shared" si="5"/>
        <v>4400000</v>
      </c>
      <c r="M25" s="3"/>
      <c r="N25" s="4"/>
      <c r="O25" s="4"/>
      <c r="P25" s="4"/>
      <c r="Q25" s="4"/>
      <c r="R25" s="4">
        <v>756250</v>
      </c>
      <c r="S25" s="4">
        <f t="shared" si="1"/>
        <v>5156250</v>
      </c>
      <c r="T25" s="4">
        <f>+S25*0.04</f>
        <v>206250</v>
      </c>
      <c r="U25" s="4">
        <f>+S25*0.05</f>
        <v>257812.5</v>
      </c>
      <c r="V25" s="4"/>
      <c r="W25" s="4"/>
      <c r="X25" s="4"/>
      <c r="Y25" s="4"/>
      <c r="Z25" s="4"/>
      <c r="AA25" s="4"/>
      <c r="AB25" s="4">
        <f t="shared" si="6"/>
        <v>464062.5</v>
      </c>
      <c r="AC25" s="118">
        <f t="shared" si="10"/>
        <v>4692187.5</v>
      </c>
    </row>
    <row r="26" spans="1:29" ht="24.95" customHeight="1" x14ac:dyDescent="0.25">
      <c r="A26" s="117"/>
      <c r="B26" s="2">
        <v>23</v>
      </c>
      <c r="C26" s="9" t="s">
        <v>46</v>
      </c>
      <c r="D26" s="1" t="s">
        <v>31</v>
      </c>
      <c r="E26" s="2" t="s">
        <v>32</v>
      </c>
      <c r="F26" s="103" t="e">
        <f>INT(YEARFRAC('[1]Perfil Sociodemografico'!F29,'[1]Perfil Sociodemografico'!G29))</f>
        <v>#VALUE!</v>
      </c>
      <c r="G26" s="104" t="s">
        <v>192</v>
      </c>
      <c r="H26" s="104" t="s">
        <v>193</v>
      </c>
      <c r="I26" s="2" t="s">
        <v>195</v>
      </c>
      <c r="J26" s="4">
        <v>5500000</v>
      </c>
      <c r="K26" s="3">
        <v>30</v>
      </c>
      <c r="L26" s="3">
        <f t="shared" si="5"/>
        <v>5500000</v>
      </c>
      <c r="M26" s="3"/>
      <c r="N26" s="4"/>
      <c r="O26" s="4"/>
      <c r="P26" s="4"/>
      <c r="Q26" s="4"/>
      <c r="R26" s="4">
        <v>1258984</v>
      </c>
      <c r="S26" s="4">
        <f t="shared" si="1"/>
        <v>6758984</v>
      </c>
      <c r="T26" s="4">
        <f>+S26*0.04</f>
        <v>270359.36</v>
      </c>
      <c r="U26" s="4">
        <f>+S26*0.05</f>
        <v>337949.2</v>
      </c>
      <c r="V26" s="4"/>
      <c r="W26" s="4"/>
      <c r="X26" s="4">
        <v>83397</v>
      </c>
      <c r="Y26" s="4"/>
      <c r="Z26" s="4"/>
      <c r="AA26" s="4"/>
      <c r="AB26" s="4">
        <f t="shared" si="6"/>
        <v>691705.56</v>
      </c>
      <c r="AC26" s="118">
        <f t="shared" si="10"/>
        <v>6067278.4399999995</v>
      </c>
    </row>
    <row r="27" spans="1:29" ht="24.95" customHeight="1" x14ac:dyDescent="0.25">
      <c r="A27" s="117"/>
      <c r="B27" s="2">
        <v>24</v>
      </c>
      <c r="C27" s="9" t="s">
        <v>247</v>
      </c>
      <c r="D27" s="1"/>
      <c r="E27" s="2"/>
      <c r="F27" s="103"/>
      <c r="G27" s="104"/>
      <c r="H27" s="104"/>
      <c r="I27" s="2"/>
      <c r="J27" s="4">
        <v>5500000</v>
      </c>
      <c r="K27" s="3">
        <v>13</v>
      </c>
      <c r="L27" s="3">
        <f t="shared" si="5"/>
        <v>2383333.3333333335</v>
      </c>
      <c r="M27" s="3"/>
      <c r="N27" s="4"/>
      <c r="O27" s="4"/>
      <c r="P27" s="4"/>
      <c r="Q27" s="4"/>
      <c r="R27" s="4"/>
      <c r="S27" s="4">
        <f t="shared" si="1"/>
        <v>2383333.3333333335</v>
      </c>
      <c r="T27" s="4">
        <f>+L27*0.04</f>
        <v>95333.333333333343</v>
      </c>
      <c r="U27" s="4">
        <f>+L27*0.04</f>
        <v>95333.333333333343</v>
      </c>
      <c r="V27" s="4"/>
      <c r="W27" s="4"/>
      <c r="X27" s="4"/>
      <c r="Y27" s="4"/>
      <c r="Z27" s="4"/>
      <c r="AA27" s="4"/>
      <c r="AB27" s="4">
        <f t="shared" si="6"/>
        <v>190666.66666666669</v>
      </c>
      <c r="AC27" s="118">
        <f t="shared" si="10"/>
        <v>2192666.666666667</v>
      </c>
    </row>
    <row r="28" spans="1:29" ht="24.95" customHeight="1" x14ac:dyDescent="0.25">
      <c r="A28" s="117"/>
      <c r="B28" s="2">
        <v>25</v>
      </c>
      <c r="C28" s="1" t="s">
        <v>150</v>
      </c>
      <c r="D28" s="1" t="s">
        <v>31</v>
      </c>
      <c r="E28" s="2" t="s">
        <v>32</v>
      </c>
      <c r="F28" s="103" t="e">
        <f>INT(YEARFRAC('[1]Perfil Sociodemografico'!F71,'[1]Perfil Sociodemografico'!G71))</f>
        <v>#VALUE!</v>
      </c>
      <c r="G28" s="104" t="s">
        <v>202</v>
      </c>
      <c r="H28" s="104" t="s">
        <v>193</v>
      </c>
      <c r="I28" s="2" t="s">
        <v>195</v>
      </c>
      <c r="J28" s="4">
        <v>7000000</v>
      </c>
      <c r="K28" s="3">
        <v>30</v>
      </c>
      <c r="L28" s="3">
        <f t="shared" si="5"/>
        <v>7000000</v>
      </c>
      <c r="M28" s="3"/>
      <c r="N28" s="4"/>
      <c r="O28" s="4"/>
      <c r="P28" s="4"/>
      <c r="Q28" s="4"/>
      <c r="R28" s="4"/>
      <c r="S28" s="4">
        <f>+L28+N28+P28+Q28+R28+O28</f>
        <v>7000000</v>
      </c>
      <c r="T28" s="4">
        <f>S28*4%</f>
        <v>280000</v>
      </c>
      <c r="U28" s="4">
        <f>+S28*5%</f>
        <v>350000</v>
      </c>
      <c r="V28" s="4"/>
      <c r="W28" s="4">
        <v>147000</v>
      </c>
      <c r="X28" s="4">
        <v>209509</v>
      </c>
      <c r="Y28" s="4"/>
      <c r="Z28" s="4"/>
      <c r="AA28" s="4"/>
      <c r="AB28" s="4">
        <f>SUM(T28:AA28)</f>
        <v>986509</v>
      </c>
      <c r="AC28" s="118">
        <f>S28-AB28</f>
        <v>6013491</v>
      </c>
    </row>
    <row r="29" spans="1:29" ht="24.95" customHeight="1" x14ac:dyDescent="0.25">
      <c r="A29" s="117"/>
      <c r="B29" s="2">
        <v>26</v>
      </c>
      <c r="C29" s="9" t="s">
        <v>47</v>
      </c>
      <c r="D29" s="1" t="s">
        <v>31</v>
      </c>
      <c r="E29" s="2" t="s">
        <v>32</v>
      </c>
      <c r="F29" s="103" t="e">
        <f>INT(YEARFRAC('[1]Perfil Sociodemografico'!F23,'[1]Perfil Sociodemografico'!G23))</f>
        <v>#VALUE!</v>
      </c>
      <c r="G29" s="105" t="s">
        <v>198</v>
      </c>
      <c r="H29" s="105" t="s">
        <v>193</v>
      </c>
      <c r="I29" s="2" t="s">
        <v>195</v>
      </c>
      <c r="J29" s="4">
        <v>5200000</v>
      </c>
      <c r="K29" s="3">
        <v>30</v>
      </c>
      <c r="L29" s="3">
        <f t="shared" si="5"/>
        <v>5200000</v>
      </c>
      <c r="M29" s="3"/>
      <c r="N29" s="4"/>
      <c r="O29" s="4"/>
      <c r="P29" s="4"/>
      <c r="Q29" s="4"/>
      <c r="R29" s="4"/>
      <c r="S29" s="4">
        <f t="shared" si="1"/>
        <v>5200000</v>
      </c>
      <c r="T29" s="4">
        <f>+J29*4%</f>
        <v>208000</v>
      </c>
      <c r="U29" s="4">
        <f>+J29*5%</f>
        <v>260000</v>
      </c>
      <c r="V29" s="4"/>
      <c r="W29" s="4"/>
      <c r="X29" s="4">
        <v>46204</v>
      </c>
      <c r="Y29" s="4"/>
      <c r="Z29" s="4"/>
      <c r="AA29" s="4"/>
      <c r="AB29" s="4">
        <f t="shared" si="6"/>
        <v>514204</v>
      </c>
      <c r="AC29" s="118">
        <f t="shared" si="10"/>
        <v>4685796</v>
      </c>
    </row>
    <row r="30" spans="1:29" ht="24.95" customHeight="1" x14ac:dyDescent="0.25">
      <c r="A30" s="117"/>
      <c r="B30" s="2">
        <v>27</v>
      </c>
      <c r="C30" s="1" t="s">
        <v>48</v>
      </c>
      <c r="D30" s="1" t="s">
        <v>31</v>
      </c>
      <c r="E30" s="2" t="s">
        <v>32</v>
      </c>
      <c r="F30" s="103" t="e">
        <f>INT(YEARFRAC('[1]Perfil Sociodemografico'!F61,'[1]Perfil Sociodemografico'!G61))</f>
        <v>#VALUE!</v>
      </c>
      <c r="G30" s="105" t="s">
        <v>198</v>
      </c>
      <c r="H30" s="105" t="s">
        <v>193</v>
      </c>
      <c r="I30" s="2" t="s">
        <v>195</v>
      </c>
      <c r="J30" s="4">
        <v>5500000</v>
      </c>
      <c r="K30" s="3">
        <v>30</v>
      </c>
      <c r="L30" s="3">
        <f>+J30-R30</f>
        <v>5500000</v>
      </c>
      <c r="M30" s="3"/>
      <c r="N30" s="4"/>
      <c r="O30" s="4"/>
      <c r="P30" s="4"/>
      <c r="Q30" s="4">
        <v>450000</v>
      </c>
      <c r="R30" s="4"/>
      <c r="S30" s="4">
        <f t="shared" si="1"/>
        <v>5950000</v>
      </c>
      <c r="T30" s="4">
        <f>+J30*4%</f>
        <v>220000</v>
      </c>
      <c r="U30" s="4">
        <f>+J30*5%</f>
        <v>275000</v>
      </c>
      <c r="V30" s="4"/>
      <c r="W30" s="4"/>
      <c r="X30" s="7">
        <v>150521</v>
      </c>
      <c r="Y30" s="4">
        <v>1365000</v>
      </c>
      <c r="Z30" s="4"/>
      <c r="AA30" s="4"/>
      <c r="AB30" s="4">
        <f t="shared" si="6"/>
        <v>2010521</v>
      </c>
      <c r="AC30" s="118">
        <f t="shared" si="10"/>
        <v>3939479</v>
      </c>
    </row>
    <row r="31" spans="1:29" ht="24.95" customHeight="1" x14ac:dyDescent="0.25">
      <c r="A31" s="117"/>
      <c r="B31" s="2">
        <v>28</v>
      </c>
      <c r="C31" s="1" t="s">
        <v>49</v>
      </c>
      <c r="D31" s="1" t="s">
        <v>31</v>
      </c>
      <c r="E31" s="2" t="s">
        <v>32</v>
      </c>
      <c r="F31" s="103" t="e">
        <f>INT(YEARFRAC('[1]Perfil Sociodemografico'!F28,'[1]Perfil Sociodemografico'!G28))</f>
        <v>#VALUE!</v>
      </c>
      <c r="G31" s="104" t="s">
        <v>203</v>
      </c>
      <c r="H31" s="104" t="s">
        <v>193</v>
      </c>
      <c r="I31" s="2" t="s">
        <v>195</v>
      </c>
      <c r="J31" s="4">
        <v>5350000</v>
      </c>
      <c r="K31" s="3">
        <v>30</v>
      </c>
      <c r="L31" s="3">
        <f t="shared" si="5"/>
        <v>5350000</v>
      </c>
      <c r="M31" s="3"/>
      <c r="N31" s="4"/>
      <c r="O31" s="4"/>
      <c r="P31" s="4"/>
      <c r="Q31" s="4">
        <v>1000000</v>
      </c>
      <c r="R31" s="4"/>
      <c r="S31" s="4">
        <f t="shared" si="1"/>
        <v>6350000</v>
      </c>
      <c r="T31" s="4">
        <f>+J31*4%</f>
        <v>214000</v>
      </c>
      <c r="U31" s="4">
        <f>+J31*0.05</f>
        <v>267500</v>
      </c>
      <c r="V31" s="4"/>
      <c r="W31" s="4"/>
      <c r="X31" s="7">
        <v>96000</v>
      </c>
      <c r="Y31" s="4"/>
      <c r="Z31" s="4"/>
      <c r="AA31" s="4">
        <f>810005+511813</f>
        <v>1321818</v>
      </c>
      <c r="AB31" s="4">
        <f t="shared" si="6"/>
        <v>1899318</v>
      </c>
      <c r="AC31" s="118">
        <f t="shared" ref="AC31:AC37" si="16">S31-AB31</f>
        <v>4450682</v>
      </c>
    </row>
    <row r="32" spans="1:29" ht="24.95" customHeight="1" x14ac:dyDescent="0.25">
      <c r="A32" s="117"/>
      <c r="B32" s="2">
        <v>29</v>
      </c>
      <c r="C32" s="1" t="s">
        <v>168</v>
      </c>
      <c r="D32" s="1" t="s">
        <v>31</v>
      </c>
      <c r="E32" s="2" t="s">
        <v>32</v>
      </c>
      <c r="F32" s="103" t="e">
        <f>INT(YEARFRAC('[1]Perfil Sociodemografico'!F122,'[1]Perfil Sociodemografico'!G122))</f>
        <v>#VALUE!</v>
      </c>
      <c r="G32" s="104" t="s">
        <v>192</v>
      </c>
      <c r="H32" s="104" t="s">
        <v>199</v>
      </c>
      <c r="I32" s="2" t="s">
        <v>195</v>
      </c>
      <c r="J32" s="4">
        <v>5000000</v>
      </c>
      <c r="K32" s="3">
        <v>30</v>
      </c>
      <c r="L32" s="3">
        <f t="shared" si="5"/>
        <v>5000000</v>
      </c>
      <c r="M32" s="3"/>
      <c r="N32" s="4"/>
      <c r="O32" s="4"/>
      <c r="P32" s="4"/>
      <c r="Q32" s="4"/>
      <c r="R32" s="4"/>
      <c r="S32" s="4">
        <f t="shared" si="1"/>
        <v>5000000</v>
      </c>
      <c r="T32" s="4">
        <f>+L32*4%</f>
        <v>200000</v>
      </c>
      <c r="U32" s="4">
        <f>+L32*5%</f>
        <v>250000</v>
      </c>
      <c r="V32" s="4"/>
      <c r="W32" s="4"/>
      <c r="X32" s="7">
        <v>78000</v>
      </c>
      <c r="Y32" s="4"/>
      <c r="Z32" s="4"/>
      <c r="AA32" s="4"/>
      <c r="AB32" s="4">
        <f t="shared" ref="AB32" si="17">SUM(T32:AA32)</f>
        <v>528000</v>
      </c>
      <c r="AC32" s="118">
        <f t="shared" si="16"/>
        <v>4472000</v>
      </c>
    </row>
    <row r="33" spans="1:30" ht="24.95" customHeight="1" x14ac:dyDescent="0.25">
      <c r="A33" s="117"/>
      <c r="B33" s="2">
        <v>30</v>
      </c>
      <c r="C33" s="1" t="s">
        <v>176</v>
      </c>
      <c r="D33" s="1" t="s">
        <v>31</v>
      </c>
      <c r="E33" s="2" t="s">
        <v>32</v>
      </c>
      <c r="F33" s="103" t="e">
        <f>INT(YEARFRAC('[1]Perfil Sociodemografico'!F82,'[1]Perfil Sociodemografico'!G82))</f>
        <v>#VALUE!</v>
      </c>
      <c r="G33" s="104" t="s">
        <v>204</v>
      </c>
      <c r="H33" s="104" t="s">
        <v>199</v>
      </c>
      <c r="I33" s="2" t="s">
        <v>195</v>
      </c>
      <c r="J33" s="4">
        <v>7000000</v>
      </c>
      <c r="K33" s="3">
        <v>30</v>
      </c>
      <c r="L33" s="3">
        <f t="shared" si="5"/>
        <v>7000000</v>
      </c>
      <c r="M33" s="3"/>
      <c r="N33" s="4"/>
      <c r="O33" s="4"/>
      <c r="P33" s="4"/>
      <c r="Q33" s="4"/>
      <c r="R33" s="4"/>
      <c r="S33" s="4">
        <f t="shared" si="1"/>
        <v>7000000</v>
      </c>
      <c r="T33" s="4">
        <f>+S33*4%</f>
        <v>280000</v>
      </c>
      <c r="U33" s="4">
        <f>+S33*5%</f>
        <v>350000</v>
      </c>
      <c r="V33" s="4"/>
      <c r="W33" s="4"/>
      <c r="X33" s="7">
        <v>309000</v>
      </c>
      <c r="Y33" s="4"/>
      <c r="Z33" s="4"/>
      <c r="AA33" s="4"/>
      <c r="AB33" s="4">
        <f t="shared" ref="AB33" si="18">SUM(T33:AA33)</f>
        <v>939000</v>
      </c>
      <c r="AC33" s="118">
        <f t="shared" si="16"/>
        <v>6061000</v>
      </c>
    </row>
    <row r="34" spans="1:30" ht="24.95" customHeight="1" x14ac:dyDescent="0.25">
      <c r="A34" s="117"/>
      <c r="B34" s="2">
        <v>31</v>
      </c>
      <c r="C34" s="1" t="s">
        <v>50</v>
      </c>
      <c r="D34" s="1" t="s">
        <v>31</v>
      </c>
      <c r="E34" s="2" t="s">
        <v>32</v>
      </c>
      <c r="F34" s="103" t="e">
        <f>INT(YEARFRAC('[1]Perfil Sociodemografico'!F102,'[1]Perfil Sociodemografico'!G102))</f>
        <v>#VALUE!</v>
      </c>
      <c r="G34" s="105" t="s">
        <v>204</v>
      </c>
      <c r="H34" s="105" t="s">
        <v>193</v>
      </c>
      <c r="I34" s="2" t="s">
        <v>195</v>
      </c>
      <c r="J34" s="4">
        <v>7000000</v>
      </c>
      <c r="K34" s="3">
        <v>30</v>
      </c>
      <c r="L34" s="3">
        <f>+J34-N34</f>
        <v>7000000</v>
      </c>
      <c r="M34" s="3"/>
      <c r="N34" s="4"/>
      <c r="O34" s="4"/>
      <c r="P34" s="4"/>
      <c r="Q34" s="4"/>
      <c r="R34" s="4"/>
      <c r="S34" s="4">
        <f t="shared" si="1"/>
        <v>7000000</v>
      </c>
      <c r="T34" s="4">
        <f>+J34*4%</f>
        <v>280000</v>
      </c>
      <c r="U34" s="4">
        <f>+J34*0.05</f>
        <v>350000</v>
      </c>
      <c r="V34" s="4"/>
      <c r="W34" s="4"/>
      <c r="X34" s="7">
        <v>128000</v>
      </c>
      <c r="Y34" s="4"/>
      <c r="Z34" s="4"/>
      <c r="AA34" s="4"/>
      <c r="AB34" s="4">
        <f t="shared" si="6"/>
        <v>758000</v>
      </c>
      <c r="AC34" s="118">
        <f t="shared" si="16"/>
        <v>6242000</v>
      </c>
    </row>
    <row r="35" spans="1:30" ht="24.95" customHeight="1" x14ac:dyDescent="0.25">
      <c r="A35" s="117"/>
      <c r="B35" s="2">
        <v>32</v>
      </c>
      <c r="C35" s="1" t="s">
        <v>51</v>
      </c>
      <c r="D35" s="1" t="s">
        <v>31</v>
      </c>
      <c r="E35" s="2" t="s">
        <v>32</v>
      </c>
      <c r="F35" s="103" t="e">
        <f>INT(YEARFRAC('[1]Perfil Sociodemografico'!F63,'[1]Perfil Sociodemografico'!G63))</f>
        <v>#VALUE!</v>
      </c>
      <c r="G35" s="104" t="s">
        <v>192</v>
      </c>
      <c r="H35" s="104" t="s">
        <v>193</v>
      </c>
      <c r="I35" s="2" t="s">
        <v>195</v>
      </c>
      <c r="J35" s="4">
        <v>7314000</v>
      </c>
      <c r="K35" s="3">
        <v>30</v>
      </c>
      <c r="L35" s="3">
        <f t="shared" si="5"/>
        <v>7314000</v>
      </c>
      <c r="M35" s="3"/>
      <c r="N35" s="4"/>
      <c r="O35" s="4"/>
      <c r="P35" s="4"/>
      <c r="Q35" s="4">
        <v>1400000</v>
      </c>
      <c r="R35" s="10"/>
      <c r="S35" s="4">
        <f t="shared" si="1"/>
        <v>8714000</v>
      </c>
      <c r="T35" s="4">
        <f>+J35*4%</f>
        <v>292560</v>
      </c>
      <c r="U35" s="4">
        <f>+J35*5%</f>
        <v>365700</v>
      </c>
      <c r="V35" s="4"/>
      <c r="W35" s="4"/>
      <c r="X35" s="7">
        <v>162000</v>
      </c>
      <c r="Y35" s="4">
        <v>1300000</v>
      </c>
      <c r="Z35" s="4"/>
      <c r="AA35" s="4"/>
      <c r="AB35" s="4">
        <f t="shared" si="6"/>
        <v>2120260</v>
      </c>
      <c r="AC35" s="118">
        <f t="shared" si="16"/>
        <v>6593740</v>
      </c>
    </row>
    <row r="36" spans="1:30" ht="24.95" customHeight="1" x14ac:dyDescent="0.25">
      <c r="A36" s="117"/>
      <c r="B36" s="2">
        <v>33</v>
      </c>
      <c r="C36" s="1" t="s">
        <v>177</v>
      </c>
      <c r="D36" s="1" t="s">
        <v>31</v>
      </c>
      <c r="E36" s="2" t="s">
        <v>32</v>
      </c>
      <c r="F36" s="103" t="e">
        <f>INT(YEARFRAC('[1]Perfil Sociodemografico'!F83,'[1]Perfil Sociodemografico'!G83))</f>
        <v>#VALUE!</v>
      </c>
      <c r="G36" s="104" t="s">
        <v>192</v>
      </c>
      <c r="H36" s="104" t="s">
        <v>199</v>
      </c>
      <c r="I36" s="2" t="s">
        <v>195</v>
      </c>
      <c r="J36" s="4">
        <v>5500000</v>
      </c>
      <c r="K36" s="3">
        <v>30</v>
      </c>
      <c r="L36" s="3">
        <f t="shared" si="5"/>
        <v>5500000</v>
      </c>
      <c r="M36" s="3"/>
      <c r="N36" s="4"/>
      <c r="O36" s="4"/>
      <c r="P36" s="4"/>
      <c r="Q36" s="4"/>
      <c r="R36" s="10"/>
      <c r="S36" s="4">
        <f t="shared" si="1"/>
        <v>5500000</v>
      </c>
      <c r="T36" s="4">
        <f>+L36*4%</f>
        <v>220000</v>
      </c>
      <c r="U36" s="4">
        <f>+L36*5%</f>
        <v>275000</v>
      </c>
      <c r="V36" s="4"/>
      <c r="W36" s="4"/>
      <c r="X36" s="7">
        <v>36000</v>
      </c>
      <c r="Y36" s="4"/>
      <c r="Z36" s="4"/>
      <c r="AA36" s="4"/>
      <c r="AB36" s="4">
        <f t="shared" ref="AB36" si="19">SUM(T36:AA36)</f>
        <v>531000</v>
      </c>
      <c r="AC36" s="118">
        <f t="shared" si="16"/>
        <v>4969000</v>
      </c>
    </row>
    <row r="37" spans="1:30" ht="24.95" customHeight="1" x14ac:dyDescent="0.25">
      <c r="A37" s="117"/>
      <c r="B37" s="2">
        <v>34</v>
      </c>
      <c r="C37" s="9" t="s">
        <v>151</v>
      </c>
      <c r="D37" s="1" t="s">
        <v>31</v>
      </c>
      <c r="E37" s="2" t="s">
        <v>32</v>
      </c>
      <c r="F37" s="103" t="e">
        <f>INT(YEARFRAC('[1]Perfil Sociodemografico'!F40,'[1]Perfil Sociodemografico'!G40))</f>
        <v>#VALUE!</v>
      </c>
      <c r="G37" s="104" t="s">
        <v>192</v>
      </c>
      <c r="H37" s="104" t="s">
        <v>193</v>
      </c>
      <c r="I37" s="2" t="s">
        <v>195</v>
      </c>
      <c r="J37" s="4">
        <v>4500000</v>
      </c>
      <c r="K37" s="3">
        <v>30</v>
      </c>
      <c r="L37" s="3">
        <f t="shared" si="5"/>
        <v>4500000</v>
      </c>
      <c r="M37" s="3"/>
      <c r="N37" s="4"/>
      <c r="O37" s="4"/>
      <c r="P37" s="4"/>
      <c r="Q37" s="4"/>
      <c r="R37" s="4"/>
      <c r="S37" s="4">
        <f>+L37+N37+P37+Q37+R37+O37</f>
        <v>4500000</v>
      </c>
      <c r="T37" s="4">
        <v>180000</v>
      </c>
      <c r="U37" s="4">
        <v>225000</v>
      </c>
      <c r="V37" s="4"/>
      <c r="W37" s="4"/>
      <c r="X37" s="4"/>
      <c r="Y37" s="4"/>
      <c r="Z37" s="4"/>
      <c r="AA37" s="4"/>
      <c r="AB37" s="4">
        <f>SUM(T37:AA37)</f>
        <v>405000</v>
      </c>
      <c r="AC37" s="118">
        <f t="shared" si="16"/>
        <v>4095000</v>
      </c>
    </row>
    <row r="38" spans="1:30" ht="24.95" customHeight="1" x14ac:dyDescent="0.25">
      <c r="A38" s="117"/>
      <c r="B38" s="2">
        <v>35</v>
      </c>
      <c r="C38" s="1" t="s">
        <v>52</v>
      </c>
      <c r="D38" s="1" t="s">
        <v>31</v>
      </c>
      <c r="E38" s="2" t="s">
        <v>32</v>
      </c>
      <c r="F38" s="103" t="e">
        <f>INT(YEARFRAC('[1]Perfil Sociodemografico'!F24,'[1]Perfil Sociodemografico'!G24))</f>
        <v>#VALUE!</v>
      </c>
      <c r="G38" s="104" t="s">
        <v>192</v>
      </c>
      <c r="H38" s="104" t="s">
        <v>193</v>
      </c>
      <c r="I38" s="2" t="s">
        <v>195</v>
      </c>
      <c r="J38" s="4">
        <v>5500000</v>
      </c>
      <c r="K38" s="3">
        <v>30</v>
      </c>
      <c r="L38" s="3">
        <f t="shared" si="5"/>
        <v>5500000</v>
      </c>
      <c r="M38" s="3"/>
      <c r="N38" s="4"/>
      <c r="O38" s="4"/>
      <c r="P38" s="4"/>
      <c r="Q38" s="4"/>
      <c r="R38" s="4">
        <v>996875</v>
      </c>
      <c r="S38" s="4">
        <f t="shared" si="1"/>
        <v>6496875</v>
      </c>
      <c r="T38" s="4">
        <f>S38*4/100</f>
        <v>259875</v>
      </c>
      <c r="U38" s="4">
        <f>+S38*5%</f>
        <v>324843.75</v>
      </c>
      <c r="V38" s="4"/>
      <c r="W38" s="4"/>
      <c r="X38" s="4">
        <v>0</v>
      </c>
      <c r="Y38" s="4">
        <v>550000</v>
      </c>
      <c r="Z38" s="4"/>
      <c r="AA38" s="4"/>
      <c r="AB38" s="4">
        <f t="shared" si="6"/>
        <v>1134718.75</v>
      </c>
      <c r="AC38" s="118">
        <f t="shared" ref="AC38:AC44" si="20">+S38-AB38</f>
        <v>5362156.25</v>
      </c>
    </row>
    <row r="39" spans="1:30" ht="24.95" customHeight="1" x14ac:dyDescent="0.25">
      <c r="A39" s="117"/>
      <c r="B39" s="2">
        <v>36</v>
      </c>
      <c r="C39" s="1" t="s">
        <v>152</v>
      </c>
      <c r="D39" s="1" t="s">
        <v>31</v>
      </c>
      <c r="E39" s="2" t="s">
        <v>32</v>
      </c>
      <c r="F39" s="103" t="e">
        <f>INT(YEARFRAC('[1]Perfil Sociodemografico'!F115,'[1]Perfil Sociodemografico'!G115))</f>
        <v>#VALUE!</v>
      </c>
      <c r="G39" s="105" t="s">
        <v>192</v>
      </c>
      <c r="H39" s="105" t="s">
        <v>193</v>
      </c>
      <c r="I39" s="2" t="s">
        <v>195</v>
      </c>
      <c r="J39" s="4">
        <v>4500000</v>
      </c>
      <c r="K39" s="3">
        <v>30</v>
      </c>
      <c r="L39" s="3">
        <f>+J39/30*K39</f>
        <v>4500000</v>
      </c>
      <c r="M39" s="3"/>
      <c r="N39" s="4"/>
      <c r="O39" s="4"/>
      <c r="P39" s="4"/>
      <c r="Q39" s="4"/>
      <c r="R39" s="4"/>
      <c r="S39" s="4">
        <f t="shared" si="1"/>
        <v>4500000</v>
      </c>
      <c r="T39" s="4">
        <f>S39*4/100</f>
        <v>180000</v>
      </c>
      <c r="U39" s="4">
        <f>+S39*0.05</f>
        <v>225000</v>
      </c>
      <c r="V39" s="4"/>
      <c r="W39" s="4"/>
      <c r="X39" s="7">
        <v>11000</v>
      </c>
      <c r="Y39" s="4"/>
      <c r="Z39" s="4"/>
      <c r="AA39" s="4"/>
      <c r="AB39" s="4">
        <f>SUM(T39:AA39)</f>
        <v>416000</v>
      </c>
      <c r="AC39" s="118">
        <f t="shared" si="20"/>
        <v>4084000</v>
      </c>
    </row>
    <row r="40" spans="1:30" ht="24.95" customHeight="1" x14ac:dyDescent="0.25">
      <c r="A40" s="117"/>
      <c r="B40" s="2">
        <v>37</v>
      </c>
      <c r="C40" s="1" t="s">
        <v>53</v>
      </c>
      <c r="D40" s="1" t="s">
        <v>31</v>
      </c>
      <c r="E40" s="2" t="s">
        <v>32</v>
      </c>
      <c r="F40" s="103" t="e">
        <f>INT(YEARFRAC('[1]Perfil Sociodemografico'!F30,'[1]Perfil Sociodemografico'!G30))</f>
        <v>#VALUE!</v>
      </c>
      <c r="G40" s="104" t="s">
        <v>198</v>
      </c>
      <c r="H40" s="104" t="s">
        <v>193</v>
      </c>
      <c r="I40" s="2" t="s">
        <v>195</v>
      </c>
      <c r="J40" s="4">
        <v>5300000</v>
      </c>
      <c r="K40" s="3">
        <v>30</v>
      </c>
      <c r="L40" s="3">
        <f t="shared" si="5"/>
        <v>5300000</v>
      </c>
      <c r="M40" s="3"/>
      <c r="N40" s="4"/>
      <c r="O40" s="4"/>
      <c r="P40" s="4"/>
      <c r="Q40" s="4">
        <v>1621317</v>
      </c>
      <c r="R40" s="4"/>
      <c r="S40" s="4">
        <f t="shared" si="1"/>
        <v>6921317</v>
      </c>
      <c r="T40" s="4">
        <f t="shared" ref="T40:T66" si="21">J40*4/100</f>
        <v>212000</v>
      </c>
      <c r="U40" s="4">
        <f t="shared" ref="U40:U66" si="22">+J40*0.05</f>
        <v>265000</v>
      </c>
      <c r="V40" s="4"/>
      <c r="W40" s="4"/>
      <c r="X40" s="7">
        <v>100000</v>
      </c>
      <c r="Y40" s="4">
        <v>2000000</v>
      </c>
      <c r="Z40" s="4"/>
      <c r="AA40" s="4">
        <f>884747</f>
        <v>884747</v>
      </c>
      <c r="AB40" s="4">
        <f t="shared" si="6"/>
        <v>3461747</v>
      </c>
      <c r="AC40" s="118">
        <f t="shared" si="20"/>
        <v>3459570</v>
      </c>
    </row>
    <row r="41" spans="1:30" ht="24.95" customHeight="1" x14ac:dyDescent="0.25">
      <c r="A41" s="117"/>
      <c r="B41" s="2">
        <v>38</v>
      </c>
      <c r="C41" s="1" t="s">
        <v>54</v>
      </c>
      <c r="D41" s="1" t="s">
        <v>31</v>
      </c>
      <c r="E41" s="2" t="s">
        <v>32</v>
      </c>
      <c r="F41" s="103">
        <v>32</v>
      </c>
      <c r="G41" s="104" t="s">
        <v>198</v>
      </c>
      <c r="H41" s="104" t="s">
        <v>193</v>
      </c>
      <c r="I41" s="2" t="s">
        <v>194</v>
      </c>
      <c r="J41" s="4">
        <v>4800000</v>
      </c>
      <c r="K41" s="3">
        <v>30</v>
      </c>
      <c r="L41" s="3">
        <f t="shared" si="5"/>
        <v>4800000</v>
      </c>
      <c r="M41" s="3"/>
      <c r="N41" s="4"/>
      <c r="O41" s="4"/>
      <c r="P41" s="4"/>
      <c r="Q41" s="4">
        <v>92925</v>
      </c>
      <c r="R41" s="4"/>
      <c r="S41" s="4">
        <f t="shared" si="1"/>
        <v>4892925</v>
      </c>
      <c r="T41" s="4">
        <f t="shared" si="21"/>
        <v>192000</v>
      </c>
      <c r="U41" s="4">
        <f t="shared" si="22"/>
        <v>240000</v>
      </c>
      <c r="V41" s="4"/>
      <c r="W41" s="4"/>
      <c r="X41" s="7">
        <v>26000</v>
      </c>
      <c r="Y41" s="4"/>
      <c r="Z41" s="4"/>
      <c r="AA41" s="4"/>
      <c r="AB41" s="4">
        <f t="shared" si="6"/>
        <v>458000</v>
      </c>
      <c r="AC41" s="118">
        <f t="shared" si="20"/>
        <v>4434925</v>
      </c>
    </row>
    <row r="42" spans="1:30" ht="24.95" customHeight="1" x14ac:dyDescent="0.25">
      <c r="A42" s="117"/>
      <c r="B42" s="2">
        <v>39</v>
      </c>
      <c r="C42" s="1" t="s">
        <v>236</v>
      </c>
      <c r="D42" s="1" t="s">
        <v>31</v>
      </c>
      <c r="E42" s="2" t="s">
        <v>32</v>
      </c>
      <c r="F42" s="103"/>
      <c r="G42" s="104"/>
      <c r="H42" s="104"/>
      <c r="I42" s="2"/>
      <c r="J42" s="4">
        <v>5500000</v>
      </c>
      <c r="K42" s="3">
        <v>30</v>
      </c>
      <c r="L42" s="3">
        <f t="shared" si="5"/>
        <v>5500000</v>
      </c>
      <c r="M42" s="3"/>
      <c r="N42" s="4"/>
      <c r="O42" s="4"/>
      <c r="P42" s="4"/>
      <c r="Q42" s="4"/>
      <c r="R42" s="4"/>
      <c r="S42" s="4">
        <f t="shared" si="1"/>
        <v>5500000</v>
      </c>
      <c r="T42" s="4">
        <f>+L42*4%</f>
        <v>220000</v>
      </c>
      <c r="U42" s="4">
        <f>+L42*0.05</f>
        <v>275000</v>
      </c>
      <c r="V42" s="4"/>
      <c r="W42" s="4"/>
      <c r="X42" s="7">
        <v>146000</v>
      </c>
      <c r="Y42" s="4"/>
      <c r="Z42" s="4"/>
      <c r="AA42" s="4"/>
      <c r="AB42" s="4">
        <f t="shared" ref="AB42" si="23">SUM(T42:AA42)</f>
        <v>641000</v>
      </c>
      <c r="AC42" s="118">
        <f t="shared" si="20"/>
        <v>4859000</v>
      </c>
    </row>
    <row r="43" spans="1:30" ht="24.95" customHeight="1" x14ac:dyDescent="0.25">
      <c r="A43" s="117"/>
      <c r="B43" s="2">
        <v>40</v>
      </c>
      <c r="C43" s="1" t="s">
        <v>55</v>
      </c>
      <c r="D43" s="1" t="s">
        <v>31</v>
      </c>
      <c r="E43" s="2" t="s">
        <v>32</v>
      </c>
      <c r="F43" s="103" t="e">
        <f>INT(YEARFRAC('[1]Perfil Sociodemografico'!F73,'[1]Perfil Sociodemografico'!G73))</f>
        <v>#VALUE!</v>
      </c>
      <c r="G43" s="104" t="s">
        <v>192</v>
      </c>
      <c r="H43" s="104" t="s">
        <v>193</v>
      </c>
      <c r="I43" s="2" t="s">
        <v>195</v>
      </c>
      <c r="J43" s="4">
        <v>6100000</v>
      </c>
      <c r="K43" s="3">
        <v>30</v>
      </c>
      <c r="L43" s="3">
        <f t="shared" si="5"/>
        <v>6100000</v>
      </c>
      <c r="M43" s="3"/>
      <c r="N43" s="4"/>
      <c r="O43" s="4"/>
      <c r="P43" s="4"/>
      <c r="Q43" s="4"/>
      <c r="R43" s="4">
        <v>876875</v>
      </c>
      <c r="S43" s="4">
        <f t="shared" si="1"/>
        <v>6976875</v>
      </c>
      <c r="T43" s="4">
        <f>S43*4/100</f>
        <v>279075</v>
      </c>
      <c r="U43" s="4">
        <f>+S43*0.05</f>
        <v>348843.75</v>
      </c>
      <c r="V43" s="4"/>
      <c r="W43" s="4">
        <v>147000</v>
      </c>
      <c r="X43" s="4">
        <v>204000</v>
      </c>
      <c r="Y43" s="4"/>
      <c r="Z43" s="4"/>
      <c r="AA43" s="4"/>
      <c r="AB43" s="4">
        <f t="shared" si="6"/>
        <v>978918.75</v>
      </c>
      <c r="AC43" s="118">
        <f t="shared" si="20"/>
        <v>5997956.25</v>
      </c>
    </row>
    <row r="44" spans="1:30" ht="24.95" customHeight="1" x14ac:dyDescent="0.25">
      <c r="A44" s="117"/>
      <c r="B44" s="2">
        <v>41</v>
      </c>
      <c r="C44" s="1" t="s">
        <v>56</v>
      </c>
      <c r="D44" s="1" t="s">
        <v>31</v>
      </c>
      <c r="E44" s="2" t="s">
        <v>32</v>
      </c>
      <c r="F44" s="103" t="e">
        <f>INT(YEARFRAC('[1]Perfil Sociodemografico'!F72,'[1]Perfil Sociodemografico'!G72))</f>
        <v>#VALUE!</v>
      </c>
      <c r="G44" s="104" t="s">
        <v>192</v>
      </c>
      <c r="H44" s="104" t="s">
        <v>193</v>
      </c>
      <c r="I44" s="2" t="s">
        <v>195</v>
      </c>
      <c r="J44" s="4">
        <v>5500000</v>
      </c>
      <c r="K44" s="3">
        <v>30</v>
      </c>
      <c r="L44" s="3">
        <f t="shared" si="5"/>
        <v>5500000</v>
      </c>
      <c r="M44" s="3"/>
      <c r="N44" s="4"/>
      <c r="O44" s="4"/>
      <c r="P44" s="4"/>
      <c r="Q44" s="4"/>
      <c r="R44" s="4"/>
      <c r="S44" s="4">
        <f t="shared" si="1"/>
        <v>5500000</v>
      </c>
      <c r="T44" s="4">
        <f>J44*4/100</f>
        <v>220000</v>
      </c>
      <c r="U44" s="4">
        <f t="shared" si="22"/>
        <v>275000</v>
      </c>
      <c r="V44" s="4"/>
      <c r="W44" s="4"/>
      <c r="X44" s="7">
        <v>94000</v>
      </c>
      <c r="Y44" s="4"/>
      <c r="Z44" s="4"/>
      <c r="AA44" s="4"/>
      <c r="AB44" s="4">
        <f t="shared" si="6"/>
        <v>589000</v>
      </c>
      <c r="AC44" s="118">
        <f t="shared" si="20"/>
        <v>4911000</v>
      </c>
    </row>
    <row r="45" spans="1:30" ht="24.95" customHeight="1" x14ac:dyDescent="0.25">
      <c r="A45" s="117"/>
      <c r="B45" s="2">
        <v>42</v>
      </c>
      <c r="C45" s="1" t="s">
        <v>112</v>
      </c>
      <c r="D45" s="1" t="s">
        <v>31</v>
      </c>
      <c r="E45" s="2" t="s">
        <v>32</v>
      </c>
      <c r="F45" s="103" t="e">
        <f>INT(YEARFRAC('[1]Perfil Sociodemografico'!F56,'[1]Perfil Sociodemografico'!G56))</f>
        <v>#VALUE!</v>
      </c>
      <c r="G45" s="105" t="s">
        <v>198</v>
      </c>
      <c r="H45" s="105" t="s">
        <v>193</v>
      </c>
      <c r="I45" s="2" t="s">
        <v>195</v>
      </c>
      <c r="J45" s="4">
        <v>4300000</v>
      </c>
      <c r="K45" s="3">
        <v>30</v>
      </c>
      <c r="L45" s="3">
        <f t="shared" si="5"/>
        <v>4300000</v>
      </c>
      <c r="M45" s="3"/>
      <c r="N45" s="4"/>
      <c r="O45" s="4"/>
      <c r="P45" s="4"/>
      <c r="Q45" s="4"/>
      <c r="R45" s="4">
        <f>+J45-L45</f>
        <v>0</v>
      </c>
      <c r="S45" s="4">
        <f t="shared" si="1"/>
        <v>4300000</v>
      </c>
      <c r="T45" s="4">
        <f>+J45*4%</f>
        <v>172000</v>
      </c>
      <c r="U45" s="4">
        <f>+J45*5%</f>
        <v>215000</v>
      </c>
      <c r="V45" s="4"/>
      <c r="W45" s="4"/>
      <c r="X45" s="7">
        <v>0</v>
      </c>
      <c r="Y45" s="4"/>
      <c r="Z45" s="4">
        <v>0</v>
      </c>
      <c r="AA45" s="4">
        <v>709704</v>
      </c>
      <c r="AB45" s="4">
        <f t="shared" ref="AB45" si="24">SUM(T45:AA45)</f>
        <v>1096704</v>
      </c>
      <c r="AC45" s="118">
        <f>+S45-AB45</f>
        <v>3203296</v>
      </c>
      <c r="AD45" s="67"/>
    </row>
    <row r="46" spans="1:30" ht="24.95" customHeight="1" x14ac:dyDescent="0.25">
      <c r="A46" s="117"/>
      <c r="B46" s="2">
        <v>43</v>
      </c>
      <c r="C46" s="1" t="s">
        <v>113</v>
      </c>
      <c r="D46" s="1" t="s">
        <v>31</v>
      </c>
      <c r="E46" s="2" t="s">
        <v>32</v>
      </c>
      <c r="F46" s="103" t="e">
        <f>INT(YEARFRAC('[1]Perfil Sociodemografico'!F92,'[1]Perfil Sociodemografico'!G92))</f>
        <v>#VALUE!</v>
      </c>
      <c r="G46" s="104" t="s">
        <v>198</v>
      </c>
      <c r="H46" s="104" t="s">
        <v>193</v>
      </c>
      <c r="I46" s="2" t="s">
        <v>195</v>
      </c>
      <c r="J46" s="4">
        <v>4770000</v>
      </c>
      <c r="K46" s="3">
        <v>30</v>
      </c>
      <c r="L46" s="3">
        <f>+J46-O46</f>
        <v>4770000</v>
      </c>
      <c r="M46" s="3"/>
      <c r="N46" s="4"/>
      <c r="O46" s="4"/>
      <c r="P46" s="4"/>
      <c r="Q46" s="4">
        <v>160000</v>
      </c>
      <c r="R46" s="4"/>
      <c r="S46" s="4">
        <f t="shared" si="1"/>
        <v>4930000</v>
      </c>
      <c r="T46" s="4">
        <f t="shared" ref="T46" si="25">+J46*4%</f>
        <v>190800</v>
      </c>
      <c r="U46" s="4">
        <f>+J46*5%</f>
        <v>238500</v>
      </c>
      <c r="V46" s="4"/>
      <c r="W46" s="4"/>
      <c r="X46" s="7">
        <v>0</v>
      </c>
      <c r="Y46" s="4"/>
      <c r="Z46" s="4"/>
      <c r="AA46" s="4"/>
      <c r="AB46" s="4">
        <f t="shared" ref="AB46" si="26">SUM(T46:AA46)</f>
        <v>429300</v>
      </c>
      <c r="AC46" s="118">
        <f t="shared" ref="AC46" si="27">+S46-AB46</f>
        <v>4500700</v>
      </c>
    </row>
    <row r="47" spans="1:30" ht="24.95" customHeight="1" x14ac:dyDescent="0.25">
      <c r="A47" s="117"/>
      <c r="B47" s="2">
        <v>44</v>
      </c>
      <c r="C47" s="1" t="s">
        <v>60</v>
      </c>
      <c r="D47" s="1" t="s">
        <v>31</v>
      </c>
      <c r="E47" s="2" t="s">
        <v>32</v>
      </c>
      <c r="F47" s="103" t="e">
        <f>INT(YEARFRAC('[1]Perfil Sociodemografico'!F34,'[1]Perfil Sociodemografico'!G34))</f>
        <v>#VALUE!</v>
      </c>
      <c r="G47" s="104" t="s">
        <v>202</v>
      </c>
      <c r="H47" s="104" t="s">
        <v>193</v>
      </c>
      <c r="I47" s="2" t="s">
        <v>195</v>
      </c>
      <c r="J47" s="4">
        <v>7000000</v>
      </c>
      <c r="K47" s="3">
        <v>30</v>
      </c>
      <c r="L47" s="3">
        <f t="shared" si="5"/>
        <v>7000000</v>
      </c>
      <c r="M47" s="3"/>
      <c r="N47" s="4"/>
      <c r="O47" s="4"/>
      <c r="P47" s="4"/>
      <c r="Q47" s="4"/>
      <c r="R47" s="11"/>
      <c r="S47" s="4">
        <f t="shared" si="1"/>
        <v>7000000</v>
      </c>
      <c r="T47" s="4">
        <f t="shared" si="21"/>
        <v>280000</v>
      </c>
      <c r="U47" s="4">
        <f t="shared" si="22"/>
        <v>350000</v>
      </c>
      <c r="V47" s="4"/>
      <c r="W47" s="4"/>
      <c r="X47" s="7">
        <v>86000</v>
      </c>
      <c r="Y47" s="4"/>
      <c r="Z47" s="4"/>
      <c r="AA47" s="4"/>
      <c r="AB47" s="4">
        <f t="shared" si="6"/>
        <v>716000</v>
      </c>
      <c r="AC47" s="118">
        <f>S47-AB47</f>
        <v>6284000</v>
      </c>
    </row>
    <row r="48" spans="1:30" ht="24.95" customHeight="1" x14ac:dyDescent="0.25">
      <c r="A48" s="117"/>
      <c r="B48" s="2">
        <v>45</v>
      </c>
      <c r="C48" s="1" t="s">
        <v>62</v>
      </c>
      <c r="D48" s="1" t="s">
        <v>31</v>
      </c>
      <c r="E48" s="2" t="s">
        <v>32</v>
      </c>
      <c r="F48" s="103" t="e">
        <f>INT(YEARFRAC('[1]Perfil Sociodemografico'!F19,'[1]Perfil Sociodemografico'!G19))</f>
        <v>#VALUE!</v>
      </c>
      <c r="G48" s="105" t="s">
        <v>192</v>
      </c>
      <c r="H48" s="105" t="s">
        <v>193</v>
      </c>
      <c r="I48" s="2" t="s">
        <v>195</v>
      </c>
      <c r="J48" s="4">
        <v>5088000</v>
      </c>
      <c r="K48" s="3">
        <v>30</v>
      </c>
      <c r="L48" s="3">
        <f t="shared" si="5"/>
        <v>5088000</v>
      </c>
      <c r="M48" s="3"/>
      <c r="N48" s="4"/>
      <c r="O48" s="4"/>
      <c r="P48" s="4"/>
      <c r="Q48" s="4">
        <v>412000</v>
      </c>
      <c r="R48" s="4"/>
      <c r="S48" s="4">
        <f t="shared" si="1"/>
        <v>5500000</v>
      </c>
      <c r="T48" s="4">
        <f>J48*4/100</f>
        <v>203520</v>
      </c>
      <c r="U48" s="4">
        <f>+J48*0.05</f>
        <v>254400</v>
      </c>
      <c r="V48" s="4"/>
      <c r="W48" s="4"/>
      <c r="X48" s="4">
        <v>0</v>
      </c>
      <c r="Y48" s="4">
        <f>1150000</f>
        <v>1150000</v>
      </c>
      <c r="Z48" s="4"/>
      <c r="AA48" s="4">
        <f>209579</f>
        <v>209579</v>
      </c>
      <c r="AB48" s="4">
        <f t="shared" si="6"/>
        <v>1817499</v>
      </c>
      <c r="AC48" s="118">
        <f>S48-AB48</f>
        <v>3682501</v>
      </c>
    </row>
    <row r="49" spans="1:32" ht="24.95" customHeight="1" x14ac:dyDescent="0.25">
      <c r="A49" s="117"/>
      <c r="B49" s="2">
        <v>46</v>
      </c>
      <c r="C49" s="1" t="s">
        <v>63</v>
      </c>
      <c r="D49" s="1" t="s">
        <v>31</v>
      </c>
      <c r="E49" s="2" t="s">
        <v>32</v>
      </c>
      <c r="F49" s="103" t="e">
        <f>INT(YEARFRAC('[1]Perfil Sociodemografico'!F93,'[1]Perfil Sociodemografico'!G93))</f>
        <v>#VALUE!</v>
      </c>
      <c r="G49" s="105" t="s">
        <v>198</v>
      </c>
      <c r="H49" s="105" t="s">
        <v>193</v>
      </c>
      <c r="I49" s="2" t="s">
        <v>195</v>
      </c>
      <c r="J49" s="4">
        <v>4540000</v>
      </c>
      <c r="K49" s="3">
        <v>30</v>
      </c>
      <c r="L49" s="3">
        <f t="shared" si="5"/>
        <v>4540000</v>
      </c>
      <c r="M49" s="3"/>
      <c r="N49" s="4"/>
      <c r="O49" s="4"/>
      <c r="P49" s="4"/>
      <c r="Q49" s="4"/>
      <c r="R49" s="4"/>
      <c r="S49" s="4">
        <f t="shared" si="1"/>
        <v>4540000</v>
      </c>
      <c r="T49" s="4">
        <f t="shared" si="21"/>
        <v>181600</v>
      </c>
      <c r="U49" s="4">
        <f t="shared" si="22"/>
        <v>227000</v>
      </c>
      <c r="V49" s="4"/>
      <c r="W49" s="4">
        <v>270000</v>
      </c>
      <c r="X49" s="7">
        <v>0</v>
      </c>
      <c r="Y49" s="4"/>
      <c r="Z49" s="4"/>
      <c r="AA49" s="4">
        <v>407106</v>
      </c>
      <c r="AB49" s="4">
        <f t="shared" si="6"/>
        <v>1085706</v>
      </c>
      <c r="AC49" s="118">
        <f>S49-AB49</f>
        <v>3454294</v>
      </c>
    </row>
    <row r="50" spans="1:32" ht="24.95" customHeight="1" x14ac:dyDescent="0.25">
      <c r="A50" s="117"/>
      <c r="B50" s="2">
        <v>47</v>
      </c>
      <c r="C50" s="1" t="s">
        <v>184</v>
      </c>
      <c r="D50" s="1" t="s">
        <v>31</v>
      </c>
      <c r="E50" s="2" t="s">
        <v>32</v>
      </c>
      <c r="F50" s="103" t="e">
        <f>INT(YEARFRAC('[1]Perfil Sociodemografico'!F90,'[1]Perfil Sociodemografico'!G90))</f>
        <v>#VALUE!</v>
      </c>
      <c r="G50" s="104" t="s">
        <v>198</v>
      </c>
      <c r="H50" s="104" t="s">
        <v>193</v>
      </c>
      <c r="I50" s="2" t="s">
        <v>195</v>
      </c>
      <c r="J50" s="4">
        <v>4500000</v>
      </c>
      <c r="K50" s="3">
        <v>30</v>
      </c>
      <c r="L50" s="3">
        <f t="shared" si="5"/>
        <v>4500000</v>
      </c>
      <c r="M50" s="3"/>
      <c r="N50" s="4"/>
      <c r="O50" s="4"/>
      <c r="P50" s="4"/>
      <c r="Q50" s="4"/>
      <c r="R50" s="4"/>
      <c r="S50" s="4">
        <f t="shared" si="1"/>
        <v>4500000</v>
      </c>
      <c r="T50" s="4">
        <f>L50*4/100</f>
        <v>180000</v>
      </c>
      <c r="U50" s="4">
        <f>+L50*0.05</f>
        <v>225000</v>
      </c>
      <c r="V50" s="4"/>
      <c r="W50" s="4"/>
      <c r="X50" s="7">
        <v>11000</v>
      </c>
      <c r="Y50" s="4"/>
      <c r="Z50" s="4"/>
      <c r="AA50" s="4"/>
      <c r="AB50" s="4">
        <f t="shared" si="6"/>
        <v>416000</v>
      </c>
      <c r="AC50" s="118">
        <f>S50-AB50</f>
        <v>4084000</v>
      </c>
    </row>
    <row r="51" spans="1:32" ht="24.95" customHeight="1" x14ac:dyDescent="0.25">
      <c r="A51" s="117"/>
      <c r="B51" s="2">
        <v>48</v>
      </c>
      <c r="C51" s="1" t="s">
        <v>64</v>
      </c>
      <c r="D51" s="1" t="s">
        <v>31</v>
      </c>
      <c r="E51" s="2" t="s">
        <v>32</v>
      </c>
      <c r="F51" s="103" t="e">
        <f>INT(YEARFRAC('[1]Perfil Sociodemografico'!F86,'[1]Perfil Sociodemografico'!G86))</f>
        <v>#VALUE!</v>
      </c>
      <c r="G51" s="104" t="s">
        <v>205</v>
      </c>
      <c r="H51" s="104" t="s">
        <v>206</v>
      </c>
      <c r="I51" s="2" t="s">
        <v>194</v>
      </c>
      <c r="J51" s="4">
        <v>4500000</v>
      </c>
      <c r="K51" s="3">
        <v>30</v>
      </c>
      <c r="L51" s="3">
        <f>+J51-O51</f>
        <v>4500000</v>
      </c>
      <c r="M51" s="3"/>
      <c r="N51" s="4"/>
      <c r="O51" s="4"/>
      <c r="P51" s="4"/>
      <c r="Q51" s="4"/>
      <c r="R51" s="4">
        <v>724219</v>
      </c>
      <c r="S51" s="4">
        <f t="shared" si="1"/>
        <v>5224219</v>
      </c>
      <c r="T51" s="4">
        <f>S51*4/100</f>
        <v>208968.76</v>
      </c>
      <c r="U51" s="4">
        <f>+S51*0.05</f>
        <v>261210.95</v>
      </c>
      <c r="V51" s="4"/>
      <c r="W51" s="4"/>
      <c r="X51" s="4">
        <v>0</v>
      </c>
      <c r="Y51" s="4"/>
      <c r="Z51" s="4"/>
      <c r="AA51" s="4"/>
      <c r="AB51" s="4">
        <f t="shared" si="6"/>
        <v>470179.71</v>
      </c>
      <c r="AC51" s="118">
        <f t="shared" ref="AC51:AC55" si="28">+S51-AB51</f>
        <v>4754039.29</v>
      </c>
    </row>
    <row r="52" spans="1:32" ht="24.95" customHeight="1" x14ac:dyDescent="0.25">
      <c r="A52" s="117"/>
      <c r="B52" s="2">
        <v>49</v>
      </c>
      <c r="C52" s="1" t="s">
        <v>66</v>
      </c>
      <c r="D52" s="1" t="s">
        <v>31</v>
      </c>
      <c r="E52" s="2" t="s">
        <v>32</v>
      </c>
      <c r="F52" s="103" t="e">
        <f>INT(YEARFRAC('[1]Perfil Sociodemografico'!F107,'[1]Perfil Sociodemografico'!G107))</f>
        <v>#VALUE!</v>
      </c>
      <c r="G52" s="104" t="s">
        <v>198</v>
      </c>
      <c r="H52" s="104" t="s">
        <v>193</v>
      </c>
      <c r="I52" s="2" t="s">
        <v>195</v>
      </c>
      <c r="J52" s="4">
        <v>6360000</v>
      </c>
      <c r="K52" s="3">
        <v>30</v>
      </c>
      <c r="L52" s="3">
        <f>+J52-R52</f>
        <v>6360000</v>
      </c>
      <c r="M52" s="3"/>
      <c r="N52" s="4"/>
      <c r="O52" s="4"/>
      <c r="P52" s="4"/>
      <c r="Q52" s="4"/>
      <c r="R52" s="4"/>
      <c r="S52" s="4">
        <f t="shared" si="1"/>
        <v>6360000</v>
      </c>
      <c r="T52" s="4">
        <f t="shared" si="21"/>
        <v>254400</v>
      </c>
      <c r="U52" s="4">
        <f t="shared" si="22"/>
        <v>318000</v>
      </c>
      <c r="V52" s="4"/>
      <c r="W52" s="4"/>
      <c r="X52" s="4">
        <v>208000</v>
      </c>
      <c r="Y52" s="4"/>
      <c r="Z52" s="4">
        <v>122614</v>
      </c>
      <c r="AA52" s="4"/>
      <c r="AB52" s="4">
        <f t="shared" si="6"/>
        <v>903014</v>
      </c>
      <c r="AC52" s="118">
        <f t="shared" si="28"/>
        <v>5456986</v>
      </c>
    </row>
    <row r="53" spans="1:32" ht="24.95" customHeight="1" x14ac:dyDescent="0.25">
      <c r="A53" s="117"/>
      <c r="B53" s="2">
        <v>50</v>
      </c>
      <c r="C53" s="1" t="s">
        <v>153</v>
      </c>
      <c r="D53" s="1" t="s">
        <v>31</v>
      </c>
      <c r="E53" s="2" t="s">
        <v>32</v>
      </c>
      <c r="F53" s="103" t="e">
        <f>INT(YEARFRAC('[1]Perfil Sociodemografico'!F76,'[1]Perfil Sociodemografico'!G76))</f>
        <v>#VALUE!</v>
      </c>
      <c r="G53" s="105" t="s">
        <v>192</v>
      </c>
      <c r="H53" s="105" t="s">
        <v>193</v>
      </c>
      <c r="I53" s="2" t="s">
        <v>194</v>
      </c>
      <c r="J53" s="4">
        <v>3500000</v>
      </c>
      <c r="K53" s="3">
        <v>30</v>
      </c>
      <c r="L53" s="3">
        <f>+J53/30*K53</f>
        <v>3500000</v>
      </c>
      <c r="M53" s="3"/>
      <c r="N53" s="4"/>
      <c r="O53" s="4"/>
      <c r="P53" s="4"/>
      <c r="Q53" s="4"/>
      <c r="R53" s="4"/>
      <c r="S53" s="4">
        <f>+L53+N53+P53+Q53+R53+O53</f>
        <v>3500000</v>
      </c>
      <c r="T53" s="4">
        <f>L53*4/100</f>
        <v>140000</v>
      </c>
      <c r="U53" s="4">
        <f>+L53*0.05</f>
        <v>175000</v>
      </c>
      <c r="V53" s="4"/>
      <c r="W53" s="4"/>
      <c r="X53" s="4">
        <v>0</v>
      </c>
      <c r="Y53" s="4"/>
      <c r="Z53" s="4">
        <v>0</v>
      </c>
      <c r="AA53" s="4"/>
      <c r="AB53" s="4">
        <f t="shared" ref="AB53:AB54" si="29">SUM(T53:AA53)</f>
        <v>315000</v>
      </c>
      <c r="AC53" s="118">
        <f t="shared" si="28"/>
        <v>3185000</v>
      </c>
    </row>
    <row r="54" spans="1:32" ht="24.95" customHeight="1" x14ac:dyDescent="0.25">
      <c r="A54" s="117"/>
      <c r="B54" s="2">
        <v>51</v>
      </c>
      <c r="C54" s="1" t="s">
        <v>237</v>
      </c>
      <c r="D54" s="1" t="s">
        <v>31</v>
      </c>
      <c r="E54" s="2" t="s">
        <v>32</v>
      </c>
      <c r="F54" s="103" t="e">
        <f>INT(YEARFRAC('[1]Perfil Sociodemografico'!F77,'[1]Perfil Sociodemografico'!G77))</f>
        <v>#VALUE!</v>
      </c>
      <c r="G54" s="105" t="s">
        <v>192</v>
      </c>
      <c r="H54" s="105" t="s">
        <v>193</v>
      </c>
      <c r="I54" s="2" t="s">
        <v>194</v>
      </c>
      <c r="J54" s="4">
        <v>5000000</v>
      </c>
      <c r="K54" s="3">
        <v>30</v>
      </c>
      <c r="L54" s="3">
        <f>+J54/30*K54</f>
        <v>5000000</v>
      </c>
      <c r="M54" s="3"/>
      <c r="N54" s="4">
        <f>+(1000000/30)*K54</f>
        <v>1000000.0000000001</v>
      </c>
      <c r="O54" s="4"/>
      <c r="P54" s="4"/>
      <c r="Q54" s="4"/>
      <c r="R54" s="4"/>
      <c r="S54" s="4">
        <f>+L54+N54+P54+Q54+R54+O54</f>
        <v>6000000</v>
      </c>
      <c r="T54" s="4">
        <f>+L54*4%</f>
        <v>200000</v>
      </c>
      <c r="U54" s="4">
        <f>+L54*0.05</f>
        <v>250000</v>
      </c>
      <c r="V54" s="4"/>
      <c r="W54" s="4"/>
      <c r="X54" s="4">
        <v>78000</v>
      </c>
      <c r="Y54" s="4"/>
      <c r="Z54" s="4">
        <v>0</v>
      </c>
      <c r="AA54" s="4"/>
      <c r="AB54" s="4">
        <f t="shared" si="29"/>
        <v>528000</v>
      </c>
      <c r="AC54" s="118">
        <f t="shared" si="28"/>
        <v>5472000</v>
      </c>
    </row>
    <row r="55" spans="1:32" ht="24.95" customHeight="1" x14ac:dyDescent="0.25">
      <c r="A55" s="117"/>
      <c r="B55" s="2">
        <v>52</v>
      </c>
      <c r="C55" s="1" t="s">
        <v>67</v>
      </c>
      <c r="D55" s="1" t="s">
        <v>31</v>
      </c>
      <c r="E55" s="2" t="s">
        <v>32</v>
      </c>
      <c r="F55" s="103" t="e">
        <f>INT(YEARFRAC('[1]Perfil Sociodemografico'!F50,'[1]Perfil Sociodemografico'!G50))</f>
        <v>#VALUE!</v>
      </c>
      <c r="G55" s="105" t="s">
        <v>192</v>
      </c>
      <c r="H55" s="105" t="s">
        <v>193</v>
      </c>
      <c r="I55" s="2" t="s">
        <v>195</v>
      </c>
      <c r="J55" s="4">
        <v>4770000</v>
      </c>
      <c r="K55" s="3">
        <v>30</v>
      </c>
      <c r="L55" s="3">
        <f t="shared" si="5"/>
        <v>4770000</v>
      </c>
      <c r="M55" s="3"/>
      <c r="N55" s="4"/>
      <c r="O55" s="4"/>
      <c r="P55" s="4"/>
      <c r="Q55" s="4">
        <v>500000</v>
      </c>
      <c r="R55" s="4"/>
      <c r="S55" s="4">
        <f t="shared" si="1"/>
        <v>5270000</v>
      </c>
      <c r="T55" s="4">
        <f t="shared" si="21"/>
        <v>190800</v>
      </c>
      <c r="U55" s="4">
        <f t="shared" si="22"/>
        <v>238500</v>
      </c>
      <c r="V55" s="4"/>
      <c r="W55" s="4"/>
      <c r="X55" s="4">
        <v>22000</v>
      </c>
      <c r="Y55" s="4"/>
      <c r="Z55" s="4"/>
      <c r="AA55" s="4">
        <v>551399</v>
      </c>
      <c r="AB55" s="4">
        <f t="shared" si="6"/>
        <v>1002699</v>
      </c>
      <c r="AC55" s="118">
        <f t="shared" si="28"/>
        <v>4267301</v>
      </c>
    </row>
    <row r="56" spans="1:32" ht="24.95" customHeight="1" x14ac:dyDescent="0.25">
      <c r="A56" s="117"/>
      <c r="B56" s="2">
        <v>53</v>
      </c>
      <c r="C56" s="1" t="s">
        <v>69</v>
      </c>
      <c r="D56" s="1" t="s">
        <v>31</v>
      </c>
      <c r="E56" s="2" t="s">
        <v>32</v>
      </c>
      <c r="F56" s="103" t="e">
        <f>INT(YEARFRAC('[1]Perfil Sociodemografico'!F41,'[1]Perfil Sociodemografico'!G41))</f>
        <v>#VALUE!</v>
      </c>
      <c r="G56" s="104" t="s">
        <v>208</v>
      </c>
      <c r="H56" s="104" t="s">
        <v>193</v>
      </c>
      <c r="I56" s="2" t="s">
        <v>194</v>
      </c>
      <c r="J56" s="4">
        <v>6000000</v>
      </c>
      <c r="K56" s="3">
        <v>30</v>
      </c>
      <c r="L56" s="3">
        <f>+J56-O56</f>
        <v>4400000</v>
      </c>
      <c r="M56" s="3"/>
      <c r="N56" s="4"/>
      <c r="O56" s="4">
        <v>1600000</v>
      </c>
      <c r="P56" s="4"/>
      <c r="Q56" s="4"/>
      <c r="R56" s="4"/>
      <c r="S56" s="4">
        <f t="shared" si="1"/>
        <v>6000000</v>
      </c>
      <c r="T56" s="4">
        <f t="shared" si="21"/>
        <v>240000</v>
      </c>
      <c r="U56" s="4">
        <f t="shared" si="22"/>
        <v>300000</v>
      </c>
      <c r="V56" s="4">
        <v>0</v>
      </c>
      <c r="W56" s="4"/>
      <c r="X56" s="4">
        <v>0</v>
      </c>
      <c r="Y56" s="4"/>
      <c r="Z56" s="4"/>
      <c r="AA56" s="4"/>
      <c r="AB56" s="4">
        <f t="shared" si="6"/>
        <v>540000</v>
      </c>
      <c r="AC56" s="118">
        <f>S56-AB56</f>
        <v>5460000</v>
      </c>
      <c r="AF56" s="62">
        <v>321831000</v>
      </c>
    </row>
    <row r="57" spans="1:32" ht="24.95" customHeight="1" x14ac:dyDescent="0.25">
      <c r="A57" s="117"/>
      <c r="B57" s="2">
        <v>54</v>
      </c>
      <c r="C57" s="1" t="s">
        <v>70</v>
      </c>
      <c r="D57" s="1" t="s">
        <v>31</v>
      </c>
      <c r="E57" s="2" t="s">
        <v>32</v>
      </c>
      <c r="F57" s="103" t="e">
        <f>INT(YEARFRAC('[1]Perfil Sociodemografico'!F47,'[1]Perfil Sociodemografico'!G47))</f>
        <v>#VALUE!</v>
      </c>
      <c r="G57" s="104" t="s">
        <v>192</v>
      </c>
      <c r="H57" s="104" t="s">
        <v>193</v>
      </c>
      <c r="I57" s="2" t="s">
        <v>195</v>
      </c>
      <c r="J57" s="4">
        <v>7800000</v>
      </c>
      <c r="K57" s="3">
        <v>30</v>
      </c>
      <c r="L57" s="3">
        <f>+J57-O57</f>
        <v>5633333</v>
      </c>
      <c r="M57" s="3"/>
      <c r="N57" s="4"/>
      <c r="O57" s="4">
        <v>2166667</v>
      </c>
      <c r="P57" s="4"/>
      <c r="Q57" s="4">
        <v>1200000</v>
      </c>
      <c r="R57" s="4"/>
      <c r="S57" s="4">
        <f t="shared" si="1"/>
        <v>9000000</v>
      </c>
      <c r="T57" s="4">
        <f>(J57*4/100)</f>
        <v>312000</v>
      </c>
      <c r="U57" s="4">
        <f>+(J57*0.05)</f>
        <v>390000</v>
      </c>
      <c r="V57" s="4"/>
      <c r="W57" s="4"/>
      <c r="X57" s="4">
        <v>302000</v>
      </c>
      <c r="Y57" s="4"/>
      <c r="Z57" s="4"/>
      <c r="AA57" s="4"/>
      <c r="AB57" s="4">
        <f t="shared" si="6"/>
        <v>1004000</v>
      </c>
      <c r="AC57" s="118">
        <f>+S57-AB57</f>
        <v>7996000</v>
      </c>
      <c r="AD57" s="118">
        <v>30000</v>
      </c>
      <c r="AF57" s="62">
        <f>+AF56/2</f>
        <v>160915500</v>
      </c>
    </row>
    <row r="58" spans="1:32" ht="24.95" customHeight="1" x14ac:dyDescent="0.25">
      <c r="A58" s="117"/>
      <c r="B58" s="2">
        <v>55</v>
      </c>
      <c r="C58" s="9" t="s">
        <v>72</v>
      </c>
      <c r="D58" s="1" t="s">
        <v>31</v>
      </c>
      <c r="E58" s="2" t="s">
        <v>32</v>
      </c>
      <c r="F58" s="103" t="e">
        <f>INT(YEARFRAC('[1]Perfil Sociodemografico'!F100,'[1]Perfil Sociodemografico'!G100))</f>
        <v>#VALUE!</v>
      </c>
      <c r="G58" s="104" t="s">
        <v>200</v>
      </c>
      <c r="H58" s="104" t="s">
        <v>193</v>
      </c>
      <c r="I58" s="2" t="s">
        <v>194</v>
      </c>
      <c r="J58" s="4">
        <v>7000000</v>
      </c>
      <c r="K58" s="3">
        <v>30</v>
      </c>
      <c r="L58" s="3">
        <f>+J58-N58</f>
        <v>7000000</v>
      </c>
      <c r="M58" s="3"/>
      <c r="N58" s="4"/>
      <c r="O58" s="4"/>
      <c r="P58" s="4">
        <v>0</v>
      </c>
      <c r="Q58" s="4"/>
      <c r="R58" s="4">
        <v>1017187</v>
      </c>
      <c r="S58" s="4">
        <f t="shared" si="1"/>
        <v>8017187</v>
      </c>
      <c r="T58" s="4">
        <f>S58*4/100</f>
        <v>320687.48</v>
      </c>
      <c r="U58" s="4">
        <f>+S58*0.05</f>
        <v>400859.35000000003</v>
      </c>
      <c r="V58" s="4"/>
      <c r="W58" s="4"/>
      <c r="X58" s="4">
        <v>182000</v>
      </c>
      <c r="Y58" s="4"/>
      <c r="Z58" s="4"/>
      <c r="AA58" s="4"/>
      <c r="AB58" s="4">
        <f t="shared" si="6"/>
        <v>903546.83000000007</v>
      </c>
      <c r="AC58" s="118">
        <f>S58-AB58</f>
        <v>7113640.1699999999</v>
      </c>
    </row>
    <row r="59" spans="1:32" ht="24.95" customHeight="1" x14ac:dyDescent="0.25">
      <c r="A59" s="117"/>
      <c r="B59" s="2">
        <v>56</v>
      </c>
      <c r="C59" s="1" t="s">
        <v>73</v>
      </c>
      <c r="D59" s="1" t="s">
        <v>31</v>
      </c>
      <c r="E59" s="2" t="s">
        <v>32</v>
      </c>
      <c r="F59" s="103" t="e">
        <f>INT(YEARFRAC('[1]Perfil Sociodemografico'!F25,'[1]Perfil Sociodemografico'!G25))</f>
        <v>#VALUE!</v>
      </c>
      <c r="G59" s="105" t="s">
        <v>192</v>
      </c>
      <c r="H59" s="105" t="s">
        <v>193</v>
      </c>
      <c r="I59" s="2" t="s">
        <v>194</v>
      </c>
      <c r="J59" s="4">
        <v>5350000</v>
      </c>
      <c r="K59" s="3">
        <v>30</v>
      </c>
      <c r="L59" s="3">
        <f t="shared" si="5"/>
        <v>5350000</v>
      </c>
      <c r="M59" s="3"/>
      <c r="N59" s="4"/>
      <c r="O59" s="4"/>
      <c r="P59" s="4"/>
      <c r="Q59" s="4"/>
      <c r="R59" s="4"/>
      <c r="S59" s="4">
        <f t="shared" si="1"/>
        <v>5350000</v>
      </c>
      <c r="T59" s="4">
        <f t="shared" si="21"/>
        <v>214000</v>
      </c>
      <c r="U59" s="4">
        <f t="shared" si="22"/>
        <v>267500</v>
      </c>
      <c r="V59" s="4"/>
      <c r="W59" s="4"/>
      <c r="X59" s="4">
        <v>95000</v>
      </c>
      <c r="Y59" s="4"/>
      <c r="Z59" s="4"/>
      <c r="AA59" s="4"/>
      <c r="AB59" s="4">
        <f t="shared" si="6"/>
        <v>576500</v>
      </c>
      <c r="AC59" s="118">
        <f t="shared" ref="AC59:AC65" si="30">+S59-AB59</f>
        <v>4773500</v>
      </c>
    </row>
    <row r="60" spans="1:32" ht="24.95" customHeight="1" x14ac:dyDescent="0.25">
      <c r="A60" s="117"/>
      <c r="B60" s="2">
        <v>57</v>
      </c>
      <c r="C60" s="1" t="s">
        <v>74</v>
      </c>
      <c r="D60" s="2" t="s">
        <v>31</v>
      </c>
      <c r="E60" s="2" t="s">
        <v>32</v>
      </c>
      <c r="F60" s="103" t="e">
        <f>INT(YEARFRAC('[1]Perfil Sociodemografico'!F42,'[1]Perfil Sociodemografico'!G42))</f>
        <v>#VALUE!</v>
      </c>
      <c r="G60" s="104" t="s">
        <v>198</v>
      </c>
      <c r="H60" s="104" t="s">
        <v>193</v>
      </c>
      <c r="I60" s="2" t="s">
        <v>194</v>
      </c>
      <c r="J60" s="4">
        <v>4500000</v>
      </c>
      <c r="K60" s="3">
        <v>30</v>
      </c>
      <c r="L60" s="3">
        <f t="shared" si="5"/>
        <v>4500000</v>
      </c>
      <c r="M60" s="3"/>
      <c r="N60" s="4"/>
      <c r="O60" s="4"/>
      <c r="P60" s="4"/>
      <c r="Q60" s="4"/>
      <c r="R60" s="4">
        <v>1996875</v>
      </c>
      <c r="S60" s="4">
        <f t="shared" si="1"/>
        <v>6496875</v>
      </c>
      <c r="T60" s="4">
        <f>S60*4/100</f>
        <v>259875</v>
      </c>
      <c r="U60" s="4">
        <f>+S60*0.05</f>
        <v>324843.75</v>
      </c>
      <c r="V60" s="4"/>
      <c r="W60" s="4"/>
      <c r="X60" s="4">
        <v>0</v>
      </c>
      <c r="Y60" s="4"/>
      <c r="Z60" s="4"/>
      <c r="AA60" s="4"/>
      <c r="AB60" s="4">
        <f t="shared" si="6"/>
        <v>584718.75</v>
      </c>
      <c r="AC60" s="118">
        <f t="shared" si="30"/>
        <v>5912156.25</v>
      </c>
    </row>
    <row r="61" spans="1:32" ht="24.95" customHeight="1" x14ac:dyDescent="0.25">
      <c r="A61" s="117"/>
      <c r="B61" s="2">
        <v>58</v>
      </c>
      <c r="C61" s="1" t="s">
        <v>75</v>
      </c>
      <c r="D61" s="1" t="s">
        <v>31</v>
      </c>
      <c r="E61" s="2" t="s">
        <v>32</v>
      </c>
      <c r="F61" s="103" t="e">
        <f>INT(YEARFRAC('[1]Perfil Sociodemografico'!F111,'[1]Perfil Sociodemografico'!G111))</f>
        <v>#VALUE!</v>
      </c>
      <c r="G61" s="105" t="s">
        <v>192</v>
      </c>
      <c r="H61" s="105" t="s">
        <v>193</v>
      </c>
      <c r="I61" s="2" t="s">
        <v>195</v>
      </c>
      <c r="J61" s="4">
        <v>5100000</v>
      </c>
      <c r="K61" s="3">
        <v>30</v>
      </c>
      <c r="L61" s="3">
        <f t="shared" si="5"/>
        <v>5100000</v>
      </c>
      <c r="M61" s="3"/>
      <c r="N61" s="4"/>
      <c r="O61" s="4"/>
      <c r="P61" s="4"/>
      <c r="Q61" s="4"/>
      <c r="R61" s="4"/>
      <c r="S61" s="4">
        <f t="shared" si="1"/>
        <v>5100000</v>
      </c>
      <c r="T61" s="4">
        <f>S61*4/100</f>
        <v>204000</v>
      </c>
      <c r="U61" s="4">
        <f>+S61*0.05</f>
        <v>255000</v>
      </c>
      <c r="V61" s="4"/>
      <c r="W61" s="4"/>
      <c r="X61" s="4">
        <v>0</v>
      </c>
      <c r="Y61" s="4"/>
      <c r="Z61" s="4"/>
      <c r="AA61" s="4">
        <v>317224</v>
      </c>
      <c r="AB61" s="4">
        <f t="shared" si="6"/>
        <v>776224</v>
      </c>
      <c r="AC61" s="118">
        <f t="shared" si="30"/>
        <v>4323776</v>
      </c>
    </row>
    <row r="62" spans="1:32" ht="24.95" customHeight="1" x14ac:dyDescent="0.25">
      <c r="A62" s="117"/>
      <c r="B62" s="2">
        <v>59</v>
      </c>
      <c r="C62" s="1" t="s">
        <v>163</v>
      </c>
      <c r="D62" s="1" t="s">
        <v>31</v>
      </c>
      <c r="E62" s="2" t="s">
        <v>32</v>
      </c>
      <c r="F62" s="103" t="e">
        <f>INT(YEARFRAC('[1]Perfil Sociodemografico'!F67,'[1]Perfil Sociodemografico'!G67))</f>
        <v>#VALUE!</v>
      </c>
      <c r="G62" s="104" t="s">
        <v>209</v>
      </c>
      <c r="H62" s="104" t="s">
        <v>193</v>
      </c>
      <c r="I62" s="2" t="s">
        <v>195</v>
      </c>
      <c r="J62" s="4">
        <v>6800000</v>
      </c>
      <c r="K62" s="3">
        <v>30</v>
      </c>
      <c r="L62" s="3">
        <f t="shared" si="5"/>
        <v>6800000</v>
      </c>
      <c r="M62" s="3"/>
      <c r="N62" s="4"/>
      <c r="O62" s="4"/>
      <c r="P62" s="4"/>
      <c r="Q62" s="4"/>
      <c r="R62" s="4"/>
      <c r="S62" s="4">
        <f t="shared" si="1"/>
        <v>6800000</v>
      </c>
      <c r="T62" s="4">
        <f>+L62*4%</f>
        <v>272000</v>
      </c>
      <c r="U62" s="4">
        <f>+L62*0.05</f>
        <v>340000</v>
      </c>
      <c r="V62" s="4"/>
      <c r="W62" s="4"/>
      <c r="X62" s="4">
        <v>96000</v>
      </c>
      <c r="Y62" s="4"/>
      <c r="Z62" s="4"/>
      <c r="AA62" s="4"/>
      <c r="AB62" s="4">
        <f t="shared" ref="AB62" si="31">SUM(T62:AA62)</f>
        <v>708000</v>
      </c>
      <c r="AC62" s="118">
        <f t="shared" si="30"/>
        <v>6092000</v>
      </c>
    </row>
    <row r="63" spans="1:32" ht="24.95" customHeight="1" x14ac:dyDescent="0.25">
      <c r="A63" s="117"/>
      <c r="B63" s="2">
        <v>60</v>
      </c>
      <c r="C63" s="1" t="s">
        <v>77</v>
      </c>
      <c r="D63" s="1" t="s">
        <v>31</v>
      </c>
      <c r="E63" s="2" t="s">
        <v>32</v>
      </c>
      <c r="F63" s="103" t="e">
        <f>INT(YEARFRAC('[1]Perfil Sociodemografico'!F110,'[1]Perfil Sociodemografico'!G110))</f>
        <v>#VALUE!</v>
      </c>
      <c r="G63" s="105" t="s">
        <v>192</v>
      </c>
      <c r="H63" s="104" t="s">
        <v>193</v>
      </c>
      <c r="I63" s="2" t="s">
        <v>195</v>
      </c>
      <c r="J63" s="4">
        <v>4400000</v>
      </c>
      <c r="K63" s="3">
        <v>30</v>
      </c>
      <c r="L63" s="3">
        <f>+J63-R63</f>
        <v>4400000</v>
      </c>
      <c r="M63" s="3"/>
      <c r="N63" s="4"/>
      <c r="O63" s="4"/>
      <c r="P63" s="4"/>
      <c r="Q63" s="4"/>
      <c r="R63" s="4"/>
      <c r="S63" s="4">
        <f t="shared" si="1"/>
        <v>4400000</v>
      </c>
      <c r="T63" s="4">
        <f>J63*4/100</f>
        <v>176000</v>
      </c>
      <c r="U63" s="4">
        <f>+J63*0.05</f>
        <v>220000</v>
      </c>
      <c r="V63" s="4"/>
      <c r="W63" s="4"/>
      <c r="X63" s="4">
        <v>0</v>
      </c>
      <c r="Y63" s="4"/>
      <c r="Z63" s="4"/>
      <c r="AA63" s="4">
        <v>141077</v>
      </c>
      <c r="AB63" s="4">
        <f t="shared" si="6"/>
        <v>537077</v>
      </c>
      <c r="AC63" s="118">
        <f t="shared" si="30"/>
        <v>3862923</v>
      </c>
    </row>
    <row r="64" spans="1:32" ht="24.95" customHeight="1" x14ac:dyDescent="0.25">
      <c r="A64" s="117"/>
      <c r="B64" s="2">
        <v>61</v>
      </c>
      <c r="C64" s="1" t="s">
        <v>78</v>
      </c>
      <c r="D64" s="1" t="s">
        <v>31</v>
      </c>
      <c r="E64" s="2" t="s">
        <v>32</v>
      </c>
      <c r="F64" s="2">
        <v>36</v>
      </c>
      <c r="G64" s="105" t="s">
        <v>192</v>
      </c>
      <c r="H64" s="104" t="s">
        <v>193</v>
      </c>
      <c r="I64" s="2" t="s">
        <v>195</v>
      </c>
      <c r="J64" s="4">
        <v>7800000</v>
      </c>
      <c r="K64" s="3">
        <v>30</v>
      </c>
      <c r="L64" s="3">
        <f t="shared" si="5"/>
        <v>7800000</v>
      </c>
      <c r="M64" s="3"/>
      <c r="N64" s="4"/>
      <c r="O64" s="4"/>
      <c r="P64" s="4"/>
      <c r="Q64" s="4">
        <v>400000</v>
      </c>
      <c r="R64" s="4"/>
      <c r="S64" s="4">
        <f t="shared" si="1"/>
        <v>8200000</v>
      </c>
      <c r="T64" s="4">
        <f>J64*4/100</f>
        <v>312000</v>
      </c>
      <c r="U64" s="4">
        <f>+J64*0.05</f>
        <v>390000</v>
      </c>
      <c r="V64" s="4"/>
      <c r="W64" s="4"/>
      <c r="X64" s="4">
        <v>315000</v>
      </c>
      <c r="Y64" s="4"/>
      <c r="Z64" s="4"/>
      <c r="AA64" s="4"/>
      <c r="AB64" s="4">
        <f t="shared" si="6"/>
        <v>1017000</v>
      </c>
      <c r="AC64" s="118">
        <f t="shared" si="30"/>
        <v>7183000</v>
      </c>
    </row>
    <row r="65" spans="1:29" ht="24.95" customHeight="1" x14ac:dyDescent="0.25">
      <c r="A65" s="117"/>
      <c r="B65" s="2">
        <v>62</v>
      </c>
      <c r="C65" s="1" t="s">
        <v>154</v>
      </c>
      <c r="D65" s="1" t="s">
        <v>31</v>
      </c>
      <c r="E65" s="2" t="s">
        <v>32</v>
      </c>
      <c r="F65" s="103" t="e">
        <f>INT(YEARFRAC('[1]Perfil Sociodemografico'!F17,'[1]Perfil Sociodemografico'!G17))</f>
        <v>#VALUE!</v>
      </c>
      <c r="G65" s="105" t="s">
        <v>192</v>
      </c>
      <c r="H65" s="105" t="s">
        <v>193</v>
      </c>
      <c r="I65" s="2" t="s">
        <v>195</v>
      </c>
      <c r="J65" s="4">
        <v>4500000</v>
      </c>
      <c r="K65" s="3">
        <v>30</v>
      </c>
      <c r="L65" s="3">
        <f t="shared" si="5"/>
        <v>4500000</v>
      </c>
      <c r="M65" s="3"/>
      <c r="N65" s="4"/>
      <c r="O65" s="4"/>
      <c r="P65" s="4"/>
      <c r="Q65" s="4"/>
      <c r="R65" s="4"/>
      <c r="S65" s="4">
        <f t="shared" si="1"/>
        <v>4500000</v>
      </c>
      <c r="T65" s="4">
        <f>L65*4/100</f>
        <v>180000</v>
      </c>
      <c r="U65" s="4">
        <f>+L65*0.05</f>
        <v>225000</v>
      </c>
      <c r="V65" s="4"/>
      <c r="W65" s="4"/>
      <c r="X65" s="4"/>
      <c r="Y65" s="4"/>
      <c r="Z65" s="4"/>
      <c r="AA65" s="4"/>
      <c r="AB65" s="4">
        <f t="shared" ref="AB65" si="32">SUM(T65:AA65)</f>
        <v>405000</v>
      </c>
      <c r="AC65" s="118">
        <f t="shared" si="30"/>
        <v>4095000</v>
      </c>
    </row>
    <row r="66" spans="1:29" ht="24.95" customHeight="1" x14ac:dyDescent="0.25">
      <c r="A66" s="117"/>
      <c r="B66" s="2">
        <v>63</v>
      </c>
      <c r="C66" s="1" t="s">
        <v>80</v>
      </c>
      <c r="D66" s="1" t="s">
        <v>31</v>
      </c>
      <c r="E66" s="2" t="s">
        <v>32</v>
      </c>
      <c r="F66" s="103" t="e">
        <f>INT(YEARFRAC('[1]Perfil Sociodemografico'!F32,'[1]Perfil Sociodemografico'!G32))</f>
        <v>#VALUE!</v>
      </c>
      <c r="G66" s="104" t="s">
        <v>198</v>
      </c>
      <c r="H66" s="104" t="s">
        <v>193</v>
      </c>
      <c r="I66" s="2" t="s">
        <v>195</v>
      </c>
      <c r="J66" s="4">
        <v>6000000</v>
      </c>
      <c r="K66" s="3">
        <v>30</v>
      </c>
      <c r="L66" s="3">
        <f t="shared" si="5"/>
        <v>6000000</v>
      </c>
      <c r="M66" s="3"/>
      <c r="N66" s="4"/>
      <c r="O66" s="4"/>
      <c r="P66" s="4"/>
      <c r="Q66" s="4">
        <v>400000</v>
      </c>
      <c r="R66" s="4"/>
      <c r="S66" s="4">
        <f t="shared" si="1"/>
        <v>6400000</v>
      </c>
      <c r="T66" s="4">
        <f t="shared" si="21"/>
        <v>240000</v>
      </c>
      <c r="U66" s="4">
        <f t="shared" si="22"/>
        <v>300000</v>
      </c>
      <c r="V66" s="4"/>
      <c r="W66" s="4"/>
      <c r="X66" s="4">
        <v>120000</v>
      </c>
      <c r="Y66" s="4"/>
      <c r="Z66" s="4"/>
      <c r="AA66" s="4"/>
      <c r="AB66" s="4">
        <f t="shared" si="6"/>
        <v>660000</v>
      </c>
      <c r="AC66" s="118">
        <f>S66-AB66</f>
        <v>5740000</v>
      </c>
    </row>
    <row r="67" spans="1:29" ht="24.95" customHeight="1" x14ac:dyDescent="0.25">
      <c r="A67" s="117"/>
      <c r="B67" s="2">
        <v>64</v>
      </c>
      <c r="C67" s="1" t="s">
        <v>238</v>
      </c>
      <c r="D67" s="1" t="s">
        <v>31</v>
      </c>
      <c r="E67" s="2" t="s">
        <v>32</v>
      </c>
      <c r="F67" s="103"/>
      <c r="G67" s="104"/>
      <c r="H67" s="104"/>
      <c r="I67" s="2"/>
      <c r="J67" s="4">
        <v>4800000</v>
      </c>
      <c r="K67" s="3">
        <v>30</v>
      </c>
      <c r="L67" s="3">
        <f t="shared" si="5"/>
        <v>4800000</v>
      </c>
      <c r="M67" s="3"/>
      <c r="N67" s="4"/>
      <c r="O67" s="4"/>
      <c r="P67" s="4"/>
      <c r="Q67" s="4"/>
      <c r="R67" s="4"/>
      <c r="S67" s="4">
        <f t="shared" si="1"/>
        <v>4800000</v>
      </c>
      <c r="T67" s="4">
        <f>+L67*4%</f>
        <v>192000</v>
      </c>
      <c r="U67" s="4">
        <f>+L67*5%</f>
        <v>240000</v>
      </c>
      <c r="V67" s="4"/>
      <c r="W67" s="4"/>
      <c r="X67" s="4">
        <v>51000</v>
      </c>
      <c r="Y67" s="4"/>
      <c r="Z67" s="4"/>
      <c r="AA67" s="4"/>
      <c r="AB67" s="4">
        <f t="shared" ref="AB67:AB68" si="33">SUM(T67:AA67)</f>
        <v>483000</v>
      </c>
      <c r="AC67" s="118">
        <f>+S67-AB67</f>
        <v>4317000</v>
      </c>
    </row>
    <row r="68" spans="1:29" ht="24.95" customHeight="1" x14ac:dyDescent="0.25">
      <c r="A68" s="117"/>
      <c r="B68" s="2">
        <v>65</v>
      </c>
      <c r="C68" s="1" t="s">
        <v>239</v>
      </c>
      <c r="D68" s="1" t="s">
        <v>31</v>
      </c>
      <c r="E68" s="2" t="s">
        <v>32</v>
      </c>
      <c r="F68" s="103"/>
      <c r="G68" s="104"/>
      <c r="H68" s="104"/>
      <c r="I68" s="2"/>
      <c r="J68" s="4">
        <v>4800000</v>
      </c>
      <c r="K68" s="3">
        <v>30</v>
      </c>
      <c r="L68" s="3">
        <f t="shared" si="5"/>
        <v>4800000</v>
      </c>
      <c r="M68" s="3"/>
      <c r="N68" s="4"/>
      <c r="O68" s="4"/>
      <c r="P68" s="4"/>
      <c r="Q68" s="4"/>
      <c r="R68" s="4"/>
      <c r="S68" s="4">
        <f t="shared" si="1"/>
        <v>4800000</v>
      </c>
      <c r="T68" s="4">
        <f>+L68*4%</f>
        <v>192000</v>
      </c>
      <c r="U68" s="4">
        <f>+L68*5%</f>
        <v>240000</v>
      </c>
      <c r="V68" s="4"/>
      <c r="W68" s="4"/>
      <c r="X68" s="4">
        <v>51000</v>
      </c>
      <c r="Y68" s="4"/>
      <c r="Z68" s="4"/>
      <c r="AA68" s="4"/>
      <c r="AB68" s="4">
        <f t="shared" si="33"/>
        <v>483000</v>
      </c>
      <c r="AC68" s="118">
        <f>+S68-AB68</f>
        <v>4317000</v>
      </c>
    </row>
    <row r="69" spans="1:29" ht="24.95" customHeight="1" x14ac:dyDescent="0.25">
      <c r="A69" s="117"/>
      <c r="B69" s="2">
        <v>66</v>
      </c>
      <c r="C69" s="1" t="s">
        <v>81</v>
      </c>
      <c r="D69" s="1" t="s">
        <v>31</v>
      </c>
      <c r="E69" s="2" t="s">
        <v>32</v>
      </c>
      <c r="F69" s="103" t="e">
        <f>INT(YEARFRAC('[1]Perfil Sociodemografico'!F120,'[1]Perfil Sociodemografico'!G120))</f>
        <v>#VALUE!</v>
      </c>
      <c r="G69" s="104" t="s">
        <v>192</v>
      </c>
      <c r="H69" s="104" t="s">
        <v>193</v>
      </c>
      <c r="I69" s="2" t="s">
        <v>195</v>
      </c>
      <c r="J69" s="4">
        <v>4800000</v>
      </c>
      <c r="K69" s="3">
        <v>30</v>
      </c>
      <c r="L69" s="3">
        <f t="shared" si="5"/>
        <v>4800000</v>
      </c>
      <c r="M69" s="3"/>
      <c r="N69" s="4"/>
      <c r="O69" s="4"/>
      <c r="P69" s="4"/>
      <c r="Q69" s="4"/>
      <c r="R69" s="4">
        <v>1241250</v>
      </c>
      <c r="S69" s="4">
        <f t="shared" si="1"/>
        <v>6041250</v>
      </c>
      <c r="T69" s="4">
        <f>+S69*4%</f>
        <v>241650</v>
      </c>
      <c r="U69" s="4">
        <f>+S69*5%</f>
        <v>302062.5</v>
      </c>
      <c r="V69" s="4"/>
      <c r="W69" s="4"/>
      <c r="X69" s="4">
        <v>26000</v>
      </c>
      <c r="Y69" s="4"/>
      <c r="Z69" s="4"/>
      <c r="AA69" s="4"/>
      <c r="AB69" s="4">
        <f t="shared" si="6"/>
        <v>569712.5</v>
      </c>
      <c r="AC69" s="118">
        <f>+S69-AB69</f>
        <v>5471537.5</v>
      </c>
    </row>
    <row r="70" spans="1:29" ht="24.95" customHeight="1" x14ac:dyDescent="0.25">
      <c r="A70" s="117"/>
      <c r="B70" s="2">
        <v>67</v>
      </c>
      <c r="C70" s="1" t="s">
        <v>240</v>
      </c>
      <c r="D70" s="1" t="s">
        <v>31</v>
      </c>
      <c r="E70" s="2" t="s">
        <v>32</v>
      </c>
      <c r="F70" s="103" t="e">
        <f>INT(YEARFRAC('[1]Perfil Sociodemografico'!F121,'[1]Perfil Sociodemografico'!G121))</f>
        <v>#VALUE!</v>
      </c>
      <c r="G70" s="104" t="s">
        <v>192</v>
      </c>
      <c r="H70" s="104" t="s">
        <v>193</v>
      </c>
      <c r="I70" s="2" t="s">
        <v>195</v>
      </c>
      <c r="J70" s="4">
        <v>5200000</v>
      </c>
      <c r="K70" s="3">
        <v>30</v>
      </c>
      <c r="L70" s="3">
        <f t="shared" si="5"/>
        <v>5200000</v>
      </c>
      <c r="M70" s="3"/>
      <c r="N70" s="4"/>
      <c r="O70" s="4"/>
      <c r="P70" s="4"/>
      <c r="Q70" s="4"/>
      <c r="R70" s="4"/>
      <c r="S70" s="4">
        <f t="shared" si="1"/>
        <v>5200000</v>
      </c>
      <c r="T70" s="4">
        <f>+L70*4%</f>
        <v>208000</v>
      </c>
      <c r="U70" s="4">
        <f>+L70*5%</f>
        <v>260000</v>
      </c>
      <c r="V70" s="4"/>
      <c r="W70" s="4"/>
      <c r="X70" s="4">
        <v>105000</v>
      </c>
      <c r="Y70" s="4"/>
      <c r="Z70" s="4"/>
      <c r="AA70" s="4"/>
      <c r="AB70" s="4">
        <f t="shared" ref="AB70" si="34">SUM(T70:AA70)</f>
        <v>573000</v>
      </c>
      <c r="AC70" s="118">
        <f>+S70-AB70</f>
        <v>4627000</v>
      </c>
    </row>
    <row r="71" spans="1:29" ht="24.95" customHeight="1" x14ac:dyDescent="0.25">
      <c r="A71" s="117"/>
      <c r="B71" s="2">
        <v>68</v>
      </c>
      <c r="C71" s="1" t="s">
        <v>155</v>
      </c>
      <c r="D71" s="1" t="s">
        <v>31</v>
      </c>
      <c r="E71" s="2" t="s">
        <v>32</v>
      </c>
      <c r="F71" s="103">
        <v>37</v>
      </c>
      <c r="G71" s="104" t="s">
        <v>192</v>
      </c>
      <c r="H71" s="104" t="s">
        <v>193</v>
      </c>
      <c r="I71" s="2" t="s">
        <v>195</v>
      </c>
      <c r="J71" s="4">
        <v>4500000</v>
      </c>
      <c r="K71" s="3">
        <v>30</v>
      </c>
      <c r="L71" s="3">
        <f t="shared" si="5"/>
        <v>4500000</v>
      </c>
      <c r="M71" s="3"/>
      <c r="N71" s="4"/>
      <c r="O71" s="4"/>
      <c r="P71" s="4"/>
      <c r="Q71" s="4"/>
      <c r="R71" s="4"/>
      <c r="S71" s="4">
        <f t="shared" si="1"/>
        <v>4500000</v>
      </c>
      <c r="T71" s="4">
        <f>+L71*4%</f>
        <v>180000</v>
      </c>
      <c r="U71" s="4">
        <f>+L71*5%</f>
        <v>225000</v>
      </c>
      <c r="V71" s="4"/>
      <c r="W71" s="4"/>
      <c r="X71" s="4"/>
      <c r="Y71" s="4"/>
      <c r="Z71" s="4"/>
      <c r="AA71" s="4"/>
      <c r="AB71" s="4">
        <f t="shared" ref="AB71" si="35">SUM(T71:AA71)</f>
        <v>405000</v>
      </c>
      <c r="AC71" s="118">
        <f>+S71-AB71</f>
        <v>4095000</v>
      </c>
    </row>
    <row r="72" spans="1:29" ht="24.95" customHeight="1" x14ac:dyDescent="0.25">
      <c r="A72" s="117"/>
      <c r="B72" s="2">
        <v>69</v>
      </c>
      <c r="C72" s="1" t="s">
        <v>82</v>
      </c>
      <c r="D72" s="1" t="s">
        <v>31</v>
      </c>
      <c r="E72" s="2" t="s">
        <v>32</v>
      </c>
      <c r="F72" s="103" t="e">
        <f>INT(YEARFRAC('[1]Perfil Sociodemografico'!F66,'[1]Perfil Sociodemografico'!G66))</f>
        <v>#VALUE!</v>
      </c>
      <c r="G72" s="104" t="s">
        <v>202</v>
      </c>
      <c r="H72" s="104" t="s">
        <v>193</v>
      </c>
      <c r="I72" s="2" t="s">
        <v>195</v>
      </c>
      <c r="J72" s="4">
        <v>6500000</v>
      </c>
      <c r="K72" s="3">
        <v>30</v>
      </c>
      <c r="L72" s="3">
        <f>+J72-O72</f>
        <v>5416667</v>
      </c>
      <c r="M72" s="3"/>
      <c r="N72" s="4"/>
      <c r="O72" s="4">
        <v>1083333</v>
      </c>
      <c r="P72" s="4"/>
      <c r="Q72" s="4"/>
      <c r="R72" s="4"/>
      <c r="S72" s="4">
        <f t="shared" si="1"/>
        <v>6500000</v>
      </c>
      <c r="T72" s="4">
        <f>+J72*0.04</f>
        <v>260000</v>
      </c>
      <c r="U72" s="4">
        <f>+J72*0.05</f>
        <v>325000</v>
      </c>
      <c r="V72" s="4"/>
      <c r="W72" s="4">
        <v>147000</v>
      </c>
      <c r="X72" s="4">
        <v>207372</v>
      </c>
      <c r="Y72" s="4"/>
      <c r="Z72" s="4"/>
      <c r="AA72" s="4"/>
      <c r="AB72" s="4">
        <f t="shared" si="6"/>
        <v>939372</v>
      </c>
      <c r="AC72" s="118">
        <f>S72-AB72</f>
        <v>5560628</v>
      </c>
    </row>
    <row r="73" spans="1:29" ht="24.75" customHeight="1" x14ac:dyDescent="0.25">
      <c r="A73" s="117" t="s">
        <v>83</v>
      </c>
      <c r="B73" s="2">
        <v>1</v>
      </c>
      <c r="C73" s="1" t="s">
        <v>84</v>
      </c>
      <c r="D73" s="1" t="s">
        <v>31</v>
      </c>
      <c r="E73" s="2" t="s">
        <v>32</v>
      </c>
      <c r="F73" s="103" t="e">
        <f>INT(YEARFRAC('[1]Perfil Sociodemografico'!F58,'[1]Perfil Sociodemografico'!G58))</f>
        <v>#VALUE!</v>
      </c>
      <c r="G73" s="104" t="s">
        <v>210</v>
      </c>
      <c r="H73" s="104" t="s">
        <v>193</v>
      </c>
      <c r="I73" s="2" t="s">
        <v>194</v>
      </c>
      <c r="J73" s="4">
        <v>912000</v>
      </c>
      <c r="K73" s="3">
        <v>30</v>
      </c>
      <c r="L73" s="3">
        <f t="shared" si="5"/>
        <v>912000</v>
      </c>
      <c r="M73" s="3"/>
      <c r="N73" s="4">
        <v>88211</v>
      </c>
      <c r="O73" s="4"/>
      <c r="P73" s="4"/>
      <c r="Q73" s="4"/>
      <c r="R73" s="4"/>
      <c r="S73" s="4">
        <f t="shared" si="1"/>
        <v>1000211</v>
      </c>
      <c r="T73" s="4">
        <f>+J73*0.04</f>
        <v>36480</v>
      </c>
      <c r="U73" s="4">
        <f>+J73*0.04</f>
        <v>36480</v>
      </c>
      <c r="V73" s="4"/>
      <c r="W73" s="4"/>
      <c r="X73" s="4"/>
      <c r="Y73" s="4"/>
      <c r="Z73" s="4"/>
      <c r="AA73" s="4"/>
      <c r="AB73" s="4">
        <f>SUM(T73:AA73)</f>
        <v>72960</v>
      </c>
      <c r="AC73" s="118">
        <f>S73-AB73</f>
        <v>927251</v>
      </c>
    </row>
    <row r="74" spans="1:29" ht="24.95" customHeight="1" x14ac:dyDescent="0.25">
      <c r="A74" s="117"/>
      <c r="B74" s="2">
        <v>2</v>
      </c>
      <c r="C74" s="1" t="s">
        <v>85</v>
      </c>
      <c r="D74" s="1" t="s">
        <v>31</v>
      </c>
      <c r="E74" s="2" t="s">
        <v>32</v>
      </c>
      <c r="F74" s="103" t="e">
        <f>INT(YEARFRAC('[1]Perfil Sociodemografico'!F15,'[1]Perfil Sociodemografico'!G15))</f>
        <v>#VALUE!</v>
      </c>
      <c r="G74" s="104" t="s">
        <v>211</v>
      </c>
      <c r="H74" s="104" t="s">
        <v>212</v>
      </c>
      <c r="I74" s="2" t="s">
        <v>195</v>
      </c>
      <c r="J74" s="4">
        <v>3300000</v>
      </c>
      <c r="K74" s="3">
        <v>30</v>
      </c>
      <c r="L74" s="3">
        <f t="shared" si="5"/>
        <v>3300000</v>
      </c>
      <c r="M74" s="3"/>
      <c r="N74" s="4"/>
      <c r="O74" s="4"/>
      <c r="P74" s="4"/>
      <c r="Q74" s="4"/>
      <c r="R74" s="4">
        <f>+J74-L74</f>
        <v>0</v>
      </c>
      <c r="S74" s="4">
        <f t="shared" si="1"/>
        <v>3300000</v>
      </c>
      <c r="T74" s="4">
        <f>+J74*0.04</f>
        <v>132000</v>
      </c>
      <c r="U74" s="4">
        <f>+J74*0.05</f>
        <v>165000</v>
      </c>
      <c r="V74" s="4"/>
      <c r="W74" s="4"/>
      <c r="X74" s="4"/>
      <c r="Y74" s="4"/>
      <c r="Z74" s="4"/>
      <c r="AA74" s="4">
        <v>853816</v>
      </c>
      <c r="AB74" s="4">
        <f t="shared" ref="AB74:AB121" si="36">SUM(T74:AA74)</f>
        <v>1150816</v>
      </c>
      <c r="AC74" s="118">
        <f>S74-AB74</f>
        <v>2149184</v>
      </c>
    </row>
    <row r="75" spans="1:29" ht="24.95" customHeight="1" x14ac:dyDescent="0.25">
      <c r="A75" s="117"/>
      <c r="B75" s="2">
        <v>3</v>
      </c>
      <c r="C75" s="9" t="s">
        <v>86</v>
      </c>
      <c r="D75" s="1" t="s">
        <v>31</v>
      </c>
      <c r="E75" s="2" t="s">
        <v>32</v>
      </c>
      <c r="F75" s="103" t="e">
        <f>INT(YEARFRAC('[1]Perfil Sociodemografico'!F43,'[1]Perfil Sociodemografico'!G43))</f>
        <v>#VALUE!</v>
      </c>
      <c r="G75" s="104" t="s">
        <v>205</v>
      </c>
      <c r="H75" s="104" t="s">
        <v>206</v>
      </c>
      <c r="I75" s="2" t="s">
        <v>195</v>
      </c>
      <c r="J75" s="4">
        <v>2500000</v>
      </c>
      <c r="K75" s="3">
        <v>30</v>
      </c>
      <c r="L75" s="3">
        <f t="shared" si="5"/>
        <v>2500000</v>
      </c>
      <c r="M75" s="3"/>
      <c r="N75" s="4"/>
      <c r="O75" s="4"/>
      <c r="P75" s="4">
        <v>0</v>
      </c>
      <c r="Q75" s="4"/>
      <c r="R75" s="4"/>
      <c r="S75" s="4">
        <f t="shared" si="1"/>
        <v>2500000</v>
      </c>
      <c r="T75" s="4">
        <f>+J75*4%</f>
        <v>100000</v>
      </c>
      <c r="U75" s="4">
        <f>+J75*4%</f>
        <v>100000</v>
      </c>
      <c r="V75" s="4"/>
      <c r="W75" s="4"/>
      <c r="X75" s="4"/>
      <c r="Y75" s="4"/>
      <c r="Z75" s="4"/>
      <c r="AA75" s="4"/>
      <c r="AB75" s="4">
        <f t="shared" si="36"/>
        <v>200000</v>
      </c>
      <c r="AC75" s="118">
        <f>S75-AB75</f>
        <v>2300000</v>
      </c>
    </row>
    <row r="76" spans="1:29" ht="24.95" customHeight="1" x14ac:dyDescent="0.25">
      <c r="A76" s="117"/>
      <c r="B76" s="14">
        <v>4</v>
      </c>
      <c r="C76" s="108" t="s">
        <v>248</v>
      </c>
      <c r="D76" s="1"/>
      <c r="E76" s="2"/>
      <c r="F76" s="103"/>
      <c r="G76" s="104"/>
      <c r="H76" s="104"/>
      <c r="I76" s="2"/>
      <c r="J76" s="4">
        <v>781242</v>
      </c>
      <c r="K76" s="3">
        <v>14</v>
      </c>
      <c r="L76" s="3">
        <f t="shared" si="5"/>
        <v>364579.60000000003</v>
      </c>
      <c r="M76" s="3"/>
      <c r="N76" s="4"/>
      <c r="O76" s="4"/>
      <c r="P76" s="4"/>
      <c r="Q76" s="4"/>
      <c r="R76" s="4"/>
      <c r="S76" s="4">
        <f t="shared" si="1"/>
        <v>364579.60000000003</v>
      </c>
      <c r="T76" s="4"/>
      <c r="U76" s="4"/>
      <c r="V76" s="4"/>
      <c r="W76" s="4"/>
      <c r="X76" s="4"/>
      <c r="Y76" s="4"/>
      <c r="Z76" s="4"/>
      <c r="AA76" s="4"/>
      <c r="AB76" s="4">
        <f t="shared" ref="AB76:AB77" si="37">SUM(T76:AA76)</f>
        <v>0</v>
      </c>
      <c r="AC76" s="118">
        <f t="shared" ref="AC76:AC77" si="38">S76-AB76</f>
        <v>364579.60000000003</v>
      </c>
    </row>
    <row r="77" spans="1:29" ht="24.95" customHeight="1" x14ac:dyDescent="0.25">
      <c r="A77" s="117"/>
      <c r="B77" s="14">
        <v>5</v>
      </c>
      <c r="C77" s="108" t="s">
        <v>249</v>
      </c>
      <c r="D77" s="1"/>
      <c r="E77" s="2"/>
      <c r="F77" s="103"/>
      <c r="G77" s="104"/>
      <c r="H77" s="104"/>
      <c r="I77" s="2"/>
      <c r="J77" s="4">
        <v>781242</v>
      </c>
      <c r="K77" s="3">
        <v>15</v>
      </c>
      <c r="L77" s="3">
        <f t="shared" si="5"/>
        <v>390621</v>
      </c>
      <c r="M77" s="3"/>
      <c r="N77" s="4"/>
      <c r="O77" s="4"/>
      <c r="P77" s="4"/>
      <c r="Q77" s="4"/>
      <c r="R77" s="4"/>
      <c r="S77" s="4">
        <f t="shared" si="1"/>
        <v>390621</v>
      </c>
      <c r="T77" s="4"/>
      <c r="U77" s="4"/>
      <c r="V77" s="4"/>
      <c r="W77" s="4"/>
      <c r="X77" s="4"/>
      <c r="Y77" s="4"/>
      <c r="Z77" s="4"/>
      <c r="AA77" s="4"/>
      <c r="AB77" s="4">
        <f t="shared" si="37"/>
        <v>0</v>
      </c>
      <c r="AC77" s="118">
        <f t="shared" si="38"/>
        <v>390621</v>
      </c>
    </row>
    <row r="78" spans="1:29" ht="24.95" customHeight="1" x14ac:dyDescent="0.25">
      <c r="A78" s="117"/>
      <c r="B78" s="2">
        <v>6</v>
      </c>
      <c r="C78" s="1" t="s">
        <v>87</v>
      </c>
      <c r="D78" s="1" t="s">
        <v>31</v>
      </c>
      <c r="E78" s="2" t="s">
        <v>32</v>
      </c>
      <c r="F78" s="2">
        <v>22</v>
      </c>
      <c r="G78" s="2" t="s">
        <v>213</v>
      </c>
      <c r="H78" s="2" t="s">
        <v>212</v>
      </c>
      <c r="I78" s="2" t="s">
        <v>194</v>
      </c>
      <c r="J78" s="4">
        <v>3000000</v>
      </c>
      <c r="K78" s="3">
        <v>30</v>
      </c>
      <c r="L78" s="3">
        <f t="shared" si="5"/>
        <v>3000000</v>
      </c>
      <c r="M78" s="3"/>
      <c r="N78" s="4"/>
      <c r="O78" s="4"/>
      <c r="P78" s="4"/>
      <c r="Q78" s="4"/>
      <c r="R78" s="4"/>
      <c r="S78" s="4">
        <f t="shared" si="1"/>
        <v>3000000</v>
      </c>
      <c r="T78" s="4">
        <f>+J78*4%</f>
        <v>120000</v>
      </c>
      <c r="U78" s="4">
        <f>+J78*4%</f>
        <v>120000</v>
      </c>
      <c r="V78" s="4"/>
      <c r="W78" s="4"/>
      <c r="X78" s="7"/>
      <c r="Y78" s="4"/>
      <c r="Z78" s="4"/>
      <c r="AA78" s="4"/>
      <c r="AB78" s="4">
        <f t="shared" si="36"/>
        <v>240000</v>
      </c>
      <c r="AC78" s="118">
        <f t="shared" ref="AC78:AC88" si="39">+S78-AB78</f>
        <v>2760000</v>
      </c>
    </row>
    <row r="79" spans="1:29" ht="24.95" customHeight="1" x14ac:dyDescent="0.25">
      <c r="A79" s="117"/>
      <c r="B79" s="14">
        <v>7</v>
      </c>
      <c r="C79" s="15" t="s">
        <v>250</v>
      </c>
      <c r="D79" s="1"/>
      <c r="E79" s="2"/>
      <c r="F79" s="2"/>
      <c r="G79" s="2"/>
      <c r="H79" s="2"/>
      <c r="I79" s="2"/>
      <c r="J79" s="4">
        <v>390621</v>
      </c>
      <c r="K79" s="3">
        <v>30</v>
      </c>
      <c r="L79" s="3">
        <f t="shared" si="5"/>
        <v>390621</v>
      </c>
      <c r="M79" s="3"/>
      <c r="N79" s="4"/>
      <c r="O79" s="4"/>
      <c r="P79" s="4"/>
      <c r="Q79" s="4"/>
      <c r="R79" s="4"/>
      <c r="S79" s="4">
        <f t="shared" si="1"/>
        <v>390621</v>
      </c>
      <c r="T79" s="4"/>
      <c r="U79" s="4"/>
      <c r="V79" s="4"/>
      <c r="W79" s="4"/>
      <c r="X79" s="7"/>
      <c r="Y79" s="4"/>
      <c r="Z79" s="4"/>
      <c r="AA79" s="4"/>
      <c r="AB79" s="4">
        <f t="shared" ref="AB79" si="40">SUM(T79:AA79)</f>
        <v>0</v>
      </c>
      <c r="AC79" s="118">
        <f t="shared" si="39"/>
        <v>390621</v>
      </c>
    </row>
    <row r="80" spans="1:29" ht="24.95" customHeight="1" x14ac:dyDescent="0.25">
      <c r="A80" s="117"/>
      <c r="B80" s="2">
        <v>8</v>
      </c>
      <c r="C80" s="1" t="s">
        <v>91</v>
      </c>
      <c r="D80" s="1" t="s">
        <v>31</v>
      </c>
      <c r="E80" s="2" t="s">
        <v>32</v>
      </c>
      <c r="F80" s="103" t="e">
        <f>INT(YEARFRAC('[1]Perfil Sociodemografico'!F105,'[1]Perfil Sociodemografico'!G105))</f>
        <v>#VALUE!</v>
      </c>
      <c r="G80" s="104" t="s">
        <v>216</v>
      </c>
      <c r="H80" s="104" t="s">
        <v>212</v>
      </c>
      <c r="I80" s="2" t="s">
        <v>194</v>
      </c>
      <c r="J80" s="4">
        <v>781242</v>
      </c>
      <c r="K80" s="3">
        <v>30</v>
      </c>
      <c r="L80" s="3">
        <f t="shared" si="5"/>
        <v>781242</v>
      </c>
      <c r="M80" s="3"/>
      <c r="N80" s="4">
        <v>88211</v>
      </c>
      <c r="O80" s="4"/>
      <c r="P80" s="4"/>
      <c r="Q80" s="4"/>
      <c r="R80" s="4"/>
      <c r="S80" s="4">
        <f t="shared" si="1"/>
        <v>869453</v>
      </c>
      <c r="T80" s="4">
        <v>31250</v>
      </c>
      <c r="U80" s="4">
        <v>31250</v>
      </c>
      <c r="V80" s="4"/>
      <c r="W80" s="4"/>
      <c r="X80" s="7"/>
      <c r="Y80" s="4"/>
      <c r="Z80" s="4"/>
      <c r="AA80" s="4"/>
      <c r="AB80" s="4">
        <f t="shared" si="36"/>
        <v>62500</v>
      </c>
      <c r="AC80" s="118">
        <f t="shared" si="39"/>
        <v>806953</v>
      </c>
    </row>
    <row r="81" spans="1:29" ht="24.95" customHeight="1" x14ac:dyDescent="0.25">
      <c r="A81" s="117"/>
      <c r="B81" s="2">
        <v>9</v>
      </c>
      <c r="C81" s="1" t="s">
        <v>94</v>
      </c>
      <c r="D81" s="1" t="s">
        <v>31</v>
      </c>
      <c r="E81" s="2" t="s">
        <v>32</v>
      </c>
      <c r="F81" s="103" t="e">
        <f>INT(YEARFRAC('[1]Perfil Sociodemografico'!F45,'[1]Perfil Sociodemografico'!G45))</f>
        <v>#VALUE!</v>
      </c>
      <c r="G81" s="104" t="s">
        <v>217</v>
      </c>
      <c r="H81" s="104" t="s">
        <v>206</v>
      </c>
      <c r="I81" s="2" t="s">
        <v>195</v>
      </c>
      <c r="J81" s="4">
        <v>4000000</v>
      </c>
      <c r="K81" s="3">
        <v>25</v>
      </c>
      <c r="L81" s="3">
        <v>3333325</v>
      </c>
      <c r="M81" s="3">
        <f>+((J81/30)*66.67%)*5</f>
        <v>444466.66666666674</v>
      </c>
      <c r="N81" s="4"/>
      <c r="O81" s="4"/>
      <c r="P81" s="4"/>
      <c r="Q81" s="4"/>
      <c r="R81" s="4"/>
      <c r="S81" s="4">
        <f>+L81+N81+P81+Q81+R81+O81+M81</f>
        <v>3777791.666666667</v>
      </c>
      <c r="T81" s="4">
        <f t="shared" ref="T81:T88" si="41">+J81*4%</f>
        <v>160000</v>
      </c>
      <c r="U81" s="4">
        <f>+J81*5%</f>
        <v>200000</v>
      </c>
      <c r="V81" s="4"/>
      <c r="W81" s="4">
        <v>265625</v>
      </c>
      <c r="X81" s="4">
        <v>0</v>
      </c>
      <c r="Y81" s="4"/>
      <c r="Z81" s="4"/>
      <c r="AA81" s="4">
        <f>200210+224445</f>
        <v>424655</v>
      </c>
      <c r="AB81" s="4">
        <f t="shared" si="36"/>
        <v>1050280</v>
      </c>
      <c r="AC81" s="118">
        <f t="shared" si="39"/>
        <v>2727511.666666667</v>
      </c>
    </row>
    <row r="82" spans="1:29" ht="24.95" customHeight="1" x14ac:dyDescent="0.25">
      <c r="A82" s="117"/>
      <c r="B82" s="2">
        <v>10</v>
      </c>
      <c r="C82" s="1" t="s">
        <v>241</v>
      </c>
      <c r="D82" s="1" t="s">
        <v>31</v>
      </c>
      <c r="E82" s="2" t="s">
        <v>32</v>
      </c>
      <c r="F82" s="103"/>
      <c r="G82" s="104"/>
      <c r="H82" s="104"/>
      <c r="I82" s="2"/>
      <c r="J82" s="4">
        <v>3000000</v>
      </c>
      <c r="K82" s="3">
        <v>30</v>
      </c>
      <c r="L82" s="3">
        <f t="shared" si="5"/>
        <v>3000000</v>
      </c>
      <c r="M82" s="3"/>
      <c r="N82" s="4"/>
      <c r="O82" s="4"/>
      <c r="P82" s="4"/>
      <c r="Q82" s="4"/>
      <c r="R82" s="4"/>
      <c r="S82" s="4">
        <f t="shared" ref="S82:S84" si="42">+L82+N82+P82+Q82+R82+O82</f>
        <v>3000000</v>
      </c>
      <c r="T82" s="4">
        <f>+L82*4%</f>
        <v>120000</v>
      </c>
      <c r="U82" s="4">
        <f>+L82*4%</f>
        <v>120000</v>
      </c>
      <c r="V82" s="4"/>
      <c r="W82" s="4"/>
      <c r="X82" s="4"/>
      <c r="Y82" s="4"/>
      <c r="Z82" s="4"/>
      <c r="AA82" s="4"/>
      <c r="AB82" s="4">
        <f t="shared" ref="AB82:AB84" si="43">SUM(T82:AA82)</f>
        <v>240000</v>
      </c>
      <c r="AC82" s="118">
        <f t="shared" si="39"/>
        <v>2760000</v>
      </c>
    </row>
    <row r="83" spans="1:29" ht="24.95" customHeight="1" x14ac:dyDescent="0.25">
      <c r="A83" s="117"/>
      <c r="B83" s="2">
        <v>11</v>
      </c>
      <c r="C83" s="1" t="s">
        <v>251</v>
      </c>
      <c r="D83" s="1"/>
      <c r="E83" s="2"/>
      <c r="F83" s="103"/>
      <c r="G83" s="104"/>
      <c r="H83" s="104"/>
      <c r="I83" s="2"/>
      <c r="J83" s="4">
        <v>1500000</v>
      </c>
      <c r="K83" s="3">
        <v>13</v>
      </c>
      <c r="L83" s="3">
        <f t="shared" si="5"/>
        <v>650000</v>
      </c>
      <c r="M83" s="3"/>
      <c r="N83" s="4">
        <f>+((88211/30)*K83)</f>
        <v>38224.76666666667</v>
      </c>
      <c r="O83" s="4"/>
      <c r="P83" s="4"/>
      <c r="Q83" s="4"/>
      <c r="R83" s="4"/>
      <c r="S83" s="4">
        <f t="shared" si="42"/>
        <v>688224.76666666672</v>
      </c>
      <c r="T83" s="4">
        <f>+L83*4%</f>
        <v>26000</v>
      </c>
      <c r="U83" s="4">
        <f>+L83*4%</f>
        <v>26000</v>
      </c>
      <c r="V83" s="4"/>
      <c r="W83" s="4"/>
      <c r="X83" s="4">
        <v>0</v>
      </c>
      <c r="Y83" s="4"/>
      <c r="Z83" s="4"/>
      <c r="AA83" s="4"/>
      <c r="AB83" s="4">
        <f t="shared" si="43"/>
        <v>52000</v>
      </c>
      <c r="AC83" s="118">
        <f t="shared" si="39"/>
        <v>636224.76666666672</v>
      </c>
    </row>
    <row r="84" spans="1:29" ht="24.95" customHeight="1" x14ac:dyDescent="0.25">
      <c r="A84" s="117"/>
      <c r="B84" s="2">
        <v>12</v>
      </c>
      <c r="C84" s="1" t="s">
        <v>187</v>
      </c>
      <c r="D84" s="1" t="s">
        <v>31</v>
      </c>
      <c r="E84" s="2" t="s">
        <v>32</v>
      </c>
      <c r="F84" s="2">
        <v>23</v>
      </c>
      <c r="G84" s="2" t="s">
        <v>210</v>
      </c>
      <c r="H84" s="104" t="s">
        <v>193</v>
      </c>
      <c r="I84" s="2" t="s">
        <v>194</v>
      </c>
      <c r="J84" s="4">
        <v>781242</v>
      </c>
      <c r="K84" s="3">
        <v>30</v>
      </c>
      <c r="L84" s="3">
        <f t="shared" si="5"/>
        <v>781242</v>
      </c>
      <c r="M84" s="3"/>
      <c r="N84" s="4">
        <f>+((88211/30)*K84)</f>
        <v>88211</v>
      </c>
      <c r="O84" s="4"/>
      <c r="P84" s="4"/>
      <c r="Q84" s="4"/>
      <c r="R84" s="4"/>
      <c r="S84" s="4">
        <f t="shared" si="42"/>
        <v>869453</v>
      </c>
      <c r="T84" s="4">
        <f>+L84*4%</f>
        <v>31249.68</v>
      </c>
      <c r="U84" s="4">
        <f>+L84*4%</f>
        <v>31249.68</v>
      </c>
      <c r="V84" s="4"/>
      <c r="W84" s="4"/>
      <c r="X84" s="4">
        <v>0</v>
      </c>
      <c r="Y84" s="4"/>
      <c r="Z84" s="4"/>
      <c r="AA84" s="4"/>
      <c r="AB84" s="4">
        <f t="shared" si="43"/>
        <v>62499.360000000001</v>
      </c>
      <c r="AC84" s="118">
        <f t="shared" si="39"/>
        <v>806953.64</v>
      </c>
    </row>
    <row r="85" spans="1:29" ht="24.95" customHeight="1" x14ac:dyDescent="0.25">
      <c r="A85" s="117"/>
      <c r="B85" s="2">
        <v>13</v>
      </c>
      <c r="C85" s="1" t="s">
        <v>95</v>
      </c>
      <c r="D85" s="1" t="s">
        <v>31</v>
      </c>
      <c r="E85" s="2" t="s">
        <v>32</v>
      </c>
      <c r="F85" s="103" t="e">
        <f>INT(YEARFRAC('[1]Perfil Sociodemografico'!F81,'[1]Perfil Sociodemografico'!G81))</f>
        <v>#VALUE!</v>
      </c>
      <c r="G85" s="104" t="s">
        <v>205</v>
      </c>
      <c r="H85" s="104" t="s">
        <v>206</v>
      </c>
      <c r="I85" s="2" t="s">
        <v>195</v>
      </c>
      <c r="J85" s="4">
        <v>4000000</v>
      </c>
      <c r="K85" s="3">
        <v>30</v>
      </c>
      <c r="L85" s="3">
        <f>+J85-O85</f>
        <v>3466666</v>
      </c>
      <c r="M85" s="3"/>
      <c r="N85" s="4"/>
      <c r="O85" s="4">
        <v>533334</v>
      </c>
      <c r="P85" s="4"/>
      <c r="Q85" s="4"/>
      <c r="R85" s="4"/>
      <c r="S85" s="4">
        <f t="shared" si="1"/>
        <v>4000000</v>
      </c>
      <c r="T85" s="4">
        <f t="shared" si="41"/>
        <v>160000</v>
      </c>
      <c r="U85" s="4">
        <f>+J85*5%</f>
        <v>200000</v>
      </c>
      <c r="V85" s="4">
        <v>0</v>
      </c>
      <c r="W85" s="4"/>
      <c r="X85" s="4">
        <v>0</v>
      </c>
      <c r="Y85" s="4"/>
      <c r="Z85" s="4"/>
      <c r="AA85" s="4">
        <v>422966</v>
      </c>
      <c r="AB85" s="4">
        <f t="shared" si="36"/>
        <v>782966</v>
      </c>
      <c r="AC85" s="118">
        <f t="shared" si="39"/>
        <v>3217034</v>
      </c>
    </row>
    <row r="86" spans="1:29" ht="24.95" customHeight="1" x14ac:dyDescent="0.25">
      <c r="A86" s="117"/>
      <c r="B86" s="2">
        <v>14</v>
      </c>
      <c r="C86" s="1" t="s">
        <v>96</v>
      </c>
      <c r="D86" s="1" t="s">
        <v>31</v>
      </c>
      <c r="E86" s="2" t="s">
        <v>32</v>
      </c>
      <c r="F86" s="103" t="e">
        <f>INT(YEARFRAC('[1]Perfil Sociodemografico'!F48,'[1]Perfil Sociodemografico'!G48))</f>
        <v>#VALUE!</v>
      </c>
      <c r="G86" s="104" t="s">
        <v>210</v>
      </c>
      <c r="H86" s="104" t="s">
        <v>193</v>
      </c>
      <c r="I86" s="2" t="s">
        <v>195</v>
      </c>
      <c r="J86" s="4">
        <v>1500000</v>
      </c>
      <c r="K86" s="3">
        <v>25</v>
      </c>
      <c r="L86" s="3">
        <f t="shared" si="5"/>
        <v>1250000</v>
      </c>
      <c r="M86" s="3">
        <f>+((J86/30)*66.67%)*5</f>
        <v>166675</v>
      </c>
      <c r="N86" s="4">
        <f>+(88211/30)*K86</f>
        <v>73509.166666666672</v>
      </c>
      <c r="O86" s="4"/>
      <c r="P86" s="4"/>
      <c r="Q86" s="4"/>
      <c r="R86" s="4"/>
      <c r="S86" s="4">
        <f>+L86+N86+P86+Q86+R86+O86+M86</f>
        <v>1490184.1666666667</v>
      </c>
      <c r="T86" s="4">
        <f>+J86*4%</f>
        <v>60000</v>
      </c>
      <c r="U86" s="4">
        <f>+J86*4%</f>
        <v>60000</v>
      </c>
      <c r="V86" s="4"/>
      <c r="W86" s="4"/>
      <c r="X86" s="4">
        <v>0</v>
      </c>
      <c r="Y86" s="4"/>
      <c r="Z86" s="4"/>
      <c r="AA86" s="4"/>
      <c r="AB86" s="4">
        <f t="shared" si="36"/>
        <v>120000</v>
      </c>
      <c r="AC86" s="118">
        <f t="shared" si="39"/>
        <v>1370184.1666666667</v>
      </c>
    </row>
    <row r="87" spans="1:29" ht="24.95" customHeight="1" x14ac:dyDescent="0.25">
      <c r="A87" s="117"/>
      <c r="B87" s="2">
        <v>15</v>
      </c>
      <c r="C87" s="1" t="s">
        <v>97</v>
      </c>
      <c r="D87" s="1" t="s">
        <v>31</v>
      </c>
      <c r="E87" s="2" t="s">
        <v>32</v>
      </c>
      <c r="F87" s="103" t="e">
        <f>INT(YEARFRAC('[1]Perfil Sociodemografico'!F62,'[1]Perfil Sociodemografico'!G62))</f>
        <v>#VALUE!</v>
      </c>
      <c r="G87" s="105" t="s">
        <v>205</v>
      </c>
      <c r="H87" s="105" t="s">
        <v>193</v>
      </c>
      <c r="I87" s="2" t="s">
        <v>195</v>
      </c>
      <c r="J87" s="4">
        <v>3000000</v>
      </c>
      <c r="K87" s="3">
        <v>30</v>
      </c>
      <c r="L87" s="3">
        <f>+J87-O87</f>
        <v>2700000</v>
      </c>
      <c r="M87" s="3"/>
      <c r="N87" s="4"/>
      <c r="O87" s="4">
        <v>300000</v>
      </c>
      <c r="P87" s="4"/>
      <c r="Q87" s="4">
        <v>200000</v>
      </c>
      <c r="R87" s="4"/>
      <c r="S87" s="4">
        <f t="shared" si="1"/>
        <v>3200000</v>
      </c>
      <c r="T87" s="4">
        <f t="shared" si="41"/>
        <v>120000</v>
      </c>
      <c r="U87" s="4">
        <f>+J87*0.04</f>
        <v>120000</v>
      </c>
      <c r="V87" s="4"/>
      <c r="W87" s="4"/>
      <c r="X87" s="4">
        <v>0</v>
      </c>
      <c r="Y87" s="4"/>
      <c r="Z87" s="4"/>
      <c r="AA87" s="4"/>
      <c r="AB87" s="4">
        <f t="shared" si="36"/>
        <v>240000</v>
      </c>
      <c r="AC87" s="118">
        <f t="shared" si="39"/>
        <v>2960000</v>
      </c>
    </row>
    <row r="88" spans="1:29" ht="24" customHeight="1" x14ac:dyDescent="0.25">
      <c r="A88" s="117"/>
      <c r="B88" s="2">
        <v>16</v>
      </c>
      <c r="C88" s="1" t="s">
        <v>98</v>
      </c>
      <c r="D88" s="1" t="s">
        <v>31</v>
      </c>
      <c r="E88" s="2" t="s">
        <v>32</v>
      </c>
      <c r="F88" s="106" t="e">
        <f>INT(YEARFRAC('[1]Perfil Sociodemografico'!F9,'[1]Perfil Sociodemografico'!G9))</f>
        <v>#VALUE!</v>
      </c>
      <c r="G88" s="107" t="s">
        <v>218</v>
      </c>
      <c r="H88" s="107" t="s">
        <v>193</v>
      </c>
      <c r="I88" s="2" t="s">
        <v>195</v>
      </c>
      <c r="J88" s="4">
        <v>2000000</v>
      </c>
      <c r="K88" s="3">
        <v>30</v>
      </c>
      <c r="L88" s="3">
        <f t="shared" si="5"/>
        <v>2000000.0000000002</v>
      </c>
      <c r="M88" s="3"/>
      <c r="N88" s="4"/>
      <c r="O88" s="4"/>
      <c r="P88" s="4"/>
      <c r="Q88" s="4"/>
      <c r="R88" s="4"/>
      <c r="S88" s="4">
        <f t="shared" si="1"/>
        <v>2000000.0000000002</v>
      </c>
      <c r="T88" s="4">
        <f t="shared" si="41"/>
        <v>80000</v>
      </c>
      <c r="U88" s="4">
        <f>+J88*4%</f>
        <v>80000</v>
      </c>
      <c r="V88" s="4"/>
      <c r="W88" s="4"/>
      <c r="X88" s="4">
        <v>0</v>
      </c>
      <c r="Y88" s="4"/>
      <c r="Z88" s="4"/>
      <c r="AA88" s="4"/>
      <c r="AB88" s="4">
        <f t="shared" si="36"/>
        <v>160000</v>
      </c>
      <c r="AC88" s="118">
        <f t="shared" si="39"/>
        <v>1840000.0000000002</v>
      </c>
    </row>
    <row r="89" spans="1:29" ht="24.95" customHeight="1" x14ac:dyDescent="0.25">
      <c r="A89" s="117"/>
      <c r="B89" s="2">
        <v>17</v>
      </c>
      <c r="C89" s="9" t="s">
        <v>99</v>
      </c>
      <c r="D89" s="1" t="s">
        <v>31</v>
      </c>
      <c r="E89" s="2" t="s">
        <v>32</v>
      </c>
      <c r="F89" s="103" t="e">
        <f>INT(YEARFRAC('[1]Perfil Sociodemografico'!F80,'[1]Perfil Sociodemografico'!G80))</f>
        <v>#VALUE!</v>
      </c>
      <c r="G89" s="105" t="s">
        <v>219</v>
      </c>
      <c r="H89" s="105" t="s">
        <v>193</v>
      </c>
      <c r="I89" s="2" t="s">
        <v>195</v>
      </c>
      <c r="J89" s="4">
        <v>4500000</v>
      </c>
      <c r="K89" s="3">
        <v>30</v>
      </c>
      <c r="L89" s="3">
        <f t="shared" si="5"/>
        <v>4500000</v>
      </c>
      <c r="M89" s="3"/>
      <c r="N89" s="4"/>
      <c r="O89" s="4"/>
      <c r="P89" s="12"/>
      <c r="Q89" s="4"/>
      <c r="R89" s="4"/>
      <c r="S89" s="4">
        <f>+L89+N89+O89+Q89+R89</f>
        <v>4500000</v>
      </c>
      <c r="T89" s="4">
        <f>+S89*4%</f>
        <v>180000</v>
      </c>
      <c r="U89" s="4">
        <f>+S89*5%</f>
        <v>225000</v>
      </c>
      <c r="V89" s="4"/>
      <c r="W89" s="4"/>
      <c r="X89" s="4">
        <v>0</v>
      </c>
      <c r="Y89" s="4"/>
      <c r="Z89" s="4"/>
      <c r="AA89" s="4"/>
      <c r="AB89" s="4">
        <f t="shared" si="36"/>
        <v>405000</v>
      </c>
      <c r="AC89" s="118">
        <f t="shared" ref="AC89:AC97" si="44">S89-AB89</f>
        <v>4095000</v>
      </c>
    </row>
    <row r="90" spans="1:29" ht="24.95" customHeight="1" x14ac:dyDescent="0.25">
      <c r="A90" s="117"/>
      <c r="B90" s="2">
        <v>18</v>
      </c>
      <c r="C90" s="1" t="s">
        <v>101</v>
      </c>
      <c r="D90" s="1" t="s">
        <v>31</v>
      </c>
      <c r="E90" s="2" t="s">
        <v>32</v>
      </c>
      <c r="F90" s="103" t="e">
        <f>INT(YEARFRAC('[1]Perfil Sociodemografico'!F101,'[1]Perfil Sociodemografico'!G101))</f>
        <v>#VALUE!</v>
      </c>
      <c r="G90" s="104" t="s">
        <v>220</v>
      </c>
      <c r="H90" s="104" t="s">
        <v>212</v>
      </c>
      <c r="I90" s="2" t="s">
        <v>195</v>
      </c>
      <c r="J90" s="4">
        <v>1500000</v>
      </c>
      <c r="K90" s="3">
        <v>30</v>
      </c>
      <c r="L90" s="3">
        <f t="shared" si="5"/>
        <v>1500000</v>
      </c>
      <c r="M90" s="3"/>
      <c r="N90" s="4">
        <v>88211</v>
      </c>
      <c r="O90" s="4"/>
      <c r="P90" s="4"/>
      <c r="Q90" s="4"/>
      <c r="R90" s="4"/>
      <c r="S90" s="4">
        <f t="shared" si="1"/>
        <v>1588211</v>
      </c>
      <c r="T90" s="4">
        <f>+J90*4%</f>
        <v>60000</v>
      </c>
      <c r="U90" s="4">
        <f>+J90*4%</f>
        <v>60000</v>
      </c>
      <c r="V90" s="4"/>
      <c r="W90" s="4"/>
      <c r="X90" s="4"/>
      <c r="Y90" s="4"/>
      <c r="Z90" s="4"/>
      <c r="AA90" s="4">
        <v>194767</v>
      </c>
      <c r="AB90" s="4">
        <f t="shared" si="36"/>
        <v>314767</v>
      </c>
      <c r="AC90" s="118">
        <f t="shared" si="44"/>
        <v>1273444</v>
      </c>
    </row>
    <row r="91" spans="1:29" ht="24.95" customHeight="1" x14ac:dyDescent="0.25">
      <c r="A91" s="117"/>
      <c r="B91" s="2">
        <v>19</v>
      </c>
      <c r="C91" s="1" t="s">
        <v>170</v>
      </c>
      <c r="D91" s="1" t="s">
        <v>31</v>
      </c>
      <c r="E91" s="2" t="s">
        <v>102</v>
      </c>
      <c r="F91" s="103" t="e">
        <f>INT(YEARFRAC('[1]Perfil Sociodemografico'!F46,'[1]Perfil Sociodemografico'!G46))</f>
        <v>#VALUE!</v>
      </c>
      <c r="G91" s="104" t="s">
        <v>214</v>
      </c>
      <c r="H91" s="104" t="s">
        <v>212</v>
      </c>
      <c r="I91" s="2" t="s">
        <v>195</v>
      </c>
      <c r="J91" s="4">
        <v>390621</v>
      </c>
      <c r="K91" s="3">
        <v>30</v>
      </c>
      <c r="L91" s="3">
        <f t="shared" si="5"/>
        <v>390621</v>
      </c>
      <c r="M91" s="3"/>
      <c r="N91" s="4"/>
      <c r="O91" s="4"/>
      <c r="P91" s="4"/>
      <c r="Q91" s="4"/>
      <c r="R91" s="4"/>
      <c r="S91" s="4">
        <f t="shared" si="1"/>
        <v>390621</v>
      </c>
      <c r="T91" s="4"/>
      <c r="U91" s="4"/>
      <c r="V91" s="4"/>
      <c r="W91" s="4"/>
      <c r="X91" s="4"/>
      <c r="Y91" s="4"/>
      <c r="Z91" s="4"/>
      <c r="AA91" s="4"/>
      <c r="AB91" s="4"/>
      <c r="AC91" s="118">
        <f t="shared" si="44"/>
        <v>390621</v>
      </c>
    </row>
    <row r="92" spans="1:29" ht="24.95" customHeight="1" x14ac:dyDescent="0.25">
      <c r="A92" s="117"/>
      <c r="B92" s="2">
        <v>20</v>
      </c>
      <c r="C92" s="1" t="s">
        <v>103</v>
      </c>
      <c r="D92" s="1" t="s">
        <v>31</v>
      </c>
      <c r="E92" s="2" t="s">
        <v>32</v>
      </c>
      <c r="F92" s="103" t="e">
        <f>INT(YEARFRAC('[1]Perfil Sociodemografico'!F59,'[1]Perfil Sociodemografico'!G59))</f>
        <v>#VALUE!</v>
      </c>
      <c r="G92" s="104" t="s">
        <v>217</v>
      </c>
      <c r="H92" s="104" t="s">
        <v>206</v>
      </c>
      <c r="I92" s="2" t="s">
        <v>195</v>
      </c>
      <c r="J92" s="4">
        <v>4800000</v>
      </c>
      <c r="K92" s="3">
        <v>30</v>
      </c>
      <c r="L92" s="3">
        <f t="shared" ref="L92:L120" si="45">+J92/30*K92</f>
        <v>4800000</v>
      </c>
      <c r="M92" s="3"/>
      <c r="N92" s="4"/>
      <c r="O92" s="4"/>
      <c r="P92" s="4"/>
      <c r="Q92" s="4"/>
      <c r="R92" s="4"/>
      <c r="S92" s="4">
        <f t="shared" ref="S92:S118" si="46">+L92+N92+P92+Q92+R92+O92</f>
        <v>4800000</v>
      </c>
      <c r="T92" s="4">
        <f>+S92*0.04</f>
        <v>192000</v>
      </c>
      <c r="U92" s="4">
        <f>+S92*0.05</f>
        <v>240000</v>
      </c>
      <c r="V92" s="4"/>
      <c r="W92" s="4"/>
      <c r="X92" s="4">
        <v>31000</v>
      </c>
      <c r="Y92" s="4"/>
      <c r="Z92" s="4"/>
      <c r="AA92" s="4"/>
      <c r="AB92" s="4">
        <f t="shared" si="36"/>
        <v>463000</v>
      </c>
      <c r="AC92" s="118">
        <f t="shared" si="44"/>
        <v>4337000</v>
      </c>
    </row>
    <row r="93" spans="1:29" ht="24.95" customHeight="1" x14ac:dyDescent="0.25">
      <c r="A93" s="117"/>
      <c r="B93" s="2">
        <v>21</v>
      </c>
      <c r="C93" s="1" t="s">
        <v>104</v>
      </c>
      <c r="D93" s="1" t="s">
        <v>31</v>
      </c>
      <c r="E93" s="2" t="s">
        <v>32</v>
      </c>
      <c r="F93" s="103" t="e">
        <f>INT(YEARFRAC('[1]Perfil Sociodemografico'!F68,'[1]Perfil Sociodemografico'!G68))</f>
        <v>#VALUE!</v>
      </c>
      <c r="G93" s="104" t="s">
        <v>205</v>
      </c>
      <c r="H93" s="104" t="s">
        <v>206</v>
      </c>
      <c r="I93" s="2" t="s">
        <v>195</v>
      </c>
      <c r="J93" s="4">
        <v>2500000</v>
      </c>
      <c r="K93" s="3">
        <v>30</v>
      </c>
      <c r="L93" s="3">
        <f t="shared" si="45"/>
        <v>2500000</v>
      </c>
      <c r="M93" s="3"/>
      <c r="N93" s="4"/>
      <c r="O93" s="4"/>
      <c r="P93" s="4"/>
      <c r="Q93" s="4"/>
      <c r="R93" s="4"/>
      <c r="S93" s="4">
        <f t="shared" si="46"/>
        <v>2500000</v>
      </c>
      <c r="T93" s="4">
        <f>+J93*4%</f>
        <v>100000</v>
      </c>
      <c r="U93" s="4">
        <f>+J93*4%</f>
        <v>100000</v>
      </c>
      <c r="V93" s="4"/>
      <c r="W93" s="4"/>
      <c r="X93" s="4"/>
      <c r="Y93" s="4"/>
      <c r="Z93" s="4"/>
      <c r="AA93" s="4"/>
      <c r="AB93" s="4">
        <f t="shared" si="36"/>
        <v>200000</v>
      </c>
      <c r="AC93" s="118">
        <f t="shared" si="44"/>
        <v>2300000</v>
      </c>
    </row>
    <row r="94" spans="1:29" ht="24.95" customHeight="1" x14ac:dyDescent="0.25">
      <c r="A94" s="117"/>
      <c r="B94" s="2">
        <v>22</v>
      </c>
      <c r="C94" s="1" t="s">
        <v>105</v>
      </c>
      <c r="D94" s="1" t="s">
        <v>31</v>
      </c>
      <c r="E94" s="2" t="s">
        <v>32</v>
      </c>
      <c r="F94" s="103">
        <v>29</v>
      </c>
      <c r="G94" s="105" t="s">
        <v>221</v>
      </c>
      <c r="H94" s="105" t="s">
        <v>206</v>
      </c>
      <c r="I94" s="2" t="s">
        <v>195</v>
      </c>
      <c r="J94" s="4">
        <v>1272000</v>
      </c>
      <c r="K94" s="3">
        <v>30</v>
      </c>
      <c r="L94" s="3">
        <f t="shared" si="45"/>
        <v>1272000</v>
      </c>
      <c r="M94" s="3"/>
      <c r="N94" s="4">
        <v>88211</v>
      </c>
      <c r="O94" s="4"/>
      <c r="P94" s="4"/>
      <c r="Q94" s="4"/>
      <c r="R94" s="4"/>
      <c r="S94" s="4">
        <f t="shared" si="46"/>
        <v>1360211</v>
      </c>
      <c r="T94" s="4">
        <f>+J94*4%</f>
        <v>50880</v>
      </c>
      <c r="U94" s="4">
        <f>+J94*4%</f>
        <v>50880</v>
      </c>
      <c r="V94" s="4"/>
      <c r="W94" s="4"/>
      <c r="X94" s="4"/>
      <c r="Y94" s="4"/>
      <c r="Z94" s="4"/>
      <c r="AA94" s="4"/>
      <c r="AB94" s="4">
        <f t="shared" si="36"/>
        <v>101760</v>
      </c>
      <c r="AC94" s="118">
        <f t="shared" si="44"/>
        <v>1258451</v>
      </c>
    </row>
    <row r="95" spans="1:29" ht="24.95" customHeight="1" x14ac:dyDescent="0.25">
      <c r="A95" s="117"/>
      <c r="B95" s="2">
        <v>23</v>
      </c>
      <c r="C95" s="1" t="s">
        <v>106</v>
      </c>
      <c r="D95" s="1" t="s">
        <v>31</v>
      </c>
      <c r="E95" s="2" t="s">
        <v>32</v>
      </c>
      <c r="F95" s="103" t="e">
        <f>INT(YEARFRAC('[1]Perfil Sociodemografico'!F69,'[1]Perfil Sociodemografico'!G69))</f>
        <v>#VALUE!</v>
      </c>
      <c r="G95" s="104" t="s">
        <v>205</v>
      </c>
      <c r="H95" s="104" t="s">
        <v>193</v>
      </c>
      <c r="I95" s="2" t="s">
        <v>195</v>
      </c>
      <c r="J95" s="4">
        <v>3000000</v>
      </c>
      <c r="K95" s="3">
        <v>30</v>
      </c>
      <c r="L95" s="3">
        <f>+J95-O95</f>
        <v>2700000</v>
      </c>
      <c r="M95" s="3"/>
      <c r="N95" s="4"/>
      <c r="O95" s="4">
        <v>300000</v>
      </c>
      <c r="P95" s="4"/>
      <c r="Q95" s="4"/>
      <c r="R95" s="4"/>
      <c r="S95" s="4">
        <f t="shared" si="46"/>
        <v>3000000</v>
      </c>
      <c r="T95" s="4">
        <f>+J95*4%</f>
        <v>120000</v>
      </c>
      <c r="U95" s="4">
        <f>+J95*4%</f>
        <v>120000</v>
      </c>
      <c r="V95" s="4"/>
      <c r="W95" s="4"/>
      <c r="X95" s="4">
        <v>0</v>
      </c>
      <c r="Y95" s="4"/>
      <c r="Z95" s="4"/>
      <c r="AA95" s="4"/>
      <c r="AB95" s="4">
        <f t="shared" si="36"/>
        <v>240000</v>
      </c>
      <c r="AC95" s="118">
        <f t="shared" si="44"/>
        <v>2760000</v>
      </c>
    </row>
    <row r="96" spans="1:29" ht="24.95" customHeight="1" x14ac:dyDescent="0.25">
      <c r="A96" s="117"/>
      <c r="B96" s="2">
        <v>24</v>
      </c>
      <c r="C96" s="1" t="s">
        <v>107</v>
      </c>
      <c r="D96" s="1" t="s">
        <v>31</v>
      </c>
      <c r="E96" s="2" t="s">
        <v>102</v>
      </c>
      <c r="F96" s="103" t="e">
        <f>INT(YEARFRAC('[1]Perfil Sociodemografico'!F27,'[1]Perfil Sociodemografico'!G27))</f>
        <v>#VALUE!</v>
      </c>
      <c r="G96" s="105" t="s">
        <v>222</v>
      </c>
      <c r="H96" s="105" t="s">
        <v>193</v>
      </c>
      <c r="I96" s="2" t="s">
        <v>194</v>
      </c>
      <c r="J96" s="4">
        <v>912000</v>
      </c>
      <c r="K96" s="3">
        <v>15</v>
      </c>
      <c r="L96" s="3">
        <f t="shared" si="45"/>
        <v>456000</v>
      </c>
      <c r="M96" s="3"/>
      <c r="N96" s="4">
        <f>+(88211/30)*K96</f>
        <v>44105.5</v>
      </c>
      <c r="O96" s="4"/>
      <c r="P96" s="4"/>
      <c r="Q96" s="4"/>
      <c r="R96" s="4"/>
      <c r="S96" s="4">
        <f t="shared" si="46"/>
        <v>500105.5</v>
      </c>
      <c r="T96" s="4">
        <f>+L96*4%</f>
        <v>18240</v>
      </c>
      <c r="U96" s="4">
        <f>+L96*4%</f>
        <v>18240</v>
      </c>
      <c r="V96" s="4"/>
      <c r="W96" s="4"/>
      <c r="X96" s="4"/>
      <c r="Y96" s="4"/>
      <c r="Z96" s="4"/>
      <c r="AA96" s="4"/>
      <c r="AB96" s="4">
        <f t="shared" ref="AB96" si="47">SUM(T96:AA96)</f>
        <v>36480</v>
      </c>
      <c r="AC96" s="118">
        <f t="shared" si="44"/>
        <v>463625.5</v>
      </c>
    </row>
    <row r="97" spans="1:29" ht="24.95" customHeight="1" x14ac:dyDescent="0.25">
      <c r="A97" s="117"/>
      <c r="B97" s="2">
        <v>25</v>
      </c>
      <c r="C97" s="9" t="s">
        <v>109</v>
      </c>
      <c r="D97" s="1" t="s">
        <v>31</v>
      </c>
      <c r="E97" s="2" t="s">
        <v>32</v>
      </c>
      <c r="F97" s="103" t="e">
        <f>INT(YEARFRAC('[1]Perfil Sociodemografico'!F96,'[1]Perfil Sociodemografico'!G96))</f>
        <v>#VALUE!</v>
      </c>
      <c r="G97" s="104" t="s">
        <v>205</v>
      </c>
      <c r="H97" s="104" t="s">
        <v>193</v>
      </c>
      <c r="I97" s="2" t="s">
        <v>195</v>
      </c>
      <c r="J97" s="4">
        <v>3000000</v>
      </c>
      <c r="K97" s="3">
        <v>30</v>
      </c>
      <c r="L97" s="3">
        <f>+J97-O97</f>
        <v>3000000</v>
      </c>
      <c r="M97" s="3"/>
      <c r="N97" s="4"/>
      <c r="O97" s="4"/>
      <c r="P97" s="4"/>
      <c r="Q97" s="4"/>
      <c r="R97" s="4"/>
      <c r="S97" s="4">
        <f t="shared" si="46"/>
        <v>3000000</v>
      </c>
      <c r="T97" s="4">
        <f t="shared" ref="T97:T105" si="48">+J97*4%</f>
        <v>120000</v>
      </c>
      <c r="U97" s="4">
        <f>+J97*4%</f>
        <v>120000</v>
      </c>
      <c r="V97" s="4"/>
      <c r="W97" s="4"/>
      <c r="X97" s="4"/>
      <c r="Y97" s="4"/>
      <c r="Z97" s="4"/>
      <c r="AA97" s="4"/>
      <c r="AB97" s="4">
        <f t="shared" si="36"/>
        <v>240000</v>
      </c>
      <c r="AC97" s="118">
        <f t="shared" si="44"/>
        <v>2760000</v>
      </c>
    </row>
    <row r="98" spans="1:29" ht="24.95" customHeight="1" x14ac:dyDescent="0.25">
      <c r="A98" s="117"/>
      <c r="B98" s="2">
        <v>26</v>
      </c>
      <c r="C98" s="1" t="s">
        <v>111</v>
      </c>
      <c r="D98" s="1" t="s">
        <v>31</v>
      </c>
      <c r="E98" s="2" t="s">
        <v>32</v>
      </c>
      <c r="F98" s="103" t="e">
        <f>INT(YEARFRAC('[1]Perfil Sociodemografico'!F104,'[1]Perfil Sociodemografico'!G104))</f>
        <v>#VALUE!</v>
      </c>
      <c r="G98" s="104" t="s">
        <v>223</v>
      </c>
      <c r="H98" s="104" t="s">
        <v>206</v>
      </c>
      <c r="I98" s="2" t="s">
        <v>195</v>
      </c>
      <c r="J98" s="4">
        <v>2200000</v>
      </c>
      <c r="K98" s="3">
        <v>30</v>
      </c>
      <c r="L98" s="3">
        <f t="shared" si="45"/>
        <v>2200000</v>
      </c>
      <c r="M98" s="3"/>
      <c r="N98" s="4"/>
      <c r="O98" s="4"/>
      <c r="P98" s="4"/>
      <c r="Q98" s="4"/>
      <c r="R98" s="4"/>
      <c r="S98" s="4">
        <f t="shared" si="46"/>
        <v>2200000</v>
      </c>
      <c r="T98" s="4">
        <f t="shared" si="48"/>
        <v>88000</v>
      </c>
      <c r="U98" s="4">
        <f>+J98*4%</f>
        <v>88000</v>
      </c>
      <c r="V98" s="4"/>
      <c r="W98" s="4"/>
      <c r="X98" s="4">
        <v>0</v>
      </c>
      <c r="Y98" s="4"/>
      <c r="Z98" s="4"/>
      <c r="AA98" s="4"/>
      <c r="AB98" s="4">
        <f t="shared" si="36"/>
        <v>176000</v>
      </c>
      <c r="AC98" s="118">
        <f>+S98-AB98</f>
        <v>2024000</v>
      </c>
    </row>
    <row r="99" spans="1:29" ht="24.95" customHeight="1" x14ac:dyDescent="0.25">
      <c r="A99" s="117"/>
      <c r="B99" s="2">
        <v>27</v>
      </c>
      <c r="C99" s="1" t="s">
        <v>114</v>
      </c>
      <c r="D99" s="1" t="s">
        <v>31</v>
      </c>
      <c r="E99" s="2" t="s">
        <v>32</v>
      </c>
      <c r="F99" s="103" t="e">
        <f>INT(YEARFRAC('[1]Perfil Sociodemografico'!F77,'[1]Perfil Sociodemografico'!G77))</f>
        <v>#VALUE!</v>
      </c>
      <c r="G99" s="105" t="s">
        <v>224</v>
      </c>
      <c r="H99" s="105" t="s">
        <v>212</v>
      </c>
      <c r="I99" s="2" t="s">
        <v>195</v>
      </c>
      <c r="J99" s="4">
        <v>5500000</v>
      </c>
      <c r="K99" s="3">
        <v>30</v>
      </c>
      <c r="L99" s="3">
        <f>+J99-O99</f>
        <v>5316667</v>
      </c>
      <c r="M99" s="3"/>
      <c r="N99" s="4"/>
      <c r="O99" s="4">
        <v>183333</v>
      </c>
      <c r="P99" s="4"/>
      <c r="Q99" s="4">
        <v>500000</v>
      </c>
      <c r="R99" s="4"/>
      <c r="S99" s="4">
        <f t="shared" si="46"/>
        <v>6000000</v>
      </c>
      <c r="T99" s="4">
        <f>+J99*4%</f>
        <v>220000</v>
      </c>
      <c r="U99" s="4">
        <f>+J99*5%</f>
        <v>275000</v>
      </c>
      <c r="V99" s="4"/>
      <c r="W99" s="4">
        <v>453600</v>
      </c>
      <c r="X99" s="7">
        <v>69147</v>
      </c>
      <c r="Y99" s="4"/>
      <c r="Z99" s="4"/>
      <c r="AA99" s="4">
        <v>480989</v>
      </c>
      <c r="AB99" s="4">
        <f t="shared" si="36"/>
        <v>1498736</v>
      </c>
      <c r="AC99" s="118">
        <f t="shared" ref="AC99:AC103" si="49">+S99-AB99</f>
        <v>4501264</v>
      </c>
    </row>
    <row r="100" spans="1:29" ht="24.95" customHeight="1" x14ac:dyDescent="0.25">
      <c r="A100" s="117"/>
      <c r="B100" s="2">
        <v>28</v>
      </c>
      <c r="C100" s="1" t="s">
        <v>188</v>
      </c>
      <c r="D100" s="1" t="s">
        <v>31</v>
      </c>
      <c r="E100" s="2" t="s">
        <v>32</v>
      </c>
      <c r="F100" s="103">
        <v>24</v>
      </c>
      <c r="G100" s="104" t="s">
        <v>210</v>
      </c>
      <c r="H100" s="104" t="s">
        <v>193</v>
      </c>
      <c r="I100" s="2" t="s">
        <v>195</v>
      </c>
      <c r="J100" s="4">
        <v>781242</v>
      </c>
      <c r="K100" s="3">
        <v>22</v>
      </c>
      <c r="L100" s="3">
        <f t="shared" si="45"/>
        <v>572910.80000000005</v>
      </c>
      <c r="M100" s="3">
        <f>+((J100/30)*66.67%)*8</f>
        <v>138894.41104000004</v>
      </c>
      <c r="N100" s="4">
        <v>61748</v>
      </c>
      <c r="O100" s="4"/>
      <c r="P100" s="4"/>
      <c r="Q100" s="4"/>
      <c r="R100" s="4"/>
      <c r="S100" s="4">
        <f>+L100+N100+P100+Q100+R100+O100+M100</f>
        <v>773553.21104000008</v>
      </c>
      <c r="T100" s="4">
        <f>+J100*4%</f>
        <v>31249.68</v>
      </c>
      <c r="U100" s="4">
        <f>+J100*4%</f>
        <v>31249.68</v>
      </c>
      <c r="V100" s="4"/>
      <c r="W100" s="4"/>
      <c r="X100" s="7"/>
      <c r="Y100" s="4"/>
      <c r="Z100" s="4"/>
      <c r="AA100" s="4"/>
      <c r="AB100" s="4">
        <f t="shared" si="36"/>
        <v>62499.360000000001</v>
      </c>
      <c r="AC100" s="118">
        <f t="shared" si="49"/>
        <v>711053.8510400001</v>
      </c>
    </row>
    <row r="101" spans="1:29" ht="24.95" customHeight="1" x14ac:dyDescent="0.25">
      <c r="A101" s="117"/>
      <c r="B101" s="2">
        <v>29</v>
      </c>
      <c r="C101" s="1" t="s">
        <v>116</v>
      </c>
      <c r="D101" s="1" t="s">
        <v>31</v>
      </c>
      <c r="E101" s="2" t="s">
        <v>32</v>
      </c>
      <c r="F101" s="103" t="e">
        <f>INT(YEARFRAC('[1]Perfil Sociodemografico'!F33,'[1]Perfil Sociodemografico'!G33))</f>
        <v>#VALUE!</v>
      </c>
      <c r="G101" s="104" t="s">
        <v>210</v>
      </c>
      <c r="H101" s="104" t="s">
        <v>193</v>
      </c>
      <c r="I101" s="2" t="s">
        <v>195</v>
      </c>
      <c r="J101" s="4">
        <v>2180000</v>
      </c>
      <c r="K101" s="3">
        <v>30</v>
      </c>
      <c r="L101" s="3">
        <f>+J101-O101</f>
        <v>1962000</v>
      </c>
      <c r="M101" s="3"/>
      <c r="N101" s="4"/>
      <c r="O101" s="4">
        <v>218000</v>
      </c>
      <c r="P101" s="4"/>
      <c r="Q101" s="4"/>
      <c r="R101" s="4"/>
      <c r="S101" s="4">
        <f t="shared" si="46"/>
        <v>2180000</v>
      </c>
      <c r="T101" s="4">
        <f t="shared" si="48"/>
        <v>87200</v>
      </c>
      <c r="U101" s="4">
        <f>+J101*4%</f>
        <v>87200</v>
      </c>
      <c r="V101" s="4"/>
      <c r="W101" s="4">
        <v>166667</v>
      </c>
      <c r="X101" s="7"/>
      <c r="Y101" s="4"/>
      <c r="Z101" s="4"/>
      <c r="AA101" s="4"/>
      <c r="AB101" s="4">
        <f t="shared" si="36"/>
        <v>341067</v>
      </c>
      <c r="AC101" s="118">
        <f t="shared" si="49"/>
        <v>1838933</v>
      </c>
    </row>
    <row r="102" spans="1:29" ht="24.95" customHeight="1" x14ac:dyDescent="0.25">
      <c r="A102" s="117"/>
      <c r="B102" s="2">
        <v>30</v>
      </c>
      <c r="C102" s="1" t="s">
        <v>61</v>
      </c>
      <c r="D102" s="1" t="s">
        <v>31</v>
      </c>
      <c r="E102" s="2" t="s">
        <v>32</v>
      </c>
      <c r="F102" s="103" t="e">
        <f>INT(YEARFRAC('[1]Perfil Sociodemografico'!F121,'[1]Perfil Sociodemografico'!G121))</f>
        <v>#VALUE!</v>
      </c>
      <c r="G102" s="104" t="s">
        <v>192</v>
      </c>
      <c r="H102" s="104" t="s">
        <v>206</v>
      </c>
      <c r="I102" s="2" t="s">
        <v>195</v>
      </c>
      <c r="J102" s="4">
        <v>3500000</v>
      </c>
      <c r="K102" s="3">
        <v>30</v>
      </c>
      <c r="L102" s="3">
        <f>+J102-O102</f>
        <v>3500000</v>
      </c>
      <c r="M102" s="3"/>
      <c r="N102" s="4"/>
      <c r="O102" s="4"/>
      <c r="P102" s="4"/>
      <c r="Q102" s="4"/>
      <c r="R102" s="4"/>
      <c r="S102" s="4">
        <f>+L102+N102+P102+Q102+R102+O102</f>
        <v>3500000</v>
      </c>
      <c r="T102" s="4">
        <f t="shared" ref="T102" si="50">J102*4/100</f>
        <v>140000</v>
      </c>
      <c r="U102" s="4">
        <f t="shared" ref="U102" si="51">+J102*0.05</f>
        <v>175000</v>
      </c>
      <c r="V102" s="4"/>
      <c r="W102" s="4"/>
      <c r="X102" s="7">
        <v>0</v>
      </c>
      <c r="Y102" s="4"/>
      <c r="Z102" s="4">
        <v>111000</v>
      </c>
      <c r="AA102" s="4"/>
      <c r="AB102" s="4">
        <f t="shared" si="36"/>
        <v>426000</v>
      </c>
      <c r="AC102" s="118">
        <f>S102-AB102</f>
        <v>3074000</v>
      </c>
    </row>
    <row r="103" spans="1:29" ht="24.95" customHeight="1" x14ac:dyDescent="0.25">
      <c r="A103" s="117"/>
      <c r="B103" s="2">
        <v>31</v>
      </c>
      <c r="C103" s="1" t="s">
        <v>118</v>
      </c>
      <c r="D103" s="1" t="s">
        <v>31</v>
      </c>
      <c r="E103" s="2" t="s">
        <v>32</v>
      </c>
      <c r="F103" s="103" t="e">
        <f>INT(YEARFRAC('[1]Perfil Sociodemografico'!F106,'[1]Perfil Sociodemografico'!G106))</f>
        <v>#VALUE!</v>
      </c>
      <c r="G103" s="104" t="s">
        <v>221</v>
      </c>
      <c r="H103" s="104" t="s">
        <v>206</v>
      </c>
      <c r="I103" s="2" t="s">
        <v>195</v>
      </c>
      <c r="J103" s="4">
        <v>2200000</v>
      </c>
      <c r="K103" s="3">
        <v>30</v>
      </c>
      <c r="L103" s="3">
        <v>1833325</v>
      </c>
      <c r="M103" s="3">
        <v>244455</v>
      </c>
      <c r="N103" s="4"/>
      <c r="O103" s="4"/>
      <c r="P103" s="4"/>
      <c r="Q103" s="4"/>
      <c r="R103" s="4"/>
      <c r="S103" s="4">
        <f>+L103+N103+P103+Q103+R103+O103+M103</f>
        <v>2077780</v>
      </c>
      <c r="T103" s="4">
        <v>88000</v>
      </c>
      <c r="U103" s="4">
        <v>88000</v>
      </c>
      <c r="V103" s="4"/>
      <c r="W103" s="4"/>
      <c r="X103" s="7">
        <v>0</v>
      </c>
      <c r="Y103" s="4"/>
      <c r="Z103" s="4"/>
      <c r="AA103" s="4"/>
      <c r="AB103" s="4">
        <f t="shared" si="36"/>
        <v>176000</v>
      </c>
      <c r="AC103" s="118">
        <f t="shared" si="49"/>
        <v>1901780</v>
      </c>
    </row>
    <row r="104" spans="1:29" ht="24.95" customHeight="1" x14ac:dyDescent="0.25">
      <c r="A104" s="117"/>
      <c r="B104" s="2">
        <v>32</v>
      </c>
      <c r="C104" s="1" t="s">
        <v>242</v>
      </c>
      <c r="D104" s="1" t="s">
        <v>31</v>
      </c>
      <c r="E104" s="2" t="s">
        <v>32</v>
      </c>
      <c r="F104" s="103">
        <v>32</v>
      </c>
      <c r="G104" s="104" t="s">
        <v>225</v>
      </c>
      <c r="H104" s="104" t="s">
        <v>212</v>
      </c>
      <c r="I104" s="2" t="s">
        <v>194</v>
      </c>
      <c r="J104" s="4">
        <v>1700000</v>
      </c>
      <c r="K104" s="3">
        <v>30</v>
      </c>
      <c r="L104" s="3">
        <f t="shared" ref="L104" si="52">+J104/30*K104</f>
        <v>1700000</v>
      </c>
      <c r="M104" s="3"/>
      <c r="N104" s="4"/>
      <c r="O104" s="4"/>
      <c r="P104" s="4"/>
      <c r="Q104" s="4"/>
      <c r="R104" s="4"/>
      <c r="S104" s="4">
        <f t="shared" ref="S104" si="53">+L104+N104+P104+Q104+R104+O104</f>
        <v>1700000</v>
      </c>
      <c r="T104" s="4">
        <f>+L104*4%</f>
        <v>68000</v>
      </c>
      <c r="U104" s="4">
        <f>+L104*4%</f>
        <v>68000</v>
      </c>
      <c r="V104" s="4">
        <v>0</v>
      </c>
      <c r="W104" s="4"/>
      <c r="X104" s="4">
        <v>0</v>
      </c>
      <c r="Y104" s="4"/>
      <c r="Z104" s="4"/>
      <c r="AA104" s="4"/>
      <c r="AB104" s="4">
        <f t="shared" ref="AB104" si="54">SUM(T104:AA104)</f>
        <v>136000</v>
      </c>
      <c r="AC104" s="118">
        <f t="shared" ref="AC104:AC121" si="55">S104-AB104</f>
        <v>1564000</v>
      </c>
    </row>
    <row r="105" spans="1:29" ht="24.95" customHeight="1" x14ac:dyDescent="0.25">
      <c r="A105" s="117"/>
      <c r="B105" s="2">
        <v>33</v>
      </c>
      <c r="C105" s="1" t="s">
        <v>122</v>
      </c>
      <c r="D105" s="1" t="s">
        <v>31</v>
      </c>
      <c r="E105" s="2" t="s">
        <v>32</v>
      </c>
      <c r="F105" s="103">
        <v>32</v>
      </c>
      <c r="G105" s="104" t="s">
        <v>225</v>
      </c>
      <c r="H105" s="104" t="s">
        <v>212</v>
      </c>
      <c r="I105" s="2" t="s">
        <v>194</v>
      </c>
      <c r="J105" s="4">
        <v>3500000</v>
      </c>
      <c r="K105" s="3">
        <v>30</v>
      </c>
      <c r="L105" s="3">
        <f t="shared" si="45"/>
        <v>3500000</v>
      </c>
      <c r="M105" s="3"/>
      <c r="N105" s="4"/>
      <c r="O105" s="4"/>
      <c r="P105" s="4"/>
      <c r="Q105" s="4"/>
      <c r="R105" s="4"/>
      <c r="S105" s="4">
        <f t="shared" si="46"/>
        <v>3500000</v>
      </c>
      <c r="T105" s="4">
        <f t="shared" si="48"/>
        <v>140000</v>
      </c>
      <c r="U105" s="4">
        <f>+J105*5%</f>
        <v>175000</v>
      </c>
      <c r="V105" s="4">
        <v>0</v>
      </c>
      <c r="W105" s="4"/>
      <c r="X105" s="4">
        <v>0</v>
      </c>
      <c r="Y105" s="4"/>
      <c r="Z105" s="4"/>
      <c r="AA105" s="4"/>
      <c r="AB105" s="4">
        <f t="shared" si="36"/>
        <v>315000</v>
      </c>
      <c r="AC105" s="118">
        <f t="shared" si="55"/>
        <v>3185000</v>
      </c>
    </row>
    <row r="106" spans="1:29" ht="24.95" customHeight="1" x14ac:dyDescent="0.25">
      <c r="A106" s="117"/>
      <c r="B106" s="2">
        <v>34</v>
      </c>
      <c r="C106" s="1" t="s">
        <v>252</v>
      </c>
      <c r="D106" s="1"/>
      <c r="E106" s="2"/>
      <c r="F106" s="103"/>
      <c r="G106" s="104"/>
      <c r="H106" s="104"/>
      <c r="I106" s="2"/>
      <c r="J106" s="4">
        <v>2700000</v>
      </c>
      <c r="K106" s="3">
        <v>21</v>
      </c>
      <c r="L106" s="3">
        <f t="shared" si="45"/>
        <v>1890000</v>
      </c>
      <c r="M106" s="3"/>
      <c r="N106" s="4"/>
      <c r="O106" s="4"/>
      <c r="P106" s="4"/>
      <c r="Q106" s="4"/>
      <c r="R106" s="4"/>
      <c r="S106" s="4">
        <f t="shared" si="46"/>
        <v>1890000</v>
      </c>
      <c r="T106" s="4">
        <f>+L106*4%</f>
        <v>75600</v>
      </c>
      <c r="U106" s="4">
        <f>+L106*4%</f>
        <v>75600</v>
      </c>
      <c r="V106" s="4">
        <v>0</v>
      </c>
      <c r="W106" s="4"/>
      <c r="X106" s="4">
        <v>0</v>
      </c>
      <c r="Y106" s="4"/>
      <c r="Z106" s="4"/>
      <c r="AA106" s="4"/>
      <c r="AB106" s="4">
        <f t="shared" ref="AB106" si="56">SUM(T106:AA106)</f>
        <v>151200</v>
      </c>
      <c r="AC106" s="118">
        <f t="shared" si="55"/>
        <v>1738800</v>
      </c>
    </row>
    <row r="107" spans="1:29" ht="24.95" customHeight="1" x14ac:dyDescent="0.25">
      <c r="A107" s="117"/>
      <c r="B107" s="2">
        <v>35</v>
      </c>
      <c r="C107" s="9" t="s">
        <v>124</v>
      </c>
      <c r="D107" s="1" t="s">
        <v>31</v>
      </c>
      <c r="E107" s="2" t="s">
        <v>32</v>
      </c>
      <c r="F107" s="103" t="e">
        <f>INT(YEARFRAC('[1]Perfil Sociodemografico'!F89,'[1]Perfil Sociodemografico'!G89))</f>
        <v>#VALUE!</v>
      </c>
      <c r="G107" s="104" t="s">
        <v>226</v>
      </c>
      <c r="H107" s="104" t="s">
        <v>212</v>
      </c>
      <c r="I107" s="2" t="s">
        <v>194</v>
      </c>
      <c r="J107" s="4">
        <v>781242</v>
      </c>
      <c r="K107" s="3">
        <v>30</v>
      </c>
      <c r="L107" s="3">
        <f>+J107</f>
        <v>781242</v>
      </c>
      <c r="M107" s="3"/>
      <c r="N107" s="4">
        <v>88211</v>
      </c>
      <c r="O107" s="4"/>
      <c r="P107" s="4"/>
      <c r="Q107" s="4">
        <v>115427</v>
      </c>
      <c r="R107" s="4"/>
      <c r="S107" s="4">
        <f>+L107+N107+P107+Q107+R107+O107</f>
        <v>984880</v>
      </c>
      <c r="T107" s="4">
        <f>+J107*0.04</f>
        <v>31249.68</v>
      </c>
      <c r="U107" s="4">
        <f>+J107*0.04</f>
        <v>31249.68</v>
      </c>
      <c r="V107" s="4"/>
      <c r="W107" s="4"/>
      <c r="X107" s="4">
        <v>0</v>
      </c>
      <c r="Y107" s="4"/>
      <c r="Z107" s="4"/>
      <c r="AA107" s="4"/>
      <c r="AB107" s="4">
        <f t="shared" si="36"/>
        <v>62499.360000000001</v>
      </c>
      <c r="AC107" s="118">
        <f t="shared" si="55"/>
        <v>922380.64</v>
      </c>
    </row>
    <row r="108" spans="1:29" ht="24.95" customHeight="1" x14ac:dyDescent="0.25">
      <c r="A108" s="117"/>
      <c r="B108" s="2">
        <v>36</v>
      </c>
      <c r="C108" s="1" t="s">
        <v>157</v>
      </c>
      <c r="D108" s="1" t="s">
        <v>31</v>
      </c>
      <c r="E108" s="2" t="s">
        <v>32</v>
      </c>
      <c r="F108" s="103" t="e">
        <f>INT(YEARFRAC('[1]Perfil Sociodemografico'!F13,'[1]Perfil Sociodemografico'!G13))</f>
        <v>#VALUE!</v>
      </c>
      <c r="G108" s="104" t="s">
        <v>214</v>
      </c>
      <c r="H108" s="104" t="s">
        <v>212</v>
      </c>
      <c r="I108" s="2" t="s">
        <v>195</v>
      </c>
      <c r="J108" s="4">
        <v>1000000</v>
      </c>
      <c r="K108" s="3">
        <v>27</v>
      </c>
      <c r="L108" s="3">
        <f t="shared" ref="L108:L109" si="57">+J108/30*K108</f>
        <v>900000.00000000012</v>
      </c>
      <c r="M108" s="3"/>
      <c r="N108" s="4">
        <f>+(88211/30)*K108</f>
        <v>79389.900000000009</v>
      </c>
      <c r="O108" s="4"/>
      <c r="P108" s="4"/>
      <c r="Q108" s="4"/>
      <c r="R108" s="4"/>
      <c r="S108" s="4">
        <f>+L108+N108+P108+Q108+R108+O108</f>
        <v>979389.90000000014</v>
      </c>
      <c r="T108" s="4">
        <f>+L108*0.04</f>
        <v>36000.000000000007</v>
      </c>
      <c r="U108" s="4">
        <f>+L108*0.04</f>
        <v>36000.000000000007</v>
      </c>
      <c r="V108" s="4"/>
      <c r="W108" s="4"/>
      <c r="X108" s="4">
        <v>0</v>
      </c>
      <c r="Y108" s="4"/>
      <c r="Z108" s="4"/>
      <c r="AA108" s="4"/>
      <c r="AB108" s="4">
        <f>SUM(T108:AA108)</f>
        <v>72000.000000000015</v>
      </c>
      <c r="AC108" s="118">
        <f>S108-AB108</f>
        <v>907389.90000000014</v>
      </c>
    </row>
    <row r="109" spans="1:29" ht="24.95" customHeight="1" x14ac:dyDescent="0.25">
      <c r="A109" s="117"/>
      <c r="B109" s="2">
        <v>37</v>
      </c>
      <c r="C109" s="1" t="s">
        <v>126</v>
      </c>
      <c r="D109" s="1" t="s">
        <v>31</v>
      </c>
      <c r="E109" s="2" t="s">
        <v>32</v>
      </c>
      <c r="F109" s="103"/>
      <c r="G109" s="104"/>
      <c r="H109" s="104"/>
      <c r="I109" s="2"/>
      <c r="J109" s="4">
        <v>781242</v>
      </c>
      <c r="K109" s="3">
        <v>30</v>
      </c>
      <c r="L109" s="3">
        <f t="shared" si="57"/>
        <v>781242</v>
      </c>
      <c r="M109" s="3"/>
      <c r="N109" s="4">
        <f>+(88211/30)*K109</f>
        <v>88211</v>
      </c>
      <c r="O109" s="4"/>
      <c r="P109" s="4"/>
      <c r="Q109" s="4">
        <v>47134</v>
      </c>
      <c r="R109" s="4"/>
      <c r="S109" s="4">
        <f>+L109+N109+P109+Q109+R109+O109</f>
        <v>916587</v>
      </c>
      <c r="T109" s="4">
        <f>+L109*0.04</f>
        <v>31249.68</v>
      </c>
      <c r="U109" s="4">
        <f>+L109*0.04</f>
        <v>31249.68</v>
      </c>
      <c r="V109" s="4"/>
      <c r="W109" s="4"/>
      <c r="X109" s="4">
        <v>0</v>
      </c>
      <c r="Y109" s="4"/>
      <c r="Z109" s="4"/>
      <c r="AA109" s="4"/>
      <c r="AB109" s="4">
        <f t="shared" ref="AB109" si="58">SUM(T109:AA109)</f>
        <v>62499.360000000001</v>
      </c>
      <c r="AC109" s="118">
        <f t="shared" si="55"/>
        <v>854087.64</v>
      </c>
    </row>
    <row r="110" spans="1:29" ht="24.95" customHeight="1" x14ac:dyDescent="0.25">
      <c r="A110" s="117"/>
      <c r="B110" s="2">
        <v>38</v>
      </c>
      <c r="C110" s="1" t="s">
        <v>128</v>
      </c>
      <c r="D110" s="1" t="s">
        <v>31</v>
      </c>
      <c r="E110" s="2" t="s">
        <v>32</v>
      </c>
      <c r="F110" s="103" t="e">
        <f>INT(YEARFRAC('[1]Perfil Sociodemografico'!F52,'[1]Perfil Sociodemografico'!G52))</f>
        <v>#VALUE!</v>
      </c>
      <c r="G110" s="105" t="s">
        <v>227</v>
      </c>
      <c r="H110" s="105" t="s">
        <v>212</v>
      </c>
      <c r="I110" s="2" t="s">
        <v>195</v>
      </c>
      <c r="J110" s="4">
        <v>19532000</v>
      </c>
      <c r="K110" s="3">
        <v>30</v>
      </c>
      <c r="L110" s="3">
        <f t="shared" si="45"/>
        <v>19532000</v>
      </c>
      <c r="M110" s="3"/>
      <c r="N110" s="4"/>
      <c r="O110" s="4"/>
      <c r="P110" s="4"/>
      <c r="Q110" s="4"/>
      <c r="R110" s="4"/>
      <c r="S110" s="4">
        <f t="shared" si="46"/>
        <v>19532000</v>
      </c>
      <c r="T110" s="4">
        <f>+L110*4%</f>
        <v>781280</v>
      </c>
      <c r="U110" s="4">
        <f>+L110*6%</f>
        <v>1171920</v>
      </c>
      <c r="V110" s="4">
        <v>112700</v>
      </c>
      <c r="W110" s="4"/>
      <c r="X110" s="4">
        <v>1859000</v>
      </c>
      <c r="Y110" s="4">
        <v>5000000</v>
      </c>
      <c r="Z110" s="4"/>
      <c r="AA110" s="4">
        <v>2314715</v>
      </c>
      <c r="AB110" s="4">
        <f t="shared" si="36"/>
        <v>11239615</v>
      </c>
      <c r="AC110" s="118">
        <f>S110-AB110</f>
        <v>8292385</v>
      </c>
    </row>
    <row r="111" spans="1:29" ht="24.95" customHeight="1" x14ac:dyDescent="0.25">
      <c r="A111" s="117"/>
      <c r="B111" s="2">
        <v>39</v>
      </c>
      <c r="C111" s="1" t="s">
        <v>129</v>
      </c>
      <c r="D111" s="1" t="s">
        <v>31</v>
      </c>
      <c r="E111" s="2" t="s">
        <v>32</v>
      </c>
      <c r="F111" s="103" t="e">
        <f>INT(YEARFRAC('[1]Perfil Sociodemografico'!F53,'[1]Perfil Sociodemografico'!G53))</f>
        <v>#VALUE!</v>
      </c>
      <c r="G111" s="105" t="s">
        <v>228</v>
      </c>
      <c r="H111" s="105" t="s">
        <v>212</v>
      </c>
      <c r="I111" s="2" t="s">
        <v>195</v>
      </c>
      <c r="J111" s="4">
        <v>5500000</v>
      </c>
      <c r="K111" s="3">
        <v>30</v>
      </c>
      <c r="L111" s="3">
        <f>+J111-O111</f>
        <v>5309028</v>
      </c>
      <c r="M111" s="3"/>
      <c r="N111" s="4"/>
      <c r="O111" s="4">
        <v>190972</v>
      </c>
      <c r="P111" s="4"/>
      <c r="Q111" s="4">
        <v>500000</v>
      </c>
      <c r="R111" s="4"/>
      <c r="S111" s="4">
        <f t="shared" si="46"/>
        <v>6000000</v>
      </c>
      <c r="T111" s="4">
        <f>+J111*0.04</f>
        <v>220000</v>
      </c>
      <c r="U111" s="4">
        <f>+J111*0.05</f>
        <v>275000</v>
      </c>
      <c r="V111" s="4"/>
      <c r="W111" s="4"/>
      <c r="X111" s="4">
        <v>120000</v>
      </c>
      <c r="Y111" s="4"/>
      <c r="Z111" s="4"/>
      <c r="AA111" s="4">
        <f>979498+371043</f>
        <v>1350541</v>
      </c>
      <c r="AB111" s="4">
        <f t="shared" si="36"/>
        <v>1965541</v>
      </c>
      <c r="AC111" s="118">
        <f t="shared" si="55"/>
        <v>4034459</v>
      </c>
    </row>
    <row r="112" spans="1:29" ht="24.95" customHeight="1" x14ac:dyDescent="0.25">
      <c r="A112" s="117"/>
      <c r="B112" s="2">
        <v>40</v>
      </c>
      <c r="C112" s="9" t="s">
        <v>132</v>
      </c>
      <c r="D112" s="1" t="s">
        <v>31</v>
      </c>
      <c r="E112" s="2" t="s">
        <v>32</v>
      </c>
      <c r="F112" s="103" t="e">
        <f>INT(YEARFRAC('[1]Perfil Sociodemografico'!F26,'[1]Perfil Sociodemografico'!G26))</f>
        <v>#VALUE!</v>
      </c>
      <c r="G112" s="105" t="s">
        <v>217</v>
      </c>
      <c r="H112" s="105" t="s">
        <v>193</v>
      </c>
      <c r="I112" s="2" t="s">
        <v>195</v>
      </c>
      <c r="J112" s="4">
        <v>4000000</v>
      </c>
      <c r="K112" s="3">
        <v>30</v>
      </c>
      <c r="L112" s="3">
        <f t="shared" si="45"/>
        <v>4000000.0000000005</v>
      </c>
      <c r="M112" s="3"/>
      <c r="N112" s="4"/>
      <c r="O112" s="4"/>
      <c r="P112" s="12"/>
      <c r="Q112" s="4"/>
      <c r="R112" s="4"/>
      <c r="S112" s="4">
        <f>+L112+N112+O112+Q112+R112</f>
        <v>4000000.0000000005</v>
      </c>
      <c r="T112" s="4">
        <f>+S112*0.04</f>
        <v>160000.00000000003</v>
      </c>
      <c r="U112" s="4">
        <v>200000</v>
      </c>
      <c r="V112" s="4"/>
      <c r="W112" s="4"/>
      <c r="X112" s="4">
        <v>0</v>
      </c>
      <c r="Y112" s="4"/>
      <c r="Z112" s="4"/>
      <c r="AA112" s="4"/>
      <c r="AB112" s="4">
        <f t="shared" si="36"/>
        <v>360000</v>
      </c>
      <c r="AC112" s="118">
        <f t="shared" si="55"/>
        <v>3640000.0000000005</v>
      </c>
    </row>
    <row r="113" spans="1:31" ht="24.95" customHeight="1" x14ac:dyDescent="0.25">
      <c r="A113" s="117"/>
      <c r="B113" s="2">
        <v>41</v>
      </c>
      <c r="C113" s="9" t="s">
        <v>253</v>
      </c>
      <c r="D113" s="1"/>
      <c r="E113" s="2"/>
      <c r="F113" s="103"/>
      <c r="G113" s="105"/>
      <c r="H113" s="105"/>
      <c r="I113" s="2"/>
      <c r="J113" s="4">
        <v>8000000</v>
      </c>
      <c r="K113" s="3">
        <v>23</v>
      </c>
      <c r="L113" s="3">
        <f t="shared" si="45"/>
        <v>6133333.333333334</v>
      </c>
      <c r="M113" s="3"/>
      <c r="N113" s="4"/>
      <c r="O113" s="4"/>
      <c r="P113" s="12"/>
      <c r="Q113" s="4"/>
      <c r="R113" s="4"/>
      <c r="S113" s="4">
        <f>+L113+N113+O113+Q113+R113</f>
        <v>6133333.333333334</v>
      </c>
      <c r="T113" s="4">
        <f>+S113*0.04</f>
        <v>245333.33333333337</v>
      </c>
      <c r="U113" s="4">
        <f>+L113*5%</f>
        <v>306666.66666666669</v>
      </c>
      <c r="V113" s="4"/>
      <c r="W113" s="4"/>
      <c r="X113" s="4">
        <v>282000</v>
      </c>
      <c r="Y113" s="4"/>
      <c r="Z113" s="4"/>
      <c r="AA113" s="4"/>
      <c r="AB113" s="4">
        <f t="shared" si="36"/>
        <v>834000</v>
      </c>
      <c r="AC113" s="118">
        <f t="shared" si="55"/>
        <v>5299333.333333334</v>
      </c>
    </row>
    <row r="114" spans="1:31" ht="24.95" customHeight="1" x14ac:dyDescent="0.25">
      <c r="A114" s="117"/>
      <c r="B114" s="2">
        <v>42</v>
      </c>
      <c r="C114" s="1" t="s">
        <v>135</v>
      </c>
      <c r="D114" s="1" t="s">
        <v>31</v>
      </c>
      <c r="E114" s="2" t="s">
        <v>32</v>
      </c>
      <c r="F114" s="103" t="e">
        <f>INT(YEARFRAC('[1]Perfil Sociodemografico'!F38,'[1]Perfil Sociodemografico'!G38))</f>
        <v>#VALUE!</v>
      </c>
      <c r="G114" s="104" t="s">
        <v>198</v>
      </c>
      <c r="H114" s="104" t="s">
        <v>193</v>
      </c>
      <c r="I114" s="2" t="s">
        <v>195</v>
      </c>
      <c r="J114" s="4">
        <v>3850220</v>
      </c>
      <c r="K114" s="3">
        <v>30</v>
      </c>
      <c r="L114" s="3">
        <f t="shared" si="45"/>
        <v>3850220</v>
      </c>
      <c r="M114" s="3"/>
      <c r="N114" s="4">
        <f>+(676390/30)*K114</f>
        <v>676390</v>
      </c>
      <c r="O114" s="4"/>
      <c r="P114" s="4"/>
      <c r="Q114" s="4"/>
      <c r="R114" s="4">
        <v>0</v>
      </c>
      <c r="S114" s="4">
        <f t="shared" si="46"/>
        <v>4526610</v>
      </c>
      <c r="T114" s="4">
        <f>+L114*4%</f>
        <v>154008.80000000002</v>
      </c>
      <c r="U114" s="4">
        <f>+L114*5%</f>
        <v>192511</v>
      </c>
      <c r="V114" s="4"/>
      <c r="W114" s="4"/>
      <c r="X114" s="4">
        <v>0</v>
      </c>
      <c r="Y114" s="4"/>
      <c r="Z114" s="4"/>
      <c r="AA114" s="4"/>
      <c r="AB114" s="4">
        <f t="shared" si="36"/>
        <v>346519.80000000005</v>
      </c>
      <c r="AC114" s="118">
        <f t="shared" si="55"/>
        <v>4180090.2</v>
      </c>
    </row>
    <row r="115" spans="1:31" ht="24.95" customHeight="1" x14ac:dyDescent="0.25">
      <c r="A115" s="117"/>
      <c r="B115" s="2">
        <v>43</v>
      </c>
      <c r="C115" s="1" t="s">
        <v>136</v>
      </c>
      <c r="D115" s="1" t="s">
        <v>31</v>
      </c>
      <c r="E115" s="2" t="s">
        <v>32</v>
      </c>
      <c r="F115" s="103" t="e">
        <f>INT(YEARFRAC('[1]Perfil Sociodemografico'!F36,'[1]Perfil Sociodemografico'!G36))</f>
        <v>#VALUE!</v>
      </c>
      <c r="G115" s="105" t="s">
        <v>229</v>
      </c>
      <c r="H115" s="105" t="s">
        <v>212</v>
      </c>
      <c r="I115" s="2" t="s">
        <v>195</v>
      </c>
      <c r="J115" s="4">
        <v>4500000</v>
      </c>
      <c r="K115" s="3">
        <v>30</v>
      </c>
      <c r="L115" s="3">
        <f>+J115-O115</f>
        <v>2550000</v>
      </c>
      <c r="M115" s="3"/>
      <c r="N115" s="4"/>
      <c r="O115" s="4">
        <v>1950000</v>
      </c>
      <c r="P115" s="4"/>
      <c r="Q115" s="4" t="s">
        <v>1</v>
      </c>
      <c r="R115" s="4"/>
      <c r="S115" s="4">
        <f>+L115+O115</f>
        <v>4500000</v>
      </c>
      <c r="T115" s="4">
        <f t="shared" ref="T115:T118" si="59">+J115*4%</f>
        <v>180000</v>
      </c>
      <c r="U115" s="4">
        <f>+J115*5%</f>
        <v>225000</v>
      </c>
      <c r="V115" s="4"/>
      <c r="W115" s="4"/>
      <c r="X115" s="4">
        <v>0</v>
      </c>
      <c r="Y115" s="4"/>
      <c r="Z115" s="4"/>
      <c r="AA115" s="4"/>
      <c r="AB115" s="4">
        <f>SUM(T115:AA115)</f>
        <v>405000</v>
      </c>
      <c r="AC115" s="118">
        <f t="shared" si="55"/>
        <v>4095000</v>
      </c>
    </row>
    <row r="116" spans="1:31" ht="24.95" customHeight="1" x14ac:dyDescent="0.25">
      <c r="A116" s="117"/>
      <c r="B116" s="2">
        <v>44</v>
      </c>
      <c r="C116" s="1" t="s">
        <v>164</v>
      </c>
      <c r="D116" s="1" t="s">
        <v>31</v>
      </c>
      <c r="E116" s="2" t="s">
        <v>102</v>
      </c>
      <c r="F116" s="103" t="e">
        <f>INT(YEARFRAC('[1]Perfil Sociodemografico'!F60,'[1]Perfil Sociodemografico'!G60))</f>
        <v>#VALUE!</v>
      </c>
      <c r="G116" s="104" t="s">
        <v>214</v>
      </c>
      <c r="H116" s="104" t="s">
        <v>212</v>
      </c>
      <c r="I116" s="2" t="s">
        <v>194</v>
      </c>
      <c r="J116" s="4">
        <v>912000</v>
      </c>
      <c r="K116" s="3">
        <v>14</v>
      </c>
      <c r="L116" s="3">
        <f t="shared" si="45"/>
        <v>425600</v>
      </c>
      <c r="M116" s="3"/>
      <c r="N116" s="4">
        <f>+(88211/30)*K116</f>
        <v>41165.133333333331</v>
      </c>
      <c r="O116" s="4"/>
      <c r="P116" s="4"/>
      <c r="Q116" s="4"/>
      <c r="R116" s="4"/>
      <c r="S116" s="4">
        <f>+L116+N116</f>
        <v>466765.1333333333</v>
      </c>
      <c r="T116" s="4">
        <f>+L116*4%</f>
        <v>17024</v>
      </c>
      <c r="U116" s="4">
        <f>+L116*4%</f>
        <v>17024</v>
      </c>
      <c r="V116" s="4"/>
      <c r="W116" s="4"/>
      <c r="X116" s="4">
        <v>0</v>
      </c>
      <c r="Y116" s="4"/>
      <c r="Z116" s="4"/>
      <c r="AA116" s="4"/>
      <c r="AB116" s="4">
        <f>SUM(T116:AA116)</f>
        <v>34048</v>
      </c>
      <c r="AC116" s="118">
        <f t="shared" si="55"/>
        <v>432717.1333333333</v>
      </c>
    </row>
    <row r="117" spans="1:31" ht="24.95" customHeight="1" x14ac:dyDescent="0.25">
      <c r="A117" s="117"/>
      <c r="B117" s="2">
        <v>45</v>
      </c>
      <c r="C117" s="9" t="s">
        <v>148</v>
      </c>
      <c r="D117" s="1" t="s">
        <v>31</v>
      </c>
      <c r="E117" s="2" t="s">
        <v>32</v>
      </c>
      <c r="F117" s="103" t="e">
        <f>INT(YEARFRAC('[1]Perfil Sociodemografico'!F57,'[1]Perfil Sociodemografico'!G57))</f>
        <v>#VALUE!</v>
      </c>
      <c r="G117" s="105" t="s">
        <v>231</v>
      </c>
      <c r="H117" s="105" t="s">
        <v>212</v>
      </c>
      <c r="I117" s="2" t="s">
        <v>194</v>
      </c>
      <c r="J117" s="4">
        <v>1500000</v>
      </c>
      <c r="K117" s="3">
        <v>30</v>
      </c>
      <c r="L117" s="3">
        <f t="shared" si="45"/>
        <v>1500000</v>
      </c>
      <c r="M117" s="3"/>
      <c r="N117" s="4">
        <v>88211</v>
      </c>
      <c r="O117" s="4"/>
      <c r="P117" s="4"/>
      <c r="Q117" s="4"/>
      <c r="R117" s="4"/>
      <c r="S117" s="4">
        <f t="shared" si="46"/>
        <v>1588211</v>
      </c>
      <c r="T117" s="4">
        <f>+J117*4%</f>
        <v>60000</v>
      </c>
      <c r="U117" s="4">
        <f>+J117*0.04</f>
        <v>60000</v>
      </c>
      <c r="V117" s="4"/>
      <c r="W117" s="4"/>
      <c r="X117" s="4">
        <v>0</v>
      </c>
      <c r="Y117" s="4"/>
      <c r="Z117" s="4">
        <v>0</v>
      </c>
      <c r="AA117" s="4"/>
      <c r="AB117" s="4">
        <f t="shared" si="36"/>
        <v>120000</v>
      </c>
      <c r="AC117" s="118">
        <f t="shared" si="55"/>
        <v>1468211</v>
      </c>
    </row>
    <row r="118" spans="1:31" ht="24.95" customHeight="1" x14ac:dyDescent="0.25">
      <c r="A118" s="117"/>
      <c r="B118" s="2">
        <v>46</v>
      </c>
      <c r="C118" s="1" t="s">
        <v>139</v>
      </c>
      <c r="D118" s="1" t="s">
        <v>31</v>
      </c>
      <c r="E118" s="2" t="s">
        <v>32</v>
      </c>
      <c r="F118" s="103" t="e">
        <f>INT(YEARFRAC('[1]Perfil Sociodemografico'!F97,'[1]Perfil Sociodemografico'!G97))</f>
        <v>#VALUE!</v>
      </c>
      <c r="G118" s="104" t="s">
        <v>205</v>
      </c>
      <c r="H118" s="104" t="s">
        <v>206</v>
      </c>
      <c r="I118" s="2" t="s">
        <v>195</v>
      </c>
      <c r="J118" s="4">
        <v>2300000</v>
      </c>
      <c r="K118" s="3">
        <v>30</v>
      </c>
      <c r="L118" s="3">
        <f t="shared" si="45"/>
        <v>2300000</v>
      </c>
      <c r="M118" s="3"/>
      <c r="N118" s="4"/>
      <c r="O118" s="4"/>
      <c r="P118" s="4"/>
      <c r="Q118" s="4"/>
      <c r="R118" s="4"/>
      <c r="S118" s="4">
        <f t="shared" si="46"/>
        <v>2300000</v>
      </c>
      <c r="T118" s="4">
        <f t="shared" si="59"/>
        <v>92000</v>
      </c>
      <c r="U118" s="4">
        <f>+J118*4%</f>
        <v>92000</v>
      </c>
      <c r="V118" s="4"/>
      <c r="W118" s="4"/>
      <c r="X118" s="4">
        <v>0</v>
      </c>
      <c r="Y118" s="4"/>
      <c r="Z118" s="4"/>
      <c r="AA118" s="4"/>
      <c r="AB118" s="4">
        <f t="shared" si="36"/>
        <v>184000</v>
      </c>
      <c r="AC118" s="118">
        <f t="shared" si="55"/>
        <v>2116000</v>
      </c>
    </row>
    <row r="119" spans="1:31" ht="24.95" customHeight="1" x14ac:dyDescent="0.25">
      <c r="A119" s="117"/>
      <c r="B119" s="2">
        <v>47</v>
      </c>
      <c r="C119" s="1" t="s">
        <v>141</v>
      </c>
      <c r="D119" s="1" t="s">
        <v>31</v>
      </c>
      <c r="E119" s="2" t="s">
        <v>32</v>
      </c>
      <c r="F119" s="103" t="e">
        <f>INT(YEARFRAC('[1]Perfil Sociodemografico'!F55,'[1]Perfil Sociodemografico'!G55))</f>
        <v>#VALUE!</v>
      </c>
      <c r="G119" s="105" t="s">
        <v>217</v>
      </c>
      <c r="H119" s="105" t="s">
        <v>206</v>
      </c>
      <c r="I119" s="2" t="s">
        <v>195</v>
      </c>
      <c r="J119" s="4">
        <v>4000000</v>
      </c>
      <c r="K119" s="3">
        <v>24</v>
      </c>
      <c r="L119" s="3">
        <f t="shared" si="45"/>
        <v>3200000</v>
      </c>
      <c r="M119" s="3">
        <f>+((J119/30)*66.67%)*6</f>
        <v>533360</v>
      </c>
      <c r="N119" s="4"/>
      <c r="O119" s="4"/>
      <c r="P119" s="4"/>
      <c r="Q119" s="4"/>
      <c r="R119" s="4"/>
      <c r="S119" s="4">
        <f>+L119+N119+P119+Q119+R119+O119+M119</f>
        <v>3733360</v>
      </c>
      <c r="T119" s="4">
        <f>+J119*0.04</f>
        <v>160000</v>
      </c>
      <c r="U119" s="4">
        <f>+J119*0.05</f>
        <v>200000</v>
      </c>
      <c r="V119" s="4"/>
      <c r="W119" s="4">
        <v>95000</v>
      </c>
      <c r="X119" s="4">
        <v>0</v>
      </c>
      <c r="Y119" s="4"/>
      <c r="Z119" s="4"/>
      <c r="AA119" s="4"/>
      <c r="AB119" s="4">
        <f t="shared" si="36"/>
        <v>455000</v>
      </c>
      <c r="AC119" s="118">
        <f t="shared" si="55"/>
        <v>3278360</v>
      </c>
    </row>
    <row r="120" spans="1:31" ht="24.95" customHeight="1" x14ac:dyDescent="0.25">
      <c r="A120" s="117"/>
      <c r="B120" s="2">
        <v>48</v>
      </c>
      <c r="C120" s="1" t="s">
        <v>243</v>
      </c>
      <c r="D120" s="1" t="s">
        <v>31</v>
      </c>
      <c r="E120" s="2" t="s">
        <v>32</v>
      </c>
      <c r="F120" s="103" t="e">
        <f>INT(YEARFRAC('[1]Perfil Sociodemografico'!F56,'[1]Perfil Sociodemografico'!G56))</f>
        <v>#VALUE!</v>
      </c>
      <c r="G120" s="105" t="s">
        <v>217</v>
      </c>
      <c r="H120" s="105" t="s">
        <v>206</v>
      </c>
      <c r="I120" s="2" t="s">
        <v>195</v>
      </c>
      <c r="J120" s="4">
        <v>6500000</v>
      </c>
      <c r="K120" s="3">
        <v>30</v>
      </c>
      <c r="L120" s="3">
        <f t="shared" si="45"/>
        <v>6500000</v>
      </c>
      <c r="M120" s="3"/>
      <c r="N120" s="4"/>
      <c r="O120" s="4"/>
      <c r="P120" s="4"/>
      <c r="Q120" s="4"/>
      <c r="R120" s="4"/>
      <c r="S120" s="4">
        <f t="shared" ref="S120" si="60">+L120+N120+P120+Q120+R120+O120</f>
        <v>6500000</v>
      </c>
      <c r="T120" s="4">
        <f>+L120*0.04</f>
        <v>260000</v>
      </c>
      <c r="U120" s="4">
        <f>+L120*0.05</f>
        <v>325000</v>
      </c>
      <c r="V120" s="4"/>
      <c r="W120" s="4"/>
      <c r="X120" s="4">
        <v>281000</v>
      </c>
      <c r="Y120" s="4"/>
      <c r="Z120" s="4"/>
      <c r="AA120" s="4"/>
      <c r="AB120" s="4">
        <f t="shared" si="36"/>
        <v>866000</v>
      </c>
      <c r="AC120" s="118">
        <f t="shared" si="55"/>
        <v>5634000</v>
      </c>
    </row>
    <row r="121" spans="1:31" ht="17.25" customHeight="1" x14ac:dyDescent="0.25">
      <c r="A121" s="117"/>
      <c r="B121" s="2">
        <v>49</v>
      </c>
      <c r="C121" s="1" t="s">
        <v>144</v>
      </c>
      <c r="D121" s="1" t="s">
        <v>31</v>
      </c>
      <c r="E121" s="2" t="s">
        <v>32</v>
      </c>
      <c r="F121" s="103" t="e">
        <f>INT(YEARFRAC('[1]Perfil Sociodemografico'!F94,'[1]Perfil Sociodemografico'!G94))</f>
        <v>#VALUE!</v>
      </c>
      <c r="G121" s="104" t="s">
        <v>233</v>
      </c>
      <c r="H121" s="104" t="s">
        <v>212</v>
      </c>
      <c r="I121" s="2" t="s">
        <v>194</v>
      </c>
      <c r="J121" s="4">
        <v>1800000</v>
      </c>
      <c r="K121" s="3">
        <v>30</v>
      </c>
      <c r="L121" s="3">
        <f>+J121-P121-60000</f>
        <v>1260000</v>
      </c>
      <c r="M121" s="3">
        <v>40002</v>
      </c>
      <c r="N121" s="4"/>
      <c r="O121" s="4"/>
      <c r="P121" s="4">
        <v>480000</v>
      </c>
      <c r="Q121" s="4"/>
      <c r="R121" s="4"/>
      <c r="S121" s="4">
        <f>+L121+N121+P121+Q121+R121+O121+M121</f>
        <v>1780002</v>
      </c>
      <c r="T121" s="4">
        <f>+J121*4%</f>
        <v>72000</v>
      </c>
      <c r="U121" s="4">
        <f>+J121*4%</f>
        <v>72000</v>
      </c>
      <c r="V121" s="4"/>
      <c r="W121" s="4"/>
      <c r="X121" s="4">
        <v>0</v>
      </c>
      <c r="Y121" s="4"/>
      <c r="Z121" s="4"/>
      <c r="AA121" s="4"/>
      <c r="AB121" s="4">
        <f t="shared" si="36"/>
        <v>144000</v>
      </c>
      <c r="AC121" s="118">
        <f t="shared" si="55"/>
        <v>1636002</v>
      </c>
    </row>
    <row r="122" spans="1:31" ht="12.75" thickBot="1" x14ac:dyDescent="0.3">
      <c r="A122" s="119"/>
      <c r="B122" s="120"/>
      <c r="C122" s="120"/>
      <c r="D122" s="121"/>
      <c r="E122" s="121"/>
      <c r="F122" s="121"/>
      <c r="G122" s="121"/>
      <c r="H122" s="121"/>
      <c r="I122" s="121"/>
      <c r="J122" s="122">
        <f>SUM(J4:J121)</f>
        <v>517921156</v>
      </c>
      <c r="K122" s="122"/>
      <c r="L122" s="122">
        <f>SUM(L4:L121)</f>
        <v>495764152.39999998</v>
      </c>
      <c r="M122" s="122"/>
      <c r="N122" s="122">
        <f t="shared" ref="N122:AC122" si="61">SUM(N4:N121)</f>
        <v>3120220.4666666668</v>
      </c>
      <c r="O122" s="122">
        <f t="shared" si="61"/>
        <v>9525639</v>
      </c>
      <c r="P122" s="122">
        <f t="shared" si="61"/>
        <v>480000</v>
      </c>
      <c r="Q122" s="122">
        <f t="shared" si="61"/>
        <v>12298230</v>
      </c>
      <c r="R122" s="122">
        <f t="shared" si="61"/>
        <v>12372109</v>
      </c>
      <c r="S122" s="122">
        <f t="shared" si="61"/>
        <v>535999358.94437331</v>
      </c>
      <c r="T122" s="122">
        <f t="shared" si="61"/>
        <v>20810552.546666667</v>
      </c>
      <c r="U122" s="122">
        <f t="shared" si="61"/>
        <v>25691759.169999998</v>
      </c>
      <c r="V122" s="122">
        <f t="shared" si="61"/>
        <v>112700</v>
      </c>
      <c r="W122" s="122">
        <f t="shared" si="61"/>
        <v>1691892</v>
      </c>
      <c r="X122" s="122">
        <f t="shared" si="61"/>
        <v>7605031</v>
      </c>
      <c r="Y122" s="122">
        <f t="shared" si="61"/>
        <v>12565000</v>
      </c>
      <c r="Z122" s="122">
        <f t="shared" si="61"/>
        <v>344614</v>
      </c>
      <c r="AA122" s="122">
        <f t="shared" si="61"/>
        <v>13890936</v>
      </c>
      <c r="AB122" s="122">
        <f t="shared" si="61"/>
        <v>82712484.716666654</v>
      </c>
      <c r="AC122" s="123">
        <f t="shared" si="61"/>
        <v>453286874.22770661</v>
      </c>
    </row>
    <row r="123" spans="1:31" x14ac:dyDescent="0.25">
      <c r="D123" s="68"/>
      <c r="E123" s="68"/>
      <c r="F123" s="68"/>
      <c r="G123" s="68"/>
      <c r="H123" s="68"/>
      <c r="I123" s="68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66"/>
    </row>
    <row r="124" spans="1:31" x14ac:dyDescent="0.25">
      <c r="D124" s="68"/>
      <c r="E124" s="68"/>
      <c r="F124" s="68"/>
      <c r="G124" s="68"/>
      <c r="H124" s="68"/>
      <c r="I124" s="68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Z124" s="12"/>
      <c r="AA124" s="12"/>
      <c r="AB124" s="12"/>
      <c r="AC124" s="66"/>
    </row>
    <row r="125" spans="1:31" x14ac:dyDescent="0.25">
      <c r="C125" s="72"/>
      <c r="D125" s="68"/>
      <c r="E125" s="73"/>
      <c r="F125" s="73"/>
      <c r="G125" s="73"/>
      <c r="H125" s="73"/>
      <c r="I125" s="7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Z125" s="12"/>
      <c r="AA125" s="12"/>
      <c r="AB125" s="12"/>
      <c r="AC125" s="68"/>
    </row>
    <row r="126" spans="1:31" x14ac:dyDescent="0.25">
      <c r="C126" s="72"/>
      <c r="D126" s="68"/>
      <c r="E126" s="73"/>
      <c r="F126" s="73"/>
      <c r="G126" s="73"/>
      <c r="H126" s="73"/>
      <c r="I126" s="7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68"/>
      <c r="AD126" s="68"/>
      <c r="AE126" s="68"/>
    </row>
    <row r="127" spans="1:31" x14ac:dyDescent="0.25">
      <c r="B127" s="68"/>
      <c r="C127" s="72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12"/>
      <c r="W127" s="74"/>
      <c r="X127" s="74"/>
      <c r="Y127" s="74"/>
      <c r="Z127" s="74"/>
      <c r="AA127" s="74"/>
      <c r="AB127" s="74"/>
      <c r="AC127" s="74"/>
      <c r="AD127" s="68"/>
      <c r="AE127" s="68"/>
    </row>
    <row r="128" spans="1:31" x14ac:dyDescent="0.25">
      <c r="B128" s="68"/>
      <c r="C128" s="72"/>
      <c r="D128" s="68"/>
      <c r="E128" s="68"/>
      <c r="F128" s="68"/>
      <c r="G128" s="68"/>
      <c r="H128" s="68"/>
      <c r="I128" s="68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68"/>
      <c r="AD128" s="68"/>
      <c r="AE128" s="68"/>
    </row>
    <row r="129" spans="2:31" x14ac:dyDescent="0.25">
      <c r="B129" s="68"/>
      <c r="C129" s="72"/>
      <c r="D129" s="68"/>
      <c r="E129" s="68"/>
      <c r="F129" s="68"/>
      <c r="G129" s="68"/>
      <c r="H129" s="68"/>
      <c r="I129" s="68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68"/>
      <c r="AD129" s="68"/>
      <c r="AE129" s="68"/>
    </row>
    <row r="130" spans="2:31" x14ac:dyDescent="0.25">
      <c r="B130" s="68"/>
      <c r="C130" s="72"/>
      <c r="D130" s="68"/>
      <c r="E130" s="68"/>
      <c r="F130" s="68"/>
      <c r="G130" s="68"/>
      <c r="H130" s="68"/>
      <c r="I130" s="68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68"/>
      <c r="AD130" s="68"/>
      <c r="AE130" s="68"/>
    </row>
    <row r="131" spans="2:31" x14ac:dyDescent="0.25">
      <c r="B131" s="68"/>
      <c r="C131" s="75"/>
      <c r="D131" s="75"/>
      <c r="E131" s="75"/>
      <c r="F131" s="75"/>
      <c r="G131" s="75"/>
      <c r="H131" s="75"/>
      <c r="I131" s="75"/>
      <c r="J131" s="75"/>
      <c r="K131" s="75"/>
      <c r="L131" s="91"/>
      <c r="M131" s="91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68"/>
      <c r="AE131" s="68"/>
    </row>
    <row r="132" spans="2:31" x14ac:dyDescent="0.25">
      <c r="B132" s="78"/>
      <c r="C132" s="92"/>
      <c r="D132" s="76"/>
      <c r="E132" s="76"/>
      <c r="F132" s="76"/>
      <c r="G132" s="76"/>
      <c r="H132" s="76"/>
      <c r="I132" s="76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76"/>
      <c r="AD132" s="68"/>
      <c r="AE132" s="68"/>
    </row>
    <row r="133" spans="2:31" x14ac:dyDescent="0.25">
      <c r="B133" s="68"/>
      <c r="C133" s="93"/>
      <c r="D133" s="68"/>
      <c r="E133" s="68"/>
      <c r="F133" s="68"/>
      <c r="G133" s="68"/>
      <c r="H133" s="68"/>
      <c r="I133" s="68"/>
      <c r="J133" s="12"/>
      <c r="K133" s="12"/>
      <c r="L133" s="80"/>
      <c r="M133" s="80"/>
      <c r="N133" s="12"/>
      <c r="O133" s="12"/>
      <c r="P133" s="12"/>
      <c r="Q133" s="12"/>
      <c r="R133" s="12"/>
      <c r="S133" s="12"/>
      <c r="T133" s="12"/>
      <c r="U133" s="12"/>
      <c r="V133" s="81"/>
      <c r="W133" s="81"/>
      <c r="X133" s="81"/>
      <c r="Y133" s="81"/>
      <c r="Z133" s="81"/>
      <c r="AA133" s="12"/>
      <c r="AB133" s="12"/>
      <c r="AC133" s="68"/>
      <c r="AD133" s="68"/>
      <c r="AE133" s="68"/>
    </row>
    <row r="134" spans="2:31" x14ac:dyDescent="0.25">
      <c r="B134" s="68"/>
      <c r="C134" s="82"/>
      <c r="D134" s="76"/>
      <c r="E134" s="76"/>
      <c r="F134" s="76"/>
      <c r="G134" s="76"/>
      <c r="H134" s="76"/>
      <c r="I134" s="76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  <c r="AA134" s="79"/>
      <c r="AB134" s="79"/>
      <c r="AC134" s="76"/>
      <c r="AD134" s="68"/>
      <c r="AE134" s="68"/>
    </row>
    <row r="135" spans="2:31" x14ac:dyDescent="0.25">
      <c r="B135" s="76"/>
      <c r="C135" s="82"/>
      <c r="D135" s="76"/>
      <c r="E135" s="76"/>
      <c r="F135" s="76"/>
      <c r="G135" s="76"/>
      <c r="H135" s="76"/>
      <c r="I135" s="76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  <c r="AA135" s="79"/>
      <c r="AB135" s="79"/>
      <c r="AC135" s="76"/>
      <c r="AD135" s="68"/>
      <c r="AE135" s="68"/>
    </row>
    <row r="136" spans="2:31" x14ac:dyDescent="0.25">
      <c r="B136" s="68"/>
      <c r="C136" s="82"/>
      <c r="D136" s="76"/>
      <c r="E136" s="76"/>
      <c r="F136" s="76"/>
      <c r="G136" s="76"/>
      <c r="H136" s="76"/>
      <c r="I136" s="76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66"/>
      <c r="AD136" s="68"/>
      <c r="AE136" s="68"/>
    </row>
    <row r="137" spans="2:31" x14ac:dyDescent="0.25">
      <c r="C137" s="82"/>
      <c r="D137" s="76"/>
      <c r="E137" s="76"/>
      <c r="F137" s="76"/>
      <c r="G137" s="76"/>
      <c r="H137" s="76"/>
      <c r="I137" s="76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66"/>
      <c r="AD137" s="68"/>
      <c r="AE137" s="68"/>
    </row>
    <row r="138" spans="2:31" x14ac:dyDescent="0.25">
      <c r="C138" s="82"/>
      <c r="D138" s="76"/>
      <c r="E138" s="76"/>
      <c r="F138" s="76"/>
      <c r="G138" s="76"/>
      <c r="H138" s="76"/>
      <c r="I138" s="76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66"/>
      <c r="AD138" s="68"/>
      <c r="AE138" s="68"/>
    </row>
    <row r="139" spans="2:31" x14ac:dyDescent="0.25">
      <c r="C139" s="82"/>
      <c r="D139" s="76"/>
      <c r="E139" s="76"/>
      <c r="F139" s="76"/>
      <c r="G139" s="76"/>
      <c r="H139" s="76"/>
      <c r="I139" s="76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66"/>
      <c r="AD139" s="68"/>
      <c r="AE139" s="68"/>
    </row>
    <row r="140" spans="2:31" x14ac:dyDescent="0.25">
      <c r="C140" s="82"/>
      <c r="D140" s="76"/>
      <c r="E140" s="76"/>
      <c r="F140" s="76"/>
      <c r="G140" s="76"/>
      <c r="H140" s="76"/>
      <c r="I140" s="76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66"/>
      <c r="AD140" s="68"/>
      <c r="AE140" s="68"/>
    </row>
    <row r="141" spans="2:31" x14ac:dyDescent="0.25">
      <c r="C141" s="82"/>
      <c r="D141" s="76"/>
      <c r="E141" s="76"/>
      <c r="F141" s="76"/>
      <c r="G141" s="76"/>
      <c r="H141" s="76"/>
      <c r="I141" s="76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66"/>
      <c r="AD141" s="68"/>
      <c r="AE141" s="68"/>
    </row>
    <row r="142" spans="2:31" x14ac:dyDescent="0.25">
      <c r="C142" s="72"/>
      <c r="D142" s="68"/>
      <c r="E142" s="68"/>
      <c r="F142" s="68"/>
      <c r="G142" s="68"/>
      <c r="H142" s="68"/>
      <c r="I142" s="68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66"/>
      <c r="AD142" s="68"/>
      <c r="AE142" s="68"/>
    </row>
    <row r="143" spans="2:31" x14ac:dyDescent="0.25">
      <c r="C143" s="82"/>
      <c r="D143" s="68"/>
      <c r="E143" s="68"/>
      <c r="F143" s="68"/>
      <c r="G143" s="68"/>
      <c r="H143" s="68"/>
      <c r="I143" s="68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66"/>
      <c r="AD143" s="68"/>
      <c r="AE143" s="68"/>
    </row>
    <row r="144" spans="2:31" x14ac:dyDescent="0.25">
      <c r="C144" s="82"/>
      <c r="D144" s="68"/>
      <c r="E144" s="68"/>
      <c r="F144" s="68"/>
      <c r="G144" s="68"/>
      <c r="H144" s="68"/>
      <c r="I144" s="68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66"/>
      <c r="AD144" s="68"/>
      <c r="AE144" s="68"/>
    </row>
    <row r="145" spans="2:31" x14ac:dyDescent="0.25">
      <c r="C145" s="82"/>
      <c r="D145" s="68"/>
      <c r="E145" s="68"/>
      <c r="F145" s="68"/>
      <c r="G145" s="68"/>
      <c r="H145" s="68"/>
      <c r="I145" s="68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66"/>
      <c r="AD145" s="68"/>
      <c r="AE145" s="68"/>
    </row>
    <row r="146" spans="2:31" x14ac:dyDescent="0.25">
      <c r="C146" s="82"/>
      <c r="D146" s="68"/>
      <c r="E146" s="68"/>
      <c r="F146" s="68"/>
      <c r="G146" s="68"/>
      <c r="H146" s="68"/>
      <c r="I146" s="68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66"/>
      <c r="AD146" s="68"/>
      <c r="AE146" s="68"/>
    </row>
    <row r="147" spans="2:31" x14ac:dyDescent="0.25">
      <c r="C147" s="82"/>
      <c r="D147" s="68"/>
      <c r="E147" s="68"/>
      <c r="F147" s="68"/>
      <c r="G147" s="68"/>
      <c r="H147" s="68"/>
      <c r="I147" s="68"/>
      <c r="J147" s="12"/>
      <c r="K147" s="12"/>
      <c r="L147" s="12"/>
      <c r="M147" s="12"/>
      <c r="N147" s="12"/>
      <c r="O147" s="12"/>
      <c r="P147" s="12"/>
      <c r="Q147" s="12"/>
      <c r="R147" s="12"/>
      <c r="S147" s="12">
        <f>737717*4</f>
        <v>2950868</v>
      </c>
      <c r="T147" s="12">
        <f>737717*2</f>
        <v>1475434</v>
      </c>
      <c r="U147" s="12"/>
      <c r="V147" s="12"/>
      <c r="W147" s="12"/>
      <c r="X147" s="12"/>
      <c r="Y147" s="12"/>
      <c r="Z147" s="12"/>
      <c r="AA147" s="12"/>
      <c r="AB147" s="12"/>
      <c r="AC147" s="66"/>
      <c r="AD147" s="68"/>
      <c r="AE147" s="68"/>
    </row>
    <row r="148" spans="2:31" x14ac:dyDescent="0.25">
      <c r="C148" s="82"/>
      <c r="D148" s="68"/>
      <c r="E148" s="68"/>
      <c r="F148" s="68"/>
      <c r="G148" s="68"/>
      <c r="H148" s="68"/>
      <c r="I148" s="68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66"/>
      <c r="AD148" s="68"/>
      <c r="AE148" s="68"/>
    </row>
    <row r="149" spans="2:31" x14ac:dyDescent="0.25">
      <c r="C149" s="82"/>
      <c r="D149" s="68"/>
      <c r="E149" s="68"/>
      <c r="F149" s="68"/>
      <c r="G149" s="68"/>
      <c r="H149" s="68"/>
      <c r="I149" s="68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66"/>
      <c r="AD149" s="68"/>
      <c r="AE149" s="68"/>
    </row>
    <row r="150" spans="2:31" x14ac:dyDescent="0.25">
      <c r="C150" s="82"/>
      <c r="D150" s="68"/>
      <c r="E150" s="68"/>
      <c r="F150" s="68"/>
      <c r="G150" s="68"/>
      <c r="H150" s="68"/>
      <c r="I150" s="68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66"/>
      <c r="AD150" s="68"/>
      <c r="AE150" s="68"/>
    </row>
    <row r="151" spans="2:31" x14ac:dyDescent="0.25">
      <c r="C151" s="82"/>
      <c r="D151" s="68"/>
      <c r="E151" s="68"/>
      <c r="F151" s="68"/>
      <c r="G151" s="68"/>
      <c r="H151" s="68"/>
      <c r="I151" s="68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66"/>
      <c r="AD151" s="68"/>
      <c r="AE151" s="68"/>
    </row>
    <row r="152" spans="2:31" x14ac:dyDescent="0.25">
      <c r="C152" s="82"/>
      <c r="D152" s="68"/>
      <c r="E152" s="68"/>
      <c r="F152" s="68"/>
      <c r="G152" s="68"/>
      <c r="H152" s="68"/>
      <c r="I152" s="68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66"/>
      <c r="AD152" s="68"/>
      <c r="AE152" s="68"/>
    </row>
    <row r="153" spans="2:31" x14ac:dyDescent="0.25">
      <c r="C153" s="82"/>
      <c r="D153" s="68"/>
      <c r="E153" s="68"/>
      <c r="F153" s="68"/>
      <c r="G153" s="68"/>
      <c r="H153" s="68"/>
      <c r="I153" s="68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66"/>
      <c r="AD153" s="68"/>
      <c r="AE153" s="68"/>
    </row>
    <row r="154" spans="2:31" x14ac:dyDescent="0.25">
      <c r="C154" s="72"/>
      <c r="D154" s="68"/>
      <c r="E154" s="68"/>
      <c r="F154" s="68"/>
      <c r="G154" s="68"/>
      <c r="H154" s="68"/>
      <c r="I154" s="68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68"/>
      <c r="AD154" s="68"/>
      <c r="AE154" s="68"/>
    </row>
    <row r="155" spans="2:31" x14ac:dyDescent="0.25">
      <c r="C155" s="72"/>
      <c r="D155" s="68"/>
      <c r="E155" s="68"/>
      <c r="F155" s="68"/>
      <c r="G155" s="68"/>
      <c r="H155" s="68"/>
      <c r="I155" s="68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68"/>
      <c r="AA155" s="12"/>
      <c r="AB155" s="12"/>
      <c r="AC155" s="68"/>
      <c r="AD155" s="68"/>
      <c r="AE155" s="68"/>
    </row>
    <row r="156" spans="2:31" x14ac:dyDescent="0.25">
      <c r="B156" s="68"/>
      <c r="C156" s="72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68"/>
      <c r="AE156" s="68"/>
    </row>
    <row r="157" spans="2:31" x14ac:dyDescent="0.25">
      <c r="B157" s="68"/>
      <c r="C157" s="72"/>
      <c r="D157" s="68"/>
      <c r="E157" s="68"/>
      <c r="F157" s="68"/>
      <c r="G157" s="68"/>
      <c r="H157" s="68"/>
      <c r="I157" s="68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  <c r="AA157" s="79"/>
      <c r="AB157" s="79"/>
      <c r="AC157" s="76"/>
      <c r="AD157" s="68"/>
      <c r="AE157" s="68"/>
    </row>
    <row r="158" spans="2:31" x14ac:dyDescent="0.25">
      <c r="B158" s="68"/>
      <c r="C158" s="82"/>
      <c r="D158" s="76"/>
      <c r="E158" s="76"/>
      <c r="F158" s="76"/>
      <c r="G158" s="76"/>
      <c r="H158" s="76"/>
      <c r="I158" s="76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76"/>
    </row>
    <row r="159" spans="2:31" x14ac:dyDescent="0.25">
      <c r="B159" s="85"/>
      <c r="C159" s="82"/>
      <c r="D159" s="76"/>
      <c r="E159" s="76"/>
      <c r="F159" s="76"/>
      <c r="G159" s="76"/>
      <c r="H159" s="76"/>
      <c r="I159" s="76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  <c r="AA159" s="79"/>
      <c r="AB159" s="79"/>
      <c r="AC159" s="76"/>
    </row>
    <row r="160" spans="2:31" x14ac:dyDescent="0.25">
      <c r="C160" s="82"/>
      <c r="D160" s="76"/>
      <c r="E160" s="76"/>
      <c r="F160" s="76"/>
      <c r="G160" s="76"/>
      <c r="H160" s="76"/>
      <c r="I160" s="76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66"/>
    </row>
    <row r="161" spans="2:29" x14ac:dyDescent="0.25">
      <c r="C161" s="82"/>
      <c r="D161" s="76"/>
      <c r="E161" s="76"/>
      <c r="F161" s="76"/>
      <c r="G161" s="76"/>
      <c r="H161" s="76"/>
      <c r="I161" s="76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66"/>
    </row>
    <row r="162" spans="2:29" x14ac:dyDescent="0.25">
      <c r="C162" s="82"/>
      <c r="D162" s="76"/>
      <c r="E162" s="76"/>
      <c r="F162" s="76"/>
      <c r="G162" s="76"/>
      <c r="H162" s="76"/>
      <c r="I162" s="76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66"/>
    </row>
    <row r="163" spans="2:29" x14ac:dyDescent="0.25">
      <c r="C163" s="72"/>
      <c r="D163" s="68"/>
      <c r="E163" s="68"/>
      <c r="F163" s="68"/>
      <c r="G163" s="68"/>
      <c r="H163" s="68"/>
      <c r="I163" s="68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66"/>
    </row>
    <row r="164" spans="2:29" x14ac:dyDescent="0.25">
      <c r="C164" s="82"/>
      <c r="D164" s="68"/>
      <c r="E164" s="68"/>
      <c r="F164" s="68"/>
      <c r="G164" s="68"/>
      <c r="H164" s="68"/>
      <c r="I164" s="68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66"/>
    </row>
    <row r="165" spans="2:29" x14ac:dyDescent="0.25">
      <c r="C165" s="72"/>
      <c r="D165" s="68"/>
      <c r="E165" s="68"/>
      <c r="F165" s="68"/>
      <c r="G165" s="68"/>
      <c r="H165" s="68"/>
      <c r="I165" s="68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68"/>
    </row>
    <row r="166" spans="2:29" x14ac:dyDescent="0.25">
      <c r="C166" s="72"/>
      <c r="D166" s="68"/>
      <c r="E166" s="68"/>
      <c r="F166" s="68"/>
      <c r="G166" s="68"/>
      <c r="H166" s="68"/>
      <c r="I166" s="68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66"/>
    </row>
    <row r="167" spans="2:29" x14ac:dyDescent="0.25">
      <c r="B167" s="68"/>
      <c r="C167" s="72"/>
      <c r="D167" s="68"/>
      <c r="E167" s="68"/>
      <c r="F167" s="68"/>
      <c r="G167" s="68"/>
      <c r="H167" s="68"/>
      <c r="I167" s="68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68"/>
    </row>
    <row r="168" spans="2:29" x14ac:dyDescent="0.25">
      <c r="B168" s="68"/>
      <c r="C168" s="72"/>
      <c r="D168" s="68"/>
      <c r="E168" s="68"/>
      <c r="F168" s="68"/>
      <c r="G168" s="68"/>
      <c r="H168" s="68"/>
      <c r="I168" s="68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68"/>
    </row>
    <row r="169" spans="2:29" x14ac:dyDescent="0.25">
      <c r="B169" s="68"/>
      <c r="C169" s="72"/>
      <c r="D169" s="68"/>
      <c r="E169" s="68"/>
      <c r="F169" s="68"/>
      <c r="G169" s="68"/>
      <c r="H169" s="68"/>
      <c r="I169" s="68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86"/>
    </row>
    <row r="170" spans="2:29" x14ac:dyDescent="0.25">
      <c r="B170" s="68"/>
      <c r="C170" s="72"/>
      <c r="D170" s="68"/>
      <c r="E170" s="68"/>
      <c r="F170" s="68"/>
      <c r="G170" s="68"/>
      <c r="H170" s="68"/>
      <c r="I170" s="68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87"/>
    </row>
    <row r="171" spans="2:29" x14ac:dyDescent="0.25">
      <c r="C171" s="72"/>
      <c r="D171" s="68"/>
      <c r="E171" s="68"/>
      <c r="F171" s="68"/>
      <c r="G171" s="68"/>
      <c r="H171" s="68"/>
      <c r="I171" s="68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68"/>
    </row>
    <row r="172" spans="2:29" x14ac:dyDescent="0.25">
      <c r="C172" s="72"/>
      <c r="D172" s="68"/>
      <c r="E172" s="68"/>
      <c r="F172" s="68"/>
      <c r="G172" s="68"/>
      <c r="H172" s="68"/>
      <c r="I172" s="68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68"/>
    </row>
    <row r="173" spans="2:29" x14ac:dyDescent="0.25">
      <c r="C173" s="72"/>
      <c r="D173" s="68"/>
      <c r="E173" s="68"/>
      <c r="F173" s="68"/>
      <c r="G173" s="68"/>
      <c r="H173" s="68"/>
      <c r="I173" s="68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68"/>
    </row>
    <row r="174" spans="2:29" x14ac:dyDescent="0.25">
      <c r="C174" s="72"/>
      <c r="D174" s="68"/>
      <c r="E174" s="68"/>
      <c r="F174" s="68"/>
      <c r="G174" s="68"/>
      <c r="H174" s="68"/>
      <c r="I174" s="68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68"/>
    </row>
    <row r="175" spans="2:29" x14ac:dyDescent="0.25">
      <c r="C175" s="72"/>
      <c r="D175" s="68"/>
      <c r="E175" s="68"/>
      <c r="F175" s="68"/>
      <c r="G175" s="68"/>
      <c r="H175" s="68"/>
      <c r="I175" s="68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68"/>
    </row>
    <row r="176" spans="2:29" x14ac:dyDescent="0.25">
      <c r="C176" s="72"/>
      <c r="D176" s="68"/>
      <c r="E176" s="68"/>
      <c r="F176" s="68"/>
      <c r="G176" s="68"/>
      <c r="H176" s="68"/>
      <c r="I176" s="68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68"/>
    </row>
    <row r="177" spans="3:29" x14ac:dyDescent="0.25">
      <c r="C177" s="72"/>
      <c r="D177" s="68"/>
      <c r="E177" s="68"/>
      <c r="F177" s="68"/>
      <c r="G177" s="68"/>
      <c r="H177" s="68"/>
      <c r="I177" s="68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68"/>
    </row>
    <row r="178" spans="3:29" x14ac:dyDescent="0.25">
      <c r="C178" s="72"/>
      <c r="D178" s="68"/>
      <c r="E178" s="68"/>
      <c r="F178" s="68"/>
      <c r="G178" s="68"/>
      <c r="H178" s="68"/>
      <c r="I178" s="68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>
        <v>3003000</v>
      </c>
      <c r="U178" s="12"/>
      <c r="V178" s="12"/>
      <c r="W178" s="12"/>
      <c r="X178" s="12"/>
      <c r="Y178" s="12"/>
      <c r="Z178" s="12"/>
      <c r="AA178" s="12"/>
      <c r="AB178" s="12"/>
      <c r="AC178" s="68"/>
    </row>
    <row r="179" spans="3:29" x14ac:dyDescent="0.25">
      <c r="C179" s="82"/>
      <c r="D179" s="68"/>
      <c r="E179" s="68"/>
      <c r="F179" s="68"/>
      <c r="G179" s="68"/>
      <c r="H179" s="68"/>
      <c r="I179" s="68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68"/>
    </row>
    <row r="180" spans="3:29" x14ac:dyDescent="0.25">
      <c r="C180" s="82"/>
      <c r="D180" s="68"/>
      <c r="E180" s="68"/>
      <c r="F180" s="68"/>
      <c r="G180" s="68"/>
      <c r="H180" s="68"/>
      <c r="I180" s="68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68"/>
    </row>
    <row r="181" spans="3:29" x14ac:dyDescent="0.25">
      <c r="C181" s="82"/>
      <c r="D181" s="68"/>
      <c r="E181" s="68"/>
      <c r="F181" s="68"/>
      <c r="G181" s="68"/>
      <c r="H181" s="68"/>
      <c r="I181" s="68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68"/>
    </row>
    <row r="182" spans="3:29" x14ac:dyDescent="0.25">
      <c r="C182" s="82"/>
      <c r="D182" s="68"/>
      <c r="E182" s="68"/>
      <c r="F182" s="68"/>
      <c r="G182" s="68"/>
      <c r="H182" s="68"/>
      <c r="I182" s="68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68"/>
    </row>
    <row r="183" spans="3:29" x14ac:dyDescent="0.25">
      <c r="C183" s="72">
        <v>42614840</v>
      </c>
      <c r="D183" s="68"/>
      <c r="E183" s="68"/>
      <c r="F183" s="68"/>
      <c r="G183" s="68"/>
      <c r="H183" s="68"/>
      <c r="I183" s="68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>
        <v>412608</v>
      </c>
      <c r="AC183" s="68"/>
    </row>
    <row r="184" spans="3:29" x14ac:dyDescent="0.25">
      <c r="C184" s="72">
        <v>9675182</v>
      </c>
      <c r="D184" s="68"/>
      <c r="E184" s="68"/>
      <c r="F184" s="68"/>
      <c r="G184" s="68"/>
      <c r="H184" s="68"/>
      <c r="I184" s="68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>
        <v>1880000</v>
      </c>
      <c r="AC184" s="68"/>
    </row>
    <row r="185" spans="3:29" x14ac:dyDescent="0.25">
      <c r="C185" s="72">
        <v>17903600</v>
      </c>
      <c r="D185" s="68"/>
      <c r="E185" s="68"/>
      <c r="F185" s="68"/>
      <c r="G185" s="68"/>
      <c r="H185" s="68"/>
      <c r="I185" s="68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68"/>
    </row>
    <row r="186" spans="3:29" x14ac:dyDescent="0.25">
      <c r="C186" s="72">
        <f>SUM(C183:C185)</f>
        <v>70193622</v>
      </c>
      <c r="D186" s="68"/>
      <c r="E186" s="68"/>
      <c r="F186" s="68"/>
      <c r="G186" s="68"/>
      <c r="H186" s="68"/>
      <c r="I186" s="68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68"/>
    </row>
    <row r="187" spans="3:29" x14ac:dyDescent="0.25">
      <c r="C187" s="72">
        <v>400000</v>
      </c>
      <c r="D187" s="68"/>
      <c r="E187" s="68"/>
      <c r="F187" s="68"/>
      <c r="G187" s="68"/>
      <c r="H187" s="68"/>
      <c r="I187" s="68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68"/>
    </row>
    <row r="188" spans="3:29" x14ac:dyDescent="0.25">
      <c r="C188" s="72">
        <f>+C186+C187</f>
        <v>70593622</v>
      </c>
      <c r="D188" s="68"/>
      <c r="E188" s="68"/>
      <c r="F188" s="68"/>
      <c r="G188" s="68"/>
      <c r="H188" s="68"/>
      <c r="I188" s="68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68"/>
    </row>
    <row r="192" spans="3:29" x14ac:dyDescent="0.25">
      <c r="C192" s="13">
        <v>11000000</v>
      </c>
    </row>
    <row r="193" spans="3:3" x14ac:dyDescent="0.25">
      <c r="C193" s="13">
        <f>+C191+C192</f>
        <v>11000000</v>
      </c>
    </row>
    <row r="198" spans="3:3" x14ac:dyDescent="0.25">
      <c r="C198" s="13">
        <v>3185000</v>
      </c>
    </row>
    <row r="199" spans="3:3" x14ac:dyDescent="0.25">
      <c r="C199" s="13">
        <v>1080000</v>
      </c>
    </row>
    <row r="200" spans="3:3" x14ac:dyDescent="0.25">
      <c r="C200" s="13">
        <v>4850100</v>
      </c>
    </row>
    <row r="201" spans="3:3" x14ac:dyDescent="0.25">
      <c r="C201" s="13">
        <v>5027500</v>
      </c>
    </row>
    <row r="202" spans="3:3" x14ac:dyDescent="0.25">
      <c r="C202" s="13">
        <v>4566000</v>
      </c>
    </row>
    <row r="203" spans="3:3" x14ac:dyDescent="0.25">
      <c r="C203" s="13">
        <v>1050000</v>
      </c>
    </row>
    <row r="204" spans="3:3" x14ac:dyDescent="0.25">
      <c r="C204" s="13">
        <v>3877333</v>
      </c>
    </row>
    <row r="205" spans="3:3" x14ac:dyDescent="0.25">
      <c r="C205" s="13">
        <v>6732440</v>
      </c>
    </row>
    <row r="206" spans="3:3" x14ac:dyDescent="0.25">
      <c r="C206" s="13">
        <v>3460000</v>
      </c>
    </row>
    <row r="207" spans="3:3" x14ac:dyDescent="0.25">
      <c r="C207" s="13">
        <v>588800</v>
      </c>
    </row>
    <row r="208" spans="3:3" x14ac:dyDescent="0.25">
      <c r="C208" s="13">
        <v>1868000</v>
      </c>
    </row>
    <row r="209" spans="3:3" x14ac:dyDescent="0.25">
      <c r="C209" s="13">
        <v>10313000</v>
      </c>
    </row>
    <row r="210" spans="3:3" x14ac:dyDescent="0.25">
      <c r="C210" s="13">
        <v>3443800</v>
      </c>
    </row>
    <row r="211" spans="3:3" x14ac:dyDescent="0.25">
      <c r="C211" s="13">
        <v>8136400</v>
      </c>
    </row>
    <row r="212" spans="3:3" x14ac:dyDescent="0.25">
      <c r="C212" s="13">
        <v>9675183</v>
      </c>
    </row>
    <row r="213" spans="3:3" x14ac:dyDescent="0.25">
      <c r="C213" s="13">
        <f>SUM(C197:C212)</f>
        <v>67853556</v>
      </c>
    </row>
  </sheetData>
  <mergeCells count="8">
    <mergeCell ref="J155:Y155"/>
    <mergeCell ref="D156:AC156"/>
    <mergeCell ref="A1:AC1"/>
    <mergeCell ref="A2:S2"/>
    <mergeCell ref="T2:AB2"/>
    <mergeCell ref="A4:A72"/>
    <mergeCell ref="A73:A121"/>
    <mergeCell ref="B122:C122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202E-BD38-424C-AB81-BC5522CF2A97}">
  <dimension ref="A1:AB215"/>
  <sheetViews>
    <sheetView workbookViewId="0">
      <selection activeCell="H10" sqref="H10"/>
    </sheetView>
  </sheetViews>
  <sheetFormatPr baseColWidth="10" defaultRowHeight="12" x14ac:dyDescent="0.25"/>
  <cols>
    <col min="1" max="1" width="6.7109375" style="62" customWidth="1"/>
    <col min="2" max="2" width="4.85546875" style="62" customWidth="1"/>
    <col min="3" max="3" width="32.28515625" style="13" customWidth="1"/>
    <col min="4" max="4" width="8.5703125" style="62" hidden="1" customWidth="1"/>
    <col min="5" max="5" width="11" style="62" hidden="1" customWidth="1"/>
    <col min="6" max="6" width="15" style="71" customWidth="1"/>
    <col min="7" max="7" width="4.42578125" style="71" customWidth="1"/>
    <col min="8" max="9" width="15.5703125" style="71" customWidth="1"/>
    <col min="10" max="10" width="11.28515625" style="71" customWidth="1"/>
    <col min="11" max="11" width="11.42578125" style="71"/>
    <col min="12" max="12" width="11.140625" style="71" customWidth="1"/>
    <col min="13" max="13" width="12.28515625" style="71" customWidth="1"/>
    <col min="14" max="14" width="12.5703125" style="71" customWidth="1"/>
    <col min="15" max="15" width="16" style="71" customWidth="1"/>
    <col min="16" max="16" width="13" style="71" customWidth="1"/>
    <col min="17" max="17" width="14.140625" style="71" customWidth="1"/>
    <col min="18" max="19" width="11.28515625" style="71" customWidth="1"/>
    <col min="20" max="20" width="14.140625" style="71" customWidth="1"/>
    <col min="21" max="21" width="12.28515625" style="71" customWidth="1"/>
    <col min="22" max="22" width="11.28515625" style="71" customWidth="1"/>
    <col min="23" max="23" width="15.7109375" style="71" customWidth="1"/>
    <col min="24" max="24" width="12.42578125" style="71" customWidth="1"/>
    <col min="25" max="25" width="18" style="62" bestFit="1" customWidth="1"/>
    <col min="26" max="26" width="15.7109375" style="62" bestFit="1" customWidth="1"/>
    <col min="27" max="245" width="11.42578125" style="62"/>
    <col min="246" max="246" width="10.5703125" style="62" customWidth="1"/>
    <col min="247" max="247" width="4.85546875" style="62" customWidth="1"/>
    <col min="248" max="248" width="32.42578125" style="62" customWidth="1"/>
    <col min="249" max="249" width="9.85546875" style="62" customWidth="1"/>
    <col min="250" max="250" width="10.140625" style="62" customWidth="1"/>
    <col min="251" max="251" width="12.28515625" style="62" customWidth="1"/>
    <col min="252" max="252" width="15.42578125" style="62" customWidth="1"/>
    <col min="253" max="253" width="11.85546875" style="62" customWidth="1"/>
    <col min="254" max="254" width="13.28515625" style="62" customWidth="1"/>
    <col min="255" max="255" width="15.28515625" style="62" customWidth="1"/>
    <col min="256" max="256" width="11.85546875" style="62" customWidth="1"/>
    <col min="257" max="257" width="6.140625" style="62" customWidth="1"/>
    <col min="258" max="258" width="11.85546875" style="62" customWidth="1"/>
    <col min="259" max="259" width="9.42578125" style="62" customWidth="1"/>
    <col min="260" max="260" width="14.7109375" style="62" customWidth="1"/>
    <col min="261" max="261" width="11.5703125" style="62" customWidth="1"/>
    <col min="262" max="262" width="0.42578125" style="62" customWidth="1"/>
    <col min="263" max="263" width="10.5703125" style="62" bestFit="1" customWidth="1"/>
    <col min="264" max="264" width="12.28515625" style="62" customWidth="1"/>
    <col min="265" max="265" width="12.5703125" style="62" customWidth="1"/>
    <col min="266" max="266" width="10.5703125" style="62" customWidth="1"/>
    <col min="267" max="267" width="10.140625" style="62" customWidth="1"/>
    <col min="268" max="268" width="8.42578125" style="62" customWidth="1"/>
    <col min="269" max="269" width="18.85546875" style="62" customWidth="1"/>
    <col min="270" max="270" width="10.28515625" style="62" customWidth="1"/>
    <col min="271" max="271" width="11.42578125" style="62"/>
    <col min="272" max="272" width="12.140625" style="62" customWidth="1"/>
    <col min="273" max="273" width="10.5703125" style="62" customWidth="1"/>
    <col min="274" max="274" width="12.42578125" style="62" customWidth="1"/>
    <col min="275" max="275" width="15.140625" style="62" customWidth="1"/>
    <col min="276" max="276" width="13.5703125" style="62" customWidth="1"/>
    <col min="277" max="277" width="13.140625" style="62" customWidth="1"/>
    <col min="278" max="278" width="15.7109375" style="62" customWidth="1"/>
    <col min="279" max="279" width="37.5703125" style="62" customWidth="1"/>
    <col min="280" max="501" width="11.42578125" style="62"/>
    <col min="502" max="502" width="10.5703125" style="62" customWidth="1"/>
    <col min="503" max="503" width="4.85546875" style="62" customWidth="1"/>
    <col min="504" max="504" width="32.42578125" style="62" customWidth="1"/>
    <col min="505" max="505" width="9.85546875" style="62" customWidth="1"/>
    <col min="506" max="506" width="10.140625" style="62" customWidth="1"/>
    <col min="507" max="507" width="12.28515625" style="62" customWidth="1"/>
    <col min="508" max="508" width="15.42578125" style="62" customWidth="1"/>
    <col min="509" max="509" width="11.85546875" style="62" customWidth="1"/>
    <col min="510" max="510" width="13.28515625" style="62" customWidth="1"/>
    <col min="511" max="511" width="15.28515625" style="62" customWidth="1"/>
    <col min="512" max="512" width="11.85546875" style="62" customWidth="1"/>
    <col min="513" max="513" width="6.140625" style="62" customWidth="1"/>
    <col min="514" max="514" width="11.85546875" style="62" customWidth="1"/>
    <col min="515" max="515" width="9.42578125" style="62" customWidth="1"/>
    <col min="516" max="516" width="14.7109375" style="62" customWidth="1"/>
    <col min="517" max="517" width="11.5703125" style="62" customWidth="1"/>
    <col min="518" max="518" width="0.42578125" style="62" customWidth="1"/>
    <col min="519" max="519" width="10.5703125" style="62" bestFit="1" customWidth="1"/>
    <col min="520" max="520" width="12.28515625" style="62" customWidth="1"/>
    <col min="521" max="521" width="12.5703125" style="62" customWidth="1"/>
    <col min="522" max="522" width="10.5703125" style="62" customWidth="1"/>
    <col min="523" max="523" width="10.140625" style="62" customWidth="1"/>
    <col min="524" max="524" width="8.42578125" style="62" customWidth="1"/>
    <col min="525" max="525" width="18.85546875" style="62" customWidth="1"/>
    <col min="526" max="526" width="10.28515625" style="62" customWidth="1"/>
    <col min="527" max="527" width="11.42578125" style="62"/>
    <col min="528" max="528" width="12.140625" style="62" customWidth="1"/>
    <col min="529" max="529" width="10.5703125" style="62" customWidth="1"/>
    <col min="530" max="530" width="12.42578125" style="62" customWidth="1"/>
    <col min="531" max="531" width="15.140625" style="62" customWidth="1"/>
    <col min="532" max="532" width="13.5703125" style="62" customWidth="1"/>
    <col min="533" max="533" width="13.140625" style="62" customWidth="1"/>
    <col min="534" max="534" width="15.7109375" style="62" customWidth="1"/>
    <col min="535" max="535" width="37.5703125" style="62" customWidth="1"/>
    <col min="536" max="757" width="11.42578125" style="62"/>
    <col min="758" max="758" width="10.5703125" style="62" customWidth="1"/>
    <col min="759" max="759" width="4.85546875" style="62" customWidth="1"/>
    <col min="760" max="760" width="32.42578125" style="62" customWidth="1"/>
    <col min="761" max="761" width="9.85546875" style="62" customWidth="1"/>
    <col min="762" max="762" width="10.140625" style="62" customWidth="1"/>
    <col min="763" max="763" width="12.28515625" style="62" customWidth="1"/>
    <col min="764" max="764" width="15.42578125" style="62" customWidth="1"/>
    <col min="765" max="765" width="11.85546875" style="62" customWidth="1"/>
    <col min="766" max="766" width="13.28515625" style="62" customWidth="1"/>
    <col min="767" max="767" width="15.28515625" style="62" customWidth="1"/>
    <col min="768" max="768" width="11.85546875" style="62" customWidth="1"/>
    <col min="769" max="769" width="6.140625" style="62" customWidth="1"/>
    <col min="770" max="770" width="11.85546875" style="62" customWidth="1"/>
    <col min="771" max="771" width="9.42578125" style="62" customWidth="1"/>
    <col min="772" max="772" width="14.7109375" style="62" customWidth="1"/>
    <col min="773" max="773" width="11.5703125" style="62" customWidth="1"/>
    <col min="774" max="774" width="0.42578125" style="62" customWidth="1"/>
    <col min="775" max="775" width="10.5703125" style="62" bestFit="1" customWidth="1"/>
    <col min="776" max="776" width="12.28515625" style="62" customWidth="1"/>
    <col min="777" max="777" width="12.5703125" style="62" customWidth="1"/>
    <col min="778" max="778" width="10.5703125" style="62" customWidth="1"/>
    <col min="779" max="779" width="10.140625" style="62" customWidth="1"/>
    <col min="780" max="780" width="8.42578125" style="62" customWidth="1"/>
    <col min="781" max="781" width="18.85546875" style="62" customWidth="1"/>
    <col min="782" max="782" width="10.28515625" style="62" customWidth="1"/>
    <col min="783" max="783" width="11.42578125" style="62"/>
    <col min="784" max="784" width="12.140625" style="62" customWidth="1"/>
    <col min="785" max="785" width="10.5703125" style="62" customWidth="1"/>
    <col min="786" max="786" width="12.42578125" style="62" customWidth="1"/>
    <col min="787" max="787" width="15.140625" style="62" customWidth="1"/>
    <col min="788" max="788" width="13.5703125" style="62" customWidth="1"/>
    <col min="789" max="789" width="13.140625" style="62" customWidth="1"/>
    <col min="790" max="790" width="15.7109375" style="62" customWidth="1"/>
    <col min="791" max="791" width="37.5703125" style="62" customWidth="1"/>
    <col min="792" max="1013" width="11.42578125" style="62"/>
    <col min="1014" max="1014" width="10.5703125" style="62" customWidth="1"/>
    <col min="1015" max="1015" width="4.85546875" style="62" customWidth="1"/>
    <col min="1016" max="1016" width="32.42578125" style="62" customWidth="1"/>
    <col min="1017" max="1017" width="9.85546875" style="62" customWidth="1"/>
    <col min="1018" max="1018" width="10.140625" style="62" customWidth="1"/>
    <col min="1019" max="1019" width="12.28515625" style="62" customWidth="1"/>
    <col min="1020" max="1020" width="15.42578125" style="62" customWidth="1"/>
    <col min="1021" max="1021" width="11.85546875" style="62" customWidth="1"/>
    <col min="1022" max="1022" width="13.28515625" style="62" customWidth="1"/>
    <col min="1023" max="1023" width="15.28515625" style="62" customWidth="1"/>
    <col min="1024" max="1024" width="11.85546875" style="62" customWidth="1"/>
    <col min="1025" max="1025" width="6.140625" style="62" customWidth="1"/>
    <col min="1026" max="1026" width="11.85546875" style="62" customWidth="1"/>
    <col min="1027" max="1027" width="9.42578125" style="62" customWidth="1"/>
    <col min="1028" max="1028" width="14.7109375" style="62" customWidth="1"/>
    <col min="1029" max="1029" width="11.5703125" style="62" customWidth="1"/>
    <col min="1030" max="1030" width="0.42578125" style="62" customWidth="1"/>
    <col min="1031" max="1031" width="10.5703125" style="62" bestFit="1" customWidth="1"/>
    <col min="1032" max="1032" width="12.28515625" style="62" customWidth="1"/>
    <col min="1033" max="1033" width="12.5703125" style="62" customWidth="1"/>
    <col min="1034" max="1034" width="10.5703125" style="62" customWidth="1"/>
    <col min="1035" max="1035" width="10.140625" style="62" customWidth="1"/>
    <col min="1036" max="1036" width="8.42578125" style="62" customWidth="1"/>
    <col min="1037" max="1037" width="18.85546875" style="62" customWidth="1"/>
    <col min="1038" max="1038" width="10.28515625" style="62" customWidth="1"/>
    <col min="1039" max="1039" width="11.42578125" style="62"/>
    <col min="1040" max="1040" width="12.140625" style="62" customWidth="1"/>
    <col min="1041" max="1041" width="10.5703125" style="62" customWidth="1"/>
    <col min="1042" max="1042" width="12.42578125" style="62" customWidth="1"/>
    <col min="1043" max="1043" width="15.140625" style="62" customWidth="1"/>
    <col min="1044" max="1044" width="13.5703125" style="62" customWidth="1"/>
    <col min="1045" max="1045" width="13.140625" style="62" customWidth="1"/>
    <col min="1046" max="1046" width="15.7109375" style="62" customWidth="1"/>
    <col min="1047" max="1047" width="37.5703125" style="62" customWidth="1"/>
    <col min="1048" max="1269" width="11.42578125" style="62"/>
    <col min="1270" max="1270" width="10.5703125" style="62" customWidth="1"/>
    <col min="1271" max="1271" width="4.85546875" style="62" customWidth="1"/>
    <col min="1272" max="1272" width="32.42578125" style="62" customWidth="1"/>
    <col min="1273" max="1273" width="9.85546875" style="62" customWidth="1"/>
    <col min="1274" max="1274" width="10.140625" style="62" customWidth="1"/>
    <col min="1275" max="1275" width="12.28515625" style="62" customWidth="1"/>
    <col min="1276" max="1276" width="15.42578125" style="62" customWidth="1"/>
    <col min="1277" max="1277" width="11.85546875" style="62" customWidth="1"/>
    <col min="1278" max="1278" width="13.28515625" style="62" customWidth="1"/>
    <col min="1279" max="1279" width="15.28515625" style="62" customWidth="1"/>
    <col min="1280" max="1280" width="11.85546875" style="62" customWidth="1"/>
    <col min="1281" max="1281" width="6.140625" style="62" customWidth="1"/>
    <col min="1282" max="1282" width="11.85546875" style="62" customWidth="1"/>
    <col min="1283" max="1283" width="9.42578125" style="62" customWidth="1"/>
    <col min="1284" max="1284" width="14.7109375" style="62" customWidth="1"/>
    <col min="1285" max="1285" width="11.5703125" style="62" customWidth="1"/>
    <col min="1286" max="1286" width="0.42578125" style="62" customWidth="1"/>
    <col min="1287" max="1287" width="10.5703125" style="62" bestFit="1" customWidth="1"/>
    <col min="1288" max="1288" width="12.28515625" style="62" customWidth="1"/>
    <col min="1289" max="1289" width="12.5703125" style="62" customWidth="1"/>
    <col min="1290" max="1290" width="10.5703125" style="62" customWidth="1"/>
    <col min="1291" max="1291" width="10.140625" style="62" customWidth="1"/>
    <col min="1292" max="1292" width="8.42578125" style="62" customWidth="1"/>
    <col min="1293" max="1293" width="18.85546875" style="62" customWidth="1"/>
    <col min="1294" max="1294" width="10.28515625" style="62" customWidth="1"/>
    <col min="1295" max="1295" width="11.42578125" style="62"/>
    <col min="1296" max="1296" width="12.140625" style="62" customWidth="1"/>
    <col min="1297" max="1297" width="10.5703125" style="62" customWidth="1"/>
    <col min="1298" max="1298" width="12.42578125" style="62" customWidth="1"/>
    <col min="1299" max="1299" width="15.140625" style="62" customWidth="1"/>
    <col min="1300" max="1300" width="13.5703125" style="62" customWidth="1"/>
    <col min="1301" max="1301" width="13.140625" style="62" customWidth="1"/>
    <col min="1302" max="1302" width="15.7109375" style="62" customWidth="1"/>
    <col min="1303" max="1303" width="37.5703125" style="62" customWidth="1"/>
    <col min="1304" max="1525" width="11.42578125" style="62"/>
    <col min="1526" max="1526" width="10.5703125" style="62" customWidth="1"/>
    <col min="1527" max="1527" width="4.85546875" style="62" customWidth="1"/>
    <col min="1528" max="1528" width="32.42578125" style="62" customWidth="1"/>
    <col min="1529" max="1529" width="9.85546875" style="62" customWidth="1"/>
    <col min="1530" max="1530" width="10.140625" style="62" customWidth="1"/>
    <col min="1531" max="1531" width="12.28515625" style="62" customWidth="1"/>
    <col min="1532" max="1532" width="15.42578125" style="62" customWidth="1"/>
    <col min="1533" max="1533" width="11.85546875" style="62" customWidth="1"/>
    <col min="1534" max="1534" width="13.28515625" style="62" customWidth="1"/>
    <col min="1535" max="1535" width="15.28515625" style="62" customWidth="1"/>
    <col min="1536" max="1536" width="11.85546875" style="62" customWidth="1"/>
    <col min="1537" max="1537" width="6.140625" style="62" customWidth="1"/>
    <col min="1538" max="1538" width="11.85546875" style="62" customWidth="1"/>
    <col min="1539" max="1539" width="9.42578125" style="62" customWidth="1"/>
    <col min="1540" max="1540" width="14.7109375" style="62" customWidth="1"/>
    <col min="1541" max="1541" width="11.5703125" style="62" customWidth="1"/>
    <col min="1542" max="1542" width="0.42578125" style="62" customWidth="1"/>
    <col min="1543" max="1543" width="10.5703125" style="62" bestFit="1" customWidth="1"/>
    <col min="1544" max="1544" width="12.28515625" style="62" customWidth="1"/>
    <col min="1545" max="1545" width="12.5703125" style="62" customWidth="1"/>
    <col min="1546" max="1546" width="10.5703125" style="62" customWidth="1"/>
    <col min="1547" max="1547" width="10.140625" style="62" customWidth="1"/>
    <col min="1548" max="1548" width="8.42578125" style="62" customWidth="1"/>
    <col min="1549" max="1549" width="18.85546875" style="62" customWidth="1"/>
    <col min="1550" max="1550" width="10.28515625" style="62" customWidth="1"/>
    <col min="1551" max="1551" width="11.42578125" style="62"/>
    <col min="1552" max="1552" width="12.140625" style="62" customWidth="1"/>
    <col min="1553" max="1553" width="10.5703125" style="62" customWidth="1"/>
    <col min="1554" max="1554" width="12.42578125" style="62" customWidth="1"/>
    <col min="1555" max="1555" width="15.140625" style="62" customWidth="1"/>
    <col min="1556" max="1556" width="13.5703125" style="62" customWidth="1"/>
    <col min="1557" max="1557" width="13.140625" style="62" customWidth="1"/>
    <col min="1558" max="1558" width="15.7109375" style="62" customWidth="1"/>
    <col min="1559" max="1559" width="37.5703125" style="62" customWidth="1"/>
    <col min="1560" max="1781" width="11.42578125" style="62"/>
    <col min="1782" max="1782" width="10.5703125" style="62" customWidth="1"/>
    <col min="1783" max="1783" width="4.85546875" style="62" customWidth="1"/>
    <col min="1784" max="1784" width="32.42578125" style="62" customWidth="1"/>
    <col min="1785" max="1785" width="9.85546875" style="62" customWidth="1"/>
    <col min="1786" max="1786" width="10.140625" style="62" customWidth="1"/>
    <col min="1787" max="1787" width="12.28515625" style="62" customWidth="1"/>
    <col min="1788" max="1788" width="15.42578125" style="62" customWidth="1"/>
    <col min="1789" max="1789" width="11.85546875" style="62" customWidth="1"/>
    <col min="1790" max="1790" width="13.28515625" style="62" customWidth="1"/>
    <col min="1791" max="1791" width="15.28515625" style="62" customWidth="1"/>
    <col min="1792" max="1792" width="11.85546875" style="62" customWidth="1"/>
    <col min="1793" max="1793" width="6.140625" style="62" customWidth="1"/>
    <col min="1794" max="1794" width="11.85546875" style="62" customWidth="1"/>
    <col min="1795" max="1795" width="9.42578125" style="62" customWidth="1"/>
    <col min="1796" max="1796" width="14.7109375" style="62" customWidth="1"/>
    <col min="1797" max="1797" width="11.5703125" style="62" customWidth="1"/>
    <col min="1798" max="1798" width="0.42578125" style="62" customWidth="1"/>
    <col min="1799" max="1799" width="10.5703125" style="62" bestFit="1" customWidth="1"/>
    <col min="1800" max="1800" width="12.28515625" style="62" customWidth="1"/>
    <col min="1801" max="1801" width="12.5703125" style="62" customWidth="1"/>
    <col min="1802" max="1802" width="10.5703125" style="62" customWidth="1"/>
    <col min="1803" max="1803" width="10.140625" style="62" customWidth="1"/>
    <col min="1804" max="1804" width="8.42578125" style="62" customWidth="1"/>
    <col min="1805" max="1805" width="18.85546875" style="62" customWidth="1"/>
    <col min="1806" max="1806" width="10.28515625" style="62" customWidth="1"/>
    <col min="1807" max="1807" width="11.42578125" style="62"/>
    <col min="1808" max="1808" width="12.140625" style="62" customWidth="1"/>
    <col min="1809" max="1809" width="10.5703125" style="62" customWidth="1"/>
    <col min="1810" max="1810" width="12.42578125" style="62" customWidth="1"/>
    <col min="1811" max="1811" width="15.140625" style="62" customWidth="1"/>
    <col min="1812" max="1812" width="13.5703125" style="62" customWidth="1"/>
    <col min="1813" max="1813" width="13.140625" style="62" customWidth="1"/>
    <col min="1814" max="1814" width="15.7109375" style="62" customWidth="1"/>
    <col min="1815" max="1815" width="37.5703125" style="62" customWidth="1"/>
    <col min="1816" max="2037" width="11.42578125" style="62"/>
    <col min="2038" max="2038" width="10.5703125" style="62" customWidth="1"/>
    <col min="2039" max="2039" width="4.85546875" style="62" customWidth="1"/>
    <col min="2040" max="2040" width="32.42578125" style="62" customWidth="1"/>
    <col min="2041" max="2041" width="9.85546875" style="62" customWidth="1"/>
    <col min="2042" max="2042" width="10.140625" style="62" customWidth="1"/>
    <col min="2043" max="2043" width="12.28515625" style="62" customWidth="1"/>
    <col min="2044" max="2044" width="15.42578125" style="62" customWidth="1"/>
    <col min="2045" max="2045" width="11.85546875" style="62" customWidth="1"/>
    <col min="2046" max="2046" width="13.28515625" style="62" customWidth="1"/>
    <col min="2047" max="2047" width="15.28515625" style="62" customWidth="1"/>
    <col min="2048" max="2048" width="11.85546875" style="62" customWidth="1"/>
    <col min="2049" max="2049" width="6.140625" style="62" customWidth="1"/>
    <col min="2050" max="2050" width="11.85546875" style="62" customWidth="1"/>
    <col min="2051" max="2051" width="9.42578125" style="62" customWidth="1"/>
    <col min="2052" max="2052" width="14.7109375" style="62" customWidth="1"/>
    <col min="2053" max="2053" width="11.5703125" style="62" customWidth="1"/>
    <col min="2054" max="2054" width="0.42578125" style="62" customWidth="1"/>
    <col min="2055" max="2055" width="10.5703125" style="62" bestFit="1" customWidth="1"/>
    <col min="2056" max="2056" width="12.28515625" style="62" customWidth="1"/>
    <col min="2057" max="2057" width="12.5703125" style="62" customWidth="1"/>
    <col min="2058" max="2058" width="10.5703125" style="62" customWidth="1"/>
    <col min="2059" max="2059" width="10.140625" style="62" customWidth="1"/>
    <col min="2060" max="2060" width="8.42578125" style="62" customWidth="1"/>
    <col min="2061" max="2061" width="18.85546875" style="62" customWidth="1"/>
    <col min="2062" max="2062" width="10.28515625" style="62" customWidth="1"/>
    <col min="2063" max="2063" width="11.42578125" style="62"/>
    <col min="2064" max="2064" width="12.140625" style="62" customWidth="1"/>
    <col min="2065" max="2065" width="10.5703125" style="62" customWidth="1"/>
    <col min="2066" max="2066" width="12.42578125" style="62" customWidth="1"/>
    <col min="2067" max="2067" width="15.140625" style="62" customWidth="1"/>
    <col min="2068" max="2068" width="13.5703125" style="62" customWidth="1"/>
    <col min="2069" max="2069" width="13.140625" style="62" customWidth="1"/>
    <col min="2070" max="2070" width="15.7109375" style="62" customWidth="1"/>
    <col min="2071" max="2071" width="37.5703125" style="62" customWidth="1"/>
    <col min="2072" max="2293" width="11.42578125" style="62"/>
    <col min="2294" max="2294" width="10.5703125" style="62" customWidth="1"/>
    <col min="2295" max="2295" width="4.85546875" style="62" customWidth="1"/>
    <col min="2296" max="2296" width="32.42578125" style="62" customWidth="1"/>
    <col min="2297" max="2297" width="9.85546875" style="62" customWidth="1"/>
    <col min="2298" max="2298" width="10.140625" style="62" customWidth="1"/>
    <col min="2299" max="2299" width="12.28515625" style="62" customWidth="1"/>
    <col min="2300" max="2300" width="15.42578125" style="62" customWidth="1"/>
    <col min="2301" max="2301" width="11.85546875" style="62" customWidth="1"/>
    <col min="2302" max="2302" width="13.28515625" style="62" customWidth="1"/>
    <col min="2303" max="2303" width="15.28515625" style="62" customWidth="1"/>
    <col min="2304" max="2304" width="11.85546875" style="62" customWidth="1"/>
    <col min="2305" max="2305" width="6.140625" style="62" customWidth="1"/>
    <col min="2306" max="2306" width="11.85546875" style="62" customWidth="1"/>
    <col min="2307" max="2307" width="9.42578125" style="62" customWidth="1"/>
    <col min="2308" max="2308" width="14.7109375" style="62" customWidth="1"/>
    <col min="2309" max="2309" width="11.5703125" style="62" customWidth="1"/>
    <col min="2310" max="2310" width="0.42578125" style="62" customWidth="1"/>
    <col min="2311" max="2311" width="10.5703125" style="62" bestFit="1" customWidth="1"/>
    <col min="2312" max="2312" width="12.28515625" style="62" customWidth="1"/>
    <col min="2313" max="2313" width="12.5703125" style="62" customWidth="1"/>
    <col min="2314" max="2314" width="10.5703125" style="62" customWidth="1"/>
    <col min="2315" max="2315" width="10.140625" style="62" customWidth="1"/>
    <col min="2316" max="2316" width="8.42578125" style="62" customWidth="1"/>
    <col min="2317" max="2317" width="18.85546875" style="62" customWidth="1"/>
    <col min="2318" max="2318" width="10.28515625" style="62" customWidth="1"/>
    <col min="2319" max="2319" width="11.42578125" style="62"/>
    <col min="2320" max="2320" width="12.140625" style="62" customWidth="1"/>
    <col min="2321" max="2321" width="10.5703125" style="62" customWidth="1"/>
    <col min="2322" max="2322" width="12.42578125" style="62" customWidth="1"/>
    <col min="2323" max="2323" width="15.140625" style="62" customWidth="1"/>
    <col min="2324" max="2324" width="13.5703125" style="62" customWidth="1"/>
    <col min="2325" max="2325" width="13.140625" style="62" customWidth="1"/>
    <col min="2326" max="2326" width="15.7109375" style="62" customWidth="1"/>
    <col min="2327" max="2327" width="37.5703125" style="62" customWidth="1"/>
    <col min="2328" max="2549" width="11.42578125" style="62"/>
    <col min="2550" max="2550" width="10.5703125" style="62" customWidth="1"/>
    <col min="2551" max="2551" width="4.85546875" style="62" customWidth="1"/>
    <col min="2552" max="2552" width="32.42578125" style="62" customWidth="1"/>
    <col min="2553" max="2553" width="9.85546875" style="62" customWidth="1"/>
    <col min="2554" max="2554" width="10.140625" style="62" customWidth="1"/>
    <col min="2555" max="2555" width="12.28515625" style="62" customWidth="1"/>
    <col min="2556" max="2556" width="15.42578125" style="62" customWidth="1"/>
    <col min="2557" max="2557" width="11.85546875" style="62" customWidth="1"/>
    <col min="2558" max="2558" width="13.28515625" style="62" customWidth="1"/>
    <col min="2559" max="2559" width="15.28515625" style="62" customWidth="1"/>
    <col min="2560" max="2560" width="11.85546875" style="62" customWidth="1"/>
    <col min="2561" max="2561" width="6.140625" style="62" customWidth="1"/>
    <col min="2562" max="2562" width="11.85546875" style="62" customWidth="1"/>
    <col min="2563" max="2563" width="9.42578125" style="62" customWidth="1"/>
    <col min="2564" max="2564" width="14.7109375" style="62" customWidth="1"/>
    <col min="2565" max="2565" width="11.5703125" style="62" customWidth="1"/>
    <col min="2566" max="2566" width="0.42578125" style="62" customWidth="1"/>
    <col min="2567" max="2567" width="10.5703125" style="62" bestFit="1" customWidth="1"/>
    <col min="2568" max="2568" width="12.28515625" style="62" customWidth="1"/>
    <col min="2569" max="2569" width="12.5703125" style="62" customWidth="1"/>
    <col min="2570" max="2570" width="10.5703125" style="62" customWidth="1"/>
    <col min="2571" max="2571" width="10.140625" style="62" customWidth="1"/>
    <col min="2572" max="2572" width="8.42578125" style="62" customWidth="1"/>
    <col min="2573" max="2573" width="18.85546875" style="62" customWidth="1"/>
    <col min="2574" max="2574" width="10.28515625" style="62" customWidth="1"/>
    <col min="2575" max="2575" width="11.42578125" style="62"/>
    <col min="2576" max="2576" width="12.140625" style="62" customWidth="1"/>
    <col min="2577" max="2577" width="10.5703125" style="62" customWidth="1"/>
    <col min="2578" max="2578" width="12.42578125" style="62" customWidth="1"/>
    <col min="2579" max="2579" width="15.140625" style="62" customWidth="1"/>
    <col min="2580" max="2580" width="13.5703125" style="62" customWidth="1"/>
    <col min="2581" max="2581" width="13.140625" style="62" customWidth="1"/>
    <col min="2582" max="2582" width="15.7109375" style="62" customWidth="1"/>
    <col min="2583" max="2583" width="37.5703125" style="62" customWidth="1"/>
    <col min="2584" max="2805" width="11.42578125" style="62"/>
    <col min="2806" max="2806" width="10.5703125" style="62" customWidth="1"/>
    <col min="2807" max="2807" width="4.85546875" style="62" customWidth="1"/>
    <col min="2808" max="2808" width="32.42578125" style="62" customWidth="1"/>
    <col min="2809" max="2809" width="9.85546875" style="62" customWidth="1"/>
    <col min="2810" max="2810" width="10.140625" style="62" customWidth="1"/>
    <col min="2811" max="2811" width="12.28515625" style="62" customWidth="1"/>
    <col min="2812" max="2812" width="15.42578125" style="62" customWidth="1"/>
    <col min="2813" max="2813" width="11.85546875" style="62" customWidth="1"/>
    <col min="2814" max="2814" width="13.28515625" style="62" customWidth="1"/>
    <col min="2815" max="2815" width="15.28515625" style="62" customWidth="1"/>
    <col min="2816" max="2816" width="11.85546875" style="62" customWidth="1"/>
    <col min="2817" max="2817" width="6.140625" style="62" customWidth="1"/>
    <col min="2818" max="2818" width="11.85546875" style="62" customWidth="1"/>
    <col min="2819" max="2819" width="9.42578125" style="62" customWidth="1"/>
    <col min="2820" max="2820" width="14.7109375" style="62" customWidth="1"/>
    <col min="2821" max="2821" width="11.5703125" style="62" customWidth="1"/>
    <col min="2822" max="2822" width="0.42578125" style="62" customWidth="1"/>
    <col min="2823" max="2823" width="10.5703125" style="62" bestFit="1" customWidth="1"/>
    <col min="2824" max="2824" width="12.28515625" style="62" customWidth="1"/>
    <col min="2825" max="2825" width="12.5703125" style="62" customWidth="1"/>
    <col min="2826" max="2826" width="10.5703125" style="62" customWidth="1"/>
    <col min="2827" max="2827" width="10.140625" style="62" customWidth="1"/>
    <col min="2828" max="2828" width="8.42578125" style="62" customWidth="1"/>
    <col min="2829" max="2829" width="18.85546875" style="62" customWidth="1"/>
    <col min="2830" max="2830" width="10.28515625" style="62" customWidth="1"/>
    <col min="2831" max="2831" width="11.42578125" style="62"/>
    <col min="2832" max="2832" width="12.140625" style="62" customWidth="1"/>
    <col min="2833" max="2833" width="10.5703125" style="62" customWidth="1"/>
    <col min="2834" max="2834" width="12.42578125" style="62" customWidth="1"/>
    <col min="2835" max="2835" width="15.140625" style="62" customWidth="1"/>
    <col min="2836" max="2836" width="13.5703125" style="62" customWidth="1"/>
    <col min="2837" max="2837" width="13.140625" style="62" customWidth="1"/>
    <col min="2838" max="2838" width="15.7109375" style="62" customWidth="1"/>
    <col min="2839" max="2839" width="37.5703125" style="62" customWidth="1"/>
    <col min="2840" max="3061" width="11.42578125" style="62"/>
    <col min="3062" max="3062" width="10.5703125" style="62" customWidth="1"/>
    <col min="3063" max="3063" width="4.85546875" style="62" customWidth="1"/>
    <col min="3064" max="3064" width="32.42578125" style="62" customWidth="1"/>
    <col min="3065" max="3065" width="9.85546875" style="62" customWidth="1"/>
    <col min="3066" max="3066" width="10.140625" style="62" customWidth="1"/>
    <col min="3067" max="3067" width="12.28515625" style="62" customWidth="1"/>
    <col min="3068" max="3068" width="15.42578125" style="62" customWidth="1"/>
    <col min="3069" max="3069" width="11.85546875" style="62" customWidth="1"/>
    <col min="3070" max="3070" width="13.28515625" style="62" customWidth="1"/>
    <col min="3071" max="3071" width="15.28515625" style="62" customWidth="1"/>
    <col min="3072" max="3072" width="11.85546875" style="62" customWidth="1"/>
    <col min="3073" max="3073" width="6.140625" style="62" customWidth="1"/>
    <col min="3074" max="3074" width="11.85546875" style="62" customWidth="1"/>
    <col min="3075" max="3075" width="9.42578125" style="62" customWidth="1"/>
    <col min="3076" max="3076" width="14.7109375" style="62" customWidth="1"/>
    <col min="3077" max="3077" width="11.5703125" style="62" customWidth="1"/>
    <col min="3078" max="3078" width="0.42578125" style="62" customWidth="1"/>
    <col min="3079" max="3079" width="10.5703125" style="62" bestFit="1" customWidth="1"/>
    <col min="3080" max="3080" width="12.28515625" style="62" customWidth="1"/>
    <col min="3081" max="3081" width="12.5703125" style="62" customWidth="1"/>
    <col min="3082" max="3082" width="10.5703125" style="62" customWidth="1"/>
    <col min="3083" max="3083" width="10.140625" style="62" customWidth="1"/>
    <col min="3084" max="3084" width="8.42578125" style="62" customWidth="1"/>
    <col min="3085" max="3085" width="18.85546875" style="62" customWidth="1"/>
    <col min="3086" max="3086" width="10.28515625" style="62" customWidth="1"/>
    <col min="3087" max="3087" width="11.42578125" style="62"/>
    <col min="3088" max="3088" width="12.140625" style="62" customWidth="1"/>
    <col min="3089" max="3089" width="10.5703125" style="62" customWidth="1"/>
    <col min="3090" max="3090" width="12.42578125" style="62" customWidth="1"/>
    <col min="3091" max="3091" width="15.140625" style="62" customWidth="1"/>
    <col min="3092" max="3092" width="13.5703125" style="62" customWidth="1"/>
    <col min="3093" max="3093" width="13.140625" style="62" customWidth="1"/>
    <col min="3094" max="3094" width="15.7109375" style="62" customWidth="1"/>
    <col min="3095" max="3095" width="37.5703125" style="62" customWidth="1"/>
    <col min="3096" max="3317" width="11.42578125" style="62"/>
    <col min="3318" max="3318" width="10.5703125" style="62" customWidth="1"/>
    <col min="3319" max="3319" width="4.85546875" style="62" customWidth="1"/>
    <col min="3320" max="3320" width="32.42578125" style="62" customWidth="1"/>
    <col min="3321" max="3321" width="9.85546875" style="62" customWidth="1"/>
    <col min="3322" max="3322" width="10.140625" style="62" customWidth="1"/>
    <col min="3323" max="3323" width="12.28515625" style="62" customWidth="1"/>
    <col min="3324" max="3324" width="15.42578125" style="62" customWidth="1"/>
    <col min="3325" max="3325" width="11.85546875" style="62" customWidth="1"/>
    <col min="3326" max="3326" width="13.28515625" style="62" customWidth="1"/>
    <col min="3327" max="3327" width="15.28515625" style="62" customWidth="1"/>
    <col min="3328" max="3328" width="11.85546875" style="62" customWidth="1"/>
    <col min="3329" max="3329" width="6.140625" style="62" customWidth="1"/>
    <col min="3330" max="3330" width="11.85546875" style="62" customWidth="1"/>
    <col min="3331" max="3331" width="9.42578125" style="62" customWidth="1"/>
    <col min="3332" max="3332" width="14.7109375" style="62" customWidth="1"/>
    <col min="3333" max="3333" width="11.5703125" style="62" customWidth="1"/>
    <col min="3334" max="3334" width="0.42578125" style="62" customWidth="1"/>
    <col min="3335" max="3335" width="10.5703125" style="62" bestFit="1" customWidth="1"/>
    <col min="3336" max="3336" width="12.28515625" style="62" customWidth="1"/>
    <col min="3337" max="3337" width="12.5703125" style="62" customWidth="1"/>
    <col min="3338" max="3338" width="10.5703125" style="62" customWidth="1"/>
    <col min="3339" max="3339" width="10.140625" style="62" customWidth="1"/>
    <col min="3340" max="3340" width="8.42578125" style="62" customWidth="1"/>
    <col min="3341" max="3341" width="18.85546875" style="62" customWidth="1"/>
    <col min="3342" max="3342" width="10.28515625" style="62" customWidth="1"/>
    <col min="3343" max="3343" width="11.42578125" style="62"/>
    <col min="3344" max="3344" width="12.140625" style="62" customWidth="1"/>
    <col min="3345" max="3345" width="10.5703125" style="62" customWidth="1"/>
    <col min="3346" max="3346" width="12.42578125" style="62" customWidth="1"/>
    <col min="3347" max="3347" width="15.140625" style="62" customWidth="1"/>
    <col min="3348" max="3348" width="13.5703125" style="62" customWidth="1"/>
    <col min="3349" max="3349" width="13.140625" style="62" customWidth="1"/>
    <col min="3350" max="3350" width="15.7109375" style="62" customWidth="1"/>
    <col min="3351" max="3351" width="37.5703125" style="62" customWidth="1"/>
    <col min="3352" max="3573" width="11.42578125" style="62"/>
    <col min="3574" max="3574" width="10.5703125" style="62" customWidth="1"/>
    <col min="3575" max="3575" width="4.85546875" style="62" customWidth="1"/>
    <col min="3576" max="3576" width="32.42578125" style="62" customWidth="1"/>
    <col min="3577" max="3577" width="9.85546875" style="62" customWidth="1"/>
    <col min="3578" max="3578" width="10.140625" style="62" customWidth="1"/>
    <col min="3579" max="3579" width="12.28515625" style="62" customWidth="1"/>
    <col min="3580" max="3580" width="15.42578125" style="62" customWidth="1"/>
    <col min="3581" max="3581" width="11.85546875" style="62" customWidth="1"/>
    <col min="3582" max="3582" width="13.28515625" style="62" customWidth="1"/>
    <col min="3583" max="3583" width="15.28515625" style="62" customWidth="1"/>
    <col min="3584" max="3584" width="11.85546875" style="62" customWidth="1"/>
    <col min="3585" max="3585" width="6.140625" style="62" customWidth="1"/>
    <col min="3586" max="3586" width="11.85546875" style="62" customWidth="1"/>
    <col min="3587" max="3587" width="9.42578125" style="62" customWidth="1"/>
    <col min="3588" max="3588" width="14.7109375" style="62" customWidth="1"/>
    <col min="3589" max="3589" width="11.5703125" style="62" customWidth="1"/>
    <col min="3590" max="3590" width="0.42578125" style="62" customWidth="1"/>
    <col min="3591" max="3591" width="10.5703125" style="62" bestFit="1" customWidth="1"/>
    <col min="3592" max="3592" width="12.28515625" style="62" customWidth="1"/>
    <col min="3593" max="3593" width="12.5703125" style="62" customWidth="1"/>
    <col min="3594" max="3594" width="10.5703125" style="62" customWidth="1"/>
    <col min="3595" max="3595" width="10.140625" style="62" customWidth="1"/>
    <col min="3596" max="3596" width="8.42578125" style="62" customWidth="1"/>
    <col min="3597" max="3597" width="18.85546875" style="62" customWidth="1"/>
    <col min="3598" max="3598" width="10.28515625" style="62" customWidth="1"/>
    <col min="3599" max="3599" width="11.42578125" style="62"/>
    <col min="3600" max="3600" width="12.140625" style="62" customWidth="1"/>
    <col min="3601" max="3601" width="10.5703125" style="62" customWidth="1"/>
    <col min="3602" max="3602" width="12.42578125" style="62" customWidth="1"/>
    <col min="3603" max="3603" width="15.140625" style="62" customWidth="1"/>
    <col min="3604" max="3604" width="13.5703125" style="62" customWidth="1"/>
    <col min="3605" max="3605" width="13.140625" style="62" customWidth="1"/>
    <col min="3606" max="3606" width="15.7109375" style="62" customWidth="1"/>
    <col min="3607" max="3607" width="37.5703125" style="62" customWidth="1"/>
    <col min="3608" max="3829" width="11.42578125" style="62"/>
    <col min="3830" max="3830" width="10.5703125" style="62" customWidth="1"/>
    <col min="3831" max="3831" width="4.85546875" style="62" customWidth="1"/>
    <col min="3832" max="3832" width="32.42578125" style="62" customWidth="1"/>
    <col min="3833" max="3833" width="9.85546875" style="62" customWidth="1"/>
    <col min="3834" max="3834" width="10.140625" style="62" customWidth="1"/>
    <col min="3835" max="3835" width="12.28515625" style="62" customWidth="1"/>
    <col min="3836" max="3836" width="15.42578125" style="62" customWidth="1"/>
    <col min="3837" max="3837" width="11.85546875" style="62" customWidth="1"/>
    <col min="3838" max="3838" width="13.28515625" style="62" customWidth="1"/>
    <col min="3839" max="3839" width="15.28515625" style="62" customWidth="1"/>
    <col min="3840" max="3840" width="11.85546875" style="62" customWidth="1"/>
    <col min="3841" max="3841" width="6.140625" style="62" customWidth="1"/>
    <col min="3842" max="3842" width="11.85546875" style="62" customWidth="1"/>
    <col min="3843" max="3843" width="9.42578125" style="62" customWidth="1"/>
    <col min="3844" max="3844" width="14.7109375" style="62" customWidth="1"/>
    <col min="3845" max="3845" width="11.5703125" style="62" customWidth="1"/>
    <col min="3846" max="3846" width="0.42578125" style="62" customWidth="1"/>
    <col min="3847" max="3847" width="10.5703125" style="62" bestFit="1" customWidth="1"/>
    <col min="3848" max="3848" width="12.28515625" style="62" customWidth="1"/>
    <col min="3849" max="3849" width="12.5703125" style="62" customWidth="1"/>
    <col min="3850" max="3850" width="10.5703125" style="62" customWidth="1"/>
    <col min="3851" max="3851" width="10.140625" style="62" customWidth="1"/>
    <col min="3852" max="3852" width="8.42578125" style="62" customWidth="1"/>
    <col min="3853" max="3853" width="18.85546875" style="62" customWidth="1"/>
    <col min="3854" max="3854" width="10.28515625" style="62" customWidth="1"/>
    <col min="3855" max="3855" width="11.42578125" style="62"/>
    <col min="3856" max="3856" width="12.140625" style="62" customWidth="1"/>
    <col min="3857" max="3857" width="10.5703125" style="62" customWidth="1"/>
    <col min="3858" max="3858" width="12.42578125" style="62" customWidth="1"/>
    <col min="3859" max="3859" width="15.140625" style="62" customWidth="1"/>
    <col min="3860" max="3860" width="13.5703125" style="62" customWidth="1"/>
    <col min="3861" max="3861" width="13.140625" style="62" customWidth="1"/>
    <col min="3862" max="3862" width="15.7109375" style="62" customWidth="1"/>
    <col min="3863" max="3863" width="37.5703125" style="62" customWidth="1"/>
    <col min="3864" max="4085" width="11.42578125" style="62"/>
    <col min="4086" max="4086" width="10.5703125" style="62" customWidth="1"/>
    <col min="4087" max="4087" width="4.85546875" style="62" customWidth="1"/>
    <col min="4088" max="4088" width="32.42578125" style="62" customWidth="1"/>
    <col min="4089" max="4089" width="9.85546875" style="62" customWidth="1"/>
    <col min="4090" max="4090" width="10.140625" style="62" customWidth="1"/>
    <col min="4091" max="4091" width="12.28515625" style="62" customWidth="1"/>
    <col min="4092" max="4092" width="15.42578125" style="62" customWidth="1"/>
    <col min="4093" max="4093" width="11.85546875" style="62" customWidth="1"/>
    <col min="4094" max="4094" width="13.28515625" style="62" customWidth="1"/>
    <col min="4095" max="4095" width="15.28515625" style="62" customWidth="1"/>
    <col min="4096" max="4096" width="11.85546875" style="62" customWidth="1"/>
    <col min="4097" max="4097" width="6.140625" style="62" customWidth="1"/>
    <col min="4098" max="4098" width="11.85546875" style="62" customWidth="1"/>
    <col min="4099" max="4099" width="9.42578125" style="62" customWidth="1"/>
    <col min="4100" max="4100" width="14.7109375" style="62" customWidth="1"/>
    <col min="4101" max="4101" width="11.5703125" style="62" customWidth="1"/>
    <col min="4102" max="4102" width="0.42578125" style="62" customWidth="1"/>
    <col min="4103" max="4103" width="10.5703125" style="62" bestFit="1" customWidth="1"/>
    <col min="4104" max="4104" width="12.28515625" style="62" customWidth="1"/>
    <col min="4105" max="4105" width="12.5703125" style="62" customWidth="1"/>
    <col min="4106" max="4106" width="10.5703125" style="62" customWidth="1"/>
    <col min="4107" max="4107" width="10.140625" style="62" customWidth="1"/>
    <col min="4108" max="4108" width="8.42578125" style="62" customWidth="1"/>
    <col min="4109" max="4109" width="18.85546875" style="62" customWidth="1"/>
    <col min="4110" max="4110" width="10.28515625" style="62" customWidth="1"/>
    <col min="4111" max="4111" width="11.42578125" style="62"/>
    <col min="4112" max="4112" width="12.140625" style="62" customWidth="1"/>
    <col min="4113" max="4113" width="10.5703125" style="62" customWidth="1"/>
    <col min="4114" max="4114" width="12.42578125" style="62" customWidth="1"/>
    <col min="4115" max="4115" width="15.140625" style="62" customWidth="1"/>
    <col min="4116" max="4116" width="13.5703125" style="62" customWidth="1"/>
    <col min="4117" max="4117" width="13.140625" style="62" customWidth="1"/>
    <col min="4118" max="4118" width="15.7109375" style="62" customWidth="1"/>
    <col min="4119" max="4119" width="37.5703125" style="62" customWidth="1"/>
    <col min="4120" max="4341" width="11.42578125" style="62"/>
    <col min="4342" max="4342" width="10.5703125" style="62" customWidth="1"/>
    <col min="4343" max="4343" width="4.85546875" style="62" customWidth="1"/>
    <col min="4344" max="4344" width="32.42578125" style="62" customWidth="1"/>
    <col min="4345" max="4345" width="9.85546875" style="62" customWidth="1"/>
    <col min="4346" max="4346" width="10.140625" style="62" customWidth="1"/>
    <col min="4347" max="4347" width="12.28515625" style="62" customWidth="1"/>
    <col min="4348" max="4348" width="15.42578125" style="62" customWidth="1"/>
    <col min="4349" max="4349" width="11.85546875" style="62" customWidth="1"/>
    <col min="4350" max="4350" width="13.28515625" style="62" customWidth="1"/>
    <col min="4351" max="4351" width="15.28515625" style="62" customWidth="1"/>
    <col min="4352" max="4352" width="11.85546875" style="62" customWidth="1"/>
    <col min="4353" max="4353" width="6.140625" style="62" customWidth="1"/>
    <col min="4354" max="4354" width="11.85546875" style="62" customWidth="1"/>
    <col min="4355" max="4355" width="9.42578125" style="62" customWidth="1"/>
    <col min="4356" max="4356" width="14.7109375" style="62" customWidth="1"/>
    <col min="4357" max="4357" width="11.5703125" style="62" customWidth="1"/>
    <col min="4358" max="4358" width="0.42578125" style="62" customWidth="1"/>
    <col min="4359" max="4359" width="10.5703125" style="62" bestFit="1" customWidth="1"/>
    <col min="4360" max="4360" width="12.28515625" style="62" customWidth="1"/>
    <col min="4361" max="4361" width="12.5703125" style="62" customWidth="1"/>
    <col min="4362" max="4362" width="10.5703125" style="62" customWidth="1"/>
    <col min="4363" max="4363" width="10.140625" style="62" customWidth="1"/>
    <col min="4364" max="4364" width="8.42578125" style="62" customWidth="1"/>
    <col min="4365" max="4365" width="18.85546875" style="62" customWidth="1"/>
    <col min="4366" max="4366" width="10.28515625" style="62" customWidth="1"/>
    <col min="4367" max="4367" width="11.42578125" style="62"/>
    <col min="4368" max="4368" width="12.140625" style="62" customWidth="1"/>
    <col min="4369" max="4369" width="10.5703125" style="62" customWidth="1"/>
    <col min="4370" max="4370" width="12.42578125" style="62" customWidth="1"/>
    <col min="4371" max="4371" width="15.140625" style="62" customWidth="1"/>
    <col min="4372" max="4372" width="13.5703125" style="62" customWidth="1"/>
    <col min="4373" max="4373" width="13.140625" style="62" customWidth="1"/>
    <col min="4374" max="4374" width="15.7109375" style="62" customWidth="1"/>
    <col min="4375" max="4375" width="37.5703125" style="62" customWidth="1"/>
    <col min="4376" max="4597" width="11.42578125" style="62"/>
    <col min="4598" max="4598" width="10.5703125" style="62" customWidth="1"/>
    <col min="4599" max="4599" width="4.85546875" style="62" customWidth="1"/>
    <col min="4600" max="4600" width="32.42578125" style="62" customWidth="1"/>
    <col min="4601" max="4601" width="9.85546875" style="62" customWidth="1"/>
    <col min="4602" max="4602" width="10.140625" style="62" customWidth="1"/>
    <col min="4603" max="4603" width="12.28515625" style="62" customWidth="1"/>
    <col min="4604" max="4604" width="15.42578125" style="62" customWidth="1"/>
    <col min="4605" max="4605" width="11.85546875" style="62" customWidth="1"/>
    <col min="4606" max="4606" width="13.28515625" style="62" customWidth="1"/>
    <col min="4607" max="4607" width="15.28515625" style="62" customWidth="1"/>
    <col min="4608" max="4608" width="11.85546875" style="62" customWidth="1"/>
    <col min="4609" max="4609" width="6.140625" style="62" customWidth="1"/>
    <col min="4610" max="4610" width="11.85546875" style="62" customWidth="1"/>
    <col min="4611" max="4611" width="9.42578125" style="62" customWidth="1"/>
    <col min="4612" max="4612" width="14.7109375" style="62" customWidth="1"/>
    <col min="4613" max="4613" width="11.5703125" style="62" customWidth="1"/>
    <col min="4614" max="4614" width="0.42578125" style="62" customWidth="1"/>
    <col min="4615" max="4615" width="10.5703125" style="62" bestFit="1" customWidth="1"/>
    <col min="4616" max="4616" width="12.28515625" style="62" customWidth="1"/>
    <col min="4617" max="4617" width="12.5703125" style="62" customWidth="1"/>
    <col min="4618" max="4618" width="10.5703125" style="62" customWidth="1"/>
    <col min="4619" max="4619" width="10.140625" style="62" customWidth="1"/>
    <col min="4620" max="4620" width="8.42578125" style="62" customWidth="1"/>
    <col min="4621" max="4621" width="18.85546875" style="62" customWidth="1"/>
    <col min="4622" max="4622" width="10.28515625" style="62" customWidth="1"/>
    <col min="4623" max="4623" width="11.42578125" style="62"/>
    <col min="4624" max="4624" width="12.140625" style="62" customWidth="1"/>
    <col min="4625" max="4625" width="10.5703125" style="62" customWidth="1"/>
    <col min="4626" max="4626" width="12.42578125" style="62" customWidth="1"/>
    <col min="4627" max="4627" width="15.140625" style="62" customWidth="1"/>
    <col min="4628" max="4628" width="13.5703125" style="62" customWidth="1"/>
    <col min="4629" max="4629" width="13.140625" style="62" customWidth="1"/>
    <col min="4630" max="4630" width="15.7109375" style="62" customWidth="1"/>
    <col min="4631" max="4631" width="37.5703125" style="62" customWidth="1"/>
    <col min="4632" max="4853" width="11.42578125" style="62"/>
    <col min="4854" max="4854" width="10.5703125" style="62" customWidth="1"/>
    <col min="4855" max="4855" width="4.85546875" style="62" customWidth="1"/>
    <col min="4856" max="4856" width="32.42578125" style="62" customWidth="1"/>
    <col min="4857" max="4857" width="9.85546875" style="62" customWidth="1"/>
    <col min="4858" max="4858" width="10.140625" style="62" customWidth="1"/>
    <col min="4859" max="4859" width="12.28515625" style="62" customWidth="1"/>
    <col min="4860" max="4860" width="15.42578125" style="62" customWidth="1"/>
    <col min="4861" max="4861" width="11.85546875" style="62" customWidth="1"/>
    <col min="4862" max="4862" width="13.28515625" style="62" customWidth="1"/>
    <col min="4863" max="4863" width="15.28515625" style="62" customWidth="1"/>
    <col min="4864" max="4864" width="11.85546875" style="62" customWidth="1"/>
    <col min="4865" max="4865" width="6.140625" style="62" customWidth="1"/>
    <col min="4866" max="4866" width="11.85546875" style="62" customWidth="1"/>
    <col min="4867" max="4867" width="9.42578125" style="62" customWidth="1"/>
    <col min="4868" max="4868" width="14.7109375" style="62" customWidth="1"/>
    <col min="4869" max="4869" width="11.5703125" style="62" customWidth="1"/>
    <col min="4870" max="4870" width="0.42578125" style="62" customWidth="1"/>
    <col min="4871" max="4871" width="10.5703125" style="62" bestFit="1" customWidth="1"/>
    <col min="4872" max="4872" width="12.28515625" style="62" customWidth="1"/>
    <col min="4873" max="4873" width="12.5703125" style="62" customWidth="1"/>
    <col min="4874" max="4874" width="10.5703125" style="62" customWidth="1"/>
    <col min="4875" max="4875" width="10.140625" style="62" customWidth="1"/>
    <col min="4876" max="4876" width="8.42578125" style="62" customWidth="1"/>
    <col min="4877" max="4877" width="18.85546875" style="62" customWidth="1"/>
    <col min="4878" max="4878" width="10.28515625" style="62" customWidth="1"/>
    <col min="4879" max="4879" width="11.42578125" style="62"/>
    <col min="4880" max="4880" width="12.140625" style="62" customWidth="1"/>
    <col min="4881" max="4881" width="10.5703125" style="62" customWidth="1"/>
    <col min="4882" max="4882" width="12.42578125" style="62" customWidth="1"/>
    <col min="4883" max="4883" width="15.140625" style="62" customWidth="1"/>
    <col min="4884" max="4884" width="13.5703125" style="62" customWidth="1"/>
    <col min="4885" max="4885" width="13.140625" style="62" customWidth="1"/>
    <col min="4886" max="4886" width="15.7109375" style="62" customWidth="1"/>
    <col min="4887" max="4887" width="37.5703125" style="62" customWidth="1"/>
    <col min="4888" max="5109" width="11.42578125" style="62"/>
    <col min="5110" max="5110" width="10.5703125" style="62" customWidth="1"/>
    <col min="5111" max="5111" width="4.85546875" style="62" customWidth="1"/>
    <col min="5112" max="5112" width="32.42578125" style="62" customWidth="1"/>
    <col min="5113" max="5113" width="9.85546875" style="62" customWidth="1"/>
    <col min="5114" max="5114" width="10.140625" style="62" customWidth="1"/>
    <col min="5115" max="5115" width="12.28515625" style="62" customWidth="1"/>
    <col min="5116" max="5116" width="15.42578125" style="62" customWidth="1"/>
    <col min="5117" max="5117" width="11.85546875" style="62" customWidth="1"/>
    <col min="5118" max="5118" width="13.28515625" style="62" customWidth="1"/>
    <col min="5119" max="5119" width="15.28515625" style="62" customWidth="1"/>
    <col min="5120" max="5120" width="11.85546875" style="62" customWidth="1"/>
    <col min="5121" max="5121" width="6.140625" style="62" customWidth="1"/>
    <col min="5122" max="5122" width="11.85546875" style="62" customWidth="1"/>
    <col min="5123" max="5123" width="9.42578125" style="62" customWidth="1"/>
    <col min="5124" max="5124" width="14.7109375" style="62" customWidth="1"/>
    <col min="5125" max="5125" width="11.5703125" style="62" customWidth="1"/>
    <col min="5126" max="5126" width="0.42578125" style="62" customWidth="1"/>
    <col min="5127" max="5127" width="10.5703125" style="62" bestFit="1" customWidth="1"/>
    <col min="5128" max="5128" width="12.28515625" style="62" customWidth="1"/>
    <col min="5129" max="5129" width="12.5703125" style="62" customWidth="1"/>
    <col min="5130" max="5130" width="10.5703125" style="62" customWidth="1"/>
    <col min="5131" max="5131" width="10.140625" style="62" customWidth="1"/>
    <col min="5132" max="5132" width="8.42578125" style="62" customWidth="1"/>
    <col min="5133" max="5133" width="18.85546875" style="62" customWidth="1"/>
    <col min="5134" max="5134" width="10.28515625" style="62" customWidth="1"/>
    <col min="5135" max="5135" width="11.42578125" style="62"/>
    <col min="5136" max="5136" width="12.140625" style="62" customWidth="1"/>
    <col min="5137" max="5137" width="10.5703125" style="62" customWidth="1"/>
    <col min="5138" max="5138" width="12.42578125" style="62" customWidth="1"/>
    <col min="5139" max="5139" width="15.140625" style="62" customWidth="1"/>
    <col min="5140" max="5140" width="13.5703125" style="62" customWidth="1"/>
    <col min="5141" max="5141" width="13.140625" style="62" customWidth="1"/>
    <col min="5142" max="5142" width="15.7109375" style="62" customWidth="1"/>
    <col min="5143" max="5143" width="37.5703125" style="62" customWidth="1"/>
    <col min="5144" max="5365" width="11.42578125" style="62"/>
    <col min="5366" max="5366" width="10.5703125" style="62" customWidth="1"/>
    <col min="5367" max="5367" width="4.85546875" style="62" customWidth="1"/>
    <col min="5368" max="5368" width="32.42578125" style="62" customWidth="1"/>
    <col min="5369" max="5369" width="9.85546875" style="62" customWidth="1"/>
    <col min="5370" max="5370" width="10.140625" style="62" customWidth="1"/>
    <col min="5371" max="5371" width="12.28515625" style="62" customWidth="1"/>
    <col min="5372" max="5372" width="15.42578125" style="62" customWidth="1"/>
    <col min="5373" max="5373" width="11.85546875" style="62" customWidth="1"/>
    <col min="5374" max="5374" width="13.28515625" style="62" customWidth="1"/>
    <col min="5375" max="5375" width="15.28515625" style="62" customWidth="1"/>
    <col min="5376" max="5376" width="11.85546875" style="62" customWidth="1"/>
    <col min="5377" max="5377" width="6.140625" style="62" customWidth="1"/>
    <col min="5378" max="5378" width="11.85546875" style="62" customWidth="1"/>
    <col min="5379" max="5379" width="9.42578125" style="62" customWidth="1"/>
    <col min="5380" max="5380" width="14.7109375" style="62" customWidth="1"/>
    <col min="5381" max="5381" width="11.5703125" style="62" customWidth="1"/>
    <col min="5382" max="5382" width="0.42578125" style="62" customWidth="1"/>
    <col min="5383" max="5383" width="10.5703125" style="62" bestFit="1" customWidth="1"/>
    <col min="5384" max="5384" width="12.28515625" style="62" customWidth="1"/>
    <col min="5385" max="5385" width="12.5703125" style="62" customWidth="1"/>
    <col min="5386" max="5386" width="10.5703125" style="62" customWidth="1"/>
    <col min="5387" max="5387" width="10.140625" style="62" customWidth="1"/>
    <col min="5388" max="5388" width="8.42578125" style="62" customWidth="1"/>
    <col min="5389" max="5389" width="18.85546875" style="62" customWidth="1"/>
    <col min="5390" max="5390" width="10.28515625" style="62" customWidth="1"/>
    <col min="5391" max="5391" width="11.42578125" style="62"/>
    <col min="5392" max="5392" width="12.140625" style="62" customWidth="1"/>
    <col min="5393" max="5393" width="10.5703125" style="62" customWidth="1"/>
    <col min="5394" max="5394" width="12.42578125" style="62" customWidth="1"/>
    <col min="5395" max="5395" width="15.140625" style="62" customWidth="1"/>
    <col min="5396" max="5396" width="13.5703125" style="62" customWidth="1"/>
    <col min="5397" max="5397" width="13.140625" style="62" customWidth="1"/>
    <col min="5398" max="5398" width="15.7109375" style="62" customWidth="1"/>
    <col min="5399" max="5399" width="37.5703125" style="62" customWidth="1"/>
    <col min="5400" max="5621" width="11.42578125" style="62"/>
    <col min="5622" max="5622" width="10.5703125" style="62" customWidth="1"/>
    <col min="5623" max="5623" width="4.85546875" style="62" customWidth="1"/>
    <col min="5624" max="5624" width="32.42578125" style="62" customWidth="1"/>
    <col min="5625" max="5625" width="9.85546875" style="62" customWidth="1"/>
    <col min="5626" max="5626" width="10.140625" style="62" customWidth="1"/>
    <col min="5627" max="5627" width="12.28515625" style="62" customWidth="1"/>
    <col min="5628" max="5628" width="15.42578125" style="62" customWidth="1"/>
    <col min="5629" max="5629" width="11.85546875" style="62" customWidth="1"/>
    <col min="5630" max="5630" width="13.28515625" style="62" customWidth="1"/>
    <col min="5631" max="5631" width="15.28515625" style="62" customWidth="1"/>
    <col min="5632" max="5632" width="11.85546875" style="62" customWidth="1"/>
    <col min="5633" max="5633" width="6.140625" style="62" customWidth="1"/>
    <col min="5634" max="5634" width="11.85546875" style="62" customWidth="1"/>
    <col min="5635" max="5635" width="9.42578125" style="62" customWidth="1"/>
    <col min="5636" max="5636" width="14.7109375" style="62" customWidth="1"/>
    <col min="5637" max="5637" width="11.5703125" style="62" customWidth="1"/>
    <col min="5638" max="5638" width="0.42578125" style="62" customWidth="1"/>
    <col min="5639" max="5639" width="10.5703125" style="62" bestFit="1" customWidth="1"/>
    <col min="5640" max="5640" width="12.28515625" style="62" customWidth="1"/>
    <col min="5641" max="5641" width="12.5703125" style="62" customWidth="1"/>
    <col min="5642" max="5642" width="10.5703125" style="62" customWidth="1"/>
    <col min="5643" max="5643" width="10.140625" style="62" customWidth="1"/>
    <col min="5644" max="5644" width="8.42578125" style="62" customWidth="1"/>
    <col min="5645" max="5645" width="18.85546875" style="62" customWidth="1"/>
    <col min="5646" max="5646" width="10.28515625" style="62" customWidth="1"/>
    <col min="5647" max="5647" width="11.42578125" style="62"/>
    <col min="5648" max="5648" width="12.140625" style="62" customWidth="1"/>
    <col min="5649" max="5649" width="10.5703125" style="62" customWidth="1"/>
    <col min="5650" max="5650" width="12.42578125" style="62" customWidth="1"/>
    <col min="5651" max="5651" width="15.140625" style="62" customWidth="1"/>
    <col min="5652" max="5652" width="13.5703125" style="62" customWidth="1"/>
    <col min="5653" max="5653" width="13.140625" style="62" customWidth="1"/>
    <col min="5654" max="5654" width="15.7109375" style="62" customWidth="1"/>
    <col min="5655" max="5655" width="37.5703125" style="62" customWidth="1"/>
    <col min="5656" max="5877" width="11.42578125" style="62"/>
    <col min="5878" max="5878" width="10.5703125" style="62" customWidth="1"/>
    <col min="5879" max="5879" width="4.85546875" style="62" customWidth="1"/>
    <col min="5880" max="5880" width="32.42578125" style="62" customWidth="1"/>
    <col min="5881" max="5881" width="9.85546875" style="62" customWidth="1"/>
    <col min="5882" max="5882" width="10.140625" style="62" customWidth="1"/>
    <col min="5883" max="5883" width="12.28515625" style="62" customWidth="1"/>
    <col min="5884" max="5884" width="15.42578125" style="62" customWidth="1"/>
    <col min="5885" max="5885" width="11.85546875" style="62" customWidth="1"/>
    <col min="5886" max="5886" width="13.28515625" style="62" customWidth="1"/>
    <col min="5887" max="5887" width="15.28515625" style="62" customWidth="1"/>
    <col min="5888" max="5888" width="11.85546875" style="62" customWidth="1"/>
    <col min="5889" max="5889" width="6.140625" style="62" customWidth="1"/>
    <col min="5890" max="5890" width="11.85546875" style="62" customWidth="1"/>
    <col min="5891" max="5891" width="9.42578125" style="62" customWidth="1"/>
    <col min="5892" max="5892" width="14.7109375" style="62" customWidth="1"/>
    <col min="5893" max="5893" width="11.5703125" style="62" customWidth="1"/>
    <col min="5894" max="5894" width="0.42578125" style="62" customWidth="1"/>
    <col min="5895" max="5895" width="10.5703125" style="62" bestFit="1" customWidth="1"/>
    <col min="5896" max="5896" width="12.28515625" style="62" customWidth="1"/>
    <col min="5897" max="5897" width="12.5703125" style="62" customWidth="1"/>
    <col min="5898" max="5898" width="10.5703125" style="62" customWidth="1"/>
    <col min="5899" max="5899" width="10.140625" style="62" customWidth="1"/>
    <col min="5900" max="5900" width="8.42578125" style="62" customWidth="1"/>
    <col min="5901" max="5901" width="18.85546875" style="62" customWidth="1"/>
    <col min="5902" max="5902" width="10.28515625" style="62" customWidth="1"/>
    <col min="5903" max="5903" width="11.42578125" style="62"/>
    <col min="5904" max="5904" width="12.140625" style="62" customWidth="1"/>
    <col min="5905" max="5905" width="10.5703125" style="62" customWidth="1"/>
    <col min="5906" max="5906" width="12.42578125" style="62" customWidth="1"/>
    <col min="5907" max="5907" width="15.140625" style="62" customWidth="1"/>
    <col min="5908" max="5908" width="13.5703125" style="62" customWidth="1"/>
    <col min="5909" max="5909" width="13.140625" style="62" customWidth="1"/>
    <col min="5910" max="5910" width="15.7109375" style="62" customWidth="1"/>
    <col min="5911" max="5911" width="37.5703125" style="62" customWidth="1"/>
    <col min="5912" max="6133" width="11.42578125" style="62"/>
    <col min="6134" max="6134" width="10.5703125" style="62" customWidth="1"/>
    <col min="6135" max="6135" width="4.85546875" style="62" customWidth="1"/>
    <col min="6136" max="6136" width="32.42578125" style="62" customWidth="1"/>
    <col min="6137" max="6137" width="9.85546875" style="62" customWidth="1"/>
    <col min="6138" max="6138" width="10.140625" style="62" customWidth="1"/>
    <col min="6139" max="6139" width="12.28515625" style="62" customWidth="1"/>
    <col min="6140" max="6140" width="15.42578125" style="62" customWidth="1"/>
    <col min="6141" max="6141" width="11.85546875" style="62" customWidth="1"/>
    <col min="6142" max="6142" width="13.28515625" style="62" customWidth="1"/>
    <col min="6143" max="6143" width="15.28515625" style="62" customWidth="1"/>
    <col min="6144" max="6144" width="11.85546875" style="62" customWidth="1"/>
    <col min="6145" max="6145" width="6.140625" style="62" customWidth="1"/>
    <col min="6146" max="6146" width="11.85546875" style="62" customWidth="1"/>
    <col min="6147" max="6147" width="9.42578125" style="62" customWidth="1"/>
    <col min="6148" max="6148" width="14.7109375" style="62" customWidth="1"/>
    <col min="6149" max="6149" width="11.5703125" style="62" customWidth="1"/>
    <col min="6150" max="6150" width="0.42578125" style="62" customWidth="1"/>
    <col min="6151" max="6151" width="10.5703125" style="62" bestFit="1" customWidth="1"/>
    <col min="6152" max="6152" width="12.28515625" style="62" customWidth="1"/>
    <col min="6153" max="6153" width="12.5703125" style="62" customWidth="1"/>
    <col min="6154" max="6154" width="10.5703125" style="62" customWidth="1"/>
    <col min="6155" max="6155" width="10.140625" style="62" customWidth="1"/>
    <col min="6156" max="6156" width="8.42578125" style="62" customWidth="1"/>
    <col min="6157" max="6157" width="18.85546875" style="62" customWidth="1"/>
    <col min="6158" max="6158" width="10.28515625" style="62" customWidth="1"/>
    <col min="6159" max="6159" width="11.42578125" style="62"/>
    <col min="6160" max="6160" width="12.140625" style="62" customWidth="1"/>
    <col min="6161" max="6161" width="10.5703125" style="62" customWidth="1"/>
    <col min="6162" max="6162" width="12.42578125" style="62" customWidth="1"/>
    <col min="6163" max="6163" width="15.140625" style="62" customWidth="1"/>
    <col min="6164" max="6164" width="13.5703125" style="62" customWidth="1"/>
    <col min="6165" max="6165" width="13.140625" style="62" customWidth="1"/>
    <col min="6166" max="6166" width="15.7109375" style="62" customWidth="1"/>
    <col min="6167" max="6167" width="37.5703125" style="62" customWidth="1"/>
    <col min="6168" max="6389" width="11.42578125" style="62"/>
    <col min="6390" max="6390" width="10.5703125" style="62" customWidth="1"/>
    <col min="6391" max="6391" width="4.85546875" style="62" customWidth="1"/>
    <col min="6392" max="6392" width="32.42578125" style="62" customWidth="1"/>
    <col min="6393" max="6393" width="9.85546875" style="62" customWidth="1"/>
    <col min="6394" max="6394" width="10.140625" style="62" customWidth="1"/>
    <col min="6395" max="6395" width="12.28515625" style="62" customWidth="1"/>
    <col min="6396" max="6396" width="15.42578125" style="62" customWidth="1"/>
    <col min="6397" max="6397" width="11.85546875" style="62" customWidth="1"/>
    <col min="6398" max="6398" width="13.28515625" style="62" customWidth="1"/>
    <col min="6399" max="6399" width="15.28515625" style="62" customWidth="1"/>
    <col min="6400" max="6400" width="11.85546875" style="62" customWidth="1"/>
    <col min="6401" max="6401" width="6.140625" style="62" customWidth="1"/>
    <col min="6402" max="6402" width="11.85546875" style="62" customWidth="1"/>
    <col min="6403" max="6403" width="9.42578125" style="62" customWidth="1"/>
    <col min="6404" max="6404" width="14.7109375" style="62" customWidth="1"/>
    <col min="6405" max="6405" width="11.5703125" style="62" customWidth="1"/>
    <col min="6406" max="6406" width="0.42578125" style="62" customWidth="1"/>
    <col min="6407" max="6407" width="10.5703125" style="62" bestFit="1" customWidth="1"/>
    <col min="6408" max="6408" width="12.28515625" style="62" customWidth="1"/>
    <col min="6409" max="6409" width="12.5703125" style="62" customWidth="1"/>
    <col min="6410" max="6410" width="10.5703125" style="62" customWidth="1"/>
    <col min="6411" max="6411" width="10.140625" style="62" customWidth="1"/>
    <col min="6412" max="6412" width="8.42578125" style="62" customWidth="1"/>
    <col min="6413" max="6413" width="18.85546875" style="62" customWidth="1"/>
    <col min="6414" max="6414" width="10.28515625" style="62" customWidth="1"/>
    <col min="6415" max="6415" width="11.42578125" style="62"/>
    <col min="6416" max="6416" width="12.140625" style="62" customWidth="1"/>
    <col min="6417" max="6417" width="10.5703125" style="62" customWidth="1"/>
    <col min="6418" max="6418" width="12.42578125" style="62" customWidth="1"/>
    <col min="6419" max="6419" width="15.140625" style="62" customWidth="1"/>
    <col min="6420" max="6420" width="13.5703125" style="62" customWidth="1"/>
    <col min="6421" max="6421" width="13.140625" style="62" customWidth="1"/>
    <col min="6422" max="6422" width="15.7109375" style="62" customWidth="1"/>
    <col min="6423" max="6423" width="37.5703125" style="62" customWidth="1"/>
    <col min="6424" max="6645" width="11.42578125" style="62"/>
    <col min="6646" max="6646" width="10.5703125" style="62" customWidth="1"/>
    <col min="6647" max="6647" width="4.85546875" style="62" customWidth="1"/>
    <col min="6648" max="6648" width="32.42578125" style="62" customWidth="1"/>
    <col min="6649" max="6649" width="9.85546875" style="62" customWidth="1"/>
    <col min="6650" max="6650" width="10.140625" style="62" customWidth="1"/>
    <col min="6651" max="6651" width="12.28515625" style="62" customWidth="1"/>
    <col min="6652" max="6652" width="15.42578125" style="62" customWidth="1"/>
    <col min="6653" max="6653" width="11.85546875" style="62" customWidth="1"/>
    <col min="6654" max="6654" width="13.28515625" style="62" customWidth="1"/>
    <col min="6655" max="6655" width="15.28515625" style="62" customWidth="1"/>
    <col min="6656" max="6656" width="11.85546875" style="62" customWidth="1"/>
    <col min="6657" max="6657" width="6.140625" style="62" customWidth="1"/>
    <col min="6658" max="6658" width="11.85546875" style="62" customWidth="1"/>
    <col min="6659" max="6659" width="9.42578125" style="62" customWidth="1"/>
    <col min="6660" max="6660" width="14.7109375" style="62" customWidth="1"/>
    <col min="6661" max="6661" width="11.5703125" style="62" customWidth="1"/>
    <col min="6662" max="6662" width="0.42578125" style="62" customWidth="1"/>
    <col min="6663" max="6663" width="10.5703125" style="62" bestFit="1" customWidth="1"/>
    <col min="6664" max="6664" width="12.28515625" style="62" customWidth="1"/>
    <col min="6665" max="6665" width="12.5703125" style="62" customWidth="1"/>
    <col min="6666" max="6666" width="10.5703125" style="62" customWidth="1"/>
    <col min="6667" max="6667" width="10.140625" style="62" customWidth="1"/>
    <col min="6668" max="6668" width="8.42578125" style="62" customWidth="1"/>
    <col min="6669" max="6669" width="18.85546875" style="62" customWidth="1"/>
    <col min="6670" max="6670" width="10.28515625" style="62" customWidth="1"/>
    <col min="6671" max="6671" width="11.42578125" style="62"/>
    <col min="6672" max="6672" width="12.140625" style="62" customWidth="1"/>
    <col min="6673" max="6673" width="10.5703125" style="62" customWidth="1"/>
    <col min="6674" max="6674" width="12.42578125" style="62" customWidth="1"/>
    <col min="6675" max="6675" width="15.140625" style="62" customWidth="1"/>
    <col min="6676" max="6676" width="13.5703125" style="62" customWidth="1"/>
    <col min="6677" max="6677" width="13.140625" style="62" customWidth="1"/>
    <col min="6678" max="6678" width="15.7109375" style="62" customWidth="1"/>
    <col min="6679" max="6679" width="37.5703125" style="62" customWidth="1"/>
    <col min="6680" max="6901" width="11.42578125" style="62"/>
    <col min="6902" max="6902" width="10.5703125" style="62" customWidth="1"/>
    <col min="6903" max="6903" width="4.85546875" style="62" customWidth="1"/>
    <col min="6904" max="6904" width="32.42578125" style="62" customWidth="1"/>
    <col min="6905" max="6905" width="9.85546875" style="62" customWidth="1"/>
    <col min="6906" max="6906" width="10.140625" style="62" customWidth="1"/>
    <col min="6907" max="6907" width="12.28515625" style="62" customWidth="1"/>
    <col min="6908" max="6908" width="15.42578125" style="62" customWidth="1"/>
    <col min="6909" max="6909" width="11.85546875" style="62" customWidth="1"/>
    <col min="6910" max="6910" width="13.28515625" style="62" customWidth="1"/>
    <col min="6911" max="6911" width="15.28515625" style="62" customWidth="1"/>
    <col min="6912" max="6912" width="11.85546875" style="62" customWidth="1"/>
    <col min="6913" max="6913" width="6.140625" style="62" customWidth="1"/>
    <col min="6914" max="6914" width="11.85546875" style="62" customWidth="1"/>
    <col min="6915" max="6915" width="9.42578125" style="62" customWidth="1"/>
    <col min="6916" max="6916" width="14.7109375" style="62" customWidth="1"/>
    <col min="6917" max="6917" width="11.5703125" style="62" customWidth="1"/>
    <col min="6918" max="6918" width="0.42578125" style="62" customWidth="1"/>
    <col min="6919" max="6919" width="10.5703125" style="62" bestFit="1" customWidth="1"/>
    <col min="6920" max="6920" width="12.28515625" style="62" customWidth="1"/>
    <col min="6921" max="6921" width="12.5703125" style="62" customWidth="1"/>
    <col min="6922" max="6922" width="10.5703125" style="62" customWidth="1"/>
    <col min="6923" max="6923" width="10.140625" style="62" customWidth="1"/>
    <col min="6924" max="6924" width="8.42578125" style="62" customWidth="1"/>
    <col min="6925" max="6925" width="18.85546875" style="62" customWidth="1"/>
    <col min="6926" max="6926" width="10.28515625" style="62" customWidth="1"/>
    <col min="6927" max="6927" width="11.42578125" style="62"/>
    <col min="6928" max="6928" width="12.140625" style="62" customWidth="1"/>
    <col min="6929" max="6929" width="10.5703125" style="62" customWidth="1"/>
    <col min="6930" max="6930" width="12.42578125" style="62" customWidth="1"/>
    <col min="6931" max="6931" width="15.140625" style="62" customWidth="1"/>
    <col min="6932" max="6932" width="13.5703125" style="62" customWidth="1"/>
    <col min="6933" max="6933" width="13.140625" style="62" customWidth="1"/>
    <col min="6934" max="6934" width="15.7109375" style="62" customWidth="1"/>
    <col min="6935" max="6935" width="37.5703125" style="62" customWidth="1"/>
    <col min="6936" max="7157" width="11.42578125" style="62"/>
    <col min="7158" max="7158" width="10.5703125" style="62" customWidth="1"/>
    <col min="7159" max="7159" width="4.85546875" style="62" customWidth="1"/>
    <col min="7160" max="7160" width="32.42578125" style="62" customWidth="1"/>
    <col min="7161" max="7161" width="9.85546875" style="62" customWidth="1"/>
    <col min="7162" max="7162" width="10.140625" style="62" customWidth="1"/>
    <col min="7163" max="7163" width="12.28515625" style="62" customWidth="1"/>
    <col min="7164" max="7164" width="15.42578125" style="62" customWidth="1"/>
    <col min="7165" max="7165" width="11.85546875" style="62" customWidth="1"/>
    <col min="7166" max="7166" width="13.28515625" style="62" customWidth="1"/>
    <col min="7167" max="7167" width="15.28515625" style="62" customWidth="1"/>
    <col min="7168" max="7168" width="11.85546875" style="62" customWidth="1"/>
    <col min="7169" max="7169" width="6.140625" style="62" customWidth="1"/>
    <col min="7170" max="7170" width="11.85546875" style="62" customWidth="1"/>
    <col min="7171" max="7171" width="9.42578125" style="62" customWidth="1"/>
    <col min="7172" max="7172" width="14.7109375" style="62" customWidth="1"/>
    <col min="7173" max="7173" width="11.5703125" style="62" customWidth="1"/>
    <col min="7174" max="7174" width="0.42578125" style="62" customWidth="1"/>
    <col min="7175" max="7175" width="10.5703125" style="62" bestFit="1" customWidth="1"/>
    <col min="7176" max="7176" width="12.28515625" style="62" customWidth="1"/>
    <col min="7177" max="7177" width="12.5703125" style="62" customWidth="1"/>
    <col min="7178" max="7178" width="10.5703125" style="62" customWidth="1"/>
    <col min="7179" max="7179" width="10.140625" style="62" customWidth="1"/>
    <col min="7180" max="7180" width="8.42578125" style="62" customWidth="1"/>
    <col min="7181" max="7181" width="18.85546875" style="62" customWidth="1"/>
    <col min="7182" max="7182" width="10.28515625" style="62" customWidth="1"/>
    <col min="7183" max="7183" width="11.42578125" style="62"/>
    <col min="7184" max="7184" width="12.140625" style="62" customWidth="1"/>
    <col min="7185" max="7185" width="10.5703125" style="62" customWidth="1"/>
    <col min="7186" max="7186" width="12.42578125" style="62" customWidth="1"/>
    <col min="7187" max="7187" width="15.140625" style="62" customWidth="1"/>
    <col min="7188" max="7188" width="13.5703125" style="62" customWidth="1"/>
    <col min="7189" max="7189" width="13.140625" style="62" customWidth="1"/>
    <col min="7190" max="7190" width="15.7109375" style="62" customWidth="1"/>
    <col min="7191" max="7191" width="37.5703125" style="62" customWidth="1"/>
    <col min="7192" max="7413" width="11.42578125" style="62"/>
    <col min="7414" max="7414" width="10.5703125" style="62" customWidth="1"/>
    <col min="7415" max="7415" width="4.85546875" style="62" customWidth="1"/>
    <col min="7416" max="7416" width="32.42578125" style="62" customWidth="1"/>
    <col min="7417" max="7417" width="9.85546875" style="62" customWidth="1"/>
    <col min="7418" max="7418" width="10.140625" style="62" customWidth="1"/>
    <col min="7419" max="7419" width="12.28515625" style="62" customWidth="1"/>
    <col min="7420" max="7420" width="15.42578125" style="62" customWidth="1"/>
    <col min="7421" max="7421" width="11.85546875" style="62" customWidth="1"/>
    <col min="7422" max="7422" width="13.28515625" style="62" customWidth="1"/>
    <col min="7423" max="7423" width="15.28515625" style="62" customWidth="1"/>
    <col min="7424" max="7424" width="11.85546875" style="62" customWidth="1"/>
    <col min="7425" max="7425" width="6.140625" style="62" customWidth="1"/>
    <col min="7426" max="7426" width="11.85546875" style="62" customWidth="1"/>
    <col min="7427" max="7427" width="9.42578125" style="62" customWidth="1"/>
    <col min="7428" max="7428" width="14.7109375" style="62" customWidth="1"/>
    <col min="7429" max="7429" width="11.5703125" style="62" customWidth="1"/>
    <col min="7430" max="7430" width="0.42578125" style="62" customWidth="1"/>
    <col min="7431" max="7431" width="10.5703125" style="62" bestFit="1" customWidth="1"/>
    <col min="7432" max="7432" width="12.28515625" style="62" customWidth="1"/>
    <col min="7433" max="7433" width="12.5703125" style="62" customWidth="1"/>
    <col min="7434" max="7434" width="10.5703125" style="62" customWidth="1"/>
    <col min="7435" max="7435" width="10.140625" style="62" customWidth="1"/>
    <col min="7436" max="7436" width="8.42578125" style="62" customWidth="1"/>
    <col min="7437" max="7437" width="18.85546875" style="62" customWidth="1"/>
    <col min="7438" max="7438" width="10.28515625" style="62" customWidth="1"/>
    <col min="7439" max="7439" width="11.42578125" style="62"/>
    <col min="7440" max="7440" width="12.140625" style="62" customWidth="1"/>
    <col min="7441" max="7441" width="10.5703125" style="62" customWidth="1"/>
    <col min="7442" max="7442" width="12.42578125" style="62" customWidth="1"/>
    <col min="7443" max="7443" width="15.140625" style="62" customWidth="1"/>
    <col min="7444" max="7444" width="13.5703125" style="62" customWidth="1"/>
    <col min="7445" max="7445" width="13.140625" style="62" customWidth="1"/>
    <col min="7446" max="7446" width="15.7109375" style="62" customWidth="1"/>
    <col min="7447" max="7447" width="37.5703125" style="62" customWidth="1"/>
    <col min="7448" max="7669" width="11.42578125" style="62"/>
    <col min="7670" max="7670" width="10.5703125" style="62" customWidth="1"/>
    <col min="7671" max="7671" width="4.85546875" style="62" customWidth="1"/>
    <col min="7672" max="7672" width="32.42578125" style="62" customWidth="1"/>
    <col min="7673" max="7673" width="9.85546875" style="62" customWidth="1"/>
    <col min="7674" max="7674" width="10.140625" style="62" customWidth="1"/>
    <col min="7675" max="7675" width="12.28515625" style="62" customWidth="1"/>
    <col min="7676" max="7676" width="15.42578125" style="62" customWidth="1"/>
    <col min="7677" max="7677" width="11.85546875" style="62" customWidth="1"/>
    <col min="7678" max="7678" width="13.28515625" style="62" customWidth="1"/>
    <col min="7679" max="7679" width="15.28515625" style="62" customWidth="1"/>
    <col min="7680" max="7680" width="11.85546875" style="62" customWidth="1"/>
    <col min="7681" max="7681" width="6.140625" style="62" customWidth="1"/>
    <col min="7682" max="7682" width="11.85546875" style="62" customWidth="1"/>
    <col min="7683" max="7683" width="9.42578125" style="62" customWidth="1"/>
    <col min="7684" max="7684" width="14.7109375" style="62" customWidth="1"/>
    <col min="7685" max="7685" width="11.5703125" style="62" customWidth="1"/>
    <col min="7686" max="7686" width="0.42578125" style="62" customWidth="1"/>
    <col min="7687" max="7687" width="10.5703125" style="62" bestFit="1" customWidth="1"/>
    <col min="7688" max="7688" width="12.28515625" style="62" customWidth="1"/>
    <col min="7689" max="7689" width="12.5703125" style="62" customWidth="1"/>
    <col min="7690" max="7690" width="10.5703125" style="62" customWidth="1"/>
    <col min="7691" max="7691" width="10.140625" style="62" customWidth="1"/>
    <col min="7692" max="7692" width="8.42578125" style="62" customWidth="1"/>
    <col min="7693" max="7693" width="18.85546875" style="62" customWidth="1"/>
    <col min="7694" max="7694" width="10.28515625" style="62" customWidth="1"/>
    <col min="7695" max="7695" width="11.42578125" style="62"/>
    <col min="7696" max="7696" width="12.140625" style="62" customWidth="1"/>
    <col min="7697" max="7697" width="10.5703125" style="62" customWidth="1"/>
    <col min="7698" max="7698" width="12.42578125" style="62" customWidth="1"/>
    <col min="7699" max="7699" width="15.140625" style="62" customWidth="1"/>
    <col min="7700" max="7700" width="13.5703125" style="62" customWidth="1"/>
    <col min="7701" max="7701" width="13.140625" style="62" customWidth="1"/>
    <col min="7702" max="7702" width="15.7109375" style="62" customWidth="1"/>
    <col min="7703" max="7703" width="37.5703125" style="62" customWidth="1"/>
    <col min="7704" max="7925" width="11.42578125" style="62"/>
    <col min="7926" max="7926" width="10.5703125" style="62" customWidth="1"/>
    <col min="7927" max="7927" width="4.85546875" style="62" customWidth="1"/>
    <col min="7928" max="7928" width="32.42578125" style="62" customWidth="1"/>
    <col min="7929" max="7929" width="9.85546875" style="62" customWidth="1"/>
    <col min="7930" max="7930" width="10.140625" style="62" customWidth="1"/>
    <col min="7931" max="7931" width="12.28515625" style="62" customWidth="1"/>
    <col min="7932" max="7932" width="15.42578125" style="62" customWidth="1"/>
    <col min="7933" max="7933" width="11.85546875" style="62" customWidth="1"/>
    <col min="7934" max="7934" width="13.28515625" style="62" customWidth="1"/>
    <col min="7935" max="7935" width="15.28515625" style="62" customWidth="1"/>
    <col min="7936" max="7936" width="11.85546875" style="62" customWidth="1"/>
    <col min="7937" max="7937" width="6.140625" style="62" customWidth="1"/>
    <col min="7938" max="7938" width="11.85546875" style="62" customWidth="1"/>
    <col min="7939" max="7939" width="9.42578125" style="62" customWidth="1"/>
    <col min="7940" max="7940" width="14.7109375" style="62" customWidth="1"/>
    <col min="7941" max="7941" width="11.5703125" style="62" customWidth="1"/>
    <col min="7942" max="7942" width="0.42578125" style="62" customWidth="1"/>
    <col min="7943" max="7943" width="10.5703125" style="62" bestFit="1" customWidth="1"/>
    <col min="7944" max="7944" width="12.28515625" style="62" customWidth="1"/>
    <col min="7945" max="7945" width="12.5703125" style="62" customWidth="1"/>
    <col min="7946" max="7946" width="10.5703125" style="62" customWidth="1"/>
    <col min="7947" max="7947" width="10.140625" style="62" customWidth="1"/>
    <col min="7948" max="7948" width="8.42578125" style="62" customWidth="1"/>
    <col min="7949" max="7949" width="18.85546875" style="62" customWidth="1"/>
    <col min="7950" max="7950" width="10.28515625" style="62" customWidth="1"/>
    <col min="7951" max="7951" width="11.42578125" style="62"/>
    <col min="7952" max="7952" width="12.140625" style="62" customWidth="1"/>
    <col min="7953" max="7953" width="10.5703125" style="62" customWidth="1"/>
    <col min="7954" max="7954" width="12.42578125" style="62" customWidth="1"/>
    <col min="7955" max="7955" width="15.140625" style="62" customWidth="1"/>
    <col min="7956" max="7956" width="13.5703125" style="62" customWidth="1"/>
    <col min="7957" max="7957" width="13.140625" style="62" customWidth="1"/>
    <col min="7958" max="7958" width="15.7109375" style="62" customWidth="1"/>
    <col min="7959" max="7959" width="37.5703125" style="62" customWidth="1"/>
    <col min="7960" max="8181" width="11.42578125" style="62"/>
    <col min="8182" max="8182" width="10.5703125" style="62" customWidth="1"/>
    <col min="8183" max="8183" width="4.85546875" style="62" customWidth="1"/>
    <col min="8184" max="8184" width="32.42578125" style="62" customWidth="1"/>
    <col min="8185" max="8185" width="9.85546875" style="62" customWidth="1"/>
    <col min="8186" max="8186" width="10.140625" style="62" customWidth="1"/>
    <col min="8187" max="8187" width="12.28515625" style="62" customWidth="1"/>
    <col min="8188" max="8188" width="15.42578125" style="62" customWidth="1"/>
    <col min="8189" max="8189" width="11.85546875" style="62" customWidth="1"/>
    <col min="8190" max="8190" width="13.28515625" style="62" customWidth="1"/>
    <col min="8191" max="8191" width="15.28515625" style="62" customWidth="1"/>
    <col min="8192" max="8192" width="11.85546875" style="62" customWidth="1"/>
    <col min="8193" max="8193" width="6.140625" style="62" customWidth="1"/>
    <col min="8194" max="8194" width="11.85546875" style="62" customWidth="1"/>
    <col min="8195" max="8195" width="9.42578125" style="62" customWidth="1"/>
    <col min="8196" max="8196" width="14.7109375" style="62" customWidth="1"/>
    <col min="8197" max="8197" width="11.5703125" style="62" customWidth="1"/>
    <col min="8198" max="8198" width="0.42578125" style="62" customWidth="1"/>
    <col min="8199" max="8199" width="10.5703125" style="62" bestFit="1" customWidth="1"/>
    <col min="8200" max="8200" width="12.28515625" style="62" customWidth="1"/>
    <col min="8201" max="8201" width="12.5703125" style="62" customWidth="1"/>
    <col min="8202" max="8202" width="10.5703125" style="62" customWidth="1"/>
    <col min="8203" max="8203" width="10.140625" style="62" customWidth="1"/>
    <col min="8204" max="8204" width="8.42578125" style="62" customWidth="1"/>
    <col min="8205" max="8205" width="18.85546875" style="62" customWidth="1"/>
    <col min="8206" max="8206" width="10.28515625" style="62" customWidth="1"/>
    <col min="8207" max="8207" width="11.42578125" style="62"/>
    <col min="8208" max="8208" width="12.140625" style="62" customWidth="1"/>
    <col min="8209" max="8209" width="10.5703125" style="62" customWidth="1"/>
    <col min="8210" max="8210" width="12.42578125" style="62" customWidth="1"/>
    <col min="8211" max="8211" width="15.140625" style="62" customWidth="1"/>
    <col min="8212" max="8212" width="13.5703125" style="62" customWidth="1"/>
    <col min="8213" max="8213" width="13.140625" style="62" customWidth="1"/>
    <col min="8214" max="8214" width="15.7109375" style="62" customWidth="1"/>
    <col min="8215" max="8215" width="37.5703125" style="62" customWidth="1"/>
    <col min="8216" max="8437" width="11.42578125" style="62"/>
    <col min="8438" max="8438" width="10.5703125" style="62" customWidth="1"/>
    <col min="8439" max="8439" width="4.85546875" style="62" customWidth="1"/>
    <col min="8440" max="8440" width="32.42578125" style="62" customWidth="1"/>
    <col min="8441" max="8441" width="9.85546875" style="62" customWidth="1"/>
    <col min="8442" max="8442" width="10.140625" style="62" customWidth="1"/>
    <col min="8443" max="8443" width="12.28515625" style="62" customWidth="1"/>
    <col min="8444" max="8444" width="15.42578125" style="62" customWidth="1"/>
    <col min="8445" max="8445" width="11.85546875" style="62" customWidth="1"/>
    <col min="8446" max="8446" width="13.28515625" style="62" customWidth="1"/>
    <col min="8447" max="8447" width="15.28515625" style="62" customWidth="1"/>
    <col min="8448" max="8448" width="11.85546875" style="62" customWidth="1"/>
    <col min="8449" max="8449" width="6.140625" style="62" customWidth="1"/>
    <col min="8450" max="8450" width="11.85546875" style="62" customWidth="1"/>
    <col min="8451" max="8451" width="9.42578125" style="62" customWidth="1"/>
    <col min="8452" max="8452" width="14.7109375" style="62" customWidth="1"/>
    <col min="8453" max="8453" width="11.5703125" style="62" customWidth="1"/>
    <col min="8454" max="8454" width="0.42578125" style="62" customWidth="1"/>
    <col min="8455" max="8455" width="10.5703125" style="62" bestFit="1" customWidth="1"/>
    <col min="8456" max="8456" width="12.28515625" style="62" customWidth="1"/>
    <col min="8457" max="8457" width="12.5703125" style="62" customWidth="1"/>
    <col min="8458" max="8458" width="10.5703125" style="62" customWidth="1"/>
    <col min="8459" max="8459" width="10.140625" style="62" customWidth="1"/>
    <col min="8460" max="8460" width="8.42578125" style="62" customWidth="1"/>
    <col min="8461" max="8461" width="18.85546875" style="62" customWidth="1"/>
    <col min="8462" max="8462" width="10.28515625" style="62" customWidth="1"/>
    <col min="8463" max="8463" width="11.42578125" style="62"/>
    <col min="8464" max="8464" width="12.140625" style="62" customWidth="1"/>
    <col min="8465" max="8465" width="10.5703125" style="62" customWidth="1"/>
    <col min="8466" max="8466" width="12.42578125" style="62" customWidth="1"/>
    <col min="8467" max="8467" width="15.140625" style="62" customWidth="1"/>
    <col min="8468" max="8468" width="13.5703125" style="62" customWidth="1"/>
    <col min="8469" max="8469" width="13.140625" style="62" customWidth="1"/>
    <col min="8470" max="8470" width="15.7109375" style="62" customWidth="1"/>
    <col min="8471" max="8471" width="37.5703125" style="62" customWidth="1"/>
    <col min="8472" max="8693" width="11.42578125" style="62"/>
    <col min="8694" max="8694" width="10.5703125" style="62" customWidth="1"/>
    <col min="8695" max="8695" width="4.85546875" style="62" customWidth="1"/>
    <col min="8696" max="8696" width="32.42578125" style="62" customWidth="1"/>
    <col min="8697" max="8697" width="9.85546875" style="62" customWidth="1"/>
    <col min="8698" max="8698" width="10.140625" style="62" customWidth="1"/>
    <col min="8699" max="8699" width="12.28515625" style="62" customWidth="1"/>
    <col min="8700" max="8700" width="15.42578125" style="62" customWidth="1"/>
    <col min="8701" max="8701" width="11.85546875" style="62" customWidth="1"/>
    <col min="8702" max="8702" width="13.28515625" style="62" customWidth="1"/>
    <col min="8703" max="8703" width="15.28515625" style="62" customWidth="1"/>
    <col min="8704" max="8704" width="11.85546875" style="62" customWidth="1"/>
    <col min="8705" max="8705" width="6.140625" style="62" customWidth="1"/>
    <col min="8706" max="8706" width="11.85546875" style="62" customWidth="1"/>
    <col min="8707" max="8707" width="9.42578125" style="62" customWidth="1"/>
    <col min="8708" max="8708" width="14.7109375" style="62" customWidth="1"/>
    <col min="8709" max="8709" width="11.5703125" style="62" customWidth="1"/>
    <col min="8710" max="8710" width="0.42578125" style="62" customWidth="1"/>
    <col min="8711" max="8711" width="10.5703125" style="62" bestFit="1" customWidth="1"/>
    <col min="8712" max="8712" width="12.28515625" style="62" customWidth="1"/>
    <col min="8713" max="8713" width="12.5703125" style="62" customWidth="1"/>
    <col min="8714" max="8714" width="10.5703125" style="62" customWidth="1"/>
    <col min="8715" max="8715" width="10.140625" style="62" customWidth="1"/>
    <col min="8716" max="8716" width="8.42578125" style="62" customWidth="1"/>
    <col min="8717" max="8717" width="18.85546875" style="62" customWidth="1"/>
    <col min="8718" max="8718" width="10.28515625" style="62" customWidth="1"/>
    <col min="8719" max="8719" width="11.42578125" style="62"/>
    <col min="8720" max="8720" width="12.140625" style="62" customWidth="1"/>
    <col min="8721" max="8721" width="10.5703125" style="62" customWidth="1"/>
    <col min="8722" max="8722" width="12.42578125" style="62" customWidth="1"/>
    <col min="8723" max="8723" width="15.140625" style="62" customWidth="1"/>
    <col min="8724" max="8724" width="13.5703125" style="62" customWidth="1"/>
    <col min="8725" max="8725" width="13.140625" style="62" customWidth="1"/>
    <col min="8726" max="8726" width="15.7109375" style="62" customWidth="1"/>
    <col min="8727" max="8727" width="37.5703125" style="62" customWidth="1"/>
    <col min="8728" max="8949" width="11.42578125" style="62"/>
    <col min="8950" max="8950" width="10.5703125" style="62" customWidth="1"/>
    <col min="8951" max="8951" width="4.85546875" style="62" customWidth="1"/>
    <col min="8952" max="8952" width="32.42578125" style="62" customWidth="1"/>
    <col min="8953" max="8953" width="9.85546875" style="62" customWidth="1"/>
    <col min="8954" max="8954" width="10.140625" style="62" customWidth="1"/>
    <col min="8955" max="8955" width="12.28515625" style="62" customWidth="1"/>
    <col min="8956" max="8956" width="15.42578125" style="62" customWidth="1"/>
    <col min="8957" max="8957" width="11.85546875" style="62" customWidth="1"/>
    <col min="8958" max="8958" width="13.28515625" style="62" customWidth="1"/>
    <col min="8959" max="8959" width="15.28515625" style="62" customWidth="1"/>
    <col min="8960" max="8960" width="11.85546875" style="62" customWidth="1"/>
    <col min="8961" max="8961" width="6.140625" style="62" customWidth="1"/>
    <col min="8962" max="8962" width="11.85546875" style="62" customWidth="1"/>
    <col min="8963" max="8963" width="9.42578125" style="62" customWidth="1"/>
    <col min="8964" max="8964" width="14.7109375" style="62" customWidth="1"/>
    <col min="8965" max="8965" width="11.5703125" style="62" customWidth="1"/>
    <col min="8966" max="8966" width="0.42578125" style="62" customWidth="1"/>
    <col min="8967" max="8967" width="10.5703125" style="62" bestFit="1" customWidth="1"/>
    <col min="8968" max="8968" width="12.28515625" style="62" customWidth="1"/>
    <col min="8969" max="8969" width="12.5703125" style="62" customWidth="1"/>
    <col min="8970" max="8970" width="10.5703125" style="62" customWidth="1"/>
    <col min="8971" max="8971" width="10.140625" style="62" customWidth="1"/>
    <col min="8972" max="8972" width="8.42578125" style="62" customWidth="1"/>
    <col min="8973" max="8973" width="18.85546875" style="62" customWidth="1"/>
    <col min="8974" max="8974" width="10.28515625" style="62" customWidth="1"/>
    <col min="8975" max="8975" width="11.42578125" style="62"/>
    <col min="8976" max="8976" width="12.140625" style="62" customWidth="1"/>
    <col min="8977" max="8977" width="10.5703125" style="62" customWidth="1"/>
    <col min="8978" max="8978" width="12.42578125" style="62" customWidth="1"/>
    <col min="8979" max="8979" width="15.140625" style="62" customWidth="1"/>
    <col min="8980" max="8980" width="13.5703125" style="62" customWidth="1"/>
    <col min="8981" max="8981" width="13.140625" style="62" customWidth="1"/>
    <col min="8982" max="8982" width="15.7109375" style="62" customWidth="1"/>
    <col min="8983" max="8983" width="37.5703125" style="62" customWidth="1"/>
    <col min="8984" max="9205" width="11.42578125" style="62"/>
    <col min="9206" max="9206" width="10.5703125" style="62" customWidth="1"/>
    <col min="9207" max="9207" width="4.85546875" style="62" customWidth="1"/>
    <col min="9208" max="9208" width="32.42578125" style="62" customWidth="1"/>
    <col min="9209" max="9209" width="9.85546875" style="62" customWidth="1"/>
    <col min="9210" max="9210" width="10.140625" style="62" customWidth="1"/>
    <col min="9211" max="9211" width="12.28515625" style="62" customWidth="1"/>
    <col min="9212" max="9212" width="15.42578125" style="62" customWidth="1"/>
    <col min="9213" max="9213" width="11.85546875" style="62" customWidth="1"/>
    <col min="9214" max="9214" width="13.28515625" style="62" customWidth="1"/>
    <col min="9215" max="9215" width="15.28515625" style="62" customWidth="1"/>
    <col min="9216" max="9216" width="11.85546875" style="62" customWidth="1"/>
    <col min="9217" max="9217" width="6.140625" style="62" customWidth="1"/>
    <col min="9218" max="9218" width="11.85546875" style="62" customWidth="1"/>
    <col min="9219" max="9219" width="9.42578125" style="62" customWidth="1"/>
    <col min="9220" max="9220" width="14.7109375" style="62" customWidth="1"/>
    <col min="9221" max="9221" width="11.5703125" style="62" customWidth="1"/>
    <col min="9222" max="9222" width="0.42578125" style="62" customWidth="1"/>
    <col min="9223" max="9223" width="10.5703125" style="62" bestFit="1" customWidth="1"/>
    <col min="9224" max="9224" width="12.28515625" style="62" customWidth="1"/>
    <col min="9225" max="9225" width="12.5703125" style="62" customWidth="1"/>
    <col min="9226" max="9226" width="10.5703125" style="62" customWidth="1"/>
    <col min="9227" max="9227" width="10.140625" style="62" customWidth="1"/>
    <col min="9228" max="9228" width="8.42578125" style="62" customWidth="1"/>
    <col min="9229" max="9229" width="18.85546875" style="62" customWidth="1"/>
    <col min="9230" max="9230" width="10.28515625" style="62" customWidth="1"/>
    <col min="9231" max="9231" width="11.42578125" style="62"/>
    <col min="9232" max="9232" width="12.140625" style="62" customWidth="1"/>
    <col min="9233" max="9233" width="10.5703125" style="62" customWidth="1"/>
    <col min="9234" max="9234" width="12.42578125" style="62" customWidth="1"/>
    <col min="9235" max="9235" width="15.140625" style="62" customWidth="1"/>
    <col min="9236" max="9236" width="13.5703125" style="62" customWidth="1"/>
    <col min="9237" max="9237" width="13.140625" style="62" customWidth="1"/>
    <col min="9238" max="9238" width="15.7109375" style="62" customWidth="1"/>
    <col min="9239" max="9239" width="37.5703125" style="62" customWidth="1"/>
    <col min="9240" max="9461" width="11.42578125" style="62"/>
    <col min="9462" max="9462" width="10.5703125" style="62" customWidth="1"/>
    <col min="9463" max="9463" width="4.85546875" style="62" customWidth="1"/>
    <col min="9464" max="9464" width="32.42578125" style="62" customWidth="1"/>
    <col min="9465" max="9465" width="9.85546875" style="62" customWidth="1"/>
    <col min="9466" max="9466" width="10.140625" style="62" customWidth="1"/>
    <col min="9467" max="9467" width="12.28515625" style="62" customWidth="1"/>
    <col min="9468" max="9468" width="15.42578125" style="62" customWidth="1"/>
    <col min="9469" max="9469" width="11.85546875" style="62" customWidth="1"/>
    <col min="9470" max="9470" width="13.28515625" style="62" customWidth="1"/>
    <col min="9471" max="9471" width="15.28515625" style="62" customWidth="1"/>
    <col min="9472" max="9472" width="11.85546875" style="62" customWidth="1"/>
    <col min="9473" max="9473" width="6.140625" style="62" customWidth="1"/>
    <col min="9474" max="9474" width="11.85546875" style="62" customWidth="1"/>
    <col min="9475" max="9475" width="9.42578125" style="62" customWidth="1"/>
    <col min="9476" max="9476" width="14.7109375" style="62" customWidth="1"/>
    <col min="9477" max="9477" width="11.5703125" style="62" customWidth="1"/>
    <col min="9478" max="9478" width="0.42578125" style="62" customWidth="1"/>
    <col min="9479" max="9479" width="10.5703125" style="62" bestFit="1" customWidth="1"/>
    <col min="9480" max="9480" width="12.28515625" style="62" customWidth="1"/>
    <col min="9481" max="9481" width="12.5703125" style="62" customWidth="1"/>
    <col min="9482" max="9482" width="10.5703125" style="62" customWidth="1"/>
    <col min="9483" max="9483" width="10.140625" style="62" customWidth="1"/>
    <col min="9484" max="9484" width="8.42578125" style="62" customWidth="1"/>
    <col min="9485" max="9485" width="18.85546875" style="62" customWidth="1"/>
    <col min="9486" max="9486" width="10.28515625" style="62" customWidth="1"/>
    <col min="9487" max="9487" width="11.42578125" style="62"/>
    <col min="9488" max="9488" width="12.140625" style="62" customWidth="1"/>
    <col min="9489" max="9489" width="10.5703125" style="62" customWidth="1"/>
    <col min="9490" max="9490" width="12.42578125" style="62" customWidth="1"/>
    <col min="9491" max="9491" width="15.140625" style="62" customWidth="1"/>
    <col min="9492" max="9492" width="13.5703125" style="62" customWidth="1"/>
    <col min="9493" max="9493" width="13.140625" style="62" customWidth="1"/>
    <col min="9494" max="9494" width="15.7109375" style="62" customWidth="1"/>
    <col min="9495" max="9495" width="37.5703125" style="62" customWidth="1"/>
    <col min="9496" max="9717" width="11.42578125" style="62"/>
    <col min="9718" max="9718" width="10.5703125" style="62" customWidth="1"/>
    <col min="9719" max="9719" width="4.85546875" style="62" customWidth="1"/>
    <col min="9720" max="9720" width="32.42578125" style="62" customWidth="1"/>
    <col min="9721" max="9721" width="9.85546875" style="62" customWidth="1"/>
    <col min="9722" max="9722" width="10.140625" style="62" customWidth="1"/>
    <col min="9723" max="9723" width="12.28515625" style="62" customWidth="1"/>
    <col min="9724" max="9724" width="15.42578125" style="62" customWidth="1"/>
    <col min="9725" max="9725" width="11.85546875" style="62" customWidth="1"/>
    <col min="9726" max="9726" width="13.28515625" style="62" customWidth="1"/>
    <col min="9727" max="9727" width="15.28515625" style="62" customWidth="1"/>
    <col min="9728" max="9728" width="11.85546875" style="62" customWidth="1"/>
    <col min="9729" max="9729" width="6.140625" style="62" customWidth="1"/>
    <col min="9730" max="9730" width="11.85546875" style="62" customWidth="1"/>
    <col min="9731" max="9731" width="9.42578125" style="62" customWidth="1"/>
    <col min="9732" max="9732" width="14.7109375" style="62" customWidth="1"/>
    <col min="9733" max="9733" width="11.5703125" style="62" customWidth="1"/>
    <col min="9734" max="9734" width="0.42578125" style="62" customWidth="1"/>
    <col min="9735" max="9735" width="10.5703125" style="62" bestFit="1" customWidth="1"/>
    <col min="9736" max="9736" width="12.28515625" style="62" customWidth="1"/>
    <col min="9737" max="9737" width="12.5703125" style="62" customWidth="1"/>
    <col min="9738" max="9738" width="10.5703125" style="62" customWidth="1"/>
    <col min="9739" max="9739" width="10.140625" style="62" customWidth="1"/>
    <col min="9740" max="9740" width="8.42578125" style="62" customWidth="1"/>
    <col min="9741" max="9741" width="18.85546875" style="62" customWidth="1"/>
    <col min="9742" max="9742" width="10.28515625" style="62" customWidth="1"/>
    <col min="9743" max="9743" width="11.42578125" style="62"/>
    <col min="9744" max="9744" width="12.140625" style="62" customWidth="1"/>
    <col min="9745" max="9745" width="10.5703125" style="62" customWidth="1"/>
    <col min="9746" max="9746" width="12.42578125" style="62" customWidth="1"/>
    <col min="9747" max="9747" width="15.140625" style="62" customWidth="1"/>
    <col min="9748" max="9748" width="13.5703125" style="62" customWidth="1"/>
    <col min="9749" max="9749" width="13.140625" style="62" customWidth="1"/>
    <col min="9750" max="9750" width="15.7109375" style="62" customWidth="1"/>
    <col min="9751" max="9751" width="37.5703125" style="62" customWidth="1"/>
    <col min="9752" max="9973" width="11.42578125" style="62"/>
    <col min="9974" max="9974" width="10.5703125" style="62" customWidth="1"/>
    <col min="9975" max="9975" width="4.85546875" style="62" customWidth="1"/>
    <col min="9976" max="9976" width="32.42578125" style="62" customWidth="1"/>
    <col min="9977" max="9977" width="9.85546875" style="62" customWidth="1"/>
    <col min="9978" max="9978" width="10.140625" style="62" customWidth="1"/>
    <col min="9979" max="9979" width="12.28515625" style="62" customWidth="1"/>
    <col min="9980" max="9980" width="15.42578125" style="62" customWidth="1"/>
    <col min="9981" max="9981" width="11.85546875" style="62" customWidth="1"/>
    <col min="9982" max="9982" width="13.28515625" style="62" customWidth="1"/>
    <col min="9983" max="9983" width="15.28515625" style="62" customWidth="1"/>
    <col min="9984" max="9984" width="11.85546875" style="62" customWidth="1"/>
    <col min="9985" max="9985" width="6.140625" style="62" customWidth="1"/>
    <col min="9986" max="9986" width="11.85546875" style="62" customWidth="1"/>
    <col min="9987" max="9987" width="9.42578125" style="62" customWidth="1"/>
    <col min="9988" max="9988" width="14.7109375" style="62" customWidth="1"/>
    <col min="9989" max="9989" width="11.5703125" style="62" customWidth="1"/>
    <col min="9990" max="9990" width="0.42578125" style="62" customWidth="1"/>
    <col min="9991" max="9991" width="10.5703125" style="62" bestFit="1" customWidth="1"/>
    <col min="9992" max="9992" width="12.28515625" style="62" customWidth="1"/>
    <col min="9993" max="9993" width="12.5703125" style="62" customWidth="1"/>
    <col min="9994" max="9994" width="10.5703125" style="62" customWidth="1"/>
    <col min="9995" max="9995" width="10.140625" style="62" customWidth="1"/>
    <col min="9996" max="9996" width="8.42578125" style="62" customWidth="1"/>
    <col min="9997" max="9997" width="18.85546875" style="62" customWidth="1"/>
    <col min="9998" max="9998" width="10.28515625" style="62" customWidth="1"/>
    <col min="9999" max="9999" width="11.42578125" style="62"/>
    <col min="10000" max="10000" width="12.140625" style="62" customWidth="1"/>
    <col min="10001" max="10001" width="10.5703125" style="62" customWidth="1"/>
    <col min="10002" max="10002" width="12.42578125" style="62" customWidth="1"/>
    <col min="10003" max="10003" width="15.140625" style="62" customWidth="1"/>
    <col min="10004" max="10004" width="13.5703125" style="62" customWidth="1"/>
    <col min="10005" max="10005" width="13.140625" style="62" customWidth="1"/>
    <col min="10006" max="10006" width="15.7109375" style="62" customWidth="1"/>
    <col min="10007" max="10007" width="37.5703125" style="62" customWidth="1"/>
    <col min="10008" max="10229" width="11.42578125" style="62"/>
    <col min="10230" max="10230" width="10.5703125" style="62" customWidth="1"/>
    <col min="10231" max="10231" width="4.85546875" style="62" customWidth="1"/>
    <col min="10232" max="10232" width="32.42578125" style="62" customWidth="1"/>
    <col min="10233" max="10233" width="9.85546875" style="62" customWidth="1"/>
    <col min="10234" max="10234" width="10.140625" style="62" customWidth="1"/>
    <col min="10235" max="10235" width="12.28515625" style="62" customWidth="1"/>
    <col min="10236" max="10236" width="15.42578125" style="62" customWidth="1"/>
    <col min="10237" max="10237" width="11.85546875" style="62" customWidth="1"/>
    <col min="10238" max="10238" width="13.28515625" style="62" customWidth="1"/>
    <col min="10239" max="10239" width="15.28515625" style="62" customWidth="1"/>
    <col min="10240" max="10240" width="11.85546875" style="62" customWidth="1"/>
    <col min="10241" max="10241" width="6.140625" style="62" customWidth="1"/>
    <col min="10242" max="10242" width="11.85546875" style="62" customWidth="1"/>
    <col min="10243" max="10243" width="9.42578125" style="62" customWidth="1"/>
    <col min="10244" max="10244" width="14.7109375" style="62" customWidth="1"/>
    <col min="10245" max="10245" width="11.5703125" style="62" customWidth="1"/>
    <col min="10246" max="10246" width="0.42578125" style="62" customWidth="1"/>
    <col min="10247" max="10247" width="10.5703125" style="62" bestFit="1" customWidth="1"/>
    <col min="10248" max="10248" width="12.28515625" style="62" customWidth="1"/>
    <col min="10249" max="10249" width="12.5703125" style="62" customWidth="1"/>
    <col min="10250" max="10250" width="10.5703125" style="62" customWidth="1"/>
    <col min="10251" max="10251" width="10.140625" style="62" customWidth="1"/>
    <col min="10252" max="10252" width="8.42578125" style="62" customWidth="1"/>
    <col min="10253" max="10253" width="18.85546875" style="62" customWidth="1"/>
    <col min="10254" max="10254" width="10.28515625" style="62" customWidth="1"/>
    <col min="10255" max="10255" width="11.42578125" style="62"/>
    <col min="10256" max="10256" width="12.140625" style="62" customWidth="1"/>
    <col min="10257" max="10257" width="10.5703125" style="62" customWidth="1"/>
    <col min="10258" max="10258" width="12.42578125" style="62" customWidth="1"/>
    <col min="10259" max="10259" width="15.140625" style="62" customWidth="1"/>
    <col min="10260" max="10260" width="13.5703125" style="62" customWidth="1"/>
    <col min="10261" max="10261" width="13.140625" style="62" customWidth="1"/>
    <col min="10262" max="10262" width="15.7109375" style="62" customWidth="1"/>
    <col min="10263" max="10263" width="37.5703125" style="62" customWidth="1"/>
    <col min="10264" max="10485" width="11.42578125" style="62"/>
    <col min="10486" max="10486" width="10.5703125" style="62" customWidth="1"/>
    <col min="10487" max="10487" width="4.85546875" style="62" customWidth="1"/>
    <col min="10488" max="10488" width="32.42578125" style="62" customWidth="1"/>
    <col min="10489" max="10489" width="9.85546875" style="62" customWidth="1"/>
    <col min="10490" max="10490" width="10.140625" style="62" customWidth="1"/>
    <col min="10491" max="10491" width="12.28515625" style="62" customWidth="1"/>
    <col min="10492" max="10492" width="15.42578125" style="62" customWidth="1"/>
    <col min="10493" max="10493" width="11.85546875" style="62" customWidth="1"/>
    <col min="10494" max="10494" width="13.28515625" style="62" customWidth="1"/>
    <col min="10495" max="10495" width="15.28515625" style="62" customWidth="1"/>
    <col min="10496" max="10496" width="11.85546875" style="62" customWidth="1"/>
    <col min="10497" max="10497" width="6.140625" style="62" customWidth="1"/>
    <col min="10498" max="10498" width="11.85546875" style="62" customWidth="1"/>
    <col min="10499" max="10499" width="9.42578125" style="62" customWidth="1"/>
    <col min="10500" max="10500" width="14.7109375" style="62" customWidth="1"/>
    <col min="10501" max="10501" width="11.5703125" style="62" customWidth="1"/>
    <col min="10502" max="10502" width="0.42578125" style="62" customWidth="1"/>
    <col min="10503" max="10503" width="10.5703125" style="62" bestFit="1" customWidth="1"/>
    <col min="10504" max="10504" width="12.28515625" style="62" customWidth="1"/>
    <col min="10505" max="10505" width="12.5703125" style="62" customWidth="1"/>
    <col min="10506" max="10506" width="10.5703125" style="62" customWidth="1"/>
    <col min="10507" max="10507" width="10.140625" style="62" customWidth="1"/>
    <col min="10508" max="10508" width="8.42578125" style="62" customWidth="1"/>
    <col min="10509" max="10509" width="18.85546875" style="62" customWidth="1"/>
    <col min="10510" max="10510" width="10.28515625" style="62" customWidth="1"/>
    <col min="10511" max="10511" width="11.42578125" style="62"/>
    <col min="10512" max="10512" width="12.140625" style="62" customWidth="1"/>
    <col min="10513" max="10513" width="10.5703125" style="62" customWidth="1"/>
    <col min="10514" max="10514" width="12.42578125" style="62" customWidth="1"/>
    <col min="10515" max="10515" width="15.140625" style="62" customWidth="1"/>
    <col min="10516" max="10516" width="13.5703125" style="62" customWidth="1"/>
    <col min="10517" max="10517" width="13.140625" style="62" customWidth="1"/>
    <col min="10518" max="10518" width="15.7109375" style="62" customWidth="1"/>
    <col min="10519" max="10519" width="37.5703125" style="62" customWidth="1"/>
    <col min="10520" max="10741" width="11.42578125" style="62"/>
    <col min="10742" max="10742" width="10.5703125" style="62" customWidth="1"/>
    <col min="10743" max="10743" width="4.85546875" style="62" customWidth="1"/>
    <col min="10744" max="10744" width="32.42578125" style="62" customWidth="1"/>
    <col min="10745" max="10745" width="9.85546875" style="62" customWidth="1"/>
    <col min="10746" max="10746" width="10.140625" style="62" customWidth="1"/>
    <col min="10747" max="10747" width="12.28515625" style="62" customWidth="1"/>
    <col min="10748" max="10748" width="15.42578125" style="62" customWidth="1"/>
    <col min="10749" max="10749" width="11.85546875" style="62" customWidth="1"/>
    <col min="10750" max="10750" width="13.28515625" style="62" customWidth="1"/>
    <col min="10751" max="10751" width="15.28515625" style="62" customWidth="1"/>
    <col min="10752" max="10752" width="11.85546875" style="62" customWidth="1"/>
    <col min="10753" max="10753" width="6.140625" style="62" customWidth="1"/>
    <col min="10754" max="10754" width="11.85546875" style="62" customWidth="1"/>
    <col min="10755" max="10755" width="9.42578125" style="62" customWidth="1"/>
    <col min="10756" max="10756" width="14.7109375" style="62" customWidth="1"/>
    <col min="10757" max="10757" width="11.5703125" style="62" customWidth="1"/>
    <col min="10758" max="10758" width="0.42578125" style="62" customWidth="1"/>
    <col min="10759" max="10759" width="10.5703125" style="62" bestFit="1" customWidth="1"/>
    <col min="10760" max="10760" width="12.28515625" style="62" customWidth="1"/>
    <col min="10761" max="10761" width="12.5703125" style="62" customWidth="1"/>
    <col min="10762" max="10762" width="10.5703125" style="62" customWidth="1"/>
    <col min="10763" max="10763" width="10.140625" style="62" customWidth="1"/>
    <col min="10764" max="10764" width="8.42578125" style="62" customWidth="1"/>
    <col min="10765" max="10765" width="18.85546875" style="62" customWidth="1"/>
    <col min="10766" max="10766" width="10.28515625" style="62" customWidth="1"/>
    <col min="10767" max="10767" width="11.42578125" style="62"/>
    <col min="10768" max="10768" width="12.140625" style="62" customWidth="1"/>
    <col min="10769" max="10769" width="10.5703125" style="62" customWidth="1"/>
    <col min="10770" max="10770" width="12.42578125" style="62" customWidth="1"/>
    <col min="10771" max="10771" width="15.140625" style="62" customWidth="1"/>
    <col min="10772" max="10772" width="13.5703125" style="62" customWidth="1"/>
    <col min="10773" max="10773" width="13.140625" style="62" customWidth="1"/>
    <col min="10774" max="10774" width="15.7109375" style="62" customWidth="1"/>
    <col min="10775" max="10775" width="37.5703125" style="62" customWidth="1"/>
    <col min="10776" max="10997" width="11.42578125" style="62"/>
    <col min="10998" max="10998" width="10.5703125" style="62" customWidth="1"/>
    <col min="10999" max="10999" width="4.85546875" style="62" customWidth="1"/>
    <col min="11000" max="11000" width="32.42578125" style="62" customWidth="1"/>
    <col min="11001" max="11001" width="9.85546875" style="62" customWidth="1"/>
    <col min="11002" max="11002" width="10.140625" style="62" customWidth="1"/>
    <col min="11003" max="11003" width="12.28515625" style="62" customWidth="1"/>
    <col min="11004" max="11004" width="15.42578125" style="62" customWidth="1"/>
    <col min="11005" max="11005" width="11.85546875" style="62" customWidth="1"/>
    <col min="11006" max="11006" width="13.28515625" style="62" customWidth="1"/>
    <col min="11007" max="11007" width="15.28515625" style="62" customWidth="1"/>
    <col min="11008" max="11008" width="11.85546875" style="62" customWidth="1"/>
    <col min="11009" max="11009" width="6.140625" style="62" customWidth="1"/>
    <col min="11010" max="11010" width="11.85546875" style="62" customWidth="1"/>
    <col min="11011" max="11011" width="9.42578125" style="62" customWidth="1"/>
    <col min="11012" max="11012" width="14.7109375" style="62" customWidth="1"/>
    <col min="11013" max="11013" width="11.5703125" style="62" customWidth="1"/>
    <col min="11014" max="11014" width="0.42578125" style="62" customWidth="1"/>
    <col min="11015" max="11015" width="10.5703125" style="62" bestFit="1" customWidth="1"/>
    <col min="11016" max="11016" width="12.28515625" style="62" customWidth="1"/>
    <col min="11017" max="11017" width="12.5703125" style="62" customWidth="1"/>
    <col min="11018" max="11018" width="10.5703125" style="62" customWidth="1"/>
    <col min="11019" max="11019" width="10.140625" style="62" customWidth="1"/>
    <col min="11020" max="11020" width="8.42578125" style="62" customWidth="1"/>
    <col min="11021" max="11021" width="18.85546875" style="62" customWidth="1"/>
    <col min="11022" max="11022" width="10.28515625" style="62" customWidth="1"/>
    <col min="11023" max="11023" width="11.42578125" style="62"/>
    <col min="11024" max="11024" width="12.140625" style="62" customWidth="1"/>
    <col min="11025" max="11025" width="10.5703125" style="62" customWidth="1"/>
    <col min="11026" max="11026" width="12.42578125" style="62" customWidth="1"/>
    <col min="11027" max="11027" width="15.140625" style="62" customWidth="1"/>
    <col min="11028" max="11028" width="13.5703125" style="62" customWidth="1"/>
    <col min="11029" max="11029" width="13.140625" style="62" customWidth="1"/>
    <col min="11030" max="11030" width="15.7109375" style="62" customWidth="1"/>
    <col min="11031" max="11031" width="37.5703125" style="62" customWidth="1"/>
    <col min="11032" max="11253" width="11.42578125" style="62"/>
    <col min="11254" max="11254" width="10.5703125" style="62" customWidth="1"/>
    <col min="11255" max="11255" width="4.85546875" style="62" customWidth="1"/>
    <col min="11256" max="11256" width="32.42578125" style="62" customWidth="1"/>
    <col min="11257" max="11257" width="9.85546875" style="62" customWidth="1"/>
    <col min="11258" max="11258" width="10.140625" style="62" customWidth="1"/>
    <col min="11259" max="11259" width="12.28515625" style="62" customWidth="1"/>
    <col min="11260" max="11260" width="15.42578125" style="62" customWidth="1"/>
    <col min="11261" max="11261" width="11.85546875" style="62" customWidth="1"/>
    <col min="11262" max="11262" width="13.28515625" style="62" customWidth="1"/>
    <col min="11263" max="11263" width="15.28515625" style="62" customWidth="1"/>
    <col min="11264" max="11264" width="11.85546875" style="62" customWidth="1"/>
    <col min="11265" max="11265" width="6.140625" style="62" customWidth="1"/>
    <col min="11266" max="11266" width="11.85546875" style="62" customWidth="1"/>
    <col min="11267" max="11267" width="9.42578125" style="62" customWidth="1"/>
    <col min="11268" max="11268" width="14.7109375" style="62" customWidth="1"/>
    <col min="11269" max="11269" width="11.5703125" style="62" customWidth="1"/>
    <col min="11270" max="11270" width="0.42578125" style="62" customWidth="1"/>
    <col min="11271" max="11271" width="10.5703125" style="62" bestFit="1" customWidth="1"/>
    <col min="11272" max="11272" width="12.28515625" style="62" customWidth="1"/>
    <col min="11273" max="11273" width="12.5703125" style="62" customWidth="1"/>
    <col min="11274" max="11274" width="10.5703125" style="62" customWidth="1"/>
    <col min="11275" max="11275" width="10.140625" style="62" customWidth="1"/>
    <col min="11276" max="11276" width="8.42578125" style="62" customWidth="1"/>
    <col min="11277" max="11277" width="18.85546875" style="62" customWidth="1"/>
    <col min="11278" max="11278" width="10.28515625" style="62" customWidth="1"/>
    <col min="11279" max="11279" width="11.42578125" style="62"/>
    <col min="11280" max="11280" width="12.140625" style="62" customWidth="1"/>
    <col min="11281" max="11281" width="10.5703125" style="62" customWidth="1"/>
    <col min="11282" max="11282" width="12.42578125" style="62" customWidth="1"/>
    <col min="11283" max="11283" width="15.140625" style="62" customWidth="1"/>
    <col min="11284" max="11284" width="13.5703125" style="62" customWidth="1"/>
    <col min="11285" max="11285" width="13.140625" style="62" customWidth="1"/>
    <col min="11286" max="11286" width="15.7109375" style="62" customWidth="1"/>
    <col min="11287" max="11287" width="37.5703125" style="62" customWidth="1"/>
    <col min="11288" max="11509" width="11.42578125" style="62"/>
    <col min="11510" max="11510" width="10.5703125" style="62" customWidth="1"/>
    <col min="11511" max="11511" width="4.85546875" style="62" customWidth="1"/>
    <col min="11512" max="11512" width="32.42578125" style="62" customWidth="1"/>
    <col min="11513" max="11513" width="9.85546875" style="62" customWidth="1"/>
    <col min="11514" max="11514" width="10.140625" style="62" customWidth="1"/>
    <col min="11515" max="11515" width="12.28515625" style="62" customWidth="1"/>
    <col min="11516" max="11516" width="15.42578125" style="62" customWidth="1"/>
    <col min="11517" max="11517" width="11.85546875" style="62" customWidth="1"/>
    <col min="11518" max="11518" width="13.28515625" style="62" customWidth="1"/>
    <col min="11519" max="11519" width="15.28515625" style="62" customWidth="1"/>
    <col min="11520" max="11520" width="11.85546875" style="62" customWidth="1"/>
    <col min="11521" max="11521" width="6.140625" style="62" customWidth="1"/>
    <col min="11522" max="11522" width="11.85546875" style="62" customWidth="1"/>
    <col min="11523" max="11523" width="9.42578125" style="62" customWidth="1"/>
    <col min="11524" max="11524" width="14.7109375" style="62" customWidth="1"/>
    <col min="11525" max="11525" width="11.5703125" style="62" customWidth="1"/>
    <col min="11526" max="11526" width="0.42578125" style="62" customWidth="1"/>
    <col min="11527" max="11527" width="10.5703125" style="62" bestFit="1" customWidth="1"/>
    <col min="11528" max="11528" width="12.28515625" style="62" customWidth="1"/>
    <col min="11529" max="11529" width="12.5703125" style="62" customWidth="1"/>
    <col min="11530" max="11530" width="10.5703125" style="62" customWidth="1"/>
    <col min="11531" max="11531" width="10.140625" style="62" customWidth="1"/>
    <col min="11532" max="11532" width="8.42578125" style="62" customWidth="1"/>
    <col min="11533" max="11533" width="18.85546875" style="62" customWidth="1"/>
    <col min="11534" max="11534" width="10.28515625" style="62" customWidth="1"/>
    <col min="11535" max="11535" width="11.42578125" style="62"/>
    <col min="11536" max="11536" width="12.140625" style="62" customWidth="1"/>
    <col min="11537" max="11537" width="10.5703125" style="62" customWidth="1"/>
    <col min="11538" max="11538" width="12.42578125" style="62" customWidth="1"/>
    <col min="11539" max="11539" width="15.140625" style="62" customWidth="1"/>
    <col min="11540" max="11540" width="13.5703125" style="62" customWidth="1"/>
    <col min="11541" max="11541" width="13.140625" style="62" customWidth="1"/>
    <col min="11542" max="11542" width="15.7109375" style="62" customWidth="1"/>
    <col min="11543" max="11543" width="37.5703125" style="62" customWidth="1"/>
    <col min="11544" max="11765" width="11.42578125" style="62"/>
    <col min="11766" max="11766" width="10.5703125" style="62" customWidth="1"/>
    <col min="11767" max="11767" width="4.85546875" style="62" customWidth="1"/>
    <col min="11768" max="11768" width="32.42578125" style="62" customWidth="1"/>
    <col min="11769" max="11769" width="9.85546875" style="62" customWidth="1"/>
    <col min="11770" max="11770" width="10.140625" style="62" customWidth="1"/>
    <col min="11771" max="11771" width="12.28515625" style="62" customWidth="1"/>
    <col min="11772" max="11772" width="15.42578125" style="62" customWidth="1"/>
    <col min="11773" max="11773" width="11.85546875" style="62" customWidth="1"/>
    <col min="11774" max="11774" width="13.28515625" style="62" customWidth="1"/>
    <col min="11775" max="11775" width="15.28515625" style="62" customWidth="1"/>
    <col min="11776" max="11776" width="11.85546875" style="62" customWidth="1"/>
    <col min="11777" max="11777" width="6.140625" style="62" customWidth="1"/>
    <col min="11778" max="11778" width="11.85546875" style="62" customWidth="1"/>
    <col min="11779" max="11779" width="9.42578125" style="62" customWidth="1"/>
    <col min="11780" max="11780" width="14.7109375" style="62" customWidth="1"/>
    <col min="11781" max="11781" width="11.5703125" style="62" customWidth="1"/>
    <col min="11782" max="11782" width="0.42578125" style="62" customWidth="1"/>
    <col min="11783" max="11783" width="10.5703125" style="62" bestFit="1" customWidth="1"/>
    <col min="11784" max="11784" width="12.28515625" style="62" customWidth="1"/>
    <col min="11785" max="11785" width="12.5703125" style="62" customWidth="1"/>
    <col min="11786" max="11786" width="10.5703125" style="62" customWidth="1"/>
    <col min="11787" max="11787" width="10.140625" style="62" customWidth="1"/>
    <col min="11788" max="11788" width="8.42578125" style="62" customWidth="1"/>
    <col min="11789" max="11789" width="18.85546875" style="62" customWidth="1"/>
    <col min="11790" max="11790" width="10.28515625" style="62" customWidth="1"/>
    <col min="11791" max="11791" width="11.42578125" style="62"/>
    <col min="11792" max="11792" width="12.140625" style="62" customWidth="1"/>
    <col min="11793" max="11793" width="10.5703125" style="62" customWidth="1"/>
    <col min="11794" max="11794" width="12.42578125" style="62" customWidth="1"/>
    <col min="11795" max="11795" width="15.140625" style="62" customWidth="1"/>
    <col min="11796" max="11796" width="13.5703125" style="62" customWidth="1"/>
    <col min="11797" max="11797" width="13.140625" style="62" customWidth="1"/>
    <col min="11798" max="11798" width="15.7109375" style="62" customWidth="1"/>
    <col min="11799" max="11799" width="37.5703125" style="62" customWidth="1"/>
    <col min="11800" max="12021" width="11.42578125" style="62"/>
    <col min="12022" max="12022" width="10.5703125" style="62" customWidth="1"/>
    <col min="12023" max="12023" width="4.85546875" style="62" customWidth="1"/>
    <col min="12024" max="12024" width="32.42578125" style="62" customWidth="1"/>
    <col min="12025" max="12025" width="9.85546875" style="62" customWidth="1"/>
    <col min="12026" max="12026" width="10.140625" style="62" customWidth="1"/>
    <col min="12027" max="12027" width="12.28515625" style="62" customWidth="1"/>
    <col min="12028" max="12028" width="15.42578125" style="62" customWidth="1"/>
    <col min="12029" max="12029" width="11.85546875" style="62" customWidth="1"/>
    <col min="12030" max="12030" width="13.28515625" style="62" customWidth="1"/>
    <col min="12031" max="12031" width="15.28515625" style="62" customWidth="1"/>
    <col min="12032" max="12032" width="11.85546875" style="62" customWidth="1"/>
    <col min="12033" max="12033" width="6.140625" style="62" customWidth="1"/>
    <col min="12034" max="12034" width="11.85546875" style="62" customWidth="1"/>
    <col min="12035" max="12035" width="9.42578125" style="62" customWidth="1"/>
    <col min="12036" max="12036" width="14.7109375" style="62" customWidth="1"/>
    <col min="12037" max="12037" width="11.5703125" style="62" customWidth="1"/>
    <col min="12038" max="12038" width="0.42578125" style="62" customWidth="1"/>
    <col min="12039" max="12039" width="10.5703125" style="62" bestFit="1" customWidth="1"/>
    <col min="12040" max="12040" width="12.28515625" style="62" customWidth="1"/>
    <col min="12041" max="12041" width="12.5703125" style="62" customWidth="1"/>
    <col min="12042" max="12042" width="10.5703125" style="62" customWidth="1"/>
    <col min="12043" max="12043" width="10.140625" style="62" customWidth="1"/>
    <col min="12044" max="12044" width="8.42578125" style="62" customWidth="1"/>
    <col min="12045" max="12045" width="18.85546875" style="62" customWidth="1"/>
    <col min="12046" max="12046" width="10.28515625" style="62" customWidth="1"/>
    <col min="12047" max="12047" width="11.42578125" style="62"/>
    <col min="12048" max="12048" width="12.140625" style="62" customWidth="1"/>
    <col min="12049" max="12049" width="10.5703125" style="62" customWidth="1"/>
    <col min="12050" max="12050" width="12.42578125" style="62" customWidth="1"/>
    <col min="12051" max="12051" width="15.140625" style="62" customWidth="1"/>
    <col min="12052" max="12052" width="13.5703125" style="62" customWidth="1"/>
    <col min="12053" max="12053" width="13.140625" style="62" customWidth="1"/>
    <col min="12054" max="12054" width="15.7109375" style="62" customWidth="1"/>
    <col min="12055" max="12055" width="37.5703125" style="62" customWidth="1"/>
    <col min="12056" max="12277" width="11.42578125" style="62"/>
    <col min="12278" max="12278" width="10.5703125" style="62" customWidth="1"/>
    <col min="12279" max="12279" width="4.85546875" style="62" customWidth="1"/>
    <col min="12280" max="12280" width="32.42578125" style="62" customWidth="1"/>
    <col min="12281" max="12281" width="9.85546875" style="62" customWidth="1"/>
    <col min="12282" max="12282" width="10.140625" style="62" customWidth="1"/>
    <col min="12283" max="12283" width="12.28515625" style="62" customWidth="1"/>
    <col min="12284" max="12284" width="15.42578125" style="62" customWidth="1"/>
    <col min="12285" max="12285" width="11.85546875" style="62" customWidth="1"/>
    <col min="12286" max="12286" width="13.28515625" style="62" customWidth="1"/>
    <col min="12287" max="12287" width="15.28515625" style="62" customWidth="1"/>
    <col min="12288" max="12288" width="11.85546875" style="62" customWidth="1"/>
    <col min="12289" max="12289" width="6.140625" style="62" customWidth="1"/>
    <col min="12290" max="12290" width="11.85546875" style="62" customWidth="1"/>
    <col min="12291" max="12291" width="9.42578125" style="62" customWidth="1"/>
    <col min="12292" max="12292" width="14.7109375" style="62" customWidth="1"/>
    <col min="12293" max="12293" width="11.5703125" style="62" customWidth="1"/>
    <col min="12294" max="12294" width="0.42578125" style="62" customWidth="1"/>
    <col min="12295" max="12295" width="10.5703125" style="62" bestFit="1" customWidth="1"/>
    <col min="12296" max="12296" width="12.28515625" style="62" customWidth="1"/>
    <col min="12297" max="12297" width="12.5703125" style="62" customWidth="1"/>
    <col min="12298" max="12298" width="10.5703125" style="62" customWidth="1"/>
    <col min="12299" max="12299" width="10.140625" style="62" customWidth="1"/>
    <col min="12300" max="12300" width="8.42578125" style="62" customWidth="1"/>
    <col min="12301" max="12301" width="18.85546875" style="62" customWidth="1"/>
    <col min="12302" max="12302" width="10.28515625" style="62" customWidth="1"/>
    <col min="12303" max="12303" width="11.42578125" style="62"/>
    <col min="12304" max="12304" width="12.140625" style="62" customWidth="1"/>
    <col min="12305" max="12305" width="10.5703125" style="62" customWidth="1"/>
    <col min="12306" max="12306" width="12.42578125" style="62" customWidth="1"/>
    <col min="12307" max="12307" width="15.140625" style="62" customWidth="1"/>
    <col min="12308" max="12308" width="13.5703125" style="62" customWidth="1"/>
    <col min="12309" max="12309" width="13.140625" style="62" customWidth="1"/>
    <col min="12310" max="12310" width="15.7109375" style="62" customWidth="1"/>
    <col min="12311" max="12311" width="37.5703125" style="62" customWidth="1"/>
    <col min="12312" max="12533" width="11.42578125" style="62"/>
    <col min="12534" max="12534" width="10.5703125" style="62" customWidth="1"/>
    <col min="12535" max="12535" width="4.85546875" style="62" customWidth="1"/>
    <col min="12536" max="12536" width="32.42578125" style="62" customWidth="1"/>
    <col min="12537" max="12537" width="9.85546875" style="62" customWidth="1"/>
    <col min="12538" max="12538" width="10.140625" style="62" customWidth="1"/>
    <col min="12539" max="12539" width="12.28515625" style="62" customWidth="1"/>
    <col min="12540" max="12540" width="15.42578125" style="62" customWidth="1"/>
    <col min="12541" max="12541" width="11.85546875" style="62" customWidth="1"/>
    <col min="12542" max="12542" width="13.28515625" style="62" customWidth="1"/>
    <col min="12543" max="12543" width="15.28515625" style="62" customWidth="1"/>
    <col min="12544" max="12544" width="11.85546875" style="62" customWidth="1"/>
    <col min="12545" max="12545" width="6.140625" style="62" customWidth="1"/>
    <col min="12546" max="12546" width="11.85546875" style="62" customWidth="1"/>
    <col min="12547" max="12547" width="9.42578125" style="62" customWidth="1"/>
    <col min="12548" max="12548" width="14.7109375" style="62" customWidth="1"/>
    <col min="12549" max="12549" width="11.5703125" style="62" customWidth="1"/>
    <col min="12550" max="12550" width="0.42578125" style="62" customWidth="1"/>
    <col min="12551" max="12551" width="10.5703125" style="62" bestFit="1" customWidth="1"/>
    <col min="12552" max="12552" width="12.28515625" style="62" customWidth="1"/>
    <col min="12553" max="12553" width="12.5703125" style="62" customWidth="1"/>
    <col min="12554" max="12554" width="10.5703125" style="62" customWidth="1"/>
    <col min="12555" max="12555" width="10.140625" style="62" customWidth="1"/>
    <col min="12556" max="12556" width="8.42578125" style="62" customWidth="1"/>
    <col min="12557" max="12557" width="18.85546875" style="62" customWidth="1"/>
    <col min="12558" max="12558" width="10.28515625" style="62" customWidth="1"/>
    <col min="12559" max="12559" width="11.42578125" style="62"/>
    <col min="12560" max="12560" width="12.140625" style="62" customWidth="1"/>
    <col min="12561" max="12561" width="10.5703125" style="62" customWidth="1"/>
    <col min="12562" max="12562" width="12.42578125" style="62" customWidth="1"/>
    <col min="12563" max="12563" width="15.140625" style="62" customWidth="1"/>
    <col min="12564" max="12564" width="13.5703125" style="62" customWidth="1"/>
    <col min="12565" max="12565" width="13.140625" style="62" customWidth="1"/>
    <col min="12566" max="12566" width="15.7109375" style="62" customWidth="1"/>
    <col min="12567" max="12567" width="37.5703125" style="62" customWidth="1"/>
    <col min="12568" max="12789" width="11.42578125" style="62"/>
    <col min="12790" max="12790" width="10.5703125" style="62" customWidth="1"/>
    <col min="12791" max="12791" width="4.85546875" style="62" customWidth="1"/>
    <col min="12792" max="12792" width="32.42578125" style="62" customWidth="1"/>
    <col min="12793" max="12793" width="9.85546875" style="62" customWidth="1"/>
    <col min="12794" max="12794" width="10.140625" style="62" customWidth="1"/>
    <col min="12795" max="12795" width="12.28515625" style="62" customWidth="1"/>
    <col min="12796" max="12796" width="15.42578125" style="62" customWidth="1"/>
    <col min="12797" max="12797" width="11.85546875" style="62" customWidth="1"/>
    <col min="12798" max="12798" width="13.28515625" style="62" customWidth="1"/>
    <col min="12799" max="12799" width="15.28515625" style="62" customWidth="1"/>
    <col min="12800" max="12800" width="11.85546875" style="62" customWidth="1"/>
    <col min="12801" max="12801" width="6.140625" style="62" customWidth="1"/>
    <col min="12802" max="12802" width="11.85546875" style="62" customWidth="1"/>
    <col min="12803" max="12803" width="9.42578125" style="62" customWidth="1"/>
    <col min="12804" max="12804" width="14.7109375" style="62" customWidth="1"/>
    <col min="12805" max="12805" width="11.5703125" style="62" customWidth="1"/>
    <col min="12806" max="12806" width="0.42578125" style="62" customWidth="1"/>
    <col min="12807" max="12807" width="10.5703125" style="62" bestFit="1" customWidth="1"/>
    <col min="12808" max="12808" width="12.28515625" style="62" customWidth="1"/>
    <col min="12809" max="12809" width="12.5703125" style="62" customWidth="1"/>
    <col min="12810" max="12810" width="10.5703125" style="62" customWidth="1"/>
    <col min="12811" max="12811" width="10.140625" style="62" customWidth="1"/>
    <col min="12812" max="12812" width="8.42578125" style="62" customWidth="1"/>
    <col min="12813" max="12813" width="18.85546875" style="62" customWidth="1"/>
    <col min="12814" max="12814" width="10.28515625" style="62" customWidth="1"/>
    <col min="12815" max="12815" width="11.42578125" style="62"/>
    <col min="12816" max="12816" width="12.140625" style="62" customWidth="1"/>
    <col min="12817" max="12817" width="10.5703125" style="62" customWidth="1"/>
    <col min="12818" max="12818" width="12.42578125" style="62" customWidth="1"/>
    <col min="12819" max="12819" width="15.140625" style="62" customWidth="1"/>
    <col min="12820" max="12820" width="13.5703125" style="62" customWidth="1"/>
    <col min="12821" max="12821" width="13.140625" style="62" customWidth="1"/>
    <col min="12822" max="12822" width="15.7109375" style="62" customWidth="1"/>
    <col min="12823" max="12823" width="37.5703125" style="62" customWidth="1"/>
    <col min="12824" max="13045" width="11.42578125" style="62"/>
    <col min="13046" max="13046" width="10.5703125" style="62" customWidth="1"/>
    <col min="13047" max="13047" width="4.85546875" style="62" customWidth="1"/>
    <col min="13048" max="13048" width="32.42578125" style="62" customWidth="1"/>
    <col min="13049" max="13049" width="9.85546875" style="62" customWidth="1"/>
    <col min="13050" max="13050" width="10.140625" style="62" customWidth="1"/>
    <col min="13051" max="13051" width="12.28515625" style="62" customWidth="1"/>
    <col min="13052" max="13052" width="15.42578125" style="62" customWidth="1"/>
    <col min="13053" max="13053" width="11.85546875" style="62" customWidth="1"/>
    <col min="13054" max="13054" width="13.28515625" style="62" customWidth="1"/>
    <col min="13055" max="13055" width="15.28515625" style="62" customWidth="1"/>
    <col min="13056" max="13056" width="11.85546875" style="62" customWidth="1"/>
    <col min="13057" max="13057" width="6.140625" style="62" customWidth="1"/>
    <col min="13058" max="13058" width="11.85546875" style="62" customWidth="1"/>
    <col min="13059" max="13059" width="9.42578125" style="62" customWidth="1"/>
    <col min="13060" max="13060" width="14.7109375" style="62" customWidth="1"/>
    <col min="13061" max="13061" width="11.5703125" style="62" customWidth="1"/>
    <col min="13062" max="13062" width="0.42578125" style="62" customWidth="1"/>
    <col min="13063" max="13063" width="10.5703125" style="62" bestFit="1" customWidth="1"/>
    <col min="13064" max="13064" width="12.28515625" style="62" customWidth="1"/>
    <col min="13065" max="13065" width="12.5703125" style="62" customWidth="1"/>
    <col min="13066" max="13066" width="10.5703125" style="62" customWidth="1"/>
    <col min="13067" max="13067" width="10.140625" style="62" customWidth="1"/>
    <col min="13068" max="13068" width="8.42578125" style="62" customWidth="1"/>
    <col min="13069" max="13069" width="18.85546875" style="62" customWidth="1"/>
    <col min="13070" max="13070" width="10.28515625" style="62" customWidth="1"/>
    <col min="13071" max="13071" width="11.42578125" style="62"/>
    <col min="13072" max="13072" width="12.140625" style="62" customWidth="1"/>
    <col min="13073" max="13073" width="10.5703125" style="62" customWidth="1"/>
    <col min="13074" max="13074" width="12.42578125" style="62" customWidth="1"/>
    <col min="13075" max="13075" width="15.140625" style="62" customWidth="1"/>
    <col min="13076" max="13076" width="13.5703125" style="62" customWidth="1"/>
    <col min="13077" max="13077" width="13.140625" style="62" customWidth="1"/>
    <col min="13078" max="13078" width="15.7109375" style="62" customWidth="1"/>
    <col min="13079" max="13079" width="37.5703125" style="62" customWidth="1"/>
    <col min="13080" max="13301" width="11.42578125" style="62"/>
    <col min="13302" max="13302" width="10.5703125" style="62" customWidth="1"/>
    <col min="13303" max="13303" width="4.85546875" style="62" customWidth="1"/>
    <col min="13304" max="13304" width="32.42578125" style="62" customWidth="1"/>
    <col min="13305" max="13305" width="9.85546875" style="62" customWidth="1"/>
    <col min="13306" max="13306" width="10.140625" style="62" customWidth="1"/>
    <col min="13307" max="13307" width="12.28515625" style="62" customWidth="1"/>
    <col min="13308" max="13308" width="15.42578125" style="62" customWidth="1"/>
    <col min="13309" max="13309" width="11.85546875" style="62" customWidth="1"/>
    <col min="13310" max="13310" width="13.28515625" style="62" customWidth="1"/>
    <col min="13311" max="13311" width="15.28515625" style="62" customWidth="1"/>
    <col min="13312" max="13312" width="11.85546875" style="62" customWidth="1"/>
    <col min="13313" max="13313" width="6.140625" style="62" customWidth="1"/>
    <col min="13314" max="13314" width="11.85546875" style="62" customWidth="1"/>
    <col min="13315" max="13315" width="9.42578125" style="62" customWidth="1"/>
    <col min="13316" max="13316" width="14.7109375" style="62" customWidth="1"/>
    <col min="13317" max="13317" width="11.5703125" style="62" customWidth="1"/>
    <col min="13318" max="13318" width="0.42578125" style="62" customWidth="1"/>
    <col min="13319" max="13319" width="10.5703125" style="62" bestFit="1" customWidth="1"/>
    <col min="13320" max="13320" width="12.28515625" style="62" customWidth="1"/>
    <col min="13321" max="13321" width="12.5703125" style="62" customWidth="1"/>
    <col min="13322" max="13322" width="10.5703125" style="62" customWidth="1"/>
    <col min="13323" max="13323" width="10.140625" style="62" customWidth="1"/>
    <col min="13324" max="13324" width="8.42578125" style="62" customWidth="1"/>
    <col min="13325" max="13325" width="18.85546875" style="62" customWidth="1"/>
    <col min="13326" max="13326" width="10.28515625" style="62" customWidth="1"/>
    <col min="13327" max="13327" width="11.42578125" style="62"/>
    <col min="13328" max="13328" width="12.140625" style="62" customWidth="1"/>
    <col min="13329" max="13329" width="10.5703125" style="62" customWidth="1"/>
    <col min="13330" max="13330" width="12.42578125" style="62" customWidth="1"/>
    <col min="13331" max="13331" width="15.140625" style="62" customWidth="1"/>
    <col min="13332" max="13332" width="13.5703125" style="62" customWidth="1"/>
    <col min="13333" max="13333" width="13.140625" style="62" customWidth="1"/>
    <col min="13334" max="13334" width="15.7109375" style="62" customWidth="1"/>
    <col min="13335" max="13335" width="37.5703125" style="62" customWidth="1"/>
    <col min="13336" max="13557" width="11.42578125" style="62"/>
    <col min="13558" max="13558" width="10.5703125" style="62" customWidth="1"/>
    <col min="13559" max="13559" width="4.85546875" style="62" customWidth="1"/>
    <col min="13560" max="13560" width="32.42578125" style="62" customWidth="1"/>
    <col min="13561" max="13561" width="9.85546875" style="62" customWidth="1"/>
    <col min="13562" max="13562" width="10.140625" style="62" customWidth="1"/>
    <col min="13563" max="13563" width="12.28515625" style="62" customWidth="1"/>
    <col min="13564" max="13564" width="15.42578125" style="62" customWidth="1"/>
    <col min="13565" max="13565" width="11.85546875" style="62" customWidth="1"/>
    <col min="13566" max="13566" width="13.28515625" style="62" customWidth="1"/>
    <col min="13567" max="13567" width="15.28515625" style="62" customWidth="1"/>
    <col min="13568" max="13568" width="11.85546875" style="62" customWidth="1"/>
    <col min="13569" max="13569" width="6.140625" style="62" customWidth="1"/>
    <col min="13570" max="13570" width="11.85546875" style="62" customWidth="1"/>
    <col min="13571" max="13571" width="9.42578125" style="62" customWidth="1"/>
    <col min="13572" max="13572" width="14.7109375" style="62" customWidth="1"/>
    <col min="13573" max="13573" width="11.5703125" style="62" customWidth="1"/>
    <col min="13574" max="13574" width="0.42578125" style="62" customWidth="1"/>
    <col min="13575" max="13575" width="10.5703125" style="62" bestFit="1" customWidth="1"/>
    <col min="13576" max="13576" width="12.28515625" style="62" customWidth="1"/>
    <col min="13577" max="13577" width="12.5703125" style="62" customWidth="1"/>
    <col min="13578" max="13578" width="10.5703125" style="62" customWidth="1"/>
    <col min="13579" max="13579" width="10.140625" style="62" customWidth="1"/>
    <col min="13580" max="13580" width="8.42578125" style="62" customWidth="1"/>
    <col min="13581" max="13581" width="18.85546875" style="62" customWidth="1"/>
    <col min="13582" max="13582" width="10.28515625" style="62" customWidth="1"/>
    <col min="13583" max="13583" width="11.42578125" style="62"/>
    <col min="13584" max="13584" width="12.140625" style="62" customWidth="1"/>
    <col min="13585" max="13585" width="10.5703125" style="62" customWidth="1"/>
    <col min="13586" max="13586" width="12.42578125" style="62" customWidth="1"/>
    <col min="13587" max="13587" width="15.140625" style="62" customWidth="1"/>
    <col min="13588" max="13588" width="13.5703125" style="62" customWidth="1"/>
    <col min="13589" max="13589" width="13.140625" style="62" customWidth="1"/>
    <col min="13590" max="13590" width="15.7109375" style="62" customWidth="1"/>
    <col min="13591" max="13591" width="37.5703125" style="62" customWidth="1"/>
    <col min="13592" max="13813" width="11.42578125" style="62"/>
    <col min="13814" max="13814" width="10.5703125" style="62" customWidth="1"/>
    <col min="13815" max="13815" width="4.85546875" style="62" customWidth="1"/>
    <col min="13816" max="13816" width="32.42578125" style="62" customWidth="1"/>
    <col min="13817" max="13817" width="9.85546875" style="62" customWidth="1"/>
    <col min="13818" max="13818" width="10.140625" style="62" customWidth="1"/>
    <col min="13819" max="13819" width="12.28515625" style="62" customWidth="1"/>
    <col min="13820" max="13820" width="15.42578125" style="62" customWidth="1"/>
    <col min="13821" max="13821" width="11.85546875" style="62" customWidth="1"/>
    <col min="13822" max="13822" width="13.28515625" style="62" customWidth="1"/>
    <col min="13823" max="13823" width="15.28515625" style="62" customWidth="1"/>
    <col min="13824" max="13824" width="11.85546875" style="62" customWidth="1"/>
    <col min="13825" max="13825" width="6.140625" style="62" customWidth="1"/>
    <col min="13826" max="13826" width="11.85546875" style="62" customWidth="1"/>
    <col min="13827" max="13827" width="9.42578125" style="62" customWidth="1"/>
    <col min="13828" max="13828" width="14.7109375" style="62" customWidth="1"/>
    <col min="13829" max="13829" width="11.5703125" style="62" customWidth="1"/>
    <col min="13830" max="13830" width="0.42578125" style="62" customWidth="1"/>
    <col min="13831" max="13831" width="10.5703125" style="62" bestFit="1" customWidth="1"/>
    <col min="13832" max="13832" width="12.28515625" style="62" customWidth="1"/>
    <col min="13833" max="13833" width="12.5703125" style="62" customWidth="1"/>
    <col min="13834" max="13834" width="10.5703125" style="62" customWidth="1"/>
    <col min="13835" max="13835" width="10.140625" style="62" customWidth="1"/>
    <col min="13836" max="13836" width="8.42578125" style="62" customWidth="1"/>
    <col min="13837" max="13837" width="18.85546875" style="62" customWidth="1"/>
    <col min="13838" max="13838" width="10.28515625" style="62" customWidth="1"/>
    <col min="13839" max="13839" width="11.42578125" style="62"/>
    <col min="13840" max="13840" width="12.140625" style="62" customWidth="1"/>
    <col min="13841" max="13841" width="10.5703125" style="62" customWidth="1"/>
    <col min="13842" max="13842" width="12.42578125" style="62" customWidth="1"/>
    <col min="13843" max="13843" width="15.140625" style="62" customWidth="1"/>
    <col min="13844" max="13844" width="13.5703125" style="62" customWidth="1"/>
    <col min="13845" max="13845" width="13.140625" style="62" customWidth="1"/>
    <col min="13846" max="13846" width="15.7109375" style="62" customWidth="1"/>
    <col min="13847" max="13847" width="37.5703125" style="62" customWidth="1"/>
    <col min="13848" max="14069" width="11.42578125" style="62"/>
    <col min="14070" max="14070" width="10.5703125" style="62" customWidth="1"/>
    <col min="14071" max="14071" width="4.85546875" style="62" customWidth="1"/>
    <col min="14072" max="14072" width="32.42578125" style="62" customWidth="1"/>
    <col min="14073" max="14073" width="9.85546875" style="62" customWidth="1"/>
    <col min="14074" max="14074" width="10.140625" style="62" customWidth="1"/>
    <col min="14075" max="14075" width="12.28515625" style="62" customWidth="1"/>
    <col min="14076" max="14076" width="15.42578125" style="62" customWidth="1"/>
    <col min="14077" max="14077" width="11.85546875" style="62" customWidth="1"/>
    <col min="14078" max="14078" width="13.28515625" style="62" customWidth="1"/>
    <col min="14079" max="14079" width="15.28515625" style="62" customWidth="1"/>
    <col min="14080" max="14080" width="11.85546875" style="62" customWidth="1"/>
    <col min="14081" max="14081" width="6.140625" style="62" customWidth="1"/>
    <col min="14082" max="14082" width="11.85546875" style="62" customWidth="1"/>
    <col min="14083" max="14083" width="9.42578125" style="62" customWidth="1"/>
    <col min="14084" max="14084" width="14.7109375" style="62" customWidth="1"/>
    <col min="14085" max="14085" width="11.5703125" style="62" customWidth="1"/>
    <col min="14086" max="14086" width="0.42578125" style="62" customWidth="1"/>
    <col min="14087" max="14087" width="10.5703125" style="62" bestFit="1" customWidth="1"/>
    <col min="14088" max="14088" width="12.28515625" style="62" customWidth="1"/>
    <col min="14089" max="14089" width="12.5703125" style="62" customWidth="1"/>
    <col min="14090" max="14090" width="10.5703125" style="62" customWidth="1"/>
    <col min="14091" max="14091" width="10.140625" style="62" customWidth="1"/>
    <col min="14092" max="14092" width="8.42578125" style="62" customWidth="1"/>
    <col min="14093" max="14093" width="18.85546875" style="62" customWidth="1"/>
    <col min="14094" max="14094" width="10.28515625" style="62" customWidth="1"/>
    <col min="14095" max="14095" width="11.42578125" style="62"/>
    <col min="14096" max="14096" width="12.140625" style="62" customWidth="1"/>
    <col min="14097" max="14097" width="10.5703125" style="62" customWidth="1"/>
    <col min="14098" max="14098" width="12.42578125" style="62" customWidth="1"/>
    <col min="14099" max="14099" width="15.140625" style="62" customWidth="1"/>
    <col min="14100" max="14100" width="13.5703125" style="62" customWidth="1"/>
    <col min="14101" max="14101" width="13.140625" style="62" customWidth="1"/>
    <col min="14102" max="14102" width="15.7109375" style="62" customWidth="1"/>
    <col min="14103" max="14103" width="37.5703125" style="62" customWidth="1"/>
    <col min="14104" max="14325" width="11.42578125" style="62"/>
    <col min="14326" max="14326" width="10.5703125" style="62" customWidth="1"/>
    <col min="14327" max="14327" width="4.85546875" style="62" customWidth="1"/>
    <col min="14328" max="14328" width="32.42578125" style="62" customWidth="1"/>
    <col min="14329" max="14329" width="9.85546875" style="62" customWidth="1"/>
    <col min="14330" max="14330" width="10.140625" style="62" customWidth="1"/>
    <col min="14331" max="14331" width="12.28515625" style="62" customWidth="1"/>
    <col min="14332" max="14332" width="15.42578125" style="62" customWidth="1"/>
    <col min="14333" max="14333" width="11.85546875" style="62" customWidth="1"/>
    <col min="14334" max="14334" width="13.28515625" style="62" customWidth="1"/>
    <col min="14335" max="14335" width="15.28515625" style="62" customWidth="1"/>
    <col min="14336" max="14336" width="11.85546875" style="62" customWidth="1"/>
    <col min="14337" max="14337" width="6.140625" style="62" customWidth="1"/>
    <col min="14338" max="14338" width="11.85546875" style="62" customWidth="1"/>
    <col min="14339" max="14339" width="9.42578125" style="62" customWidth="1"/>
    <col min="14340" max="14340" width="14.7109375" style="62" customWidth="1"/>
    <col min="14341" max="14341" width="11.5703125" style="62" customWidth="1"/>
    <col min="14342" max="14342" width="0.42578125" style="62" customWidth="1"/>
    <col min="14343" max="14343" width="10.5703125" style="62" bestFit="1" customWidth="1"/>
    <col min="14344" max="14344" width="12.28515625" style="62" customWidth="1"/>
    <col min="14345" max="14345" width="12.5703125" style="62" customWidth="1"/>
    <col min="14346" max="14346" width="10.5703125" style="62" customWidth="1"/>
    <col min="14347" max="14347" width="10.140625" style="62" customWidth="1"/>
    <col min="14348" max="14348" width="8.42578125" style="62" customWidth="1"/>
    <col min="14349" max="14349" width="18.85546875" style="62" customWidth="1"/>
    <col min="14350" max="14350" width="10.28515625" style="62" customWidth="1"/>
    <col min="14351" max="14351" width="11.42578125" style="62"/>
    <col min="14352" max="14352" width="12.140625" style="62" customWidth="1"/>
    <col min="14353" max="14353" width="10.5703125" style="62" customWidth="1"/>
    <col min="14354" max="14354" width="12.42578125" style="62" customWidth="1"/>
    <col min="14355" max="14355" width="15.140625" style="62" customWidth="1"/>
    <col min="14356" max="14356" width="13.5703125" style="62" customWidth="1"/>
    <col min="14357" max="14357" width="13.140625" style="62" customWidth="1"/>
    <col min="14358" max="14358" width="15.7109375" style="62" customWidth="1"/>
    <col min="14359" max="14359" width="37.5703125" style="62" customWidth="1"/>
    <col min="14360" max="14581" width="11.42578125" style="62"/>
    <col min="14582" max="14582" width="10.5703125" style="62" customWidth="1"/>
    <col min="14583" max="14583" width="4.85546875" style="62" customWidth="1"/>
    <col min="14584" max="14584" width="32.42578125" style="62" customWidth="1"/>
    <col min="14585" max="14585" width="9.85546875" style="62" customWidth="1"/>
    <col min="14586" max="14586" width="10.140625" style="62" customWidth="1"/>
    <col min="14587" max="14587" width="12.28515625" style="62" customWidth="1"/>
    <col min="14588" max="14588" width="15.42578125" style="62" customWidth="1"/>
    <col min="14589" max="14589" width="11.85546875" style="62" customWidth="1"/>
    <col min="14590" max="14590" width="13.28515625" style="62" customWidth="1"/>
    <col min="14591" max="14591" width="15.28515625" style="62" customWidth="1"/>
    <col min="14592" max="14592" width="11.85546875" style="62" customWidth="1"/>
    <col min="14593" max="14593" width="6.140625" style="62" customWidth="1"/>
    <col min="14594" max="14594" width="11.85546875" style="62" customWidth="1"/>
    <col min="14595" max="14595" width="9.42578125" style="62" customWidth="1"/>
    <col min="14596" max="14596" width="14.7109375" style="62" customWidth="1"/>
    <col min="14597" max="14597" width="11.5703125" style="62" customWidth="1"/>
    <col min="14598" max="14598" width="0.42578125" style="62" customWidth="1"/>
    <col min="14599" max="14599" width="10.5703125" style="62" bestFit="1" customWidth="1"/>
    <col min="14600" max="14600" width="12.28515625" style="62" customWidth="1"/>
    <col min="14601" max="14601" width="12.5703125" style="62" customWidth="1"/>
    <col min="14602" max="14602" width="10.5703125" style="62" customWidth="1"/>
    <col min="14603" max="14603" width="10.140625" style="62" customWidth="1"/>
    <col min="14604" max="14604" width="8.42578125" style="62" customWidth="1"/>
    <col min="14605" max="14605" width="18.85546875" style="62" customWidth="1"/>
    <col min="14606" max="14606" width="10.28515625" style="62" customWidth="1"/>
    <col min="14607" max="14607" width="11.42578125" style="62"/>
    <col min="14608" max="14608" width="12.140625" style="62" customWidth="1"/>
    <col min="14609" max="14609" width="10.5703125" style="62" customWidth="1"/>
    <col min="14610" max="14610" width="12.42578125" style="62" customWidth="1"/>
    <col min="14611" max="14611" width="15.140625" style="62" customWidth="1"/>
    <col min="14612" max="14612" width="13.5703125" style="62" customWidth="1"/>
    <col min="14613" max="14613" width="13.140625" style="62" customWidth="1"/>
    <col min="14614" max="14614" width="15.7109375" style="62" customWidth="1"/>
    <col min="14615" max="14615" width="37.5703125" style="62" customWidth="1"/>
    <col min="14616" max="14837" width="11.42578125" style="62"/>
    <col min="14838" max="14838" width="10.5703125" style="62" customWidth="1"/>
    <col min="14839" max="14839" width="4.85546875" style="62" customWidth="1"/>
    <col min="14840" max="14840" width="32.42578125" style="62" customWidth="1"/>
    <col min="14841" max="14841" width="9.85546875" style="62" customWidth="1"/>
    <col min="14842" max="14842" width="10.140625" style="62" customWidth="1"/>
    <col min="14843" max="14843" width="12.28515625" style="62" customWidth="1"/>
    <col min="14844" max="14844" width="15.42578125" style="62" customWidth="1"/>
    <col min="14845" max="14845" width="11.85546875" style="62" customWidth="1"/>
    <col min="14846" max="14846" width="13.28515625" style="62" customWidth="1"/>
    <col min="14847" max="14847" width="15.28515625" style="62" customWidth="1"/>
    <col min="14848" max="14848" width="11.85546875" style="62" customWidth="1"/>
    <col min="14849" max="14849" width="6.140625" style="62" customWidth="1"/>
    <col min="14850" max="14850" width="11.85546875" style="62" customWidth="1"/>
    <col min="14851" max="14851" width="9.42578125" style="62" customWidth="1"/>
    <col min="14852" max="14852" width="14.7109375" style="62" customWidth="1"/>
    <col min="14853" max="14853" width="11.5703125" style="62" customWidth="1"/>
    <col min="14854" max="14854" width="0.42578125" style="62" customWidth="1"/>
    <col min="14855" max="14855" width="10.5703125" style="62" bestFit="1" customWidth="1"/>
    <col min="14856" max="14856" width="12.28515625" style="62" customWidth="1"/>
    <col min="14857" max="14857" width="12.5703125" style="62" customWidth="1"/>
    <col min="14858" max="14858" width="10.5703125" style="62" customWidth="1"/>
    <col min="14859" max="14859" width="10.140625" style="62" customWidth="1"/>
    <col min="14860" max="14860" width="8.42578125" style="62" customWidth="1"/>
    <col min="14861" max="14861" width="18.85546875" style="62" customWidth="1"/>
    <col min="14862" max="14862" width="10.28515625" style="62" customWidth="1"/>
    <col min="14863" max="14863" width="11.42578125" style="62"/>
    <col min="14864" max="14864" width="12.140625" style="62" customWidth="1"/>
    <col min="14865" max="14865" width="10.5703125" style="62" customWidth="1"/>
    <col min="14866" max="14866" width="12.42578125" style="62" customWidth="1"/>
    <col min="14867" max="14867" width="15.140625" style="62" customWidth="1"/>
    <col min="14868" max="14868" width="13.5703125" style="62" customWidth="1"/>
    <col min="14869" max="14869" width="13.140625" style="62" customWidth="1"/>
    <col min="14870" max="14870" width="15.7109375" style="62" customWidth="1"/>
    <col min="14871" max="14871" width="37.5703125" style="62" customWidth="1"/>
    <col min="14872" max="15093" width="11.42578125" style="62"/>
    <col min="15094" max="15094" width="10.5703125" style="62" customWidth="1"/>
    <col min="15095" max="15095" width="4.85546875" style="62" customWidth="1"/>
    <col min="15096" max="15096" width="32.42578125" style="62" customWidth="1"/>
    <col min="15097" max="15097" width="9.85546875" style="62" customWidth="1"/>
    <col min="15098" max="15098" width="10.140625" style="62" customWidth="1"/>
    <col min="15099" max="15099" width="12.28515625" style="62" customWidth="1"/>
    <col min="15100" max="15100" width="15.42578125" style="62" customWidth="1"/>
    <col min="15101" max="15101" width="11.85546875" style="62" customWidth="1"/>
    <col min="15102" max="15102" width="13.28515625" style="62" customWidth="1"/>
    <col min="15103" max="15103" width="15.28515625" style="62" customWidth="1"/>
    <col min="15104" max="15104" width="11.85546875" style="62" customWidth="1"/>
    <col min="15105" max="15105" width="6.140625" style="62" customWidth="1"/>
    <col min="15106" max="15106" width="11.85546875" style="62" customWidth="1"/>
    <col min="15107" max="15107" width="9.42578125" style="62" customWidth="1"/>
    <col min="15108" max="15108" width="14.7109375" style="62" customWidth="1"/>
    <col min="15109" max="15109" width="11.5703125" style="62" customWidth="1"/>
    <col min="15110" max="15110" width="0.42578125" style="62" customWidth="1"/>
    <col min="15111" max="15111" width="10.5703125" style="62" bestFit="1" customWidth="1"/>
    <col min="15112" max="15112" width="12.28515625" style="62" customWidth="1"/>
    <col min="15113" max="15113" width="12.5703125" style="62" customWidth="1"/>
    <col min="15114" max="15114" width="10.5703125" style="62" customWidth="1"/>
    <col min="15115" max="15115" width="10.140625" style="62" customWidth="1"/>
    <col min="15116" max="15116" width="8.42578125" style="62" customWidth="1"/>
    <col min="15117" max="15117" width="18.85546875" style="62" customWidth="1"/>
    <col min="15118" max="15118" width="10.28515625" style="62" customWidth="1"/>
    <col min="15119" max="15119" width="11.42578125" style="62"/>
    <col min="15120" max="15120" width="12.140625" style="62" customWidth="1"/>
    <col min="15121" max="15121" width="10.5703125" style="62" customWidth="1"/>
    <col min="15122" max="15122" width="12.42578125" style="62" customWidth="1"/>
    <col min="15123" max="15123" width="15.140625" style="62" customWidth="1"/>
    <col min="15124" max="15124" width="13.5703125" style="62" customWidth="1"/>
    <col min="15125" max="15125" width="13.140625" style="62" customWidth="1"/>
    <col min="15126" max="15126" width="15.7109375" style="62" customWidth="1"/>
    <col min="15127" max="15127" width="37.5703125" style="62" customWidth="1"/>
    <col min="15128" max="15349" width="11.42578125" style="62"/>
    <col min="15350" max="15350" width="10.5703125" style="62" customWidth="1"/>
    <col min="15351" max="15351" width="4.85546875" style="62" customWidth="1"/>
    <col min="15352" max="15352" width="32.42578125" style="62" customWidth="1"/>
    <col min="15353" max="15353" width="9.85546875" style="62" customWidth="1"/>
    <col min="15354" max="15354" width="10.140625" style="62" customWidth="1"/>
    <col min="15355" max="15355" width="12.28515625" style="62" customWidth="1"/>
    <col min="15356" max="15356" width="15.42578125" style="62" customWidth="1"/>
    <col min="15357" max="15357" width="11.85546875" style="62" customWidth="1"/>
    <col min="15358" max="15358" width="13.28515625" style="62" customWidth="1"/>
    <col min="15359" max="15359" width="15.28515625" style="62" customWidth="1"/>
    <col min="15360" max="15360" width="11.85546875" style="62" customWidth="1"/>
    <col min="15361" max="15361" width="6.140625" style="62" customWidth="1"/>
    <col min="15362" max="15362" width="11.85546875" style="62" customWidth="1"/>
    <col min="15363" max="15363" width="9.42578125" style="62" customWidth="1"/>
    <col min="15364" max="15364" width="14.7109375" style="62" customWidth="1"/>
    <col min="15365" max="15365" width="11.5703125" style="62" customWidth="1"/>
    <col min="15366" max="15366" width="0.42578125" style="62" customWidth="1"/>
    <col min="15367" max="15367" width="10.5703125" style="62" bestFit="1" customWidth="1"/>
    <col min="15368" max="15368" width="12.28515625" style="62" customWidth="1"/>
    <col min="15369" max="15369" width="12.5703125" style="62" customWidth="1"/>
    <col min="15370" max="15370" width="10.5703125" style="62" customWidth="1"/>
    <col min="15371" max="15371" width="10.140625" style="62" customWidth="1"/>
    <col min="15372" max="15372" width="8.42578125" style="62" customWidth="1"/>
    <col min="15373" max="15373" width="18.85546875" style="62" customWidth="1"/>
    <col min="15374" max="15374" width="10.28515625" style="62" customWidth="1"/>
    <col min="15375" max="15375" width="11.42578125" style="62"/>
    <col min="15376" max="15376" width="12.140625" style="62" customWidth="1"/>
    <col min="15377" max="15377" width="10.5703125" style="62" customWidth="1"/>
    <col min="15378" max="15378" width="12.42578125" style="62" customWidth="1"/>
    <col min="15379" max="15379" width="15.140625" style="62" customWidth="1"/>
    <col min="15380" max="15380" width="13.5703125" style="62" customWidth="1"/>
    <col min="15381" max="15381" width="13.140625" style="62" customWidth="1"/>
    <col min="15382" max="15382" width="15.7109375" style="62" customWidth="1"/>
    <col min="15383" max="15383" width="37.5703125" style="62" customWidth="1"/>
    <col min="15384" max="15605" width="11.42578125" style="62"/>
    <col min="15606" max="15606" width="10.5703125" style="62" customWidth="1"/>
    <col min="15607" max="15607" width="4.85546875" style="62" customWidth="1"/>
    <col min="15608" max="15608" width="32.42578125" style="62" customWidth="1"/>
    <col min="15609" max="15609" width="9.85546875" style="62" customWidth="1"/>
    <col min="15610" max="15610" width="10.140625" style="62" customWidth="1"/>
    <col min="15611" max="15611" width="12.28515625" style="62" customWidth="1"/>
    <col min="15612" max="15612" width="15.42578125" style="62" customWidth="1"/>
    <col min="15613" max="15613" width="11.85546875" style="62" customWidth="1"/>
    <col min="15614" max="15614" width="13.28515625" style="62" customWidth="1"/>
    <col min="15615" max="15615" width="15.28515625" style="62" customWidth="1"/>
    <col min="15616" max="15616" width="11.85546875" style="62" customWidth="1"/>
    <col min="15617" max="15617" width="6.140625" style="62" customWidth="1"/>
    <col min="15618" max="15618" width="11.85546875" style="62" customWidth="1"/>
    <col min="15619" max="15619" width="9.42578125" style="62" customWidth="1"/>
    <col min="15620" max="15620" width="14.7109375" style="62" customWidth="1"/>
    <col min="15621" max="15621" width="11.5703125" style="62" customWidth="1"/>
    <col min="15622" max="15622" width="0.42578125" style="62" customWidth="1"/>
    <col min="15623" max="15623" width="10.5703125" style="62" bestFit="1" customWidth="1"/>
    <col min="15624" max="15624" width="12.28515625" style="62" customWidth="1"/>
    <col min="15625" max="15625" width="12.5703125" style="62" customWidth="1"/>
    <col min="15626" max="15626" width="10.5703125" style="62" customWidth="1"/>
    <col min="15627" max="15627" width="10.140625" style="62" customWidth="1"/>
    <col min="15628" max="15628" width="8.42578125" style="62" customWidth="1"/>
    <col min="15629" max="15629" width="18.85546875" style="62" customWidth="1"/>
    <col min="15630" max="15630" width="10.28515625" style="62" customWidth="1"/>
    <col min="15631" max="15631" width="11.42578125" style="62"/>
    <col min="15632" max="15632" width="12.140625" style="62" customWidth="1"/>
    <col min="15633" max="15633" width="10.5703125" style="62" customWidth="1"/>
    <col min="15634" max="15634" width="12.42578125" style="62" customWidth="1"/>
    <col min="15635" max="15635" width="15.140625" style="62" customWidth="1"/>
    <col min="15636" max="15636" width="13.5703125" style="62" customWidth="1"/>
    <col min="15637" max="15637" width="13.140625" style="62" customWidth="1"/>
    <col min="15638" max="15638" width="15.7109375" style="62" customWidth="1"/>
    <col min="15639" max="15639" width="37.5703125" style="62" customWidth="1"/>
    <col min="15640" max="15861" width="11.42578125" style="62"/>
    <col min="15862" max="15862" width="10.5703125" style="62" customWidth="1"/>
    <col min="15863" max="15863" width="4.85546875" style="62" customWidth="1"/>
    <col min="15864" max="15864" width="32.42578125" style="62" customWidth="1"/>
    <col min="15865" max="15865" width="9.85546875" style="62" customWidth="1"/>
    <col min="15866" max="15866" width="10.140625" style="62" customWidth="1"/>
    <col min="15867" max="15867" width="12.28515625" style="62" customWidth="1"/>
    <col min="15868" max="15868" width="15.42578125" style="62" customWidth="1"/>
    <col min="15869" max="15869" width="11.85546875" style="62" customWidth="1"/>
    <col min="15870" max="15870" width="13.28515625" style="62" customWidth="1"/>
    <col min="15871" max="15871" width="15.28515625" style="62" customWidth="1"/>
    <col min="15872" max="15872" width="11.85546875" style="62" customWidth="1"/>
    <col min="15873" max="15873" width="6.140625" style="62" customWidth="1"/>
    <col min="15874" max="15874" width="11.85546875" style="62" customWidth="1"/>
    <col min="15875" max="15875" width="9.42578125" style="62" customWidth="1"/>
    <col min="15876" max="15876" width="14.7109375" style="62" customWidth="1"/>
    <col min="15877" max="15877" width="11.5703125" style="62" customWidth="1"/>
    <col min="15878" max="15878" width="0.42578125" style="62" customWidth="1"/>
    <col min="15879" max="15879" width="10.5703125" style="62" bestFit="1" customWidth="1"/>
    <col min="15880" max="15880" width="12.28515625" style="62" customWidth="1"/>
    <col min="15881" max="15881" width="12.5703125" style="62" customWidth="1"/>
    <col min="15882" max="15882" width="10.5703125" style="62" customWidth="1"/>
    <col min="15883" max="15883" width="10.140625" style="62" customWidth="1"/>
    <col min="15884" max="15884" width="8.42578125" style="62" customWidth="1"/>
    <col min="15885" max="15885" width="18.85546875" style="62" customWidth="1"/>
    <col min="15886" max="15886" width="10.28515625" style="62" customWidth="1"/>
    <col min="15887" max="15887" width="11.42578125" style="62"/>
    <col min="15888" max="15888" width="12.140625" style="62" customWidth="1"/>
    <col min="15889" max="15889" width="10.5703125" style="62" customWidth="1"/>
    <col min="15890" max="15890" width="12.42578125" style="62" customWidth="1"/>
    <col min="15891" max="15891" width="15.140625" style="62" customWidth="1"/>
    <col min="15892" max="15892" width="13.5703125" style="62" customWidth="1"/>
    <col min="15893" max="15893" width="13.140625" style="62" customWidth="1"/>
    <col min="15894" max="15894" width="15.7109375" style="62" customWidth="1"/>
    <col min="15895" max="15895" width="37.5703125" style="62" customWidth="1"/>
    <col min="15896" max="16117" width="11.42578125" style="62"/>
    <col min="16118" max="16118" width="10.5703125" style="62" customWidth="1"/>
    <col min="16119" max="16119" width="4.85546875" style="62" customWidth="1"/>
    <col min="16120" max="16120" width="32.42578125" style="62" customWidth="1"/>
    <col min="16121" max="16121" width="9.85546875" style="62" customWidth="1"/>
    <col min="16122" max="16122" width="10.140625" style="62" customWidth="1"/>
    <col min="16123" max="16123" width="12.28515625" style="62" customWidth="1"/>
    <col min="16124" max="16124" width="15.42578125" style="62" customWidth="1"/>
    <col min="16125" max="16125" width="11.85546875" style="62" customWidth="1"/>
    <col min="16126" max="16126" width="13.28515625" style="62" customWidth="1"/>
    <col min="16127" max="16127" width="15.28515625" style="62" customWidth="1"/>
    <col min="16128" max="16128" width="11.85546875" style="62" customWidth="1"/>
    <col min="16129" max="16129" width="6.140625" style="62" customWidth="1"/>
    <col min="16130" max="16130" width="11.85546875" style="62" customWidth="1"/>
    <col min="16131" max="16131" width="9.42578125" style="62" customWidth="1"/>
    <col min="16132" max="16132" width="14.7109375" style="62" customWidth="1"/>
    <col min="16133" max="16133" width="11.5703125" style="62" customWidth="1"/>
    <col min="16134" max="16134" width="0.42578125" style="62" customWidth="1"/>
    <col min="16135" max="16135" width="10.5703125" style="62" bestFit="1" customWidth="1"/>
    <col min="16136" max="16136" width="12.28515625" style="62" customWidth="1"/>
    <col min="16137" max="16137" width="12.5703125" style="62" customWidth="1"/>
    <col min="16138" max="16138" width="10.5703125" style="62" customWidth="1"/>
    <col min="16139" max="16139" width="10.140625" style="62" customWidth="1"/>
    <col min="16140" max="16140" width="8.42578125" style="62" customWidth="1"/>
    <col min="16141" max="16141" width="18.85546875" style="62" customWidth="1"/>
    <col min="16142" max="16142" width="10.28515625" style="62" customWidth="1"/>
    <col min="16143" max="16143" width="11.42578125" style="62"/>
    <col min="16144" max="16144" width="12.140625" style="62" customWidth="1"/>
    <col min="16145" max="16145" width="10.5703125" style="62" customWidth="1"/>
    <col min="16146" max="16146" width="12.42578125" style="62" customWidth="1"/>
    <col min="16147" max="16147" width="15.140625" style="62" customWidth="1"/>
    <col min="16148" max="16148" width="13.5703125" style="62" customWidth="1"/>
    <col min="16149" max="16149" width="13.140625" style="62" customWidth="1"/>
    <col min="16150" max="16150" width="15.7109375" style="62" customWidth="1"/>
    <col min="16151" max="16151" width="37.5703125" style="62" customWidth="1"/>
    <col min="16152" max="16384" width="11.42578125" style="62"/>
  </cols>
  <sheetData>
    <row r="1" spans="1:26" ht="15" customHeight="1" x14ac:dyDescent="0.25">
      <c r="A1" s="110" t="s">
        <v>254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2"/>
    </row>
    <row r="2" spans="1:26" ht="15" customHeight="1" x14ac:dyDescent="0.25">
      <c r="A2" s="113" t="s">
        <v>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5"/>
      <c r="P2" s="96" t="s">
        <v>3</v>
      </c>
      <c r="Q2" s="97"/>
      <c r="R2" s="97"/>
      <c r="S2" s="97"/>
      <c r="T2" s="97"/>
      <c r="U2" s="97"/>
      <c r="V2" s="97"/>
      <c r="W2" s="97"/>
      <c r="X2" s="98"/>
      <c r="Y2" s="114"/>
    </row>
    <row r="3" spans="1:26" ht="24.75" customHeight="1" x14ac:dyDescent="0.25">
      <c r="A3" s="115"/>
      <c r="B3" s="2" t="s">
        <v>4</v>
      </c>
      <c r="C3" s="2" t="s">
        <v>5</v>
      </c>
      <c r="D3" s="2" t="s">
        <v>6</v>
      </c>
      <c r="E3" s="2" t="s">
        <v>7</v>
      </c>
      <c r="F3" s="3" t="s">
        <v>9</v>
      </c>
      <c r="G3" s="3" t="s">
        <v>10</v>
      </c>
      <c r="H3" s="3" t="s">
        <v>11</v>
      </c>
      <c r="I3" s="3" t="s">
        <v>245</v>
      </c>
      <c r="J3" s="3" t="s">
        <v>12</v>
      </c>
      <c r="K3" s="3" t="s">
        <v>172</v>
      </c>
      <c r="L3" s="3" t="s">
        <v>173</v>
      </c>
      <c r="M3" s="3" t="s">
        <v>14</v>
      </c>
      <c r="N3" s="3" t="s">
        <v>174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159</v>
      </c>
      <c r="T3" s="3" t="s">
        <v>22</v>
      </c>
      <c r="U3" s="3" t="s">
        <v>23</v>
      </c>
      <c r="V3" s="3" t="s">
        <v>180</v>
      </c>
      <c r="W3" s="3" t="s">
        <v>25</v>
      </c>
      <c r="X3" s="3" t="s">
        <v>26</v>
      </c>
      <c r="Y3" s="116" t="s">
        <v>27</v>
      </c>
    </row>
    <row r="4" spans="1:26" s="13" customFormat="1" ht="24.95" customHeight="1" x14ac:dyDescent="0.25">
      <c r="A4" s="117" t="s">
        <v>29</v>
      </c>
      <c r="B4" s="2">
        <v>1</v>
      </c>
      <c r="C4" s="1" t="s">
        <v>147</v>
      </c>
      <c r="D4" s="1" t="s">
        <v>31</v>
      </c>
      <c r="E4" s="2" t="s">
        <v>32</v>
      </c>
      <c r="F4" s="3">
        <v>4500000</v>
      </c>
      <c r="G4" s="3">
        <v>30</v>
      </c>
      <c r="H4" s="3">
        <f>+F4/30*G4</f>
        <v>4500000</v>
      </c>
      <c r="I4" s="3"/>
      <c r="J4" s="3"/>
      <c r="K4" s="3"/>
      <c r="L4" s="3"/>
      <c r="M4" s="3"/>
      <c r="N4" s="3"/>
      <c r="O4" s="3">
        <f>+H4+N4+M4+L4+K4+J4</f>
        <v>4500000</v>
      </c>
      <c r="P4" s="3">
        <f>+F4*0.04</f>
        <v>180000</v>
      </c>
      <c r="Q4" s="3">
        <f>+F4*0.05</f>
        <v>225000</v>
      </c>
      <c r="R4" s="3"/>
      <c r="S4" s="3"/>
      <c r="T4" s="3">
        <v>11000</v>
      </c>
      <c r="U4" s="3"/>
      <c r="V4" s="3"/>
      <c r="W4" s="3"/>
      <c r="X4" s="4">
        <f>SUM(P4:W4)</f>
        <v>416000</v>
      </c>
      <c r="Y4" s="118">
        <f>+O4-X4</f>
        <v>4084000</v>
      </c>
    </row>
    <row r="5" spans="1:26" ht="24.95" customHeight="1" x14ac:dyDescent="0.25">
      <c r="A5" s="117"/>
      <c r="B5" s="2">
        <v>2</v>
      </c>
      <c r="C5" s="1" t="s">
        <v>30</v>
      </c>
      <c r="D5" s="1" t="s">
        <v>31</v>
      </c>
      <c r="E5" s="2" t="s">
        <v>32</v>
      </c>
      <c r="F5" s="4">
        <v>6100000</v>
      </c>
      <c r="G5" s="3">
        <v>30</v>
      </c>
      <c r="H5" s="3">
        <f t="shared" ref="H5:H69" si="0">+F5/30*G5</f>
        <v>6100000</v>
      </c>
      <c r="I5" s="3"/>
      <c r="J5" s="4"/>
      <c r="K5" s="4"/>
      <c r="L5" s="4"/>
      <c r="M5" s="4">
        <v>500000</v>
      </c>
      <c r="N5" s="4">
        <v>905469</v>
      </c>
      <c r="O5" s="4">
        <f>+H5+J5+L5+M5+N5+K5</f>
        <v>7505469</v>
      </c>
      <c r="P5" s="4">
        <f>+(F5+N5)*4%</f>
        <v>280218.76</v>
      </c>
      <c r="Q5" s="4">
        <f>+(F5+N5)*5%</f>
        <v>350273.45</v>
      </c>
      <c r="R5" s="4"/>
      <c r="S5" s="4"/>
      <c r="T5" s="4">
        <v>117000</v>
      </c>
      <c r="U5" s="4"/>
      <c r="V5" s="4"/>
      <c r="W5" s="4"/>
      <c r="X5" s="4">
        <f t="shared" ref="X5:X10" si="1">SUM(P5:W5)</f>
        <v>747492.21</v>
      </c>
      <c r="Y5" s="118">
        <f>+O5-X5</f>
        <v>6757976.79</v>
      </c>
      <c r="Z5" s="124"/>
    </row>
    <row r="6" spans="1:26" ht="24.95" customHeight="1" x14ac:dyDescent="0.25">
      <c r="A6" s="117"/>
      <c r="B6" s="2">
        <v>3</v>
      </c>
      <c r="C6" s="1" t="s">
        <v>33</v>
      </c>
      <c r="D6" s="1" t="s">
        <v>31</v>
      </c>
      <c r="E6" s="2" t="s">
        <v>32</v>
      </c>
      <c r="F6" s="4">
        <v>6000000</v>
      </c>
      <c r="G6" s="3">
        <v>30</v>
      </c>
      <c r="H6" s="3">
        <f>+F6-K6</f>
        <v>5000000</v>
      </c>
      <c r="I6" s="3"/>
      <c r="J6" s="4"/>
      <c r="K6" s="4">
        <v>1000000</v>
      </c>
      <c r="L6" s="4"/>
      <c r="M6" s="4">
        <v>600000</v>
      </c>
      <c r="N6" s="4"/>
      <c r="O6" s="4">
        <f t="shared" ref="O6:O91" si="2">+H6+J6+L6+M6+N6+K6</f>
        <v>6600000</v>
      </c>
      <c r="P6" s="4">
        <f>F6*4%</f>
        <v>240000</v>
      </c>
      <c r="Q6" s="4">
        <f>F6*5%</f>
        <v>300000</v>
      </c>
      <c r="R6" s="4"/>
      <c r="S6" s="4"/>
      <c r="T6" s="4">
        <v>102000</v>
      </c>
      <c r="U6" s="4"/>
      <c r="V6" s="4"/>
      <c r="W6" s="4">
        <v>1212777</v>
      </c>
      <c r="X6" s="4">
        <f t="shared" si="1"/>
        <v>1854777</v>
      </c>
      <c r="Y6" s="118">
        <f>+O6-X6</f>
        <v>4745223</v>
      </c>
    </row>
    <row r="7" spans="1:26" ht="24.95" customHeight="1" x14ac:dyDescent="0.25">
      <c r="A7" s="117"/>
      <c r="B7" s="2">
        <v>4</v>
      </c>
      <c r="C7" s="1" t="s">
        <v>34</v>
      </c>
      <c r="D7" s="1" t="s">
        <v>31</v>
      </c>
      <c r="E7" s="2" t="s">
        <v>32</v>
      </c>
      <c r="F7" s="4">
        <v>6000000</v>
      </c>
      <c r="G7" s="3">
        <v>30</v>
      </c>
      <c r="H7" s="3">
        <f t="shared" si="0"/>
        <v>6000000</v>
      </c>
      <c r="I7" s="3"/>
      <c r="J7" s="4"/>
      <c r="K7" s="4"/>
      <c r="L7" s="4"/>
      <c r="M7" s="4"/>
      <c r="N7" s="4"/>
      <c r="O7" s="4">
        <f t="shared" si="2"/>
        <v>6000000</v>
      </c>
      <c r="P7" s="4">
        <f>+O7*4%</f>
        <v>240000</v>
      </c>
      <c r="Q7" s="4">
        <f>+O7*5%</f>
        <v>300000</v>
      </c>
      <c r="R7" s="4"/>
      <c r="S7" s="4"/>
      <c r="T7" s="7">
        <v>98000</v>
      </c>
      <c r="U7" s="4"/>
      <c r="V7" s="4"/>
      <c r="W7" s="4">
        <v>726520</v>
      </c>
      <c r="X7" s="4">
        <f t="shared" si="1"/>
        <v>1364520</v>
      </c>
      <c r="Y7" s="118">
        <f t="shared" ref="Y7" si="3">+O7-X7</f>
        <v>4635480</v>
      </c>
    </row>
    <row r="8" spans="1:26" ht="24.95" customHeight="1" x14ac:dyDescent="0.25">
      <c r="A8" s="117"/>
      <c r="B8" s="2">
        <v>5</v>
      </c>
      <c r="C8" s="1" t="s">
        <v>35</v>
      </c>
      <c r="D8" s="1" t="s">
        <v>31</v>
      </c>
      <c r="E8" s="2" t="s">
        <v>32</v>
      </c>
      <c r="F8" s="4">
        <v>5000000</v>
      </c>
      <c r="G8" s="3">
        <v>30</v>
      </c>
      <c r="H8" s="3">
        <f t="shared" si="0"/>
        <v>5000000</v>
      </c>
      <c r="I8" s="3"/>
      <c r="J8" s="4"/>
      <c r="K8" s="4"/>
      <c r="L8" s="4"/>
      <c r="M8" s="4"/>
      <c r="N8" s="4"/>
      <c r="O8" s="4">
        <f t="shared" si="2"/>
        <v>5000000</v>
      </c>
      <c r="P8" s="4">
        <f t="shared" ref="P8:P9" si="4">+F8*4%</f>
        <v>200000</v>
      </c>
      <c r="Q8" s="4">
        <f t="shared" ref="Q8:Q17" si="5">+F8*5%</f>
        <v>250000</v>
      </c>
      <c r="R8" s="4"/>
      <c r="S8" s="4"/>
      <c r="T8" s="7">
        <v>21409</v>
      </c>
      <c r="U8" s="4">
        <v>500000</v>
      </c>
      <c r="V8" s="4">
        <v>111000</v>
      </c>
      <c r="W8" s="4">
        <v>186238</v>
      </c>
      <c r="X8" s="4">
        <f t="shared" si="1"/>
        <v>1268647</v>
      </c>
      <c r="Y8" s="118">
        <f>+O8-X8</f>
        <v>3731353</v>
      </c>
    </row>
    <row r="9" spans="1:26" ht="24.95" customHeight="1" x14ac:dyDescent="0.25">
      <c r="A9" s="117"/>
      <c r="B9" s="2">
        <v>6</v>
      </c>
      <c r="C9" s="1" t="s">
        <v>36</v>
      </c>
      <c r="D9" s="1" t="s">
        <v>31</v>
      </c>
      <c r="E9" s="2" t="s">
        <v>32</v>
      </c>
      <c r="F9" s="4">
        <v>5300000</v>
      </c>
      <c r="G9" s="3">
        <v>30</v>
      </c>
      <c r="H9" s="3">
        <f t="shared" si="0"/>
        <v>5300000</v>
      </c>
      <c r="I9" s="3"/>
      <c r="J9" s="4"/>
      <c r="K9" s="4"/>
      <c r="L9" s="4"/>
      <c r="M9" s="4">
        <v>2012670</v>
      </c>
      <c r="N9" s="4"/>
      <c r="O9" s="4">
        <f t="shared" si="2"/>
        <v>7312670</v>
      </c>
      <c r="P9" s="4">
        <f t="shared" si="4"/>
        <v>212000</v>
      </c>
      <c r="Q9" s="4">
        <f t="shared" si="5"/>
        <v>265000</v>
      </c>
      <c r="R9" s="4"/>
      <c r="S9" s="4"/>
      <c r="T9" s="4">
        <v>50000</v>
      </c>
      <c r="U9" s="4">
        <v>700000</v>
      </c>
      <c r="V9" s="4"/>
      <c r="W9" s="4"/>
      <c r="X9" s="4">
        <f t="shared" si="1"/>
        <v>1227000</v>
      </c>
      <c r="Y9" s="118">
        <f>+O9-X9</f>
        <v>6085670</v>
      </c>
    </row>
    <row r="10" spans="1:26" ht="24.95" customHeight="1" x14ac:dyDescent="0.25">
      <c r="A10" s="117"/>
      <c r="B10" s="2">
        <v>7</v>
      </c>
      <c r="C10" s="1" t="s">
        <v>37</v>
      </c>
      <c r="D10" s="1" t="s">
        <v>31</v>
      </c>
      <c r="E10" s="2" t="s">
        <v>32</v>
      </c>
      <c r="F10" s="4">
        <v>5200000</v>
      </c>
      <c r="G10" s="3">
        <v>30</v>
      </c>
      <c r="H10" s="3">
        <f t="shared" si="0"/>
        <v>5200000</v>
      </c>
      <c r="I10" s="3"/>
      <c r="J10" s="4"/>
      <c r="K10" s="4"/>
      <c r="L10" s="4"/>
      <c r="M10" s="4">
        <v>89000</v>
      </c>
      <c r="N10" s="4"/>
      <c r="O10" s="4">
        <f t="shared" si="2"/>
        <v>5289000</v>
      </c>
      <c r="P10" s="4">
        <f>+F10*4%</f>
        <v>208000</v>
      </c>
      <c r="Q10" s="4">
        <f>+F10*5%</f>
        <v>260000</v>
      </c>
      <c r="R10" s="4"/>
      <c r="S10" s="4"/>
      <c r="T10" s="4">
        <v>5500</v>
      </c>
      <c r="U10" s="4"/>
      <c r="V10" s="4"/>
      <c r="W10" s="4">
        <f>945750+420786</f>
        <v>1366536</v>
      </c>
      <c r="X10" s="4">
        <f t="shared" si="1"/>
        <v>1840036</v>
      </c>
      <c r="Y10" s="118">
        <f>O10-X10</f>
        <v>3448964</v>
      </c>
    </row>
    <row r="11" spans="1:26" ht="24.95" customHeight="1" x14ac:dyDescent="0.25">
      <c r="A11" s="117"/>
      <c r="B11" s="2">
        <v>8</v>
      </c>
      <c r="C11" s="1" t="s">
        <v>39</v>
      </c>
      <c r="D11" s="1" t="s">
        <v>31</v>
      </c>
      <c r="E11" s="2" t="s">
        <v>32</v>
      </c>
      <c r="F11" s="4">
        <v>5184000</v>
      </c>
      <c r="G11" s="3">
        <v>30</v>
      </c>
      <c r="H11" s="3">
        <f t="shared" si="0"/>
        <v>5184000</v>
      </c>
      <c r="I11" s="3"/>
      <c r="J11" s="4"/>
      <c r="K11" s="4"/>
      <c r="L11" s="4"/>
      <c r="M11" s="4"/>
      <c r="N11" s="4"/>
      <c r="O11" s="4">
        <f t="shared" si="2"/>
        <v>5184000</v>
      </c>
      <c r="P11" s="4">
        <f>+H11*4%</f>
        <v>207360</v>
      </c>
      <c r="Q11" s="4">
        <f>+H11*5%</f>
        <v>259200</v>
      </c>
      <c r="R11" s="4"/>
      <c r="S11" s="4"/>
      <c r="T11" s="4">
        <v>78000</v>
      </c>
      <c r="U11" s="4"/>
      <c r="V11" s="4"/>
      <c r="W11" s="4"/>
      <c r="X11" s="4">
        <f t="shared" ref="X11:X72" si="6">SUM(P11:W11)</f>
        <v>544560</v>
      </c>
      <c r="Y11" s="118">
        <f>O11-X11</f>
        <v>4639440</v>
      </c>
    </row>
    <row r="12" spans="1:26" ht="24.95" customHeight="1" x14ac:dyDescent="0.25">
      <c r="A12" s="117"/>
      <c r="B12" s="2">
        <v>9</v>
      </c>
      <c r="C12" s="1" t="s">
        <v>160</v>
      </c>
      <c r="D12" s="1" t="s">
        <v>31</v>
      </c>
      <c r="E12" s="2" t="s">
        <v>32</v>
      </c>
      <c r="F12" s="4">
        <v>3700000</v>
      </c>
      <c r="G12" s="3">
        <v>30</v>
      </c>
      <c r="H12" s="3">
        <f t="shared" si="0"/>
        <v>3700000</v>
      </c>
      <c r="I12" s="3"/>
      <c r="J12" s="4"/>
      <c r="K12" s="4"/>
      <c r="L12" s="4"/>
      <c r="M12" s="4"/>
      <c r="N12" s="4"/>
      <c r="O12" s="4">
        <f t="shared" si="2"/>
        <v>3700000</v>
      </c>
      <c r="P12" s="4">
        <f>+H12*4%</f>
        <v>148000</v>
      </c>
      <c r="Q12" s="4">
        <f>+H12*5%</f>
        <v>185000</v>
      </c>
      <c r="R12" s="4"/>
      <c r="S12" s="4"/>
      <c r="T12" s="4"/>
      <c r="U12" s="4"/>
      <c r="V12" s="4"/>
      <c r="W12" s="4"/>
      <c r="X12" s="4">
        <f t="shared" ref="X12:X15" si="7">SUM(P12:W12)</f>
        <v>333000</v>
      </c>
      <c r="Y12" s="118">
        <f>O12-X12</f>
        <v>3367000</v>
      </c>
    </row>
    <row r="13" spans="1:26" ht="24.95" customHeight="1" x14ac:dyDescent="0.25">
      <c r="A13" s="117"/>
      <c r="B13" s="2">
        <v>10</v>
      </c>
      <c r="C13" s="1" t="s">
        <v>181</v>
      </c>
      <c r="D13" s="1" t="s">
        <v>31</v>
      </c>
      <c r="E13" s="2" t="s">
        <v>32</v>
      </c>
      <c r="F13" s="4">
        <v>5600000</v>
      </c>
      <c r="G13" s="3">
        <v>30</v>
      </c>
      <c r="H13" s="3">
        <f t="shared" si="0"/>
        <v>5600000</v>
      </c>
      <c r="I13" s="3"/>
      <c r="J13" s="4"/>
      <c r="K13" s="4"/>
      <c r="L13" s="4"/>
      <c r="M13" s="4"/>
      <c r="N13" s="4"/>
      <c r="O13" s="4">
        <f t="shared" si="2"/>
        <v>5600000</v>
      </c>
      <c r="P13" s="4">
        <f t="shared" ref="P13" si="8">+H13*4%</f>
        <v>224000</v>
      </c>
      <c r="Q13" s="4">
        <f>+H13*5%</f>
        <v>280000</v>
      </c>
      <c r="R13" s="4"/>
      <c r="S13" s="4"/>
      <c r="T13" s="4">
        <v>36000</v>
      </c>
      <c r="U13" s="4"/>
      <c r="V13" s="4"/>
      <c r="W13" s="4"/>
      <c r="X13" s="4">
        <f t="shared" si="7"/>
        <v>540000</v>
      </c>
      <c r="Y13" s="118">
        <f t="shared" ref="Y13:Y14" si="9">O13-X13</f>
        <v>5060000</v>
      </c>
    </row>
    <row r="14" spans="1:26" ht="24.95" customHeight="1" x14ac:dyDescent="0.25">
      <c r="A14" s="117"/>
      <c r="B14" s="2">
        <v>11</v>
      </c>
      <c r="C14" s="1" t="s">
        <v>182</v>
      </c>
      <c r="D14" s="1" t="s">
        <v>31</v>
      </c>
      <c r="E14" s="2" t="s">
        <v>32</v>
      </c>
      <c r="F14" s="4">
        <v>4750000</v>
      </c>
      <c r="G14" s="3">
        <v>30</v>
      </c>
      <c r="H14" s="3">
        <f t="shared" si="0"/>
        <v>4750000</v>
      </c>
      <c r="I14" s="3"/>
      <c r="J14" s="4"/>
      <c r="K14" s="4"/>
      <c r="L14" s="4"/>
      <c r="M14" s="4"/>
      <c r="N14" s="4">
        <v>111326</v>
      </c>
      <c r="O14" s="4">
        <f t="shared" si="2"/>
        <v>4861326</v>
      </c>
      <c r="P14" s="4">
        <f>+O14*4%</f>
        <v>194453.04</v>
      </c>
      <c r="Q14" s="4">
        <f>+O14*5%</f>
        <v>243066.30000000002</v>
      </c>
      <c r="R14" s="4"/>
      <c r="S14" s="4"/>
      <c r="T14" s="4">
        <v>45000</v>
      </c>
      <c r="U14" s="4"/>
      <c r="V14" s="4"/>
      <c r="W14" s="4"/>
      <c r="X14" s="4">
        <f t="shared" si="7"/>
        <v>482519.34</v>
      </c>
      <c r="Y14" s="118">
        <f t="shared" si="9"/>
        <v>4378806.66</v>
      </c>
    </row>
    <row r="15" spans="1:26" ht="24.95" customHeight="1" x14ac:dyDescent="0.25">
      <c r="A15" s="117"/>
      <c r="B15" s="2">
        <v>12</v>
      </c>
      <c r="C15" s="1" t="s">
        <v>166</v>
      </c>
      <c r="D15" s="1" t="s">
        <v>31</v>
      </c>
      <c r="E15" s="2" t="s">
        <v>32</v>
      </c>
      <c r="F15" s="4">
        <v>4000000</v>
      </c>
      <c r="G15" s="3">
        <v>30</v>
      </c>
      <c r="H15" s="3">
        <f t="shared" si="0"/>
        <v>4000000.0000000005</v>
      </c>
      <c r="I15" s="3"/>
      <c r="J15" s="4"/>
      <c r="K15" s="4"/>
      <c r="L15" s="4"/>
      <c r="M15" s="4"/>
      <c r="N15" s="4"/>
      <c r="O15" s="4">
        <f t="shared" si="2"/>
        <v>4000000.0000000005</v>
      </c>
      <c r="P15" s="4">
        <f>+H15*4%</f>
        <v>160000.00000000003</v>
      </c>
      <c r="Q15" s="4">
        <f>+H15*5%</f>
        <v>200000.00000000003</v>
      </c>
      <c r="R15" s="4"/>
      <c r="S15" s="4"/>
      <c r="T15" s="4"/>
      <c r="U15" s="4"/>
      <c r="V15" s="4"/>
      <c r="W15" s="4"/>
      <c r="X15" s="4">
        <f t="shared" si="7"/>
        <v>360000.00000000006</v>
      </c>
      <c r="Y15" s="118">
        <f>O15-X15</f>
        <v>3640000.0000000005</v>
      </c>
    </row>
    <row r="16" spans="1:26" ht="24.95" customHeight="1" x14ac:dyDescent="0.25">
      <c r="A16" s="117"/>
      <c r="B16" s="2">
        <v>13</v>
      </c>
      <c r="C16" s="1" t="s">
        <v>40</v>
      </c>
      <c r="D16" s="1" t="s">
        <v>31</v>
      </c>
      <c r="E16" s="2" t="s">
        <v>32</v>
      </c>
      <c r="F16" s="4">
        <v>5725000</v>
      </c>
      <c r="G16" s="3">
        <v>30</v>
      </c>
      <c r="H16" s="3">
        <f>+F16-K16</f>
        <v>4389167</v>
      </c>
      <c r="I16" s="3"/>
      <c r="J16" s="4"/>
      <c r="K16" s="4">
        <v>1335833</v>
      </c>
      <c r="L16" s="4"/>
      <c r="M16" s="4"/>
      <c r="N16" s="4"/>
      <c r="O16" s="4">
        <f t="shared" si="2"/>
        <v>5725000</v>
      </c>
      <c r="P16" s="4">
        <f>+F16*4%</f>
        <v>229000</v>
      </c>
      <c r="Q16" s="4">
        <f t="shared" si="5"/>
        <v>286250</v>
      </c>
      <c r="R16" s="4"/>
      <c r="S16" s="4"/>
      <c r="T16" s="4">
        <v>0</v>
      </c>
      <c r="U16" s="4"/>
      <c r="V16" s="4"/>
      <c r="W16" s="4"/>
      <c r="X16" s="4">
        <f t="shared" si="6"/>
        <v>515250</v>
      </c>
      <c r="Y16" s="118">
        <f t="shared" ref="Y16:Y30" si="10">+O16-X16</f>
        <v>5209750</v>
      </c>
    </row>
    <row r="17" spans="1:25" ht="24.95" customHeight="1" x14ac:dyDescent="0.25">
      <c r="A17" s="117"/>
      <c r="B17" s="2">
        <v>14</v>
      </c>
      <c r="C17" s="1" t="s">
        <v>246</v>
      </c>
      <c r="D17" s="1" t="s">
        <v>31</v>
      </c>
      <c r="E17" s="2" t="s">
        <v>32</v>
      </c>
      <c r="F17" s="4">
        <v>7300000</v>
      </c>
      <c r="G17" s="3">
        <v>30</v>
      </c>
      <c r="H17" s="3">
        <f t="shared" si="0"/>
        <v>7300000</v>
      </c>
      <c r="I17" s="3"/>
      <c r="J17" s="4"/>
      <c r="K17" s="4"/>
      <c r="L17" s="4"/>
      <c r="M17" s="4"/>
      <c r="N17" s="4"/>
      <c r="O17" s="4">
        <f t="shared" si="2"/>
        <v>7300000</v>
      </c>
      <c r="P17" s="4">
        <f>+F17*4%</f>
        <v>292000</v>
      </c>
      <c r="Q17" s="4">
        <f t="shared" si="5"/>
        <v>365000</v>
      </c>
      <c r="R17" s="4"/>
      <c r="S17" s="4"/>
      <c r="T17" s="4">
        <v>250000</v>
      </c>
      <c r="U17" s="4">
        <v>980000</v>
      </c>
      <c r="V17" s="4"/>
      <c r="W17" s="4"/>
      <c r="X17" s="4">
        <f t="shared" si="6"/>
        <v>1887000</v>
      </c>
      <c r="Y17" s="118">
        <f t="shared" si="10"/>
        <v>5413000</v>
      </c>
    </row>
    <row r="18" spans="1:25" ht="24.95" customHeight="1" x14ac:dyDescent="0.25">
      <c r="A18" s="117"/>
      <c r="B18" s="2">
        <v>15</v>
      </c>
      <c r="C18" s="1" t="s">
        <v>93</v>
      </c>
      <c r="D18" s="1" t="s">
        <v>31</v>
      </c>
      <c r="E18" s="2" t="s">
        <v>32</v>
      </c>
      <c r="F18" s="4">
        <v>5500000</v>
      </c>
      <c r="G18" s="3">
        <v>30</v>
      </c>
      <c r="H18" s="3">
        <f t="shared" si="0"/>
        <v>5500000</v>
      </c>
      <c r="I18" s="3"/>
      <c r="J18" s="4"/>
      <c r="K18" s="4"/>
      <c r="L18" s="4"/>
      <c r="M18" s="4"/>
      <c r="N18" s="4"/>
      <c r="O18" s="4">
        <f t="shared" si="2"/>
        <v>5500000</v>
      </c>
      <c r="P18" s="4">
        <f>+O18*4%</f>
        <v>220000</v>
      </c>
      <c r="Q18" s="4">
        <f>+O18*5%</f>
        <v>275000</v>
      </c>
      <c r="R18" s="4"/>
      <c r="S18" s="4"/>
      <c r="T18" s="4">
        <v>48000</v>
      </c>
      <c r="U18" s="4"/>
      <c r="V18" s="4"/>
      <c r="W18" s="4">
        <v>713806</v>
      </c>
      <c r="X18" s="4">
        <f t="shared" ref="X18:X20" si="11">SUM(P18:W18)</f>
        <v>1256806</v>
      </c>
      <c r="Y18" s="118">
        <f t="shared" si="10"/>
        <v>4243194</v>
      </c>
    </row>
    <row r="19" spans="1:25" ht="24.95" customHeight="1" x14ac:dyDescent="0.25">
      <c r="A19" s="117"/>
      <c r="B19" s="2">
        <v>16</v>
      </c>
      <c r="C19" s="1" t="s">
        <v>183</v>
      </c>
      <c r="D19" s="1" t="s">
        <v>31</v>
      </c>
      <c r="E19" s="2" t="s">
        <v>32</v>
      </c>
      <c r="F19" s="4">
        <v>7000000</v>
      </c>
      <c r="G19" s="3">
        <v>30</v>
      </c>
      <c r="H19" s="3">
        <f t="shared" si="0"/>
        <v>7000000</v>
      </c>
      <c r="I19" s="3"/>
      <c r="J19" s="4"/>
      <c r="K19" s="4"/>
      <c r="L19" s="4"/>
      <c r="M19" s="4"/>
      <c r="N19" s="4">
        <v>1476562</v>
      </c>
      <c r="O19" s="4">
        <f t="shared" si="2"/>
        <v>8476562</v>
      </c>
      <c r="P19" s="4">
        <f>+O19*4%</f>
        <v>339062.48</v>
      </c>
      <c r="Q19" s="4">
        <f>+O19*5%</f>
        <v>423828.10000000003</v>
      </c>
      <c r="R19" s="4"/>
      <c r="S19" s="4"/>
      <c r="T19" s="4">
        <v>160000</v>
      </c>
      <c r="U19" s="4"/>
      <c r="V19" s="4"/>
      <c r="W19" s="4"/>
      <c r="X19" s="4">
        <f t="shared" si="11"/>
        <v>922890.58000000007</v>
      </c>
      <c r="Y19" s="118">
        <f t="shared" si="10"/>
        <v>7553671.4199999999</v>
      </c>
    </row>
    <row r="20" spans="1:25" ht="24.95" customHeight="1" x14ac:dyDescent="0.25">
      <c r="A20" s="117"/>
      <c r="B20" s="2">
        <v>17</v>
      </c>
      <c r="C20" s="1" t="s">
        <v>167</v>
      </c>
      <c r="D20" s="1" t="s">
        <v>31</v>
      </c>
      <c r="E20" s="2" t="s">
        <v>32</v>
      </c>
      <c r="F20" s="4">
        <v>5500000</v>
      </c>
      <c r="G20" s="3">
        <v>30</v>
      </c>
      <c r="H20" s="3">
        <f t="shared" si="0"/>
        <v>5500000</v>
      </c>
      <c r="I20" s="3"/>
      <c r="J20" s="4"/>
      <c r="K20" s="4"/>
      <c r="L20" s="4"/>
      <c r="M20" s="4"/>
      <c r="N20" s="4"/>
      <c r="O20" s="4">
        <f t="shared" si="2"/>
        <v>5500000</v>
      </c>
      <c r="P20" s="4">
        <f>+H20*4%</f>
        <v>220000</v>
      </c>
      <c r="Q20" s="4">
        <f>+H20*5%</f>
        <v>275000</v>
      </c>
      <c r="R20" s="4"/>
      <c r="S20" s="4"/>
      <c r="T20" s="4">
        <v>21000</v>
      </c>
      <c r="U20" s="4"/>
      <c r="V20" s="4"/>
      <c r="W20" s="4"/>
      <c r="X20" s="4">
        <f t="shared" si="11"/>
        <v>516000</v>
      </c>
      <c r="Y20" s="118">
        <f t="shared" si="10"/>
        <v>4984000</v>
      </c>
    </row>
    <row r="21" spans="1:25" ht="24.95" customHeight="1" x14ac:dyDescent="0.25">
      <c r="A21" s="117"/>
      <c r="B21" s="2">
        <v>18</v>
      </c>
      <c r="C21" s="9" t="s">
        <v>42</v>
      </c>
      <c r="D21" s="1" t="s">
        <v>31</v>
      </c>
      <c r="E21" s="2" t="s">
        <v>32</v>
      </c>
      <c r="F21" s="4">
        <v>4800000</v>
      </c>
      <c r="G21" s="3">
        <v>30</v>
      </c>
      <c r="H21" s="3">
        <f t="shared" si="0"/>
        <v>4800000</v>
      </c>
      <c r="I21" s="3"/>
      <c r="J21" s="4"/>
      <c r="K21" s="4"/>
      <c r="L21" s="4"/>
      <c r="M21" s="4"/>
      <c r="N21" s="4"/>
      <c r="O21" s="4">
        <f>+H21+J21+L21+M21+N21+K21+I21</f>
        <v>4800000</v>
      </c>
      <c r="P21" s="4">
        <f>+(F21+N21)*4%</f>
        <v>192000</v>
      </c>
      <c r="Q21" s="4">
        <f>+(F21+N21)*5%</f>
        <v>240000</v>
      </c>
      <c r="R21" s="4"/>
      <c r="S21" s="4"/>
      <c r="T21" s="4">
        <v>0</v>
      </c>
      <c r="U21" s="4"/>
      <c r="V21" s="4"/>
      <c r="W21" s="4"/>
      <c r="X21" s="4">
        <f t="shared" si="6"/>
        <v>432000</v>
      </c>
      <c r="Y21" s="118">
        <f t="shared" si="10"/>
        <v>4368000</v>
      </c>
    </row>
    <row r="22" spans="1:25" ht="24.95" customHeight="1" x14ac:dyDescent="0.25">
      <c r="A22" s="117"/>
      <c r="B22" s="2">
        <v>19</v>
      </c>
      <c r="C22" s="9" t="s">
        <v>201</v>
      </c>
      <c r="D22" s="1" t="s">
        <v>31</v>
      </c>
      <c r="E22" s="2" t="s">
        <v>32</v>
      </c>
      <c r="F22" s="4">
        <v>6200000</v>
      </c>
      <c r="G22" s="3">
        <v>30</v>
      </c>
      <c r="H22" s="3">
        <f t="shared" si="0"/>
        <v>6200000</v>
      </c>
      <c r="I22" s="3"/>
      <c r="J22" s="4"/>
      <c r="K22" s="4"/>
      <c r="L22" s="4"/>
      <c r="M22" s="4"/>
      <c r="N22" s="4"/>
      <c r="O22" s="4">
        <f t="shared" ref="O22" si="12">+H22+J22+L22+M22+N22+K22</f>
        <v>6200000</v>
      </c>
      <c r="P22" s="4">
        <f>+H22*4%</f>
        <v>248000</v>
      </c>
      <c r="Q22" s="4">
        <f>+H22*0.05</f>
        <v>310000</v>
      </c>
      <c r="R22" s="4"/>
      <c r="S22" s="4"/>
      <c r="T22" s="4">
        <v>153000</v>
      </c>
      <c r="U22" s="4"/>
      <c r="V22" s="4"/>
      <c r="W22" s="4"/>
      <c r="X22" s="4">
        <f t="shared" ref="X22:X24" si="13">SUM(P22:W22)</f>
        <v>711000</v>
      </c>
      <c r="Y22" s="118">
        <f t="shared" si="10"/>
        <v>5489000</v>
      </c>
    </row>
    <row r="23" spans="1:25" ht="24.95" customHeight="1" x14ac:dyDescent="0.25">
      <c r="A23" s="117"/>
      <c r="B23" s="2">
        <v>20</v>
      </c>
      <c r="C23" s="9" t="s">
        <v>161</v>
      </c>
      <c r="D23" s="1" t="s">
        <v>31</v>
      </c>
      <c r="E23" s="2" t="s">
        <v>32</v>
      </c>
      <c r="F23" s="4">
        <v>4600000</v>
      </c>
      <c r="G23" s="3">
        <v>30</v>
      </c>
      <c r="H23" s="3">
        <f t="shared" si="0"/>
        <v>4600000</v>
      </c>
      <c r="I23" s="3"/>
      <c r="J23" s="4"/>
      <c r="K23" s="4"/>
      <c r="L23" s="4"/>
      <c r="M23" s="4"/>
      <c r="N23" s="4"/>
      <c r="O23" s="4">
        <f t="shared" si="2"/>
        <v>4600000</v>
      </c>
      <c r="P23" s="4">
        <f>+F23*4%</f>
        <v>184000</v>
      </c>
      <c r="Q23" s="4">
        <f>+F23*0.05</f>
        <v>230000</v>
      </c>
      <c r="R23" s="4"/>
      <c r="S23" s="4"/>
      <c r="T23" s="4">
        <v>24000</v>
      </c>
      <c r="U23" s="4"/>
      <c r="V23" s="4"/>
      <c r="W23" s="4"/>
      <c r="X23" s="4">
        <f t="shared" si="13"/>
        <v>438000</v>
      </c>
      <c r="Y23" s="118">
        <f t="shared" si="10"/>
        <v>4162000</v>
      </c>
    </row>
    <row r="24" spans="1:25" ht="24.95" customHeight="1" x14ac:dyDescent="0.25">
      <c r="A24" s="117"/>
      <c r="B24" s="2">
        <v>21</v>
      </c>
      <c r="C24" s="9" t="s">
        <v>235</v>
      </c>
      <c r="D24" s="1" t="s">
        <v>31</v>
      </c>
      <c r="E24" s="2" t="s">
        <v>32</v>
      </c>
      <c r="F24" s="4">
        <v>5600000</v>
      </c>
      <c r="G24" s="3">
        <v>30</v>
      </c>
      <c r="H24" s="3">
        <f t="shared" si="0"/>
        <v>5600000</v>
      </c>
      <c r="I24" s="3"/>
      <c r="K24" s="4"/>
      <c r="L24" s="4"/>
      <c r="M24" s="4">
        <f>+(400000/30)*30</f>
        <v>400000</v>
      </c>
      <c r="N24" s="4"/>
      <c r="O24" s="4">
        <f>+H24+M24+N24+K24+I24</f>
        <v>6000000</v>
      </c>
      <c r="P24" s="4">
        <f>+F24*4%</f>
        <v>224000</v>
      </c>
      <c r="Q24" s="4">
        <f>+F24*0.05</f>
        <v>280000</v>
      </c>
      <c r="R24" s="4"/>
      <c r="S24" s="4"/>
      <c r="T24" s="4">
        <v>9300</v>
      </c>
      <c r="U24" s="4"/>
      <c r="V24" s="4"/>
      <c r="W24" s="4"/>
      <c r="X24" s="4">
        <f t="shared" si="13"/>
        <v>513300</v>
      </c>
      <c r="Y24" s="118">
        <f t="shared" si="10"/>
        <v>5486700</v>
      </c>
    </row>
    <row r="25" spans="1:25" ht="24.95" customHeight="1" x14ac:dyDescent="0.25">
      <c r="A25" s="117"/>
      <c r="B25" s="2">
        <v>22</v>
      </c>
      <c r="C25" s="9" t="s">
        <v>44</v>
      </c>
      <c r="D25" s="1" t="s">
        <v>31</v>
      </c>
      <c r="E25" s="2" t="s">
        <v>32</v>
      </c>
      <c r="F25" s="4">
        <v>4400000</v>
      </c>
      <c r="G25" s="3">
        <v>30</v>
      </c>
      <c r="H25" s="3">
        <f t="shared" si="0"/>
        <v>4400000</v>
      </c>
      <c r="I25" s="3"/>
      <c r="J25" s="4"/>
      <c r="K25" s="4"/>
      <c r="L25" s="4"/>
      <c r="M25" s="4"/>
      <c r="N25" s="4">
        <v>2000625</v>
      </c>
      <c r="O25" s="4">
        <f t="shared" si="2"/>
        <v>6400625</v>
      </c>
      <c r="P25" s="4">
        <f>+O25*0.04</f>
        <v>256025</v>
      </c>
      <c r="Q25" s="4">
        <f>+O25*0.05</f>
        <v>320031.25</v>
      </c>
      <c r="R25" s="4"/>
      <c r="S25" s="4"/>
      <c r="T25" s="4"/>
      <c r="U25" s="4"/>
      <c r="V25" s="4"/>
      <c r="W25" s="4"/>
      <c r="X25" s="4">
        <f t="shared" si="6"/>
        <v>576056.25</v>
      </c>
      <c r="Y25" s="118">
        <f t="shared" si="10"/>
        <v>5824568.75</v>
      </c>
    </row>
    <row r="26" spans="1:25" ht="24.95" customHeight="1" x14ac:dyDescent="0.25">
      <c r="A26" s="117"/>
      <c r="B26" s="2">
        <v>23</v>
      </c>
      <c r="C26" s="9" t="s">
        <v>46</v>
      </c>
      <c r="D26" s="1" t="s">
        <v>31</v>
      </c>
      <c r="E26" s="2" t="s">
        <v>32</v>
      </c>
      <c r="F26" s="4">
        <v>5500000</v>
      </c>
      <c r="G26" s="3">
        <v>30</v>
      </c>
      <c r="H26" s="3">
        <f t="shared" si="0"/>
        <v>5500000</v>
      </c>
      <c r="I26" s="3"/>
      <c r="J26" s="4"/>
      <c r="K26" s="4"/>
      <c r="L26" s="4"/>
      <c r="M26" s="4"/>
      <c r="N26" s="4">
        <v>876562</v>
      </c>
      <c r="O26" s="4">
        <f t="shared" si="2"/>
        <v>6376562</v>
      </c>
      <c r="P26" s="4">
        <f>+O26*0.04</f>
        <v>255062.48</v>
      </c>
      <c r="Q26" s="4">
        <f>+O26*0.05</f>
        <v>318828.10000000003</v>
      </c>
      <c r="R26" s="4"/>
      <c r="S26" s="4"/>
      <c r="T26" s="4">
        <v>83397</v>
      </c>
      <c r="U26" s="4"/>
      <c r="V26" s="4"/>
      <c r="W26" s="4"/>
      <c r="X26" s="4">
        <f t="shared" si="6"/>
        <v>657287.58000000007</v>
      </c>
      <c r="Y26" s="118">
        <f t="shared" si="10"/>
        <v>5719274.4199999999</v>
      </c>
    </row>
    <row r="27" spans="1:25" ht="24.95" customHeight="1" x14ac:dyDescent="0.25">
      <c r="A27" s="117"/>
      <c r="B27" s="2">
        <v>24</v>
      </c>
      <c r="C27" s="9" t="s">
        <v>247</v>
      </c>
      <c r="D27" s="1" t="s">
        <v>31</v>
      </c>
      <c r="E27" s="2" t="s">
        <v>32</v>
      </c>
      <c r="F27" s="4">
        <v>5500000</v>
      </c>
      <c r="G27" s="3">
        <v>30</v>
      </c>
      <c r="H27" s="3">
        <f t="shared" si="0"/>
        <v>5500000</v>
      </c>
      <c r="I27" s="3"/>
      <c r="J27" s="4"/>
      <c r="K27" s="4"/>
      <c r="L27" s="4"/>
      <c r="M27" s="4"/>
      <c r="N27" s="4"/>
      <c r="O27" s="4">
        <f t="shared" si="2"/>
        <v>5500000</v>
      </c>
      <c r="P27" s="4">
        <f>+H27*0.04</f>
        <v>220000</v>
      </c>
      <c r="Q27" s="4">
        <f>+H27*0.05</f>
        <v>275000</v>
      </c>
      <c r="R27" s="4"/>
      <c r="S27" s="4"/>
      <c r="T27" s="4">
        <v>146000</v>
      </c>
      <c r="U27" s="4"/>
      <c r="V27" s="4"/>
      <c r="W27" s="4"/>
      <c r="X27" s="4">
        <f t="shared" si="6"/>
        <v>641000</v>
      </c>
      <c r="Y27" s="118">
        <f t="shared" si="10"/>
        <v>4859000</v>
      </c>
    </row>
    <row r="28" spans="1:25" ht="24.95" customHeight="1" x14ac:dyDescent="0.25">
      <c r="A28" s="117"/>
      <c r="B28" s="2">
        <v>25</v>
      </c>
      <c r="C28" s="1" t="s">
        <v>150</v>
      </c>
      <c r="D28" s="1" t="s">
        <v>31</v>
      </c>
      <c r="E28" s="2" t="s">
        <v>32</v>
      </c>
      <c r="F28" s="4">
        <v>7000000</v>
      </c>
      <c r="G28" s="3">
        <v>30</v>
      </c>
      <c r="H28" s="3">
        <f t="shared" si="0"/>
        <v>7000000</v>
      </c>
      <c r="I28" s="3"/>
      <c r="J28" s="4"/>
      <c r="K28" s="4"/>
      <c r="L28" s="4"/>
      <c r="M28" s="4"/>
      <c r="N28" s="4"/>
      <c r="O28" s="4">
        <f>+H28+J28+L28+M28+N28+K28</f>
        <v>7000000</v>
      </c>
      <c r="P28" s="4">
        <f>O28*4%</f>
        <v>280000</v>
      </c>
      <c r="Q28" s="4">
        <f>+O28*5%</f>
        <v>350000</v>
      </c>
      <c r="R28" s="4">
        <v>500000</v>
      </c>
      <c r="S28" s="4">
        <v>147000</v>
      </c>
      <c r="T28" s="4">
        <v>209509</v>
      </c>
      <c r="U28" s="4"/>
      <c r="V28" s="4"/>
      <c r="W28" s="4"/>
      <c r="X28" s="4">
        <f>SUM(P28:W28)</f>
        <v>1486509</v>
      </c>
      <c r="Y28" s="118">
        <f>O28-X28</f>
        <v>5513491</v>
      </c>
    </row>
    <row r="29" spans="1:25" ht="24.95" customHeight="1" x14ac:dyDescent="0.25">
      <c r="A29" s="117"/>
      <c r="B29" s="2">
        <v>26</v>
      </c>
      <c r="C29" s="9" t="s">
        <v>47</v>
      </c>
      <c r="D29" s="1" t="s">
        <v>31</v>
      </c>
      <c r="E29" s="2" t="s">
        <v>32</v>
      </c>
      <c r="F29" s="4">
        <v>5200000</v>
      </c>
      <c r="G29" s="3">
        <v>30</v>
      </c>
      <c r="H29" s="3">
        <f t="shared" si="0"/>
        <v>5200000</v>
      </c>
      <c r="I29" s="3"/>
      <c r="J29" s="4"/>
      <c r="K29" s="4"/>
      <c r="L29" s="4"/>
      <c r="M29" s="4"/>
      <c r="N29" s="4"/>
      <c r="O29" s="4">
        <f t="shared" si="2"/>
        <v>5200000</v>
      </c>
      <c r="P29" s="4">
        <f>+F29*4%</f>
        <v>208000</v>
      </c>
      <c r="Q29" s="4">
        <f>+F29*5%</f>
        <v>260000</v>
      </c>
      <c r="R29" s="4"/>
      <c r="S29" s="4"/>
      <c r="T29" s="4">
        <v>46204</v>
      </c>
      <c r="U29" s="4"/>
      <c r="V29" s="4"/>
      <c r="W29" s="4"/>
      <c r="X29" s="4">
        <f t="shared" si="6"/>
        <v>514204</v>
      </c>
      <c r="Y29" s="118">
        <f t="shared" si="10"/>
        <v>4685796</v>
      </c>
    </row>
    <row r="30" spans="1:25" ht="24.95" customHeight="1" x14ac:dyDescent="0.25">
      <c r="A30" s="117"/>
      <c r="B30" s="2">
        <v>27</v>
      </c>
      <c r="C30" s="1" t="s">
        <v>48</v>
      </c>
      <c r="D30" s="1" t="s">
        <v>31</v>
      </c>
      <c r="E30" s="2" t="s">
        <v>32</v>
      </c>
      <c r="F30" s="4">
        <v>5500000</v>
      </c>
      <c r="G30" s="3">
        <v>30</v>
      </c>
      <c r="H30" s="3">
        <f t="shared" si="0"/>
        <v>5500000</v>
      </c>
      <c r="I30" s="3"/>
      <c r="J30" s="4"/>
      <c r="K30" s="4"/>
      <c r="L30" s="4"/>
      <c r="M30" s="4">
        <v>450000</v>
      </c>
      <c r="N30" s="4"/>
      <c r="O30" s="4">
        <f t="shared" si="2"/>
        <v>5950000</v>
      </c>
      <c r="P30" s="4">
        <f>+F30*4%</f>
        <v>220000</v>
      </c>
      <c r="Q30" s="4">
        <f>+F30*5%</f>
        <v>275000</v>
      </c>
      <c r="R30" s="4"/>
      <c r="S30" s="4"/>
      <c r="T30" s="7">
        <v>150521</v>
      </c>
      <c r="U30" s="4">
        <v>1365000</v>
      </c>
      <c r="V30" s="4"/>
      <c r="W30" s="4"/>
      <c r="X30" s="4">
        <f t="shared" si="6"/>
        <v>2010521</v>
      </c>
      <c r="Y30" s="118">
        <f t="shared" si="10"/>
        <v>3939479</v>
      </c>
    </row>
    <row r="31" spans="1:25" ht="24.95" customHeight="1" x14ac:dyDescent="0.25">
      <c r="A31" s="117"/>
      <c r="B31" s="2">
        <v>28</v>
      </c>
      <c r="C31" s="1" t="s">
        <v>49</v>
      </c>
      <c r="D31" s="1" t="s">
        <v>31</v>
      </c>
      <c r="E31" s="2" t="s">
        <v>32</v>
      </c>
      <c r="F31" s="4">
        <v>5350000</v>
      </c>
      <c r="G31" s="3">
        <v>30</v>
      </c>
      <c r="H31" s="3">
        <f t="shared" si="0"/>
        <v>5350000</v>
      </c>
      <c r="I31" s="3"/>
      <c r="J31" s="4"/>
      <c r="K31" s="4"/>
      <c r="L31" s="4"/>
      <c r="M31" s="4">
        <v>1000000</v>
      </c>
      <c r="N31" s="4"/>
      <c r="O31" s="4">
        <f t="shared" si="2"/>
        <v>6350000</v>
      </c>
      <c r="P31" s="4">
        <f>+F31*4%</f>
        <v>214000</v>
      </c>
      <c r="Q31" s="4">
        <f>+F31*0.05</f>
        <v>267500</v>
      </c>
      <c r="R31" s="4"/>
      <c r="S31" s="4"/>
      <c r="T31" s="7">
        <v>96000</v>
      </c>
      <c r="U31" s="4"/>
      <c r="V31" s="4"/>
      <c r="W31" s="4">
        <f>810005+511813</f>
        <v>1321818</v>
      </c>
      <c r="X31" s="4">
        <f t="shared" si="6"/>
        <v>1899318</v>
      </c>
      <c r="Y31" s="118">
        <f t="shared" ref="Y31:Y37" si="14">O31-X31</f>
        <v>4450682</v>
      </c>
    </row>
    <row r="32" spans="1:25" ht="24.95" customHeight="1" x14ac:dyDescent="0.25">
      <c r="A32" s="117"/>
      <c r="B32" s="2">
        <v>29</v>
      </c>
      <c r="C32" s="1" t="s">
        <v>168</v>
      </c>
      <c r="D32" s="1" t="s">
        <v>31</v>
      </c>
      <c r="E32" s="2" t="s">
        <v>32</v>
      </c>
      <c r="F32" s="4">
        <v>5000000</v>
      </c>
      <c r="G32" s="3">
        <v>30</v>
      </c>
      <c r="H32" s="3">
        <f t="shared" si="0"/>
        <v>5000000</v>
      </c>
      <c r="I32" s="3"/>
      <c r="J32" s="4"/>
      <c r="K32" s="4"/>
      <c r="L32" s="4"/>
      <c r="M32" s="4"/>
      <c r="N32" s="4"/>
      <c r="O32" s="4">
        <f t="shared" si="2"/>
        <v>5000000</v>
      </c>
      <c r="P32" s="4">
        <f>+H32*4%</f>
        <v>200000</v>
      </c>
      <c r="Q32" s="4">
        <f>+H32*5%</f>
        <v>250000</v>
      </c>
      <c r="R32" s="4"/>
      <c r="S32" s="4"/>
      <c r="T32" s="7">
        <v>78000</v>
      </c>
      <c r="U32" s="4"/>
      <c r="V32" s="4"/>
      <c r="W32" s="4"/>
      <c r="X32" s="4">
        <f t="shared" ref="X32" si="15">SUM(P32:W32)</f>
        <v>528000</v>
      </c>
      <c r="Y32" s="118">
        <f t="shared" si="14"/>
        <v>4472000</v>
      </c>
    </row>
    <row r="33" spans="1:28" ht="24.95" customHeight="1" x14ac:dyDescent="0.25">
      <c r="A33" s="117"/>
      <c r="B33" s="2">
        <v>30</v>
      </c>
      <c r="C33" s="1" t="s">
        <v>176</v>
      </c>
      <c r="D33" s="1" t="s">
        <v>31</v>
      </c>
      <c r="E33" s="2" t="s">
        <v>32</v>
      </c>
      <c r="F33" s="4">
        <v>7000000</v>
      </c>
      <c r="G33" s="3">
        <v>30</v>
      </c>
      <c r="H33" s="3">
        <f t="shared" si="0"/>
        <v>7000000</v>
      </c>
      <c r="I33" s="3"/>
      <c r="J33" s="4"/>
      <c r="K33" s="4"/>
      <c r="L33" s="4"/>
      <c r="M33" s="4"/>
      <c r="N33" s="4"/>
      <c r="O33" s="4">
        <f t="shared" si="2"/>
        <v>7000000</v>
      </c>
      <c r="P33" s="4">
        <f>+O33*4%</f>
        <v>280000</v>
      </c>
      <c r="Q33" s="4">
        <f>+O33*5%</f>
        <v>350000</v>
      </c>
      <c r="R33" s="4"/>
      <c r="S33" s="4"/>
      <c r="T33" s="7">
        <v>309000</v>
      </c>
      <c r="U33" s="4"/>
      <c r="V33" s="4"/>
      <c r="W33" s="4"/>
      <c r="X33" s="4">
        <f t="shared" ref="X33" si="16">SUM(P33:W33)</f>
        <v>939000</v>
      </c>
      <c r="Y33" s="118">
        <f t="shared" si="14"/>
        <v>6061000</v>
      </c>
    </row>
    <row r="34" spans="1:28" ht="24.95" customHeight="1" x14ac:dyDescent="0.25">
      <c r="A34" s="117"/>
      <c r="B34" s="2">
        <v>31</v>
      </c>
      <c r="C34" s="1" t="s">
        <v>50</v>
      </c>
      <c r="D34" s="1" t="s">
        <v>31</v>
      </c>
      <c r="E34" s="2" t="s">
        <v>32</v>
      </c>
      <c r="F34" s="4">
        <v>7000000</v>
      </c>
      <c r="G34" s="3">
        <v>30</v>
      </c>
      <c r="H34" s="3">
        <f t="shared" si="0"/>
        <v>7000000</v>
      </c>
      <c r="I34" s="3"/>
      <c r="J34" s="4"/>
      <c r="K34" s="4"/>
      <c r="L34" s="4"/>
      <c r="M34" s="4"/>
      <c r="N34" s="4">
        <v>1017187</v>
      </c>
      <c r="O34" s="4">
        <f t="shared" si="2"/>
        <v>8017187</v>
      </c>
      <c r="P34" s="4">
        <f>+O34*4%</f>
        <v>320687.48</v>
      </c>
      <c r="Q34" s="4">
        <f>+O34*0.05</f>
        <v>400859.35000000003</v>
      </c>
      <c r="R34" s="4"/>
      <c r="S34" s="4"/>
      <c r="T34" s="7">
        <v>128000</v>
      </c>
      <c r="U34" s="4"/>
      <c r="V34" s="4"/>
      <c r="W34" s="4"/>
      <c r="X34" s="4">
        <f t="shared" si="6"/>
        <v>849546.83000000007</v>
      </c>
      <c r="Y34" s="118">
        <f t="shared" si="14"/>
        <v>7167640.1699999999</v>
      </c>
    </row>
    <row r="35" spans="1:28" ht="24.95" customHeight="1" x14ac:dyDescent="0.25">
      <c r="A35" s="117"/>
      <c r="B35" s="2">
        <v>32</v>
      </c>
      <c r="C35" s="1" t="s">
        <v>51</v>
      </c>
      <c r="D35" s="1" t="s">
        <v>31</v>
      </c>
      <c r="E35" s="2" t="s">
        <v>32</v>
      </c>
      <c r="F35" s="4">
        <v>7314000</v>
      </c>
      <c r="G35" s="3">
        <v>30</v>
      </c>
      <c r="H35" s="3">
        <f t="shared" si="0"/>
        <v>7314000</v>
      </c>
      <c r="I35" s="3"/>
      <c r="J35" s="4"/>
      <c r="K35" s="4"/>
      <c r="L35" s="4"/>
      <c r="M35" s="4">
        <v>1400000</v>
      </c>
      <c r="N35" s="10"/>
      <c r="O35" s="4">
        <f t="shared" si="2"/>
        <v>8714000</v>
      </c>
      <c r="P35" s="4">
        <f>+F35*4%</f>
        <v>292560</v>
      </c>
      <c r="Q35" s="4">
        <f>+F35*5%</f>
        <v>365700</v>
      </c>
      <c r="R35" s="4"/>
      <c r="S35" s="4"/>
      <c r="T35" s="7">
        <v>162000</v>
      </c>
      <c r="U35" s="4">
        <v>1300000</v>
      </c>
      <c r="V35" s="4"/>
      <c r="W35" s="4"/>
      <c r="X35" s="4">
        <f t="shared" si="6"/>
        <v>2120260</v>
      </c>
      <c r="Y35" s="118">
        <f t="shared" si="14"/>
        <v>6593740</v>
      </c>
    </row>
    <row r="36" spans="1:28" ht="24.95" customHeight="1" x14ac:dyDescent="0.25">
      <c r="A36" s="117"/>
      <c r="B36" s="2">
        <v>33</v>
      </c>
      <c r="C36" s="1" t="s">
        <v>177</v>
      </c>
      <c r="D36" s="1" t="s">
        <v>31</v>
      </c>
      <c r="E36" s="2" t="s">
        <v>32</v>
      </c>
      <c r="F36" s="4">
        <v>5500000</v>
      </c>
      <c r="G36" s="3">
        <v>30</v>
      </c>
      <c r="H36" s="3">
        <f t="shared" si="0"/>
        <v>5500000</v>
      </c>
      <c r="I36" s="3"/>
      <c r="J36" s="4"/>
      <c r="K36" s="4"/>
      <c r="L36" s="4"/>
      <c r="M36" s="4"/>
      <c r="N36" s="10"/>
      <c r="O36" s="4">
        <f t="shared" si="2"/>
        <v>5500000</v>
      </c>
      <c r="P36" s="4">
        <f>+H36*4%</f>
        <v>220000</v>
      </c>
      <c r="Q36" s="4">
        <f>+H36*5%</f>
        <v>275000</v>
      </c>
      <c r="R36" s="4"/>
      <c r="S36" s="4"/>
      <c r="T36" s="7">
        <v>36000</v>
      </c>
      <c r="U36" s="4"/>
      <c r="V36" s="4"/>
      <c r="W36" s="4"/>
      <c r="X36" s="4">
        <f t="shared" ref="X36" si="17">SUM(P36:W36)</f>
        <v>531000</v>
      </c>
      <c r="Y36" s="118">
        <f t="shared" si="14"/>
        <v>4969000</v>
      </c>
    </row>
    <row r="37" spans="1:28" ht="24.95" customHeight="1" x14ac:dyDescent="0.25">
      <c r="A37" s="117"/>
      <c r="B37" s="2">
        <v>34</v>
      </c>
      <c r="C37" s="9" t="s">
        <v>151</v>
      </c>
      <c r="D37" s="1" t="s">
        <v>31</v>
      </c>
      <c r="E37" s="2" t="s">
        <v>32</v>
      </c>
      <c r="F37" s="4">
        <v>4500000</v>
      </c>
      <c r="G37" s="3">
        <v>30</v>
      </c>
      <c r="H37" s="3">
        <f>+F37-K37</f>
        <v>3800000</v>
      </c>
      <c r="I37" s="3"/>
      <c r="J37" s="4"/>
      <c r="K37" s="4">
        <v>700000</v>
      </c>
      <c r="L37" s="4"/>
      <c r="M37" s="4"/>
      <c r="N37" s="4"/>
      <c r="O37" s="4">
        <f>+H37+J37+L37+M37+N37+K37</f>
        <v>4500000</v>
      </c>
      <c r="P37" s="4">
        <v>180000</v>
      </c>
      <c r="Q37" s="4">
        <v>225000</v>
      </c>
      <c r="R37" s="4"/>
      <c r="S37" s="4"/>
      <c r="T37" s="4"/>
      <c r="U37" s="4"/>
      <c r="V37" s="4"/>
      <c r="W37" s="4"/>
      <c r="X37" s="4">
        <f>SUM(P37:W37)</f>
        <v>405000</v>
      </c>
      <c r="Y37" s="118">
        <f t="shared" si="14"/>
        <v>4095000</v>
      </c>
      <c r="AB37" s="62">
        <v>4084000</v>
      </c>
    </row>
    <row r="38" spans="1:28" ht="24.95" customHeight="1" x14ac:dyDescent="0.25">
      <c r="A38" s="117"/>
      <c r="B38" s="2">
        <v>35</v>
      </c>
      <c r="C38" s="1" t="s">
        <v>52</v>
      </c>
      <c r="D38" s="1" t="s">
        <v>31</v>
      </c>
      <c r="E38" s="2" t="s">
        <v>32</v>
      </c>
      <c r="F38" s="4">
        <v>5500000</v>
      </c>
      <c r="G38" s="3">
        <v>30</v>
      </c>
      <c r="H38" s="3">
        <f t="shared" si="0"/>
        <v>5500000</v>
      </c>
      <c r="I38" s="3"/>
      <c r="J38" s="4"/>
      <c r="K38" s="4"/>
      <c r="L38" s="4"/>
      <c r="M38" s="4"/>
      <c r="N38" s="4"/>
      <c r="O38" s="4">
        <f t="shared" si="2"/>
        <v>5500000</v>
      </c>
      <c r="P38" s="4">
        <f>O38*4/100</f>
        <v>220000</v>
      </c>
      <c r="Q38" s="4">
        <f>+O38*5%</f>
        <v>275000</v>
      </c>
      <c r="R38" s="4"/>
      <c r="S38" s="4"/>
      <c r="T38" s="4">
        <v>0</v>
      </c>
      <c r="U38" s="4">
        <v>550000</v>
      </c>
      <c r="V38" s="4"/>
      <c r="W38" s="4"/>
      <c r="X38" s="4">
        <f t="shared" si="6"/>
        <v>1045000</v>
      </c>
      <c r="Y38" s="118">
        <f t="shared" ref="Y38:Y44" si="18">+O38-X38</f>
        <v>4455000</v>
      </c>
      <c r="AB38" s="62">
        <v>3947500</v>
      </c>
    </row>
    <row r="39" spans="1:28" ht="24.95" customHeight="1" x14ac:dyDescent="0.25">
      <c r="A39" s="117"/>
      <c r="B39" s="2">
        <v>36</v>
      </c>
      <c r="C39" s="1" t="s">
        <v>152</v>
      </c>
      <c r="D39" s="1" t="s">
        <v>31</v>
      </c>
      <c r="E39" s="2" t="s">
        <v>32</v>
      </c>
      <c r="F39" s="4">
        <v>4500000</v>
      </c>
      <c r="G39" s="3">
        <v>30</v>
      </c>
      <c r="H39" s="3">
        <f t="shared" si="0"/>
        <v>4500000</v>
      </c>
      <c r="I39" s="3"/>
      <c r="J39" s="4"/>
      <c r="K39" s="4"/>
      <c r="L39" s="4"/>
      <c r="M39" s="4"/>
      <c r="N39" s="4"/>
      <c r="O39" s="4">
        <f t="shared" si="2"/>
        <v>4500000</v>
      </c>
      <c r="P39" s="4">
        <f>O39*4/100</f>
        <v>180000</v>
      </c>
      <c r="Q39" s="4">
        <f>+O39*0.05</f>
        <v>225000</v>
      </c>
      <c r="R39" s="4"/>
      <c r="S39" s="4"/>
      <c r="T39" s="7">
        <v>11000</v>
      </c>
      <c r="U39" s="4"/>
      <c r="V39" s="4"/>
      <c r="W39" s="4"/>
      <c r="X39" s="4">
        <f>SUM(P39:W39)</f>
        <v>416000</v>
      </c>
      <c r="Y39" s="118">
        <f t="shared" si="18"/>
        <v>4084000</v>
      </c>
      <c r="AB39" s="62">
        <f>+AB37-AB38</f>
        <v>136500</v>
      </c>
    </row>
    <row r="40" spans="1:28" ht="24.95" customHeight="1" x14ac:dyDescent="0.25">
      <c r="A40" s="117"/>
      <c r="B40" s="2">
        <v>37</v>
      </c>
      <c r="C40" s="1" t="s">
        <v>53</v>
      </c>
      <c r="D40" s="1" t="s">
        <v>31</v>
      </c>
      <c r="E40" s="2" t="s">
        <v>32</v>
      </c>
      <c r="F40" s="4">
        <v>5300000</v>
      </c>
      <c r="G40" s="3">
        <v>30</v>
      </c>
      <c r="H40" s="3">
        <f t="shared" si="0"/>
        <v>5300000</v>
      </c>
      <c r="I40" s="3"/>
      <c r="J40" s="4"/>
      <c r="K40" s="4"/>
      <c r="L40" s="4"/>
      <c r="M40" s="4">
        <v>1621317</v>
      </c>
      <c r="N40" s="4"/>
      <c r="O40" s="4">
        <f t="shared" si="2"/>
        <v>6921317</v>
      </c>
      <c r="P40" s="4">
        <f t="shared" ref="P40:P67" si="19">F40*4/100</f>
        <v>212000</v>
      </c>
      <c r="Q40" s="4">
        <f t="shared" ref="Q40:Q67" si="20">+F40*0.05</f>
        <v>265000</v>
      </c>
      <c r="R40" s="4"/>
      <c r="S40" s="4"/>
      <c r="T40" s="7">
        <v>100000</v>
      </c>
      <c r="U40" s="4">
        <v>2000000</v>
      </c>
      <c r="V40" s="4"/>
      <c r="W40" s="4">
        <f>884747</f>
        <v>884747</v>
      </c>
      <c r="X40" s="4">
        <f t="shared" si="6"/>
        <v>3461747</v>
      </c>
      <c r="Y40" s="118">
        <f t="shared" si="18"/>
        <v>3459570</v>
      </c>
    </row>
    <row r="41" spans="1:28" ht="24.95" customHeight="1" x14ac:dyDescent="0.25">
      <c r="A41" s="117"/>
      <c r="B41" s="2">
        <v>38</v>
      </c>
      <c r="C41" s="1" t="s">
        <v>54</v>
      </c>
      <c r="D41" s="1" t="s">
        <v>31</v>
      </c>
      <c r="E41" s="2" t="s">
        <v>32</v>
      </c>
      <c r="F41" s="4">
        <v>4800000</v>
      </c>
      <c r="G41" s="3">
        <v>30</v>
      </c>
      <c r="H41" s="3">
        <f t="shared" si="0"/>
        <v>4800000</v>
      </c>
      <c r="I41" s="3"/>
      <c r="J41" s="4"/>
      <c r="K41" s="4"/>
      <c r="L41" s="4"/>
      <c r="M41" s="4">
        <v>92925</v>
      </c>
      <c r="N41" s="4"/>
      <c r="O41" s="4">
        <f t="shared" si="2"/>
        <v>4892925</v>
      </c>
      <c r="P41" s="4">
        <f t="shared" si="19"/>
        <v>192000</v>
      </c>
      <c r="Q41" s="4">
        <f t="shared" si="20"/>
        <v>240000</v>
      </c>
      <c r="R41" s="4"/>
      <c r="S41" s="4"/>
      <c r="T41" s="7">
        <v>26000</v>
      </c>
      <c r="U41" s="4"/>
      <c r="V41" s="4"/>
      <c r="W41" s="4"/>
      <c r="X41" s="4">
        <f t="shared" si="6"/>
        <v>458000</v>
      </c>
      <c r="Y41" s="118">
        <f t="shared" si="18"/>
        <v>4434925</v>
      </c>
      <c r="AA41" s="67">
        <f>+T43-AA42</f>
        <v>24000.269999999553</v>
      </c>
    </row>
    <row r="42" spans="1:28" ht="24.95" customHeight="1" x14ac:dyDescent="0.25">
      <c r="A42" s="117"/>
      <c r="B42" s="2">
        <v>39</v>
      </c>
      <c r="C42" s="1" t="s">
        <v>236</v>
      </c>
      <c r="D42" s="1" t="s">
        <v>31</v>
      </c>
      <c r="E42" s="2" t="s">
        <v>32</v>
      </c>
      <c r="F42" s="4">
        <v>5500000</v>
      </c>
      <c r="G42" s="3">
        <v>30</v>
      </c>
      <c r="H42" s="3">
        <f t="shared" si="0"/>
        <v>5500000</v>
      </c>
      <c r="I42" s="3"/>
      <c r="J42" s="4"/>
      <c r="K42" s="4"/>
      <c r="L42" s="4"/>
      <c r="M42" s="4"/>
      <c r="N42" s="4"/>
      <c r="O42" s="4">
        <f t="shared" si="2"/>
        <v>5500000</v>
      </c>
      <c r="P42" s="4">
        <f>+H42*4%</f>
        <v>220000</v>
      </c>
      <c r="Q42" s="4">
        <f>+H42*0.05</f>
        <v>275000</v>
      </c>
      <c r="R42" s="4"/>
      <c r="S42" s="4"/>
      <c r="T42" s="7">
        <v>146000</v>
      </c>
      <c r="U42" s="4"/>
      <c r="V42" s="4"/>
      <c r="W42" s="4"/>
      <c r="X42" s="4">
        <f t="shared" ref="X42" si="21">SUM(P42:W42)</f>
        <v>641000</v>
      </c>
      <c r="Y42" s="118">
        <f t="shared" si="18"/>
        <v>4859000</v>
      </c>
      <c r="AA42" s="67">
        <f>+AA43-Y43</f>
        <v>-0.26999999955296516</v>
      </c>
    </row>
    <row r="43" spans="1:28" ht="24.95" customHeight="1" x14ac:dyDescent="0.25">
      <c r="A43" s="117"/>
      <c r="B43" s="2">
        <v>40</v>
      </c>
      <c r="C43" s="1" t="s">
        <v>55</v>
      </c>
      <c r="D43" s="1" t="s">
        <v>31</v>
      </c>
      <c r="E43" s="2" t="s">
        <v>32</v>
      </c>
      <c r="F43" s="4">
        <v>6100000</v>
      </c>
      <c r="G43" s="3">
        <v>30</v>
      </c>
      <c r="H43" s="3">
        <f>+F43-K43</f>
        <v>4880000</v>
      </c>
      <c r="I43" s="3"/>
      <c r="J43" s="4"/>
      <c r="K43" s="4">
        <v>1220000</v>
      </c>
      <c r="L43" s="4"/>
      <c r="M43" s="4"/>
      <c r="N43" s="4">
        <v>166797</v>
      </c>
      <c r="O43" s="4">
        <f t="shared" si="2"/>
        <v>6266797</v>
      </c>
      <c r="P43" s="4">
        <f>O43*4/100</f>
        <v>250671.88</v>
      </c>
      <c r="Q43" s="4">
        <f>+O43*0.05</f>
        <v>313339.85000000003</v>
      </c>
      <c r="R43" s="4"/>
      <c r="S43" s="4">
        <v>147000</v>
      </c>
      <c r="T43" s="4">
        <v>24000</v>
      </c>
      <c r="U43" s="4"/>
      <c r="V43" s="4"/>
      <c r="W43" s="4"/>
      <c r="X43" s="4">
        <f t="shared" si="6"/>
        <v>735011.73</v>
      </c>
      <c r="Y43" s="118">
        <f t="shared" si="18"/>
        <v>5531785.2699999996</v>
      </c>
      <c r="AA43" s="124">
        <v>5531785</v>
      </c>
    </row>
    <row r="44" spans="1:28" ht="24.95" customHeight="1" x14ac:dyDescent="0.25">
      <c r="A44" s="117"/>
      <c r="B44" s="2">
        <v>41</v>
      </c>
      <c r="C44" s="1" t="s">
        <v>56</v>
      </c>
      <c r="D44" s="1" t="s">
        <v>31</v>
      </c>
      <c r="E44" s="2" t="s">
        <v>32</v>
      </c>
      <c r="F44" s="4">
        <v>5900000</v>
      </c>
      <c r="G44" s="3">
        <v>30</v>
      </c>
      <c r="H44" s="3">
        <f t="shared" si="0"/>
        <v>5900000</v>
      </c>
      <c r="I44" s="3"/>
      <c r="J44" s="4"/>
      <c r="K44" s="4"/>
      <c r="L44" s="4"/>
      <c r="M44" s="4">
        <v>300000</v>
      </c>
      <c r="N44" s="4"/>
      <c r="O44" s="4">
        <f t="shared" si="2"/>
        <v>6200000</v>
      </c>
      <c r="P44" s="4">
        <f>F44*4/100</f>
        <v>236000</v>
      </c>
      <c r="Q44" s="4">
        <f t="shared" si="20"/>
        <v>295000</v>
      </c>
      <c r="R44" s="4"/>
      <c r="S44" s="4"/>
      <c r="T44" s="7">
        <v>148000</v>
      </c>
      <c r="U44" s="4"/>
      <c r="V44" s="4"/>
      <c r="W44" s="4"/>
      <c r="X44" s="4">
        <f t="shared" si="6"/>
        <v>679000</v>
      </c>
      <c r="Y44" s="118">
        <f t="shared" si="18"/>
        <v>5521000</v>
      </c>
    </row>
    <row r="45" spans="1:28" ht="24.95" customHeight="1" x14ac:dyDescent="0.25">
      <c r="A45" s="117"/>
      <c r="B45" s="2">
        <v>42</v>
      </c>
      <c r="C45" s="1" t="s">
        <v>112</v>
      </c>
      <c r="D45" s="1" t="s">
        <v>31</v>
      </c>
      <c r="E45" s="2" t="s">
        <v>32</v>
      </c>
      <c r="F45" s="4">
        <v>4300000</v>
      </c>
      <c r="G45" s="3">
        <v>30</v>
      </c>
      <c r="H45" s="3">
        <f t="shared" si="0"/>
        <v>4300000</v>
      </c>
      <c r="I45" s="3"/>
      <c r="J45" s="4"/>
      <c r="K45" s="4"/>
      <c r="L45" s="4"/>
      <c r="M45" s="4"/>
      <c r="N45" s="4"/>
      <c r="O45" s="4">
        <f t="shared" si="2"/>
        <v>4300000</v>
      </c>
      <c r="P45" s="4">
        <f>+F45*4%</f>
        <v>172000</v>
      </c>
      <c r="Q45" s="4">
        <f>+F45*5%</f>
        <v>215000</v>
      </c>
      <c r="R45" s="4"/>
      <c r="S45" s="4"/>
      <c r="T45" s="7">
        <v>0</v>
      </c>
      <c r="U45" s="4"/>
      <c r="V45" s="4">
        <v>0</v>
      </c>
      <c r="W45" s="4">
        <v>709704</v>
      </c>
      <c r="X45" s="4">
        <f t="shared" ref="X45" si="22">SUM(P45:W45)</f>
        <v>1096704</v>
      </c>
      <c r="Y45" s="118">
        <f>+O45-X45</f>
        <v>3203296</v>
      </c>
      <c r="Z45" s="67"/>
    </row>
    <row r="46" spans="1:28" ht="24.95" customHeight="1" x14ac:dyDescent="0.25">
      <c r="A46" s="117"/>
      <c r="B46" s="2">
        <v>43</v>
      </c>
      <c r="C46" s="1" t="s">
        <v>113</v>
      </c>
      <c r="D46" s="1" t="s">
        <v>31</v>
      </c>
      <c r="E46" s="2" t="s">
        <v>32</v>
      </c>
      <c r="F46" s="4">
        <v>4770000</v>
      </c>
      <c r="G46" s="3">
        <v>30</v>
      </c>
      <c r="H46" s="3">
        <f t="shared" si="0"/>
        <v>4770000</v>
      </c>
      <c r="I46" s="3"/>
      <c r="J46" s="4"/>
      <c r="K46" s="4"/>
      <c r="L46" s="4"/>
      <c r="M46" s="4">
        <v>160000</v>
      </c>
      <c r="N46" s="4"/>
      <c r="O46" s="4">
        <f t="shared" si="2"/>
        <v>4930000</v>
      </c>
      <c r="P46" s="4">
        <f t="shared" ref="P46" si="23">+F46*4%</f>
        <v>190800</v>
      </c>
      <c r="Q46" s="4">
        <f>+F46*5%</f>
        <v>238500</v>
      </c>
      <c r="R46" s="4"/>
      <c r="S46" s="4"/>
      <c r="T46" s="7">
        <v>0</v>
      </c>
      <c r="U46" s="4"/>
      <c r="V46" s="4"/>
      <c r="W46" s="4"/>
      <c r="X46" s="4">
        <f t="shared" ref="X46" si="24">SUM(P46:W46)</f>
        <v>429300</v>
      </c>
      <c r="Y46" s="118">
        <f t="shared" ref="Y46" si="25">+O46-X46</f>
        <v>4500700</v>
      </c>
    </row>
    <row r="47" spans="1:28" ht="24.95" customHeight="1" x14ac:dyDescent="0.25">
      <c r="A47" s="117"/>
      <c r="B47" s="2">
        <v>44</v>
      </c>
      <c r="C47" s="1" t="s">
        <v>60</v>
      </c>
      <c r="D47" s="1" t="s">
        <v>31</v>
      </c>
      <c r="E47" s="2" t="s">
        <v>32</v>
      </c>
      <c r="F47" s="4">
        <v>7000000</v>
      </c>
      <c r="G47" s="3">
        <v>30</v>
      </c>
      <c r="H47" s="3">
        <f>+F47-K47</f>
        <v>6066667</v>
      </c>
      <c r="I47" s="3"/>
      <c r="J47" s="4"/>
      <c r="K47" s="4">
        <v>933333</v>
      </c>
      <c r="L47" s="4"/>
      <c r="M47" s="4"/>
      <c r="N47" s="11"/>
      <c r="O47" s="4">
        <f t="shared" si="2"/>
        <v>7000000</v>
      </c>
      <c r="P47" s="4">
        <f t="shared" si="19"/>
        <v>280000</v>
      </c>
      <c r="Q47" s="4">
        <f t="shared" si="20"/>
        <v>350000</v>
      </c>
      <c r="R47" s="4"/>
      <c r="S47" s="4"/>
      <c r="T47" s="7">
        <v>86000</v>
      </c>
      <c r="U47" s="4"/>
      <c r="V47" s="4"/>
      <c r="W47" s="4"/>
      <c r="X47" s="4">
        <f t="shared" si="6"/>
        <v>716000</v>
      </c>
      <c r="Y47" s="118">
        <f>O47-X47</f>
        <v>6284000</v>
      </c>
    </row>
    <row r="48" spans="1:28" ht="24.95" customHeight="1" x14ac:dyDescent="0.25">
      <c r="A48" s="117"/>
      <c r="B48" s="2">
        <v>45</v>
      </c>
      <c r="C48" s="1" t="s">
        <v>62</v>
      </c>
      <c r="D48" s="1" t="s">
        <v>31</v>
      </c>
      <c r="E48" s="2" t="s">
        <v>32</v>
      </c>
      <c r="F48" s="4">
        <v>5088000</v>
      </c>
      <c r="G48" s="3">
        <v>30</v>
      </c>
      <c r="H48" s="3">
        <f t="shared" si="0"/>
        <v>5088000</v>
      </c>
      <c r="I48" s="3"/>
      <c r="J48" s="4"/>
      <c r="K48" s="4"/>
      <c r="L48" s="4"/>
      <c r="M48" s="4">
        <v>412000</v>
      </c>
      <c r="N48" s="4">
        <v>4452000</v>
      </c>
      <c r="O48" s="4">
        <f t="shared" si="2"/>
        <v>9952000</v>
      </c>
      <c r="P48" s="4">
        <v>381600</v>
      </c>
      <c r="Q48" s="4">
        <v>477000</v>
      </c>
      <c r="R48" s="4"/>
      <c r="S48" s="4"/>
      <c r="T48" s="4">
        <v>120000</v>
      </c>
      <c r="U48" s="4">
        <f>1150000</f>
        <v>1150000</v>
      </c>
      <c r="V48" s="4"/>
      <c r="W48" s="4">
        <f>209579</f>
        <v>209579</v>
      </c>
      <c r="X48" s="4">
        <f t="shared" si="6"/>
        <v>2338179</v>
      </c>
      <c r="Y48" s="118">
        <f>O48-X48</f>
        <v>7613821</v>
      </c>
    </row>
    <row r="49" spans="1:28" ht="24.95" customHeight="1" x14ac:dyDescent="0.25">
      <c r="A49" s="117"/>
      <c r="B49" s="2">
        <v>46</v>
      </c>
      <c r="C49" s="1" t="s">
        <v>63</v>
      </c>
      <c r="D49" s="1" t="s">
        <v>31</v>
      </c>
      <c r="E49" s="2" t="s">
        <v>32</v>
      </c>
      <c r="F49" s="4">
        <v>4540000</v>
      </c>
      <c r="G49" s="3">
        <v>30</v>
      </c>
      <c r="H49" s="3">
        <f t="shared" si="0"/>
        <v>4540000</v>
      </c>
      <c r="I49" s="3"/>
      <c r="J49" s="4"/>
      <c r="K49" s="4"/>
      <c r="L49" s="4"/>
      <c r="M49" s="4"/>
      <c r="N49" s="4"/>
      <c r="O49" s="4">
        <f t="shared" si="2"/>
        <v>4540000</v>
      </c>
      <c r="P49" s="4">
        <f t="shared" si="19"/>
        <v>181600</v>
      </c>
      <c r="Q49" s="4">
        <f t="shared" si="20"/>
        <v>227000</v>
      </c>
      <c r="R49" s="4"/>
      <c r="S49" s="4"/>
      <c r="T49" s="7">
        <v>0</v>
      </c>
      <c r="U49" s="4"/>
      <c r="V49" s="4"/>
      <c r="W49" s="4">
        <v>407106</v>
      </c>
      <c r="X49" s="4">
        <f t="shared" si="6"/>
        <v>815706</v>
      </c>
      <c r="Y49" s="118">
        <f>O49-X49</f>
        <v>3724294</v>
      </c>
    </row>
    <row r="50" spans="1:28" ht="24.95" customHeight="1" x14ac:dyDescent="0.25">
      <c r="A50" s="117"/>
      <c r="B50" s="2">
        <v>47</v>
      </c>
      <c r="C50" s="1" t="s">
        <v>184</v>
      </c>
      <c r="D50" s="1" t="s">
        <v>31</v>
      </c>
      <c r="E50" s="2" t="s">
        <v>32</v>
      </c>
      <c r="F50" s="4">
        <v>4500000</v>
      </c>
      <c r="G50" s="3">
        <v>30</v>
      </c>
      <c r="H50" s="3">
        <f t="shared" si="0"/>
        <v>4500000</v>
      </c>
      <c r="I50" s="3"/>
      <c r="J50" s="4"/>
      <c r="K50" s="4"/>
      <c r="L50" s="4"/>
      <c r="M50" s="4"/>
      <c r="N50" s="4"/>
      <c r="O50" s="4">
        <f t="shared" si="2"/>
        <v>4500000</v>
      </c>
      <c r="P50" s="4">
        <f>H50*4/100</f>
        <v>180000</v>
      </c>
      <c r="Q50" s="4">
        <f>+H50*0.05</f>
        <v>225000</v>
      </c>
      <c r="R50" s="4"/>
      <c r="S50" s="4"/>
      <c r="T50" s="7">
        <v>11000</v>
      </c>
      <c r="U50" s="4"/>
      <c r="V50" s="4"/>
      <c r="W50" s="4"/>
      <c r="X50" s="4">
        <f t="shared" si="6"/>
        <v>416000</v>
      </c>
      <c r="Y50" s="118">
        <f>O50-X50</f>
        <v>4084000</v>
      </c>
    </row>
    <row r="51" spans="1:28" ht="24.95" customHeight="1" x14ac:dyDescent="0.25">
      <c r="A51" s="117"/>
      <c r="B51" s="2">
        <v>48</v>
      </c>
      <c r="C51" s="1" t="s">
        <v>64</v>
      </c>
      <c r="D51" s="1" t="s">
        <v>31</v>
      </c>
      <c r="E51" s="2" t="s">
        <v>32</v>
      </c>
      <c r="F51" s="4">
        <v>4500000</v>
      </c>
      <c r="G51" s="3">
        <v>30</v>
      </c>
      <c r="H51" s="3">
        <f t="shared" si="0"/>
        <v>4500000</v>
      </c>
      <c r="I51" s="3"/>
      <c r="J51" s="4"/>
      <c r="K51" s="4"/>
      <c r="L51" s="4"/>
      <c r="M51" s="4"/>
      <c r="N51" s="4">
        <v>467578</v>
      </c>
      <c r="O51" s="4">
        <f t="shared" si="2"/>
        <v>4967578</v>
      </c>
      <c r="P51" s="4">
        <f>O51*4/100</f>
        <v>198703.12</v>
      </c>
      <c r="Q51" s="4">
        <f>+O51*0.05</f>
        <v>248378.90000000002</v>
      </c>
      <c r="R51" s="4"/>
      <c r="S51" s="4"/>
      <c r="T51" s="4">
        <v>0</v>
      </c>
      <c r="U51" s="4"/>
      <c r="V51" s="4"/>
      <c r="W51" s="4">
        <v>636561</v>
      </c>
      <c r="X51" s="4">
        <f t="shared" si="6"/>
        <v>1083643.02</v>
      </c>
      <c r="Y51" s="118">
        <f t="shared" ref="Y51:Y55" si="26">+O51-X51</f>
        <v>3883934.98</v>
      </c>
    </row>
    <row r="52" spans="1:28" ht="24.95" customHeight="1" x14ac:dyDescent="0.25">
      <c r="A52" s="117"/>
      <c r="B52" s="2">
        <v>49</v>
      </c>
      <c r="C52" s="1" t="s">
        <v>66</v>
      </c>
      <c r="D52" s="1" t="s">
        <v>31</v>
      </c>
      <c r="E52" s="2" t="s">
        <v>32</v>
      </c>
      <c r="F52" s="4">
        <v>6360000</v>
      </c>
      <c r="G52" s="3">
        <v>30</v>
      </c>
      <c r="H52" s="3">
        <f t="shared" si="0"/>
        <v>6360000</v>
      </c>
      <c r="I52" s="3"/>
      <c r="J52" s="4"/>
      <c r="K52" s="4"/>
      <c r="L52" s="4"/>
      <c r="M52" s="4"/>
      <c r="N52" s="4"/>
      <c r="O52" s="4">
        <f t="shared" si="2"/>
        <v>6360000</v>
      </c>
      <c r="P52" s="4">
        <f t="shared" si="19"/>
        <v>254400</v>
      </c>
      <c r="Q52" s="4">
        <f t="shared" si="20"/>
        <v>318000</v>
      </c>
      <c r="R52" s="4"/>
      <c r="S52" s="4"/>
      <c r="T52" s="4">
        <v>208000</v>
      </c>
      <c r="U52" s="4"/>
      <c r="V52" s="4">
        <v>122614</v>
      </c>
      <c r="W52" s="4"/>
      <c r="X52" s="4">
        <f t="shared" si="6"/>
        <v>903014</v>
      </c>
      <c r="Y52" s="118">
        <f t="shared" si="26"/>
        <v>5456986</v>
      </c>
    </row>
    <row r="53" spans="1:28" ht="24.95" customHeight="1" x14ac:dyDescent="0.25">
      <c r="A53" s="117"/>
      <c r="B53" s="2">
        <v>50</v>
      </c>
      <c r="C53" s="1" t="s">
        <v>153</v>
      </c>
      <c r="D53" s="1" t="s">
        <v>31</v>
      </c>
      <c r="E53" s="2" t="s">
        <v>32</v>
      </c>
      <c r="F53" s="4">
        <v>3500000</v>
      </c>
      <c r="G53" s="3">
        <v>30</v>
      </c>
      <c r="H53" s="3">
        <f t="shared" si="0"/>
        <v>3500000</v>
      </c>
      <c r="I53" s="3"/>
      <c r="J53" s="4"/>
      <c r="K53" s="4"/>
      <c r="L53" s="4"/>
      <c r="M53" s="4"/>
      <c r="N53" s="4"/>
      <c r="O53" s="4">
        <f>+H53+J53+L53+M53+N53+K53</f>
        <v>3500000</v>
      </c>
      <c r="P53" s="4">
        <f>H53*4/100</f>
        <v>140000</v>
      </c>
      <c r="Q53" s="4">
        <f>+H53*0.05</f>
        <v>175000</v>
      </c>
      <c r="R53" s="4"/>
      <c r="S53" s="4"/>
      <c r="T53" s="4">
        <v>0</v>
      </c>
      <c r="U53" s="4"/>
      <c r="V53" s="4">
        <v>0</v>
      </c>
      <c r="W53" s="4"/>
      <c r="X53" s="4">
        <f t="shared" ref="X53:X54" si="27">SUM(P53:W53)</f>
        <v>315000</v>
      </c>
      <c r="Y53" s="118">
        <f t="shared" si="26"/>
        <v>3185000</v>
      </c>
    </row>
    <row r="54" spans="1:28" ht="24.95" customHeight="1" x14ac:dyDescent="0.25">
      <c r="A54" s="117"/>
      <c r="B54" s="2">
        <v>51</v>
      </c>
      <c r="C54" s="1" t="s">
        <v>237</v>
      </c>
      <c r="D54" s="1" t="s">
        <v>31</v>
      </c>
      <c r="E54" s="2" t="s">
        <v>32</v>
      </c>
      <c r="F54" s="4">
        <v>5000000</v>
      </c>
      <c r="G54" s="3">
        <v>30</v>
      </c>
      <c r="H54" s="3">
        <f t="shared" si="0"/>
        <v>5000000</v>
      </c>
      <c r="I54" s="3"/>
      <c r="J54" s="4"/>
      <c r="K54" s="4"/>
      <c r="L54" s="4"/>
      <c r="M54" s="4">
        <v>1000000</v>
      </c>
      <c r="N54" s="4"/>
      <c r="O54" s="4">
        <f>+H54+J54+L54+M54+N54+K54</f>
        <v>6000000</v>
      </c>
      <c r="P54" s="4">
        <f>+H54*4%</f>
        <v>200000</v>
      </c>
      <c r="Q54" s="4">
        <f>+H54*0.05</f>
        <v>250000</v>
      </c>
      <c r="R54" s="4"/>
      <c r="S54" s="4"/>
      <c r="T54" s="4">
        <v>78000</v>
      </c>
      <c r="U54" s="4"/>
      <c r="V54" s="4">
        <v>0</v>
      </c>
      <c r="W54" s="4"/>
      <c r="X54" s="4">
        <f t="shared" si="27"/>
        <v>528000</v>
      </c>
      <c r="Y54" s="118">
        <f t="shared" si="26"/>
        <v>5472000</v>
      </c>
    </row>
    <row r="55" spans="1:28" ht="24.95" customHeight="1" x14ac:dyDescent="0.25">
      <c r="A55" s="117"/>
      <c r="B55" s="2">
        <v>52</v>
      </c>
      <c r="C55" s="1" t="s">
        <v>67</v>
      </c>
      <c r="D55" s="1" t="s">
        <v>31</v>
      </c>
      <c r="E55" s="2" t="s">
        <v>32</v>
      </c>
      <c r="F55" s="4">
        <v>4770000</v>
      </c>
      <c r="G55" s="3">
        <v>30</v>
      </c>
      <c r="H55" s="3">
        <f t="shared" si="0"/>
        <v>4770000</v>
      </c>
      <c r="I55" s="3"/>
      <c r="J55" s="4"/>
      <c r="K55" s="4"/>
      <c r="L55" s="4"/>
      <c r="M55" s="4">
        <v>500000</v>
      </c>
      <c r="N55" s="4"/>
      <c r="O55" s="4">
        <f t="shared" si="2"/>
        <v>5270000</v>
      </c>
      <c r="P55" s="4">
        <f t="shared" si="19"/>
        <v>190800</v>
      </c>
      <c r="Q55" s="4">
        <f t="shared" si="20"/>
        <v>238500</v>
      </c>
      <c r="R55" s="4"/>
      <c r="S55" s="4"/>
      <c r="T55" s="4">
        <v>22000</v>
      </c>
      <c r="U55" s="4"/>
      <c r="V55" s="4"/>
      <c r="W55" s="4"/>
      <c r="X55" s="4">
        <f t="shared" si="6"/>
        <v>451300</v>
      </c>
      <c r="Y55" s="118">
        <f t="shared" si="26"/>
        <v>4818700</v>
      </c>
    </row>
    <row r="56" spans="1:28" ht="24.95" customHeight="1" x14ac:dyDescent="0.25">
      <c r="A56" s="117"/>
      <c r="B56" s="2">
        <v>53</v>
      </c>
      <c r="C56" s="1" t="s">
        <v>69</v>
      </c>
      <c r="D56" s="1" t="s">
        <v>31</v>
      </c>
      <c r="E56" s="2" t="s">
        <v>32</v>
      </c>
      <c r="F56" s="4">
        <v>6000000</v>
      </c>
      <c r="G56" s="3">
        <v>30</v>
      </c>
      <c r="H56" s="3">
        <f t="shared" si="0"/>
        <v>6000000</v>
      </c>
      <c r="I56" s="3"/>
      <c r="J56" s="4"/>
      <c r="K56" s="4"/>
      <c r="L56" s="4"/>
      <c r="M56" s="4"/>
      <c r="N56" s="4"/>
      <c r="O56" s="4">
        <f t="shared" si="2"/>
        <v>6000000</v>
      </c>
      <c r="P56" s="4">
        <f t="shared" si="19"/>
        <v>240000</v>
      </c>
      <c r="Q56" s="4">
        <f t="shared" si="20"/>
        <v>300000</v>
      </c>
      <c r="R56" s="4">
        <v>0</v>
      </c>
      <c r="S56" s="4"/>
      <c r="T56" s="4">
        <v>0</v>
      </c>
      <c r="U56" s="4"/>
      <c r="V56" s="4"/>
      <c r="W56" s="4"/>
      <c r="X56" s="4">
        <f t="shared" si="6"/>
        <v>540000</v>
      </c>
      <c r="Y56" s="118">
        <f>O56-X56</f>
        <v>5460000</v>
      </c>
      <c r="AB56" s="62">
        <v>321831000</v>
      </c>
    </row>
    <row r="57" spans="1:28" ht="24.95" customHeight="1" x14ac:dyDescent="0.25">
      <c r="A57" s="117"/>
      <c r="B57" s="2">
        <v>54</v>
      </c>
      <c r="C57" s="1" t="s">
        <v>255</v>
      </c>
      <c r="D57" s="1"/>
      <c r="E57" s="2"/>
      <c r="F57" s="4">
        <v>1300000</v>
      </c>
      <c r="G57" s="3">
        <v>30</v>
      </c>
      <c r="H57" s="3">
        <f t="shared" si="0"/>
        <v>1300000</v>
      </c>
      <c r="I57" s="3"/>
      <c r="J57" s="3">
        <v>88211</v>
      </c>
      <c r="K57" s="4"/>
      <c r="L57" s="4"/>
      <c r="M57" s="4"/>
      <c r="N57" s="4"/>
      <c r="O57" s="4">
        <f t="shared" si="2"/>
        <v>1388211</v>
      </c>
      <c r="P57" s="4">
        <f>F57*4/100</f>
        <v>52000</v>
      </c>
      <c r="Q57" s="4">
        <f>+F57*0.04</f>
        <v>52000</v>
      </c>
      <c r="R57" s="4">
        <v>0</v>
      </c>
      <c r="S57" s="4"/>
      <c r="T57" s="4">
        <v>0</v>
      </c>
      <c r="U57" s="4"/>
      <c r="V57" s="4"/>
      <c r="W57" s="4"/>
      <c r="X57" s="4">
        <f t="shared" ref="X57" si="28">SUM(P57:W57)</f>
        <v>104000</v>
      </c>
      <c r="Y57" s="118">
        <f>O57-X57</f>
        <v>1284211</v>
      </c>
    </row>
    <row r="58" spans="1:28" ht="24.95" customHeight="1" x14ac:dyDescent="0.25">
      <c r="A58" s="117"/>
      <c r="B58" s="2">
        <v>55</v>
      </c>
      <c r="C58" s="1" t="s">
        <v>70</v>
      </c>
      <c r="D58" s="1" t="s">
        <v>31</v>
      </c>
      <c r="E58" s="2" t="s">
        <v>32</v>
      </c>
      <c r="F58" s="4">
        <v>7800000</v>
      </c>
      <c r="G58" s="3">
        <v>30</v>
      </c>
      <c r="H58" s="3">
        <f t="shared" si="0"/>
        <v>7800000</v>
      </c>
      <c r="I58" s="3"/>
      <c r="J58" s="4"/>
      <c r="K58" s="4"/>
      <c r="L58" s="4"/>
      <c r="M58" s="4">
        <v>1200000</v>
      </c>
      <c r="N58" s="4"/>
      <c r="O58" s="4">
        <f t="shared" si="2"/>
        <v>9000000</v>
      </c>
      <c r="P58" s="4">
        <f>(F58*4/100)</f>
        <v>312000</v>
      </c>
      <c r="Q58" s="4">
        <f>+(F58*0.05)</f>
        <v>390000</v>
      </c>
      <c r="R58" s="4"/>
      <c r="S58" s="4"/>
      <c r="T58" s="4">
        <v>302000</v>
      </c>
      <c r="U58" s="4"/>
      <c r="V58" s="4"/>
      <c r="W58" s="4"/>
      <c r="X58" s="4">
        <f t="shared" si="6"/>
        <v>1004000</v>
      </c>
      <c r="Y58" s="118">
        <f>+O58-X58</f>
        <v>7996000</v>
      </c>
      <c r="Z58" s="118"/>
      <c r="AB58" s="62">
        <f>+AB56/2</f>
        <v>160915500</v>
      </c>
    </row>
    <row r="59" spans="1:28" ht="24.95" customHeight="1" x14ac:dyDescent="0.25">
      <c r="A59" s="117"/>
      <c r="B59" s="2">
        <v>56</v>
      </c>
      <c r="C59" s="9" t="s">
        <v>72</v>
      </c>
      <c r="D59" s="1" t="s">
        <v>31</v>
      </c>
      <c r="E59" s="2" t="s">
        <v>32</v>
      </c>
      <c r="F59" s="4">
        <v>7000000</v>
      </c>
      <c r="G59" s="3">
        <v>30</v>
      </c>
      <c r="H59" s="3">
        <f t="shared" si="0"/>
        <v>7000000</v>
      </c>
      <c r="I59" s="3"/>
      <c r="J59" s="4"/>
      <c r="K59" s="4"/>
      <c r="L59" s="4"/>
      <c r="M59" s="4"/>
      <c r="N59" s="4">
        <v>1684375</v>
      </c>
      <c r="O59" s="4">
        <f t="shared" si="2"/>
        <v>8684375</v>
      </c>
      <c r="P59" s="4">
        <f>O59*4/100</f>
        <v>347375</v>
      </c>
      <c r="Q59" s="4">
        <f>+O59*0.05</f>
        <v>434218.75</v>
      </c>
      <c r="R59" s="4"/>
      <c r="S59" s="4"/>
      <c r="T59" s="4">
        <v>182000</v>
      </c>
      <c r="U59" s="4"/>
      <c r="V59" s="4"/>
      <c r="W59" s="4"/>
      <c r="X59" s="4">
        <f t="shared" si="6"/>
        <v>963593.75</v>
      </c>
      <c r="Y59" s="118">
        <f>O59-X59</f>
        <v>7720781.25</v>
      </c>
    </row>
    <row r="60" spans="1:28" ht="24.95" customHeight="1" x14ac:dyDescent="0.25">
      <c r="A60" s="117"/>
      <c r="B60" s="2">
        <v>57</v>
      </c>
      <c r="C60" s="1" t="s">
        <v>73</v>
      </c>
      <c r="D60" s="1" t="s">
        <v>31</v>
      </c>
      <c r="E60" s="2" t="s">
        <v>32</v>
      </c>
      <c r="F60" s="4">
        <v>5350000</v>
      </c>
      <c r="G60" s="3">
        <v>30</v>
      </c>
      <c r="H60" s="3">
        <f t="shared" si="0"/>
        <v>5350000</v>
      </c>
      <c r="I60" s="3"/>
      <c r="J60" s="4"/>
      <c r="K60" s="4"/>
      <c r="L60" s="4"/>
      <c r="M60" s="4"/>
      <c r="N60" s="4"/>
      <c r="O60" s="4">
        <f t="shared" si="2"/>
        <v>5350000</v>
      </c>
      <c r="P60" s="4">
        <f t="shared" si="19"/>
        <v>214000</v>
      </c>
      <c r="Q60" s="4">
        <f t="shared" si="20"/>
        <v>267500</v>
      </c>
      <c r="R60" s="4"/>
      <c r="S60" s="4"/>
      <c r="T60" s="4">
        <v>95000</v>
      </c>
      <c r="U60" s="4"/>
      <c r="V60" s="4"/>
      <c r="W60" s="4"/>
      <c r="X60" s="4">
        <f t="shared" si="6"/>
        <v>576500</v>
      </c>
      <c r="Y60" s="118">
        <f t="shared" ref="Y60:Y66" si="29">+O60-X60</f>
        <v>4773500</v>
      </c>
    </row>
    <row r="61" spans="1:28" ht="24.95" customHeight="1" x14ac:dyDescent="0.25">
      <c r="A61" s="117"/>
      <c r="B61" s="2">
        <v>58</v>
      </c>
      <c r="C61" s="1" t="s">
        <v>74</v>
      </c>
      <c r="D61" s="2" t="s">
        <v>31</v>
      </c>
      <c r="E61" s="2" t="s">
        <v>32</v>
      </c>
      <c r="F61" s="4">
        <v>4500000</v>
      </c>
      <c r="G61" s="3">
        <v>30</v>
      </c>
      <c r="H61" s="3">
        <f t="shared" si="0"/>
        <v>4500000</v>
      </c>
      <c r="I61" s="3"/>
      <c r="J61" s="4"/>
      <c r="K61" s="4"/>
      <c r="L61" s="4"/>
      <c r="M61" s="4"/>
      <c r="N61" s="4">
        <v>1160156</v>
      </c>
      <c r="O61" s="4">
        <f t="shared" si="2"/>
        <v>5660156</v>
      </c>
      <c r="P61" s="4">
        <f>O61*4/100</f>
        <v>226406.24</v>
      </c>
      <c r="Q61" s="4">
        <f>+O61*0.05</f>
        <v>283007.8</v>
      </c>
      <c r="R61" s="4"/>
      <c r="S61" s="4"/>
      <c r="T61" s="4">
        <v>0</v>
      </c>
      <c r="U61" s="4"/>
      <c r="V61" s="4"/>
      <c r="W61" s="4"/>
      <c r="X61" s="4">
        <f t="shared" si="6"/>
        <v>509414.04</v>
      </c>
      <c r="Y61" s="118">
        <f t="shared" si="29"/>
        <v>5150741.96</v>
      </c>
    </row>
    <row r="62" spans="1:28" ht="24.95" customHeight="1" x14ac:dyDescent="0.25">
      <c r="A62" s="117"/>
      <c r="B62" s="2">
        <v>59</v>
      </c>
      <c r="C62" s="1" t="s">
        <v>75</v>
      </c>
      <c r="D62" s="1" t="s">
        <v>31</v>
      </c>
      <c r="E62" s="2" t="s">
        <v>32</v>
      </c>
      <c r="F62" s="4">
        <v>5100000</v>
      </c>
      <c r="G62" s="3">
        <v>30</v>
      </c>
      <c r="H62" s="3">
        <f t="shared" si="0"/>
        <v>5100000</v>
      </c>
      <c r="I62" s="3"/>
      <c r="J62" s="4"/>
      <c r="K62" s="4"/>
      <c r="L62" s="4"/>
      <c r="M62" s="4"/>
      <c r="N62" s="4"/>
      <c r="O62" s="4">
        <f t="shared" si="2"/>
        <v>5100000</v>
      </c>
      <c r="P62" s="4">
        <f>O62*4/100</f>
        <v>204000</v>
      </c>
      <c r="Q62" s="4">
        <f>+O62*0.05</f>
        <v>255000</v>
      </c>
      <c r="R62" s="4"/>
      <c r="S62" s="4"/>
      <c r="T62" s="4">
        <v>0</v>
      </c>
      <c r="U62" s="4"/>
      <c r="V62" s="4"/>
      <c r="W62" s="4">
        <v>317224</v>
      </c>
      <c r="X62" s="4">
        <f t="shared" si="6"/>
        <v>776224</v>
      </c>
      <c r="Y62" s="118">
        <f t="shared" si="29"/>
        <v>4323776</v>
      </c>
    </row>
    <row r="63" spans="1:28" ht="24.95" customHeight="1" x14ac:dyDescent="0.25">
      <c r="A63" s="117"/>
      <c r="B63" s="2">
        <v>60</v>
      </c>
      <c r="C63" s="1" t="s">
        <v>163</v>
      </c>
      <c r="D63" s="1" t="s">
        <v>31</v>
      </c>
      <c r="E63" s="2" t="s">
        <v>32</v>
      </c>
      <c r="F63" s="4">
        <v>6800000</v>
      </c>
      <c r="G63" s="3">
        <v>30</v>
      </c>
      <c r="H63" s="3">
        <f t="shared" si="0"/>
        <v>6800000</v>
      </c>
      <c r="I63" s="3"/>
      <c r="J63" s="4"/>
      <c r="K63" s="4"/>
      <c r="L63" s="4"/>
      <c r="M63" s="4"/>
      <c r="N63" s="4">
        <v>2698750</v>
      </c>
      <c r="O63" s="4">
        <f t="shared" si="2"/>
        <v>9498750</v>
      </c>
      <c r="P63" s="4">
        <f>+O63*4%</f>
        <v>379950</v>
      </c>
      <c r="Q63" s="4">
        <f>+O63*0.05</f>
        <v>474937.5</v>
      </c>
      <c r="R63" s="4"/>
      <c r="S63" s="4"/>
      <c r="T63" s="4">
        <v>96000</v>
      </c>
      <c r="U63" s="4"/>
      <c r="V63" s="4"/>
      <c r="W63" s="4"/>
      <c r="X63" s="4">
        <f t="shared" ref="X63" si="30">SUM(P63:W63)</f>
        <v>950887.5</v>
      </c>
      <c r="Y63" s="118">
        <f t="shared" si="29"/>
        <v>8547862.5</v>
      </c>
    </row>
    <row r="64" spans="1:28" ht="24.95" customHeight="1" x14ac:dyDescent="0.25">
      <c r="A64" s="117"/>
      <c r="B64" s="2">
        <v>61</v>
      </c>
      <c r="C64" s="1" t="s">
        <v>77</v>
      </c>
      <c r="D64" s="1" t="s">
        <v>31</v>
      </c>
      <c r="E64" s="2" t="s">
        <v>32</v>
      </c>
      <c r="F64" s="4">
        <v>4400000</v>
      </c>
      <c r="G64" s="3">
        <v>30</v>
      </c>
      <c r="H64" s="3">
        <f t="shared" si="0"/>
        <v>4400000</v>
      </c>
      <c r="I64" s="3"/>
      <c r="J64" s="4"/>
      <c r="K64" s="4"/>
      <c r="L64" s="4"/>
      <c r="M64" s="4"/>
      <c r="N64" s="4"/>
      <c r="O64" s="4">
        <f t="shared" si="2"/>
        <v>4400000</v>
      </c>
      <c r="P64" s="4">
        <f>F64*4/100</f>
        <v>176000</v>
      </c>
      <c r="Q64" s="4">
        <f>+F64*0.05</f>
        <v>220000</v>
      </c>
      <c r="R64" s="4"/>
      <c r="S64" s="4"/>
      <c r="T64" s="4">
        <v>0</v>
      </c>
      <c r="U64" s="4"/>
      <c r="V64" s="4"/>
      <c r="W64" s="4">
        <v>141077</v>
      </c>
      <c r="X64" s="4">
        <f t="shared" si="6"/>
        <v>537077</v>
      </c>
      <c r="Y64" s="118">
        <f t="shared" si="29"/>
        <v>3862923</v>
      </c>
    </row>
    <row r="65" spans="1:25" ht="24.95" customHeight="1" x14ac:dyDescent="0.25">
      <c r="A65" s="117"/>
      <c r="B65" s="2">
        <v>62</v>
      </c>
      <c r="C65" s="1" t="s">
        <v>78</v>
      </c>
      <c r="D65" s="1" t="s">
        <v>31</v>
      </c>
      <c r="E65" s="2" t="s">
        <v>32</v>
      </c>
      <c r="F65" s="4">
        <v>7800000</v>
      </c>
      <c r="G65" s="3">
        <v>30</v>
      </c>
      <c r="H65" s="3">
        <f t="shared" si="0"/>
        <v>7800000</v>
      </c>
      <c r="I65" s="3"/>
      <c r="J65" s="4"/>
      <c r="K65" s="4"/>
      <c r="L65" s="4"/>
      <c r="M65" s="4">
        <v>400000</v>
      </c>
      <c r="N65" s="4"/>
      <c r="O65" s="4">
        <f t="shared" si="2"/>
        <v>8200000</v>
      </c>
      <c r="P65" s="4">
        <f>F65*4/100</f>
        <v>312000</v>
      </c>
      <c r="Q65" s="4">
        <f>+F65*0.05</f>
        <v>390000</v>
      </c>
      <c r="R65" s="4"/>
      <c r="S65" s="4"/>
      <c r="T65" s="4">
        <v>315000</v>
      </c>
      <c r="U65" s="4"/>
      <c r="V65" s="4"/>
      <c r="W65" s="4"/>
      <c r="X65" s="4">
        <f t="shared" si="6"/>
        <v>1017000</v>
      </c>
      <c r="Y65" s="118">
        <f t="shared" si="29"/>
        <v>7183000</v>
      </c>
    </row>
    <row r="66" spans="1:25" ht="24.95" customHeight="1" x14ac:dyDescent="0.25">
      <c r="A66" s="117"/>
      <c r="B66" s="2">
        <v>63</v>
      </c>
      <c r="C66" s="1" t="s">
        <v>154</v>
      </c>
      <c r="D66" s="1" t="s">
        <v>31</v>
      </c>
      <c r="E66" s="2" t="s">
        <v>32</v>
      </c>
      <c r="F66" s="4">
        <v>4500000</v>
      </c>
      <c r="G66" s="3">
        <v>30</v>
      </c>
      <c r="H66" s="3">
        <f t="shared" si="0"/>
        <v>4500000</v>
      </c>
      <c r="I66" s="3"/>
      <c r="J66" s="4"/>
      <c r="K66" s="4"/>
      <c r="L66" s="4"/>
      <c r="M66" s="4"/>
      <c r="N66" s="4"/>
      <c r="O66" s="4">
        <f t="shared" si="2"/>
        <v>4500000</v>
      </c>
      <c r="P66" s="4">
        <f>H66*4/100</f>
        <v>180000</v>
      </c>
      <c r="Q66" s="4">
        <f>+H66*0.05</f>
        <v>225000</v>
      </c>
      <c r="R66" s="4"/>
      <c r="S66" s="4"/>
      <c r="T66" s="4"/>
      <c r="U66" s="4"/>
      <c r="V66" s="4"/>
      <c r="W66" s="4"/>
      <c r="X66" s="4">
        <f t="shared" ref="X66" si="31">SUM(P66:W66)</f>
        <v>405000</v>
      </c>
      <c r="Y66" s="118">
        <f t="shared" si="29"/>
        <v>4095000</v>
      </c>
    </row>
    <row r="67" spans="1:25" ht="24.95" customHeight="1" x14ac:dyDescent="0.25">
      <c r="A67" s="117"/>
      <c r="B67" s="2">
        <v>64</v>
      </c>
      <c r="C67" s="1" t="s">
        <v>80</v>
      </c>
      <c r="D67" s="1" t="s">
        <v>31</v>
      </c>
      <c r="E67" s="2" t="s">
        <v>32</v>
      </c>
      <c r="F67" s="4">
        <v>6000000</v>
      </c>
      <c r="G67" s="3">
        <v>30</v>
      </c>
      <c r="H67" s="3">
        <f t="shared" si="0"/>
        <v>6000000</v>
      </c>
      <c r="I67" s="3"/>
      <c r="J67" s="4"/>
      <c r="K67" s="4"/>
      <c r="L67" s="4"/>
      <c r="M67" s="4">
        <v>400000</v>
      </c>
      <c r="N67" s="4"/>
      <c r="O67" s="4">
        <f t="shared" si="2"/>
        <v>6400000</v>
      </c>
      <c r="P67" s="4">
        <f t="shared" si="19"/>
        <v>240000</v>
      </c>
      <c r="Q67" s="4">
        <f t="shared" si="20"/>
        <v>300000</v>
      </c>
      <c r="R67" s="4"/>
      <c r="S67" s="4"/>
      <c r="T67" s="4">
        <v>120000</v>
      </c>
      <c r="U67" s="4"/>
      <c r="V67" s="4"/>
      <c r="W67" s="4"/>
      <c r="X67" s="4">
        <f t="shared" si="6"/>
        <v>660000</v>
      </c>
      <c r="Y67" s="118">
        <f>O67-X67</f>
        <v>5740000</v>
      </c>
    </row>
    <row r="68" spans="1:25" ht="24.95" customHeight="1" x14ac:dyDescent="0.25">
      <c r="A68" s="117"/>
      <c r="B68" s="2">
        <v>65</v>
      </c>
      <c r="C68" s="1" t="s">
        <v>238</v>
      </c>
      <c r="D68" s="1" t="s">
        <v>31</v>
      </c>
      <c r="E68" s="2" t="s">
        <v>32</v>
      </c>
      <c r="F68" s="4">
        <v>4800000</v>
      </c>
      <c r="G68" s="3">
        <v>30</v>
      </c>
      <c r="H68" s="3">
        <f t="shared" si="0"/>
        <v>4800000</v>
      </c>
      <c r="I68" s="3"/>
      <c r="J68" s="4"/>
      <c r="K68" s="4"/>
      <c r="L68" s="4"/>
      <c r="M68" s="4"/>
      <c r="N68" s="4"/>
      <c r="O68" s="4">
        <f t="shared" si="2"/>
        <v>4800000</v>
      </c>
      <c r="P68" s="4">
        <f>+H68*4%</f>
        <v>192000</v>
      </c>
      <c r="Q68" s="4">
        <f>+H68*5%</f>
        <v>240000</v>
      </c>
      <c r="R68" s="4"/>
      <c r="S68" s="4"/>
      <c r="T68" s="4">
        <v>51000</v>
      </c>
      <c r="U68" s="4"/>
      <c r="V68" s="4"/>
      <c r="W68" s="4"/>
      <c r="X68" s="4">
        <f t="shared" ref="X68:X69" si="32">SUM(P68:W68)</f>
        <v>483000</v>
      </c>
      <c r="Y68" s="118">
        <f>+O68-X68</f>
        <v>4317000</v>
      </c>
    </row>
    <row r="69" spans="1:25" ht="24.95" customHeight="1" x14ac:dyDescent="0.25">
      <c r="A69" s="117"/>
      <c r="B69" s="2">
        <v>66</v>
      </c>
      <c r="C69" s="1" t="s">
        <v>239</v>
      </c>
      <c r="D69" s="1" t="s">
        <v>31</v>
      </c>
      <c r="E69" s="2" t="s">
        <v>32</v>
      </c>
      <c r="F69" s="4">
        <v>4800000</v>
      </c>
      <c r="G69" s="3">
        <v>30</v>
      </c>
      <c r="H69" s="3">
        <f t="shared" si="0"/>
        <v>4800000</v>
      </c>
      <c r="I69" s="3"/>
      <c r="J69" s="4"/>
      <c r="K69" s="4"/>
      <c r="L69" s="4"/>
      <c r="M69" s="4"/>
      <c r="N69" s="4"/>
      <c r="O69" s="4">
        <f t="shared" si="2"/>
        <v>4800000</v>
      </c>
      <c r="P69" s="4">
        <f>+H69*4%</f>
        <v>192000</v>
      </c>
      <c r="Q69" s="4">
        <f>+H69*5%</f>
        <v>240000</v>
      </c>
      <c r="R69" s="4"/>
      <c r="S69" s="4"/>
      <c r="T69" s="4">
        <v>51000</v>
      </c>
      <c r="U69" s="4"/>
      <c r="V69" s="4"/>
      <c r="W69" s="4"/>
      <c r="X69" s="4">
        <f t="shared" si="32"/>
        <v>483000</v>
      </c>
      <c r="Y69" s="118">
        <f>+O69-X69</f>
        <v>4317000</v>
      </c>
    </row>
    <row r="70" spans="1:25" ht="24.95" customHeight="1" x14ac:dyDescent="0.25">
      <c r="A70" s="117"/>
      <c r="B70" s="2">
        <v>67</v>
      </c>
      <c r="C70" s="1" t="s">
        <v>81</v>
      </c>
      <c r="D70" s="1" t="s">
        <v>31</v>
      </c>
      <c r="E70" s="2" t="s">
        <v>32</v>
      </c>
      <c r="F70" s="4">
        <v>4800000</v>
      </c>
      <c r="G70" s="3">
        <v>30</v>
      </c>
      <c r="H70" s="3">
        <f t="shared" ref="H70:H122" si="33">+F70/30*G70</f>
        <v>4800000</v>
      </c>
      <c r="I70" s="3"/>
      <c r="J70" s="4"/>
      <c r="K70" s="4"/>
      <c r="L70" s="4"/>
      <c r="M70" s="4"/>
      <c r="N70" s="4">
        <v>667500</v>
      </c>
      <c r="O70" s="4">
        <f t="shared" si="2"/>
        <v>5467500</v>
      </c>
      <c r="P70" s="4">
        <f>+O70*4%</f>
        <v>218700</v>
      </c>
      <c r="Q70" s="4">
        <f>+O70*5%</f>
        <v>273375</v>
      </c>
      <c r="R70" s="4"/>
      <c r="S70" s="4"/>
      <c r="T70" s="4">
        <v>26000</v>
      </c>
      <c r="U70" s="4"/>
      <c r="V70" s="4"/>
      <c r="W70" s="4"/>
      <c r="X70" s="4">
        <f t="shared" si="6"/>
        <v>518075</v>
      </c>
      <c r="Y70" s="118">
        <f>+O70-X70</f>
        <v>4949425</v>
      </c>
    </row>
    <row r="71" spans="1:25" ht="24.95" customHeight="1" x14ac:dyDescent="0.25">
      <c r="A71" s="117"/>
      <c r="B71" s="2">
        <v>68</v>
      </c>
      <c r="C71" s="1" t="s">
        <v>240</v>
      </c>
      <c r="D71" s="1" t="s">
        <v>31</v>
      </c>
      <c r="E71" s="2" t="s">
        <v>32</v>
      </c>
      <c r="F71" s="4">
        <v>5200000</v>
      </c>
      <c r="G71" s="3">
        <v>30</v>
      </c>
      <c r="H71" s="3">
        <f t="shared" si="33"/>
        <v>5200000</v>
      </c>
      <c r="I71" s="3"/>
      <c r="J71" s="4"/>
      <c r="K71" s="4"/>
      <c r="L71" s="4"/>
      <c r="M71" s="4"/>
      <c r="N71" s="4"/>
      <c r="O71" s="4">
        <f t="shared" si="2"/>
        <v>5200000</v>
      </c>
      <c r="P71" s="4">
        <f>+H71*4%</f>
        <v>208000</v>
      </c>
      <c r="Q71" s="4">
        <f>+H71*5%</f>
        <v>260000</v>
      </c>
      <c r="R71" s="4"/>
      <c r="S71" s="4"/>
      <c r="T71" s="4">
        <v>105000</v>
      </c>
      <c r="U71" s="4"/>
      <c r="V71" s="4"/>
      <c r="W71" s="4"/>
      <c r="X71" s="4">
        <f t="shared" ref="X71" si="34">SUM(P71:W71)</f>
        <v>573000</v>
      </c>
      <c r="Y71" s="118">
        <f>+O71-X71</f>
        <v>4627000</v>
      </c>
    </row>
    <row r="72" spans="1:25" ht="24.95" customHeight="1" x14ac:dyDescent="0.25">
      <c r="A72" s="117"/>
      <c r="B72" s="2">
        <v>69</v>
      </c>
      <c r="C72" s="1" t="s">
        <v>82</v>
      </c>
      <c r="D72" s="1" t="s">
        <v>31</v>
      </c>
      <c r="E72" s="2" t="s">
        <v>32</v>
      </c>
      <c r="F72" s="4">
        <v>6500000</v>
      </c>
      <c r="G72" s="3">
        <v>30</v>
      </c>
      <c r="H72" s="3">
        <f t="shared" si="33"/>
        <v>6500000</v>
      </c>
      <c r="I72" s="3"/>
      <c r="J72" s="4"/>
      <c r="K72" s="4"/>
      <c r="L72" s="4"/>
      <c r="M72" s="4"/>
      <c r="N72" s="4"/>
      <c r="O72" s="4">
        <f t="shared" si="2"/>
        <v>6500000</v>
      </c>
      <c r="P72" s="4">
        <f>+F72*0.04</f>
        <v>260000</v>
      </c>
      <c r="Q72" s="4">
        <f>+F72*0.05</f>
        <v>325000</v>
      </c>
      <c r="R72" s="4"/>
      <c r="S72" s="4">
        <v>147000</v>
      </c>
      <c r="T72" s="4">
        <v>207372</v>
      </c>
      <c r="U72" s="4"/>
      <c r="V72" s="4"/>
      <c r="W72" s="4"/>
      <c r="X72" s="4">
        <f t="shared" si="6"/>
        <v>939372</v>
      </c>
      <c r="Y72" s="118">
        <f>O72-X72</f>
        <v>5560628</v>
      </c>
    </row>
    <row r="73" spans="1:25" ht="24.75" customHeight="1" x14ac:dyDescent="0.25">
      <c r="A73" s="117" t="s">
        <v>83</v>
      </c>
      <c r="B73" s="2">
        <v>1</v>
      </c>
      <c r="C73" s="1" t="s">
        <v>84</v>
      </c>
      <c r="D73" s="1" t="s">
        <v>31</v>
      </c>
      <c r="E73" s="2" t="s">
        <v>32</v>
      </c>
      <c r="F73" s="4">
        <v>912000</v>
      </c>
      <c r="G73" s="3">
        <v>30</v>
      </c>
      <c r="H73" s="3">
        <f t="shared" si="33"/>
        <v>912000</v>
      </c>
      <c r="I73" s="3"/>
      <c r="J73" s="4">
        <v>88211</v>
      </c>
      <c r="K73" s="4"/>
      <c r="L73" s="4"/>
      <c r="M73" s="4"/>
      <c r="N73" s="4"/>
      <c r="O73" s="4">
        <f t="shared" si="2"/>
        <v>1000211</v>
      </c>
      <c r="P73" s="4">
        <f>+F73*0.04</f>
        <v>36480</v>
      </c>
      <c r="Q73" s="4">
        <f>+F73*0.04</f>
        <v>36480</v>
      </c>
      <c r="R73" s="4"/>
      <c r="S73" s="4"/>
      <c r="T73" s="4"/>
      <c r="U73" s="4"/>
      <c r="V73" s="4"/>
      <c r="W73" s="4"/>
      <c r="X73" s="4">
        <f>SUM(P73:W73)</f>
        <v>72960</v>
      </c>
      <c r="Y73" s="118">
        <f>O73-X73</f>
        <v>927251</v>
      </c>
    </row>
    <row r="74" spans="1:25" ht="24.95" customHeight="1" x14ac:dyDescent="0.25">
      <c r="A74" s="117"/>
      <c r="B74" s="2">
        <v>2</v>
      </c>
      <c r="C74" s="1" t="s">
        <v>85</v>
      </c>
      <c r="D74" s="1" t="s">
        <v>31</v>
      </c>
      <c r="E74" s="2" t="s">
        <v>32</v>
      </c>
      <c r="F74" s="4">
        <v>4000000</v>
      </c>
      <c r="G74" s="3">
        <v>30</v>
      </c>
      <c r="H74" s="3">
        <f t="shared" si="33"/>
        <v>4000000.0000000005</v>
      </c>
      <c r="I74" s="3"/>
      <c r="J74" s="4"/>
      <c r="K74" s="4"/>
      <c r="L74" s="4"/>
      <c r="M74" s="4"/>
      <c r="N74" s="4"/>
      <c r="O74" s="4">
        <f t="shared" si="2"/>
        <v>4000000.0000000005</v>
      </c>
      <c r="P74" s="4">
        <f>+F74*0.04</f>
        <v>160000</v>
      </c>
      <c r="Q74" s="4">
        <f>+F74*0.05</f>
        <v>200000</v>
      </c>
      <c r="R74" s="4"/>
      <c r="S74" s="4"/>
      <c r="T74" s="4"/>
      <c r="U74" s="4"/>
      <c r="V74" s="4"/>
      <c r="W74" s="4">
        <v>853816</v>
      </c>
      <c r="X74" s="4">
        <f t="shared" ref="X74:X123" si="35">SUM(P74:W74)</f>
        <v>1213816</v>
      </c>
      <c r="Y74" s="118">
        <f>O74-X74</f>
        <v>2786184.0000000005</v>
      </c>
    </row>
    <row r="75" spans="1:25" ht="24.95" customHeight="1" x14ac:dyDescent="0.25">
      <c r="A75" s="117"/>
      <c r="B75" s="2">
        <v>3</v>
      </c>
      <c r="C75" s="9" t="s">
        <v>86</v>
      </c>
      <c r="D75" s="1" t="s">
        <v>31</v>
      </c>
      <c r="E75" s="2" t="s">
        <v>32</v>
      </c>
      <c r="F75" s="4">
        <v>2500000</v>
      </c>
      <c r="G75" s="3">
        <v>30</v>
      </c>
      <c r="H75" s="3">
        <f t="shared" si="33"/>
        <v>2500000</v>
      </c>
      <c r="I75" s="3"/>
      <c r="J75" s="4"/>
      <c r="K75" s="4"/>
      <c r="L75" s="4">
        <v>0</v>
      </c>
      <c r="M75" s="4"/>
      <c r="N75" s="4"/>
      <c r="O75" s="4">
        <f t="shared" si="2"/>
        <v>2500000</v>
      </c>
      <c r="P75" s="4">
        <f>+F75*4%</f>
        <v>100000</v>
      </c>
      <c r="Q75" s="4">
        <f>+F75*4%</f>
        <v>100000</v>
      </c>
      <c r="R75" s="4"/>
      <c r="S75" s="4"/>
      <c r="T75" s="4"/>
      <c r="U75" s="4"/>
      <c r="V75" s="4"/>
      <c r="W75" s="4"/>
      <c r="X75" s="4">
        <f t="shared" si="35"/>
        <v>200000</v>
      </c>
      <c r="Y75" s="118">
        <f>O75-X75</f>
        <v>2300000</v>
      </c>
    </row>
    <row r="76" spans="1:25" ht="24.95" customHeight="1" x14ac:dyDescent="0.25">
      <c r="A76" s="117"/>
      <c r="B76" s="2">
        <v>4</v>
      </c>
      <c r="C76" s="108" t="s">
        <v>248</v>
      </c>
      <c r="D76" s="1" t="s">
        <v>31</v>
      </c>
      <c r="E76" s="2" t="s">
        <v>256</v>
      </c>
      <c r="F76" s="4">
        <v>781242</v>
      </c>
      <c r="G76" s="3">
        <v>30</v>
      </c>
      <c r="H76" s="3">
        <f t="shared" si="33"/>
        <v>781242</v>
      </c>
      <c r="I76" s="3"/>
      <c r="J76" s="4"/>
      <c r="K76" s="4"/>
      <c r="L76" s="4"/>
      <c r="M76" s="4"/>
      <c r="N76" s="4"/>
      <c r="O76" s="4">
        <f t="shared" si="2"/>
        <v>781242</v>
      </c>
      <c r="P76" s="4"/>
      <c r="Q76" s="4"/>
      <c r="R76" s="4"/>
      <c r="S76" s="4"/>
      <c r="T76" s="4"/>
      <c r="U76" s="4"/>
      <c r="V76" s="4"/>
      <c r="W76" s="4"/>
      <c r="X76" s="4">
        <f t="shared" ref="X76:X77" si="36">SUM(P76:W76)</f>
        <v>0</v>
      </c>
      <c r="Y76" s="118">
        <f t="shared" ref="Y76:Y77" si="37">O76-X76</f>
        <v>781242</v>
      </c>
    </row>
    <row r="77" spans="1:25" ht="24.95" customHeight="1" x14ac:dyDescent="0.25">
      <c r="A77" s="117"/>
      <c r="B77" s="2">
        <v>5</v>
      </c>
      <c r="C77" s="108" t="s">
        <v>249</v>
      </c>
      <c r="D77" s="1" t="s">
        <v>31</v>
      </c>
      <c r="E77" s="2" t="s">
        <v>256</v>
      </c>
      <c r="F77" s="4">
        <v>781242</v>
      </c>
      <c r="G77" s="3">
        <v>30</v>
      </c>
      <c r="H77" s="3">
        <f t="shared" si="33"/>
        <v>781242</v>
      </c>
      <c r="I77" s="3"/>
      <c r="J77" s="4"/>
      <c r="K77" s="4"/>
      <c r="L77" s="4"/>
      <c r="M77" s="4"/>
      <c r="N77" s="4"/>
      <c r="O77" s="4">
        <f t="shared" si="2"/>
        <v>781242</v>
      </c>
      <c r="P77" s="4"/>
      <c r="Q77" s="4"/>
      <c r="R77" s="4"/>
      <c r="S77" s="4"/>
      <c r="T77" s="4"/>
      <c r="U77" s="4"/>
      <c r="V77" s="4"/>
      <c r="W77" s="4"/>
      <c r="X77" s="4">
        <f t="shared" si="36"/>
        <v>0</v>
      </c>
      <c r="Y77" s="118">
        <f t="shared" si="37"/>
        <v>781242</v>
      </c>
    </row>
    <row r="78" spans="1:25" ht="24.95" customHeight="1" x14ac:dyDescent="0.25">
      <c r="A78" s="117"/>
      <c r="B78" s="2">
        <v>6</v>
      </c>
      <c r="C78" s="1" t="s">
        <v>87</v>
      </c>
      <c r="D78" s="1" t="s">
        <v>31</v>
      </c>
      <c r="E78" s="2" t="s">
        <v>32</v>
      </c>
      <c r="F78" s="4">
        <v>3000000</v>
      </c>
      <c r="G78" s="3">
        <v>30</v>
      </c>
      <c r="H78" s="3">
        <f t="shared" si="33"/>
        <v>3000000</v>
      </c>
      <c r="I78" s="3"/>
      <c r="J78" s="4"/>
      <c r="K78" s="4"/>
      <c r="L78" s="4"/>
      <c r="M78" s="4"/>
      <c r="N78" s="4"/>
      <c r="O78" s="4">
        <f t="shared" si="2"/>
        <v>3000000</v>
      </c>
      <c r="P78" s="4">
        <f>+F78*4%</f>
        <v>120000</v>
      </c>
      <c r="Q78" s="4">
        <f>+F78*4%</f>
        <v>120000</v>
      </c>
      <c r="R78" s="4"/>
      <c r="S78" s="4"/>
      <c r="T78" s="7"/>
      <c r="U78" s="4"/>
      <c r="V78" s="4"/>
      <c r="W78" s="4"/>
      <c r="X78" s="4">
        <f t="shared" si="35"/>
        <v>240000</v>
      </c>
      <c r="Y78" s="118">
        <f t="shared" ref="Y78:Y88" si="38">+O78-X78</f>
        <v>2760000</v>
      </c>
    </row>
    <row r="79" spans="1:25" ht="24.95" customHeight="1" x14ac:dyDescent="0.25">
      <c r="A79" s="117"/>
      <c r="B79" s="2">
        <v>7</v>
      </c>
      <c r="C79" s="15" t="s">
        <v>250</v>
      </c>
      <c r="D79" s="1" t="s">
        <v>45</v>
      </c>
      <c r="E79" s="2" t="s">
        <v>256</v>
      </c>
      <c r="F79" s="4">
        <v>390621</v>
      </c>
      <c r="G79" s="3">
        <v>30</v>
      </c>
      <c r="H79" s="3">
        <f t="shared" si="33"/>
        <v>390621</v>
      </c>
      <c r="I79" s="3"/>
      <c r="J79" s="4"/>
      <c r="K79" s="4"/>
      <c r="L79" s="4"/>
      <c r="M79" s="4"/>
      <c r="N79" s="4"/>
      <c r="O79" s="4">
        <f t="shared" si="2"/>
        <v>390621</v>
      </c>
      <c r="P79" s="4"/>
      <c r="Q79" s="4"/>
      <c r="R79" s="4"/>
      <c r="S79" s="4"/>
      <c r="T79" s="7"/>
      <c r="U79" s="4"/>
      <c r="V79" s="4"/>
      <c r="W79" s="4"/>
      <c r="X79" s="4">
        <f t="shared" ref="X79" si="39">SUM(P79:W79)</f>
        <v>0</v>
      </c>
      <c r="Y79" s="118">
        <f t="shared" si="38"/>
        <v>390621</v>
      </c>
    </row>
    <row r="80" spans="1:25" ht="24.95" customHeight="1" x14ac:dyDescent="0.25">
      <c r="A80" s="117"/>
      <c r="B80" s="2">
        <v>8</v>
      </c>
      <c r="C80" s="1" t="s">
        <v>91</v>
      </c>
      <c r="D80" s="1" t="s">
        <v>31</v>
      </c>
      <c r="E80" s="2" t="s">
        <v>32</v>
      </c>
      <c r="F80" s="4">
        <v>781242</v>
      </c>
      <c r="G80" s="3">
        <v>30</v>
      </c>
      <c r="H80" s="3">
        <f t="shared" si="33"/>
        <v>781242</v>
      </c>
      <c r="I80" s="3"/>
      <c r="J80" s="4">
        <v>88211</v>
      </c>
      <c r="K80" s="4"/>
      <c r="L80" s="4"/>
      <c r="M80" s="4"/>
      <c r="N80" s="4"/>
      <c r="O80" s="4">
        <f t="shared" si="2"/>
        <v>869453</v>
      </c>
      <c r="P80" s="4">
        <v>31250</v>
      </c>
      <c r="Q80" s="4">
        <v>31250</v>
      </c>
      <c r="R80" s="4"/>
      <c r="S80" s="4"/>
      <c r="T80" s="7"/>
      <c r="U80" s="4"/>
      <c r="V80" s="4"/>
      <c r="W80" s="4"/>
      <c r="X80" s="4">
        <f t="shared" si="35"/>
        <v>62500</v>
      </c>
      <c r="Y80" s="118">
        <f t="shared" si="38"/>
        <v>806953</v>
      </c>
    </row>
    <row r="81" spans="1:25" ht="24.95" customHeight="1" x14ac:dyDescent="0.25">
      <c r="A81" s="117"/>
      <c r="B81" s="2">
        <v>9</v>
      </c>
      <c r="C81" s="1" t="s">
        <v>94</v>
      </c>
      <c r="D81" s="1" t="s">
        <v>31</v>
      </c>
      <c r="E81" s="2" t="s">
        <v>32</v>
      </c>
      <c r="F81" s="4">
        <v>4000000</v>
      </c>
      <c r="G81" s="3">
        <v>30</v>
      </c>
      <c r="H81" s="3">
        <f t="shared" si="33"/>
        <v>4000000.0000000005</v>
      </c>
      <c r="I81" s="3"/>
      <c r="J81" s="4"/>
      <c r="K81" s="4"/>
      <c r="L81" s="4"/>
      <c r="M81" s="4"/>
      <c r="N81" s="4"/>
      <c r="O81" s="4">
        <f>+H81+J81+L81+M81+N81+K81+I81</f>
        <v>4000000.0000000005</v>
      </c>
      <c r="P81" s="4">
        <f t="shared" ref="P81:P88" si="40">+F81*4%</f>
        <v>160000</v>
      </c>
      <c r="Q81" s="4">
        <f>+F81*5%</f>
        <v>200000</v>
      </c>
      <c r="R81" s="4"/>
      <c r="S81" s="4">
        <v>265625</v>
      </c>
      <c r="T81" s="4">
        <v>0</v>
      </c>
      <c r="U81" s="4"/>
      <c r="V81" s="4"/>
      <c r="W81" s="4">
        <v>224445</v>
      </c>
      <c r="X81" s="4">
        <f t="shared" si="35"/>
        <v>850070</v>
      </c>
      <c r="Y81" s="118">
        <f t="shared" si="38"/>
        <v>3149930.0000000005</v>
      </c>
    </row>
    <row r="82" spans="1:25" ht="24.95" customHeight="1" x14ac:dyDescent="0.25">
      <c r="A82" s="117"/>
      <c r="B82" s="2">
        <v>10</v>
      </c>
      <c r="C82" s="1" t="s">
        <v>241</v>
      </c>
      <c r="D82" s="1" t="s">
        <v>31</v>
      </c>
      <c r="E82" s="2" t="s">
        <v>32</v>
      </c>
      <c r="F82" s="4">
        <v>3000000</v>
      </c>
      <c r="G82" s="3">
        <v>30</v>
      </c>
      <c r="H82" s="3">
        <f t="shared" si="33"/>
        <v>3000000</v>
      </c>
      <c r="I82" s="3"/>
      <c r="J82" s="4"/>
      <c r="K82" s="4"/>
      <c r="L82" s="4"/>
      <c r="M82" s="4"/>
      <c r="N82" s="4"/>
      <c r="O82" s="4">
        <f t="shared" ref="O82:O84" si="41">+H82+J82+L82+M82+N82+K82</f>
        <v>3000000</v>
      </c>
      <c r="P82" s="4">
        <f>+H82*4%</f>
        <v>120000</v>
      </c>
      <c r="Q82" s="4">
        <f>+H82*4%</f>
        <v>120000</v>
      </c>
      <c r="R82" s="4"/>
      <c r="S82" s="4"/>
      <c r="T82" s="4"/>
      <c r="U82" s="4"/>
      <c r="V82" s="4"/>
      <c r="W82" s="4"/>
      <c r="X82" s="4">
        <f t="shared" ref="X82:X84" si="42">SUM(P82:W82)</f>
        <v>240000</v>
      </c>
      <c r="Y82" s="118">
        <f t="shared" si="38"/>
        <v>2760000</v>
      </c>
    </row>
    <row r="83" spans="1:25" ht="24.95" customHeight="1" x14ac:dyDescent="0.25">
      <c r="A83" s="117"/>
      <c r="B83" s="2">
        <v>11</v>
      </c>
      <c r="C83" s="1" t="s">
        <v>251</v>
      </c>
      <c r="D83" s="1" t="s">
        <v>31</v>
      </c>
      <c r="E83" s="2" t="s">
        <v>32</v>
      </c>
      <c r="F83" s="4">
        <v>1500000</v>
      </c>
      <c r="G83" s="3">
        <v>30</v>
      </c>
      <c r="H83" s="3">
        <f t="shared" si="33"/>
        <v>1500000</v>
      </c>
      <c r="I83" s="3"/>
      <c r="J83" s="4">
        <f>+((88211/30)*G83)</f>
        <v>88211</v>
      </c>
      <c r="K83" s="4"/>
      <c r="L83" s="4"/>
      <c r="M83" s="4"/>
      <c r="N83" s="4"/>
      <c r="O83" s="4">
        <f t="shared" si="41"/>
        <v>1588211</v>
      </c>
      <c r="P83" s="4">
        <f>+H83*4%</f>
        <v>60000</v>
      </c>
      <c r="Q83" s="4">
        <f>+H83*4%</f>
        <v>60000</v>
      </c>
      <c r="R83" s="4"/>
      <c r="S83" s="4"/>
      <c r="T83" s="4">
        <v>0</v>
      </c>
      <c r="U83" s="4"/>
      <c r="V83" s="4"/>
      <c r="W83" s="4"/>
      <c r="X83" s="4">
        <f t="shared" si="42"/>
        <v>120000</v>
      </c>
      <c r="Y83" s="118">
        <f t="shared" si="38"/>
        <v>1468211</v>
      </c>
    </row>
    <row r="84" spans="1:25" ht="24.95" customHeight="1" x14ac:dyDescent="0.25">
      <c r="A84" s="117"/>
      <c r="B84" s="2">
        <v>12</v>
      </c>
      <c r="C84" s="1" t="s">
        <v>187</v>
      </c>
      <c r="D84" s="1" t="s">
        <v>31</v>
      </c>
      <c r="E84" s="2" t="s">
        <v>32</v>
      </c>
      <c r="F84" s="4">
        <v>781242</v>
      </c>
      <c r="G84" s="3">
        <v>30</v>
      </c>
      <c r="H84" s="3">
        <f t="shared" si="33"/>
        <v>781242</v>
      </c>
      <c r="I84" s="3"/>
      <c r="J84" s="4">
        <f>+((88211/30)*G84)</f>
        <v>88211</v>
      </c>
      <c r="K84" s="4"/>
      <c r="L84" s="4"/>
      <c r="M84" s="4"/>
      <c r="N84" s="4"/>
      <c r="O84" s="4">
        <f t="shared" si="41"/>
        <v>869453</v>
      </c>
      <c r="P84" s="4">
        <f>+H84*4%</f>
        <v>31249.68</v>
      </c>
      <c r="Q84" s="4">
        <f>+H84*4%</f>
        <v>31249.68</v>
      </c>
      <c r="R84" s="4"/>
      <c r="S84" s="4"/>
      <c r="T84" s="4">
        <v>0</v>
      </c>
      <c r="U84" s="4"/>
      <c r="V84" s="4"/>
      <c r="W84" s="4"/>
      <c r="X84" s="4">
        <f t="shared" si="42"/>
        <v>62499.360000000001</v>
      </c>
      <c r="Y84" s="118">
        <f t="shared" si="38"/>
        <v>806953.64</v>
      </c>
    </row>
    <row r="85" spans="1:25" ht="24.95" customHeight="1" x14ac:dyDescent="0.25">
      <c r="A85" s="117"/>
      <c r="B85" s="2">
        <v>13</v>
      </c>
      <c r="C85" s="1" t="s">
        <v>95</v>
      </c>
      <c r="D85" s="1" t="s">
        <v>31</v>
      </c>
      <c r="E85" s="2" t="s">
        <v>32</v>
      </c>
      <c r="F85" s="4">
        <v>4000000</v>
      </c>
      <c r="G85" s="3">
        <v>30</v>
      </c>
      <c r="H85" s="3">
        <f>+F85-K85</f>
        <v>2133333</v>
      </c>
      <c r="I85" s="3"/>
      <c r="J85" s="4"/>
      <c r="K85" s="4">
        <v>1866667</v>
      </c>
      <c r="L85" s="4"/>
      <c r="M85" s="4"/>
      <c r="N85" s="4"/>
      <c r="O85" s="4">
        <f t="shared" si="2"/>
        <v>4000000</v>
      </c>
      <c r="P85" s="4">
        <f t="shared" si="40"/>
        <v>160000</v>
      </c>
      <c r="Q85" s="4">
        <f>+F85*5%</f>
        <v>200000</v>
      </c>
      <c r="R85" s="4">
        <v>0</v>
      </c>
      <c r="S85" s="4"/>
      <c r="T85" s="4">
        <v>0</v>
      </c>
      <c r="U85" s="4"/>
      <c r="V85" s="4"/>
      <c r="W85" s="4">
        <v>422966</v>
      </c>
      <c r="X85" s="4">
        <f t="shared" si="35"/>
        <v>782966</v>
      </c>
      <c r="Y85" s="118">
        <f t="shared" si="38"/>
        <v>3217034</v>
      </c>
    </row>
    <row r="86" spans="1:25" ht="24.95" customHeight="1" x14ac:dyDescent="0.25">
      <c r="A86" s="117"/>
      <c r="B86" s="2">
        <v>14</v>
      </c>
      <c r="C86" s="1" t="s">
        <v>96</v>
      </c>
      <c r="D86" s="1" t="s">
        <v>31</v>
      </c>
      <c r="E86" s="2" t="s">
        <v>32</v>
      </c>
      <c r="F86" s="4">
        <v>1500000</v>
      </c>
      <c r="G86" s="3">
        <v>30</v>
      </c>
      <c r="H86" s="3">
        <f>+F86-K86</f>
        <v>1150000</v>
      </c>
      <c r="I86" s="3"/>
      <c r="J86" s="4">
        <f>+(88211/30)*G86</f>
        <v>88211</v>
      </c>
      <c r="K86" s="4">
        <v>350000</v>
      </c>
      <c r="L86" s="4"/>
      <c r="M86" s="4"/>
      <c r="N86" s="4"/>
      <c r="O86" s="4">
        <f>+H86+J86+L86+M86+N86+K86+I86</f>
        <v>1588211</v>
      </c>
      <c r="P86" s="4">
        <f>+F86*4%</f>
        <v>60000</v>
      </c>
      <c r="Q86" s="4">
        <f>+F86*4%</f>
        <v>60000</v>
      </c>
      <c r="R86" s="4"/>
      <c r="S86" s="4"/>
      <c r="T86" s="4">
        <v>0</v>
      </c>
      <c r="U86" s="4"/>
      <c r="V86" s="4"/>
      <c r="W86" s="4"/>
      <c r="X86" s="4">
        <f t="shared" si="35"/>
        <v>120000</v>
      </c>
      <c r="Y86" s="118">
        <f t="shared" si="38"/>
        <v>1468211</v>
      </c>
    </row>
    <row r="87" spans="1:25" ht="24.95" customHeight="1" x14ac:dyDescent="0.25">
      <c r="A87" s="117"/>
      <c r="B87" s="2">
        <v>15</v>
      </c>
      <c r="C87" s="1" t="s">
        <v>97</v>
      </c>
      <c r="D87" s="1" t="s">
        <v>31</v>
      </c>
      <c r="E87" s="2" t="s">
        <v>32</v>
      </c>
      <c r="F87" s="4">
        <v>3000000</v>
      </c>
      <c r="G87" s="3">
        <v>30</v>
      </c>
      <c r="H87" s="3">
        <f>+F87-K87</f>
        <v>1800000</v>
      </c>
      <c r="I87" s="3"/>
      <c r="J87" s="4"/>
      <c r="K87" s="4">
        <v>1200000</v>
      </c>
      <c r="L87" s="4"/>
      <c r="M87" s="4">
        <v>300000</v>
      </c>
      <c r="N87" s="4"/>
      <c r="O87" s="4">
        <f t="shared" si="2"/>
        <v>3300000</v>
      </c>
      <c r="P87" s="4">
        <f t="shared" si="40"/>
        <v>120000</v>
      </c>
      <c r="Q87" s="4">
        <f>+F87*0.04</f>
        <v>120000</v>
      </c>
      <c r="R87" s="4"/>
      <c r="S87" s="4"/>
      <c r="T87" s="4">
        <v>0</v>
      </c>
      <c r="U87" s="4"/>
      <c r="V87" s="4"/>
      <c r="W87" s="4"/>
      <c r="X87" s="4">
        <f t="shared" si="35"/>
        <v>240000</v>
      </c>
      <c r="Y87" s="118">
        <f t="shared" si="38"/>
        <v>3060000</v>
      </c>
    </row>
    <row r="88" spans="1:25" ht="24" customHeight="1" x14ac:dyDescent="0.25">
      <c r="A88" s="117"/>
      <c r="B88" s="2">
        <v>16</v>
      </c>
      <c r="C88" s="1" t="s">
        <v>98</v>
      </c>
      <c r="D88" s="1" t="s">
        <v>31</v>
      </c>
      <c r="E88" s="2" t="s">
        <v>32</v>
      </c>
      <c r="F88" s="4">
        <v>2000000</v>
      </c>
      <c r="G88" s="3">
        <v>30</v>
      </c>
      <c r="H88" s="3">
        <f t="shared" si="33"/>
        <v>2000000.0000000002</v>
      </c>
      <c r="I88" s="3"/>
      <c r="J88" s="4"/>
      <c r="K88" s="4"/>
      <c r="L88" s="4"/>
      <c r="M88" s="4"/>
      <c r="N88" s="4"/>
      <c r="O88" s="4">
        <f t="shared" si="2"/>
        <v>2000000.0000000002</v>
      </c>
      <c r="P88" s="4">
        <f t="shared" si="40"/>
        <v>80000</v>
      </c>
      <c r="Q88" s="4">
        <f>+F88*4%</f>
        <v>80000</v>
      </c>
      <c r="R88" s="4"/>
      <c r="S88" s="4"/>
      <c r="T88" s="4">
        <v>0</v>
      </c>
      <c r="U88" s="4"/>
      <c r="V88" s="4"/>
      <c r="W88" s="4"/>
      <c r="X88" s="4">
        <f t="shared" si="35"/>
        <v>160000</v>
      </c>
      <c r="Y88" s="118">
        <f t="shared" si="38"/>
        <v>1840000.0000000002</v>
      </c>
    </row>
    <row r="89" spans="1:25" ht="24.95" customHeight="1" x14ac:dyDescent="0.25">
      <c r="A89" s="117"/>
      <c r="B89" s="2">
        <v>17</v>
      </c>
      <c r="C89" s="9" t="s">
        <v>99</v>
      </c>
      <c r="D89" s="1" t="s">
        <v>31</v>
      </c>
      <c r="E89" s="2" t="s">
        <v>32</v>
      </c>
      <c r="F89" s="4">
        <v>4500000</v>
      </c>
      <c r="G89" s="3">
        <v>30</v>
      </c>
      <c r="H89" s="3">
        <f t="shared" si="33"/>
        <v>4500000</v>
      </c>
      <c r="I89" s="3"/>
      <c r="J89" s="4"/>
      <c r="K89" s="4"/>
      <c r="L89" s="12"/>
      <c r="M89" s="4"/>
      <c r="N89" s="4"/>
      <c r="O89" s="4">
        <f>+H89+J89+K89+M89+N89</f>
        <v>4500000</v>
      </c>
      <c r="P89" s="4">
        <f>+O89*4%</f>
        <v>180000</v>
      </c>
      <c r="Q89" s="4">
        <f>+O89*5%</f>
        <v>225000</v>
      </c>
      <c r="R89" s="4"/>
      <c r="S89" s="4"/>
      <c r="T89" s="4">
        <v>0</v>
      </c>
      <c r="U89" s="4"/>
      <c r="V89" s="4"/>
      <c r="W89" s="4"/>
      <c r="X89" s="4">
        <f t="shared" si="35"/>
        <v>405000</v>
      </c>
      <c r="Y89" s="118">
        <f t="shared" ref="Y89:Y97" si="43">O89-X89</f>
        <v>4095000</v>
      </c>
    </row>
    <row r="90" spans="1:25" ht="24.95" customHeight="1" x14ac:dyDescent="0.25">
      <c r="A90" s="117"/>
      <c r="B90" s="2">
        <v>18</v>
      </c>
      <c r="C90" s="1" t="s">
        <v>101</v>
      </c>
      <c r="D90" s="1" t="s">
        <v>31</v>
      </c>
      <c r="E90" s="2" t="s">
        <v>32</v>
      </c>
      <c r="F90" s="4">
        <v>1500000</v>
      </c>
      <c r="G90" s="3">
        <v>30</v>
      </c>
      <c r="H90" s="3">
        <f t="shared" si="33"/>
        <v>1500000</v>
      </c>
      <c r="I90" s="3"/>
      <c r="J90" s="4">
        <v>88211</v>
      </c>
      <c r="K90" s="4"/>
      <c r="L90" s="4"/>
      <c r="M90" s="4"/>
      <c r="N90" s="4"/>
      <c r="O90" s="4">
        <f t="shared" si="2"/>
        <v>1588211</v>
      </c>
      <c r="P90" s="4">
        <f>+F90*4%</f>
        <v>60000</v>
      </c>
      <c r="Q90" s="4">
        <f>+F90*4%</f>
        <v>60000</v>
      </c>
      <c r="R90" s="4"/>
      <c r="S90" s="4"/>
      <c r="T90" s="4"/>
      <c r="U90" s="4"/>
      <c r="V90" s="4"/>
      <c r="W90" s="4">
        <v>194767</v>
      </c>
      <c r="X90" s="4">
        <f t="shared" si="35"/>
        <v>314767</v>
      </c>
      <c r="Y90" s="118">
        <f t="shared" si="43"/>
        <v>1273444</v>
      </c>
    </row>
    <row r="91" spans="1:25" ht="24.95" customHeight="1" x14ac:dyDescent="0.25">
      <c r="A91" s="117"/>
      <c r="B91" s="2">
        <v>19</v>
      </c>
      <c r="C91" s="15" t="s">
        <v>170</v>
      </c>
      <c r="D91" s="15" t="s">
        <v>31</v>
      </c>
      <c r="E91" s="14" t="s">
        <v>102</v>
      </c>
      <c r="F91" s="4">
        <v>390621</v>
      </c>
      <c r="G91" s="3">
        <v>30</v>
      </c>
      <c r="H91" s="3">
        <f t="shared" si="33"/>
        <v>390621</v>
      </c>
      <c r="I91" s="3"/>
      <c r="J91" s="4"/>
      <c r="K91" s="4"/>
      <c r="L91" s="4"/>
      <c r="M91" s="4"/>
      <c r="N91" s="4"/>
      <c r="O91" s="4">
        <f t="shared" si="2"/>
        <v>390621</v>
      </c>
      <c r="P91" s="4"/>
      <c r="Q91" s="4"/>
      <c r="R91" s="4"/>
      <c r="S91" s="4"/>
      <c r="T91" s="4"/>
      <c r="U91" s="4"/>
      <c r="V91" s="4"/>
      <c r="W91" s="4"/>
      <c r="X91" s="4"/>
      <c r="Y91" s="118">
        <f t="shared" si="43"/>
        <v>390621</v>
      </c>
    </row>
    <row r="92" spans="1:25" ht="24.95" customHeight="1" x14ac:dyDescent="0.25">
      <c r="A92" s="117"/>
      <c r="B92" s="2">
        <v>20</v>
      </c>
      <c r="C92" s="1" t="s">
        <v>103</v>
      </c>
      <c r="D92" s="1" t="s">
        <v>31</v>
      </c>
      <c r="E92" s="2" t="s">
        <v>32</v>
      </c>
      <c r="F92" s="4">
        <v>4800000</v>
      </c>
      <c r="G92" s="3">
        <v>30</v>
      </c>
      <c r="H92" s="3">
        <f t="shared" si="33"/>
        <v>4800000</v>
      </c>
      <c r="I92" s="3"/>
      <c r="J92" s="4"/>
      <c r="K92" s="4"/>
      <c r="L92" s="4"/>
      <c r="M92" s="4"/>
      <c r="N92" s="4"/>
      <c r="O92" s="4">
        <f t="shared" ref="O92:O119" si="44">+H92+J92+L92+M92+N92+K92</f>
        <v>4800000</v>
      </c>
      <c r="P92" s="4">
        <f>+O92*0.04</f>
        <v>192000</v>
      </c>
      <c r="Q92" s="4">
        <f>+O92*0.05</f>
        <v>240000</v>
      </c>
      <c r="R92" s="4"/>
      <c r="S92" s="4"/>
      <c r="T92" s="4">
        <v>31000</v>
      </c>
      <c r="U92" s="4"/>
      <c r="V92" s="4"/>
      <c r="W92" s="4"/>
      <c r="X92" s="4">
        <f t="shared" si="35"/>
        <v>463000</v>
      </c>
      <c r="Y92" s="118">
        <f t="shared" si="43"/>
        <v>4337000</v>
      </c>
    </row>
    <row r="93" spans="1:25" ht="24.95" customHeight="1" x14ac:dyDescent="0.25">
      <c r="A93" s="117"/>
      <c r="B93" s="2">
        <v>21</v>
      </c>
      <c r="C93" s="1" t="s">
        <v>104</v>
      </c>
      <c r="D93" s="1" t="s">
        <v>31</v>
      </c>
      <c r="E93" s="2" t="s">
        <v>32</v>
      </c>
      <c r="F93" s="4">
        <v>2500000</v>
      </c>
      <c r="G93" s="3">
        <v>30</v>
      </c>
      <c r="H93" s="3">
        <f t="shared" si="33"/>
        <v>2500000</v>
      </c>
      <c r="I93" s="3"/>
      <c r="J93" s="4"/>
      <c r="K93" s="4"/>
      <c r="L93" s="4"/>
      <c r="M93" s="4"/>
      <c r="N93" s="4"/>
      <c r="O93" s="4">
        <f t="shared" si="44"/>
        <v>2500000</v>
      </c>
      <c r="P93" s="4">
        <f>+F93*4%</f>
        <v>100000</v>
      </c>
      <c r="Q93" s="4">
        <f>+F93*4%</f>
        <v>100000</v>
      </c>
      <c r="R93" s="4"/>
      <c r="S93" s="4"/>
      <c r="T93" s="4"/>
      <c r="U93" s="4"/>
      <c r="V93" s="4"/>
      <c r="W93" s="4"/>
      <c r="X93" s="4">
        <f t="shared" si="35"/>
        <v>200000</v>
      </c>
      <c r="Y93" s="118">
        <f t="shared" si="43"/>
        <v>2300000</v>
      </c>
    </row>
    <row r="94" spans="1:25" ht="24.95" customHeight="1" x14ac:dyDescent="0.25">
      <c r="A94" s="117"/>
      <c r="B94" s="2">
        <v>22</v>
      </c>
      <c r="C94" s="1" t="s">
        <v>105</v>
      </c>
      <c r="D94" s="1" t="s">
        <v>31</v>
      </c>
      <c r="E94" s="2" t="s">
        <v>32</v>
      </c>
      <c r="F94" s="4">
        <v>1272000</v>
      </c>
      <c r="G94" s="3">
        <v>30</v>
      </c>
      <c r="H94" s="3">
        <f t="shared" si="33"/>
        <v>1272000</v>
      </c>
      <c r="I94" s="3"/>
      <c r="J94" s="4">
        <v>88211</v>
      </c>
      <c r="K94" s="4"/>
      <c r="L94" s="4"/>
      <c r="M94" s="4"/>
      <c r="N94" s="4"/>
      <c r="O94" s="4">
        <f t="shared" si="44"/>
        <v>1360211</v>
      </c>
      <c r="P94" s="4">
        <f>+F94*4%</f>
        <v>50880</v>
      </c>
      <c r="Q94" s="4">
        <f>+F94*4%</f>
        <v>50880</v>
      </c>
      <c r="R94" s="4"/>
      <c r="S94" s="4"/>
      <c r="T94" s="4"/>
      <c r="U94" s="4"/>
      <c r="V94" s="4"/>
      <c r="W94" s="4"/>
      <c r="X94" s="4">
        <f t="shared" si="35"/>
        <v>101760</v>
      </c>
      <c r="Y94" s="118">
        <f t="shared" si="43"/>
        <v>1258451</v>
      </c>
    </row>
    <row r="95" spans="1:25" ht="24.95" customHeight="1" x14ac:dyDescent="0.25">
      <c r="A95" s="117"/>
      <c r="B95" s="2">
        <v>23</v>
      </c>
      <c r="C95" s="1" t="s">
        <v>106</v>
      </c>
      <c r="D95" s="1" t="s">
        <v>31</v>
      </c>
      <c r="E95" s="2" t="s">
        <v>32</v>
      </c>
      <c r="F95" s="4">
        <v>3000000</v>
      </c>
      <c r="G95" s="3">
        <v>30</v>
      </c>
      <c r="H95" s="3">
        <f>+F95-K95</f>
        <v>2900000</v>
      </c>
      <c r="I95" s="3"/>
      <c r="J95" s="4"/>
      <c r="K95" s="4">
        <v>100000</v>
      </c>
      <c r="L95" s="4"/>
      <c r="M95" s="4"/>
      <c r="N95" s="4"/>
      <c r="O95" s="4">
        <f t="shared" si="44"/>
        <v>3000000</v>
      </c>
      <c r="P95" s="4">
        <f>+F95*4%</f>
        <v>120000</v>
      </c>
      <c r="Q95" s="4">
        <f>+F95*4%</f>
        <v>120000</v>
      </c>
      <c r="R95" s="4"/>
      <c r="S95" s="4"/>
      <c r="T95" s="4">
        <v>0</v>
      </c>
      <c r="U95" s="4"/>
      <c r="V95" s="4"/>
      <c r="W95" s="4">
        <v>700045</v>
      </c>
      <c r="X95" s="4">
        <f t="shared" si="35"/>
        <v>940045</v>
      </c>
      <c r="Y95" s="118">
        <f t="shared" si="43"/>
        <v>2059955</v>
      </c>
    </row>
    <row r="96" spans="1:25" ht="24.95" customHeight="1" x14ac:dyDescent="0.25">
      <c r="A96" s="117"/>
      <c r="B96" s="2">
        <v>24</v>
      </c>
      <c r="C96" s="1" t="s">
        <v>107</v>
      </c>
      <c r="D96" s="1" t="s">
        <v>31</v>
      </c>
      <c r="E96" s="2" t="s">
        <v>32</v>
      </c>
      <c r="F96" s="4">
        <v>912000</v>
      </c>
      <c r="G96" s="3">
        <v>30</v>
      </c>
      <c r="H96" s="3">
        <f t="shared" si="33"/>
        <v>912000</v>
      </c>
      <c r="I96" s="3"/>
      <c r="J96" s="4">
        <f>+(88211/30)*G96</f>
        <v>88211</v>
      </c>
      <c r="K96" s="4"/>
      <c r="L96" s="4"/>
      <c r="M96" s="4"/>
      <c r="N96" s="4"/>
      <c r="O96" s="4">
        <f t="shared" si="44"/>
        <v>1000211</v>
      </c>
      <c r="P96" s="4">
        <f>+H96*4%</f>
        <v>36480</v>
      </c>
      <c r="Q96" s="4">
        <f>+H96*4%</f>
        <v>36480</v>
      </c>
      <c r="R96" s="4"/>
      <c r="S96" s="4"/>
      <c r="T96" s="4"/>
      <c r="U96" s="4"/>
      <c r="V96" s="4"/>
      <c r="W96" s="4"/>
      <c r="X96" s="4">
        <f t="shared" ref="X96" si="45">SUM(P96:W96)</f>
        <v>72960</v>
      </c>
      <c r="Y96" s="118">
        <f t="shared" si="43"/>
        <v>927251</v>
      </c>
    </row>
    <row r="97" spans="1:25" ht="24.95" customHeight="1" x14ac:dyDescent="0.25">
      <c r="A97" s="117"/>
      <c r="B97" s="2">
        <v>25</v>
      </c>
      <c r="C97" s="9" t="s">
        <v>109</v>
      </c>
      <c r="D97" s="1" t="s">
        <v>31</v>
      </c>
      <c r="E97" s="2" t="s">
        <v>32</v>
      </c>
      <c r="F97" s="4">
        <v>3000000</v>
      </c>
      <c r="G97" s="3">
        <v>30</v>
      </c>
      <c r="H97" s="3">
        <f t="shared" si="33"/>
        <v>3000000</v>
      </c>
      <c r="I97" s="3"/>
      <c r="J97" s="4"/>
      <c r="K97" s="4"/>
      <c r="L97" s="4"/>
      <c r="M97" s="4"/>
      <c r="N97" s="4"/>
      <c r="O97" s="4">
        <f t="shared" si="44"/>
        <v>3000000</v>
      </c>
      <c r="P97" s="4">
        <f t="shared" ref="P97:P105" si="46">+F97*4%</f>
        <v>120000</v>
      </c>
      <c r="Q97" s="4">
        <f>+F97*4%</f>
        <v>120000</v>
      </c>
      <c r="R97" s="4"/>
      <c r="S97" s="4"/>
      <c r="T97" s="4"/>
      <c r="U97" s="4"/>
      <c r="V97" s="4"/>
      <c r="W97" s="4"/>
      <c r="X97" s="4">
        <f t="shared" si="35"/>
        <v>240000</v>
      </c>
      <c r="Y97" s="118">
        <f t="shared" si="43"/>
        <v>2760000</v>
      </c>
    </row>
    <row r="98" spans="1:25" ht="24.95" customHeight="1" x14ac:dyDescent="0.25">
      <c r="A98" s="117"/>
      <c r="B98" s="2">
        <v>26</v>
      </c>
      <c r="C98" s="1" t="s">
        <v>111</v>
      </c>
      <c r="D98" s="1" t="s">
        <v>31</v>
      </c>
      <c r="E98" s="2" t="s">
        <v>32</v>
      </c>
      <c r="F98" s="4">
        <v>2200000</v>
      </c>
      <c r="G98" s="3">
        <v>30</v>
      </c>
      <c r="H98" s="3">
        <f t="shared" si="33"/>
        <v>2200000</v>
      </c>
      <c r="I98" s="3"/>
      <c r="J98" s="4"/>
      <c r="K98" s="4"/>
      <c r="L98" s="4"/>
      <c r="M98" s="4"/>
      <c r="N98" s="4"/>
      <c r="O98" s="4">
        <f t="shared" si="44"/>
        <v>2200000</v>
      </c>
      <c r="P98" s="4">
        <f t="shared" si="46"/>
        <v>88000</v>
      </c>
      <c r="Q98" s="4">
        <f>+F98*4%</f>
        <v>88000</v>
      </c>
      <c r="R98" s="4"/>
      <c r="S98" s="4"/>
      <c r="T98" s="4">
        <v>0</v>
      </c>
      <c r="U98" s="4"/>
      <c r="V98" s="4"/>
      <c r="W98" s="4"/>
      <c r="X98" s="4">
        <f t="shared" si="35"/>
        <v>176000</v>
      </c>
      <c r="Y98" s="118">
        <f>+O98-X98</f>
        <v>2024000</v>
      </c>
    </row>
    <row r="99" spans="1:25" ht="24.95" customHeight="1" x14ac:dyDescent="0.25">
      <c r="A99" s="117"/>
      <c r="B99" s="2">
        <v>27</v>
      </c>
      <c r="C99" s="1" t="s">
        <v>114</v>
      </c>
      <c r="D99" s="1" t="s">
        <v>31</v>
      </c>
      <c r="E99" s="2" t="s">
        <v>32</v>
      </c>
      <c r="F99" s="4">
        <v>5500000</v>
      </c>
      <c r="G99" s="3">
        <v>30</v>
      </c>
      <c r="H99" s="3">
        <f t="shared" si="33"/>
        <v>5500000</v>
      </c>
      <c r="I99" s="3"/>
      <c r="J99" s="4"/>
      <c r="K99" s="4"/>
      <c r="L99" s="4"/>
      <c r="M99" s="4">
        <v>500000</v>
      </c>
      <c r="N99" s="4"/>
      <c r="O99" s="4">
        <f t="shared" si="44"/>
        <v>6000000</v>
      </c>
      <c r="P99" s="4">
        <f>+F99*4%</f>
        <v>220000</v>
      </c>
      <c r="Q99" s="4">
        <f>+F99*5%</f>
        <v>275000</v>
      </c>
      <c r="R99" s="4"/>
      <c r="S99" s="4"/>
      <c r="T99" s="7">
        <v>69147</v>
      </c>
      <c r="U99" s="4"/>
      <c r="V99" s="4"/>
      <c r="W99" s="4">
        <v>480989</v>
      </c>
      <c r="X99" s="4">
        <f t="shared" si="35"/>
        <v>1045136</v>
      </c>
      <c r="Y99" s="118">
        <f t="shared" ref="Y99:Y103" si="47">+O99-X99</f>
        <v>4954864</v>
      </c>
    </row>
    <row r="100" spans="1:25" ht="24.95" customHeight="1" x14ac:dyDescent="0.25">
      <c r="A100" s="117"/>
      <c r="B100" s="2">
        <v>28</v>
      </c>
      <c r="C100" s="1" t="s">
        <v>188</v>
      </c>
      <c r="D100" s="1" t="s">
        <v>31</v>
      </c>
      <c r="E100" s="2" t="s">
        <v>32</v>
      </c>
      <c r="F100" s="4">
        <v>781242</v>
      </c>
      <c r="G100" s="3">
        <v>30</v>
      </c>
      <c r="H100" s="3">
        <f t="shared" si="33"/>
        <v>781242</v>
      </c>
      <c r="I100" s="3"/>
      <c r="J100" s="4">
        <v>88211</v>
      </c>
      <c r="K100" s="4"/>
      <c r="L100" s="4"/>
      <c r="M100" s="4"/>
      <c r="N100" s="4"/>
      <c r="O100" s="4">
        <f>+H100+J100+L100+M100+N100+K100+I100</f>
        <v>869453</v>
      </c>
      <c r="P100" s="4">
        <f>+F100*4%</f>
        <v>31249.68</v>
      </c>
      <c r="Q100" s="4">
        <f>+F100*4%</f>
        <v>31249.68</v>
      </c>
      <c r="R100" s="4"/>
      <c r="S100" s="4"/>
      <c r="T100" s="7"/>
      <c r="U100" s="4"/>
      <c r="V100" s="4"/>
      <c r="W100" s="4"/>
      <c r="X100" s="4">
        <f t="shared" si="35"/>
        <v>62499.360000000001</v>
      </c>
      <c r="Y100" s="118">
        <f t="shared" si="47"/>
        <v>806953.64</v>
      </c>
    </row>
    <row r="101" spans="1:25" ht="24.95" customHeight="1" x14ac:dyDescent="0.25">
      <c r="A101" s="117"/>
      <c r="B101" s="2">
        <v>29</v>
      </c>
      <c r="C101" s="1" t="s">
        <v>116</v>
      </c>
      <c r="D101" s="1" t="s">
        <v>31</v>
      </c>
      <c r="E101" s="2" t="s">
        <v>32</v>
      </c>
      <c r="F101" s="4">
        <v>2180000</v>
      </c>
      <c r="G101" s="3">
        <v>30</v>
      </c>
      <c r="H101" s="3">
        <f t="shared" si="33"/>
        <v>2180000</v>
      </c>
      <c r="I101" s="3"/>
      <c r="J101" s="4"/>
      <c r="K101" s="4"/>
      <c r="L101" s="4"/>
      <c r="M101" s="4"/>
      <c r="N101" s="4"/>
      <c r="O101" s="4">
        <f t="shared" si="44"/>
        <v>2180000</v>
      </c>
      <c r="P101" s="4">
        <f t="shared" si="46"/>
        <v>87200</v>
      </c>
      <c r="Q101" s="4">
        <f>+F101*4%</f>
        <v>87200</v>
      </c>
      <c r="R101" s="4"/>
      <c r="S101" s="4">
        <v>166667</v>
      </c>
      <c r="T101" s="7"/>
      <c r="U101" s="4"/>
      <c r="V101" s="4"/>
      <c r="W101" s="4">
        <v>372908</v>
      </c>
      <c r="X101" s="4">
        <f t="shared" si="35"/>
        <v>713975</v>
      </c>
      <c r="Y101" s="118">
        <f t="shared" si="47"/>
        <v>1466025</v>
      </c>
    </row>
    <row r="102" spans="1:25" ht="24.95" customHeight="1" x14ac:dyDescent="0.25">
      <c r="A102" s="117"/>
      <c r="B102" s="2">
        <v>30</v>
      </c>
      <c r="C102" s="1" t="s">
        <v>61</v>
      </c>
      <c r="D102" s="1" t="s">
        <v>31</v>
      </c>
      <c r="E102" s="2" t="s">
        <v>32</v>
      </c>
      <c r="F102" s="4">
        <v>3500000</v>
      </c>
      <c r="G102" s="3">
        <v>30</v>
      </c>
      <c r="H102" s="3">
        <f t="shared" si="33"/>
        <v>3500000</v>
      </c>
      <c r="I102" s="3"/>
      <c r="J102" s="4"/>
      <c r="K102" s="4"/>
      <c r="L102" s="4"/>
      <c r="M102" s="4"/>
      <c r="N102" s="4"/>
      <c r="O102" s="4">
        <f>+H102+J102+L102+M102+N102+K102</f>
        <v>3500000</v>
      </c>
      <c r="P102" s="4">
        <f t="shared" ref="P102" si="48">F102*4/100</f>
        <v>140000</v>
      </c>
      <c r="Q102" s="4">
        <f t="shared" ref="Q102" si="49">+F102*0.05</f>
        <v>175000</v>
      </c>
      <c r="R102" s="4"/>
      <c r="S102" s="4"/>
      <c r="T102" s="7">
        <v>0</v>
      </c>
      <c r="U102" s="4"/>
      <c r="V102" s="4">
        <v>111000</v>
      </c>
      <c r="W102" s="4"/>
      <c r="X102" s="4">
        <f t="shared" si="35"/>
        <v>426000</v>
      </c>
      <c r="Y102" s="118">
        <f>O102-X102</f>
        <v>3074000</v>
      </c>
    </row>
    <row r="103" spans="1:25" ht="24.95" customHeight="1" x14ac:dyDescent="0.25">
      <c r="A103" s="117"/>
      <c r="B103" s="2">
        <v>31</v>
      </c>
      <c r="C103" s="1" t="s">
        <v>118</v>
      </c>
      <c r="D103" s="1" t="s">
        <v>31</v>
      </c>
      <c r="E103" s="2" t="s">
        <v>32</v>
      </c>
      <c r="F103" s="4">
        <v>2200000</v>
      </c>
      <c r="G103" s="3">
        <v>30</v>
      </c>
      <c r="H103" s="3">
        <f t="shared" si="33"/>
        <v>2200000</v>
      </c>
      <c r="I103" s="3"/>
      <c r="J103" s="4"/>
      <c r="K103" s="4"/>
      <c r="L103" s="4"/>
      <c r="M103" s="4"/>
      <c r="N103" s="4"/>
      <c r="O103" s="4">
        <f>+H103+J103+L103+M103+N103+K103+I103</f>
        <v>2200000</v>
      </c>
      <c r="P103" s="4">
        <v>88000</v>
      </c>
      <c r="Q103" s="4">
        <v>88000</v>
      </c>
      <c r="R103" s="4"/>
      <c r="S103" s="4"/>
      <c r="T103" s="7">
        <v>0</v>
      </c>
      <c r="U103" s="4"/>
      <c r="V103" s="4"/>
      <c r="W103" s="4"/>
      <c r="X103" s="4">
        <f t="shared" si="35"/>
        <v>176000</v>
      </c>
      <c r="Y103" s="118">
        <f t="shared" si="47"/>
        <v>2024000</v>
      </c>
    </row>
    <row r="104" spans="1:25" ht="24.95" customHeight="1" x14ac:dyDescent="0.25">
      <c r="A104" s="117"/>
      <c r="B104" s="2">
        <v>32</v>
      </c>
      <c r="C104" s="1" t="s">
        <v>242</v>
      </c>
      <c r="D104" s="1" t="s">
        <v>31</v>
      </c>
      <c r="E104" s="2" t="s">
        <v>32</v>
      </c>
      <c r="F104" s="4">
        <v>1700000</v>
      </c>
      <c r="G104" s="3">
        <v>30</v>
      </c>
      <c r="H104" s="3">
        <f t="shared" si="33"/>
        <v>1700000</v>
      </c>
      <c r="I104" s="3"/>
      <c r="J104" s="4"/>
      <c r="K104" s="4"/>
      <c r="L104" s="4"/>
      <c r="M104" s="4"/>
      <c r="N104" s="4"/>
      <c r="O104" s="4">
        <f t="shared" ref="O104" si="50">+H104+J104+L104+M104+N104+K104</f>
        <v>1700000</v>
      </c>
      <c r="P104" s="4">
        <f>+H104*4%</f>
        <v>68000</v>
      </c>
      <c r="Q104" s="4">
        <f>+H104*4%</f>
        <v>68000</v>
      </c>
      <c r="R104" s="4">
        <v>0</v>
      </c>
      <c r="S104" s="4"/>
      <c r="T104" s="4">
        <v>0</v>
      </c>
      <c r="U104" s="4"/>
      <c r="V104" s="4"/>
      <c r="W104" s="4"/>
      <c r="X104" s="4">
        <f t="shared" ref="X104" si="51">SUM(P104:W104)</f>
        <v>136000</v>
      </c>
      <c r="Y104" s="118">
        <f t="shared" ref="Y104:Y123" si="52">O104-X104</f>
        <v>1564000</v>
      </c>
    </row>
    <row r="105" spans="1:25" ht="24.95" customHeight="1" x14ac:dyDescent="0.25">
      <c r="A105" s="117"/>
      <c r="B105" s="2">
        <v>33</v>
      </c>
      <c r="C105" s="1" t="s">
        <v>122</v>
      </c>
      <c r="D105" s="1" t="s">
        <v>31</v>
      </c>
      <c r="E105" s="2" t="s">
        <v>32</v>
      </c>
      <c r="F105" s="4">
        <v>3500000</v>
      </c>
      <c r="G105" s="3">
        <v>30</v>
      </c>
      <c r="H105" s="3">
        <f>+F105-K105</f>
        <v>2911667</v>
      </c>
      <c r="I105" s="3"/>
      <c r="J105" s="4"/>
      <c r="K105" s="4">
        <v>588333</v>
      </c>
      <c r="L105" s="4"/>
      <c r="M105" s="4"/>
      <c r="N105" s="4"/>
      <c r="O105" s="4">
        <f t="shared" si="44"/>
        <v>3500000</v>
      </c>
      <c r="P105" s="4">
        <f t="shared" si="46"/>
        <v>140000</v>
      </c>
      <c r="Q105" s="4">
        <f>+F105*5%</f>
        <v>175000</v>
      </c>
      <c r="R105" s="4">
        <v>0</v>
      </c>
      <c r="S105" s="4"/>
      <c r="T105" s="4">
        <v>0</v>
      </c>
      <c r="U105" s="4"/>
      <c r="V105" s="4"/>
      <c r="W105" s="4"/>
      <c r="X105" s="4">
        <f t="shared" si="35"/>
        <v>315000</v>
      </c>
      <c r="Y105" s="118">
        <f>O105-X105</f>
        <v>3185000</v>
      </c>
    </row>
    <row r="106" spans="1:25" ht="24.95" customHeight="1" x14ac:dyDescent="0.25">
      <c r="A106" s="117"/>
      <c r="B106" s="2">
        <v>34</v>
      </c>
      <c r="C106" s="1" t="s">
        <v>252</v>
      </c>
      <c r="D106" s="1" t="s">
        <v>31</v>
      </c>
      <c r="E106" s="2" t="s">
        <v>32</v>
      </c>
      <c r="F106" s="4">
        <v>2700000</v>
      </c>
      <c r="G106" s="3">
        <v>30</v>
      </c>
      <c r="H106" s="3">
        <f t="shared" si="33"/>
        <v>2700000</v>
      </c>
      <c r="I106" s="3"/>
      <c r="J106" s="4"/>
      <c r="K106" s="4"/>
      <c r="L106" s="4"/>
      <c r="M106" s="4"/>
      <c r="N106" s="4"/>
      <c r="O106" s="4">
        <f t="shared" si="44"/>
        <v>2700000</v>
      </c>
      <c r="P106" s="4">
        <f>+H106*4%</f>
        <v>108000</v>
      </c>
      <c r="Q106" s="4">
        <f>+H106*4%</f>
        <v>108000</v>
      </c>
      <c r="R106" s="4">
        <v>0</v>
      </c>
      <c r="S106" s="4"/>
      <c r="T106" s="4">
        <v>0</v>
      </c>
      <c r="U106" s="4"/>
      <c r="V106" s="4"/>
      <c r="W106" s="4"/>
      <c r="X106" s="4">
        <f t="shared" ref="X106" si="53">SUM(P106:W106)</f>
        <v>216000</v>
      </c>
      <c r="Y106" s="118">
        <f t="shared" si="52"/>
        <v>2484000</v>
      </c>
    </row>
    <row r="107" spans="1:25" ht="24.95" customHeight="1" x14ac:dyDescent="0.25">
      <c r="A107" s="117"/>
      <c r="B107" s="2">
        <v>35</v>
      </c>
      <c r="C107" s="9" t="s">
        <v>124</v>
      </c>
      <c r="D107" s="1" t="s">
        <v>31</v>
      </c>
      <c r="E107" s="2" t="s">
        <v>32</v>
      </c>
      <c r="F107" s="4">
        <v>781242</v>
      </c>
      <c r="G107" s="3">
        <v>30</v>
      </c>
      <c r="H107" s="3">
        <f t="shared" si="33"/>
        <v>781242</v>
      </c>
      <c r="I107" s="3"/>
      <c r="J107" s="4">
        <v>88211</v>
      </c>
      <c r="K107" s="4"/>
      <c r="L107" s="4"/>
      <c r="M107" s="4"/>
      <c r="N107" s="4">
        <v>85655</v>
      </c>
      <c r="O107" s="4">
        <f>+H107+J107+L107+M107+N107+K107</f>
        <v>955108</v>
      </c>
      <c r="P107" s="4">
        <f>+F107*0.04</f>
        <v>31249.68</v>
      </c>
      <c r="Q107" s="4">
        <f>+F107*0.04</f>
        <v>31249.68</v>
      </c>
      <c r="R107" s="4"/>
      <c r="S107" s="4"/>
      <c r="T107" s="4">
        <v>0</v>
      </c>
      <c r="U107" s="4"/>
      <c r="V107" s="4"/>
      <c r="W107" s="4"/>
      <c r="X107" s="4">
        <f t="shared" si="35"/>
        <v>62499.360000000001</v>
      </c>
      <c r="Y107" s="118">
        <f t="shared" si="52"/>
        <v>892608.64</v>
      </c>
    </row>
    <row r="108" spans="1:25" ht="24.95" customHeight="1" x14ac:dyDescent="0.25">
      <c r="A108" s="117"/>
      <c r="B108" s="2">
        <v>36</v>
      </c>
      <c r="C108" s="1" t="s">
        <v>157</v>
      </c>
      <c r="D108" s="1" t="s">
        <v>31</v>
      </c>
      <c r="E108" s="2" t="s">
        <v>32</v>
      </c>
      <c r="F108" s="4">
        <v>1000000</v>
      </c>
      <c r="G108" s="3">
        <v>30</v>
      </c>
      <c r="H108" s="3">
        <f t="shared" si="33"/>
        <v>1000000.0000000001</v>
      </c>
      <c r="I108" s="3"/>
      <c r="J108" s="4">
        <f>+(88211/30)*G108</f>
        <v>88211</v>
      </c>
      <c r="K108" s="4"/>
      <c r="L108" s="4"/>
      <c r="M108" s="4"/>
      <c r="N108" s="4"/>
      <c r="O108" s="4">
        <f>+H108+J108+L108+M108+N108+K108</f>
        <v>1088211</v>
      </c>
      <c r="P108" s="4">
        <f>+H108*0.04</f>
        <v>40000.000000000007</v>
      </c>
      <c r="Q108" s="4">
        <f>+H108*0.04</f>
        <v>40000.000000000007</v>
      </c>
      <c r="R108" s="4"/>
      <c r="S108" s="4"/>
      <c r="T108" s="4">
        <v>0</v>
      </c>
      <c r="U108" s="4"/>
      <c r="V108" s="4"/>
      <c r="W108" s="4"/>
      <c r="X108" s="4">
        <f>SUM(P108:W108)</f>
        <v>80000.000000000015</v>
      </c>
      <c r="Y108" s="118">
        <f>O108-X108</f>
        <v>1008211</v>
      </c>
    </row>
    <row r="109" spans="1:25" ht="24.95" customHeight="1" x14ac:dyDescent="0.25">
      <c r="A109" s="117"/>
      <c r="B109" s="2">
        <v>37</v>
      </c>
      <c r="C109" s="1" t="s">
        <v>126</v>
      </c>
      <c r="D109" s="1" t="s">
        <v>31</v>
      </c>
      <c r="E109" s="2" t="s">
        <v>32</v>
      </c>
      <c r="F109" s="4">
        <v>781242</v>
      </c>
      <c r="G109" s="3">
        <v>30</v>
      </c>
      <c r="H109" s="3">
        <f t="shared" si="33"/>
        <v>781242</v>
      </c>
      <c r="I109" s="3"/>
      <c r="J109" s="4">
        <f>+(88211/30)*G109</f>
        <v>88211</v>
      </c>
      <c r="K109" s="4"/>
      <c r="L109" s="4"/>
      <c r="M109" s="4"/>
      <c r="N109" s="4">
        <v>56900</v>
      </c>
      <c r="O109" s="4">
        <f>+H109+J109+L109+M109+N109+K109</f>
        <v>926353</v>
      </c>
      <c r="P109" s="4">
        <f>+H109*0.04</f>
        <v>31249.68</v>
      </c>
      <c r="Q109" s="4">
        <f>+H109*0.04</f>
        <v>31249.68</v>
      </c>
      <c r="R109" s="4"/>
      <c r="S109" s="4"/>
      <c r="T109" s="4">
        <v>0</v>
      </c>
      <c r="U109" s="4"/>
      <c r="V109" s="4"/>
      <c r="W109" s="4"/>
      <c r="X109" s="4">
        <f t="shared" ref="X109" si="54">SUM(P109:W109)</f>
        <v>62499.360000000001</v>
      </c>
      <c r="Y109" s="118">
        <f t="shared" si="52"/>
        <v>863853.64</v>
      </c>
    </row>
    <row r="110" spans="1:25" ht="24.95" customHeight="1" x14ac:dyDescent="0.25">
      <c r="A110" s="117"/>
      <c r="B110" s="2">
        <v>38</v>
      </c>
      <c r="C110" s="1" t="s">
        <v>128</v>
      </c>
      <c r="D110" s="1" t="s">
        <v>31</v>
      </c>
      <c r="E110" s="2" t="s">
        <v>32</v>
      </c>
      <c r="F110" s="4">
        <v>19532000</v>
      </c>
      <c r="G110" s="3">
        <v>30</v>
      </c>
      <c r="H110" s="3">
        <f t="shared" si="33"/>
        <v>19532000</v>
      </c>
      <c r="I110" s="3"/>
      <c r="J110" s="4"/>
      <c r="K110" s="4"/>
      <c r="L110" s="4"/>
      <c r="M110" s="4"/>
      <c r="N110" s="4"/>
      <c r="O110" s="4">
        <f t="shared" si="44"/>
        <v>19532000</v>
      </c>
      <c r="P110" s="4">
        <f>+H110*4%</f>
        <v>781280</v>
      </c>
      <c r="Q110" s="4">
        <f>+H110*6%</f>
        <v>1171920</v>
      </c>
      <c r="R110" s="4">
        <v>112700</v>
      </c>
      <c r="S110" s="4"/>
      <c r="T110" s="4">
        <v>1859000</v>
      </c>
      <c r="U110" s="4">
        <v>5000000</v>
      </c>
      <c r="V110" s="4"/>
      <c r="W110" s="4">
        <v>2314715</v>
      </c>
      <c r="X110" s="4">
        <f t="shared" si="35"/>
        <v>11239615</v>
      </c>
      <c r="Y110" s="118">
        <f>O110-X110</f>
        <v>8292385</v>
      </c>
    </row>
    <row r="111" spans="1:25" ht="24.95" customHeight="1" x14ac:dyDescent="0.25">
      <c r="A111" s="117"/>
      <c r="B111" s="2">
        <v>39</v>
      </c>
      <c r="C111" s="1" t="s">
        <v>129</v>
      </c>
      <c r="D111" s="1" t="s">
        <v>31</v>
      </c>
      <c r="E111" s="2" t="s">
        <v>32</v>
      </c>
      <c r="F111" s="4">
        <v>5500000</v>
      </c>
      <c r="G111" s="3">
        <v>30</v>
      </c>
      <c r="H111" s="3">
        <f t="shared" si="33"/>
        <v>5500000</v>
      </c>
      <c r="I111" s="3"/>
      <c r="J111" s="4"/>
      <c r="K111" s="4"/>
      <c r="L111" s="4"/>
      <c r="M111" s="4">
        <v>500000</v>
      </c>
      <c r="N111" s="4"/>
      <c r="O111" s="4">
        <f t="shared" si="44"/>
        <v>6000000</v>
      </c>
      <c r="P111" s="4">
        <f>+F111*0.04</f>
        <v>220000</v>
      </c>
      <c r="Q111" s="4">
        <f>+F111*0.05</f>
        <v>275000</v>
      </c>
      <c r="R111" s="4"/>
      <c r="S111" s="4"/>
      <c r="T111" s="4">
        <v>120000</v>
      </c>
      <c r="U111" s="4"/>
      <c r="V111" s="4"/>
      <c r="W111" s="4">
        <f>979498+371043</f>
        <v>1350541</v>
      </c>
      <c r="X111" s="4">
        <f t="shared" si="35"/>
        <v>1965541</v>
      </c>
      <c r="Y111" s="118">
        <f t="shared" si="52"/>
        <v>4034459</v>
      </c>
    </row>
    <row r="112" spans="1:25" ht="24.95" customHeight="1" x14ac:dyDescent="0.25">
      <c r="A112" s="117"/>
      <c r="B112" s="2">
        <v>40</v>
      </c>
      <c r="C112" s="1" t="s">
        <v>257</v>
      </c>
      <c r="D112" s="1"/>
      <c r="E112" s="2"/>
      <c r="F112" s="4">
        <v>781242</v>
      </c>
      <c r="G112" s="3">
        <v>30</v>
      </c>
      <c r="H112" s="3">
        <f t="shared" si="33"/>
        <v>781242</v>
      </c>
      <c r="I112" s="3"/>
      <c r="J112" s="4"/>
      <c r="K112" s="4"/>
      <c r="L112" s="4"/>
      <c r="M112" s="4"/>
      <c r="N112" s="4"/>
      <c r="O112" s="4">
        <f t="shared" si="44"/>
        <v>781242</v>
      </c>
      <c r="P112" s="4"/>
      <c r="Q112" s="4"/>
      <c r="R112" s="4"/>
      <c r="S112" s="4"/>
      <c r="T112" s="4"/>
      <c r="U112" s="4"/>
      <c r="V112" s="4"/>
      <c r="W112" s="4"/>
      <c r="X112" s="4">
        <f t="shared" ref="X112" si="55">SUM(P112:W112)</f>
        <v>0</v>
      </c>
      <c r="Y112" s="118">
        <f t="shared" si="52"/>
        <v>781242</v>
      </c>
    </row>
    <row r="113" spans="1:27" ht="24.95" customHeight="1" x14ac:dyDescent="0.25">
      <c r="A113" s="117"/>
      <c r="B113" s="2">
        <v>41</v>
      </c>
      <c r="C113" s="9" t="s">
        <v>132</v>
      </c>
      <c r="D113" s="1" t="s">
        <v>31</v>
      </c>
      <c r="E113" s="2" t="s">
        <v>32</v>
      </c>
      <c r="F113" s="4">
        <v>4000000</v>
      </c>
      <c r="G113" s="3">
        <v>30</v>
      </c>
      <c r="H113" s="3">
        <f>+F113-K113</f>
        <v>2933333</v>
      </c>
      <c r="I113" s="3"/>
      <c r="J113" s="4"/>
      <c r="K113" s="4">
        <v>1066667</v>
      </c>
      <c r="L113" s="4"/>
      <c r="M113" s="4"/>
      <c r="N113" s="4"/>
      <c r="O113" s="4">
        <f>+H113+J113+K113+M113+N113</f>
        <v>4000000</v>
      </c>
      <c r="P113" s="4">
        <f>+O113*0.04</f>
        <v>160000</v>
      </c>
      <c r="Q113" s="4">
        <v>200000</v>
      </c>
      <c r="R113" s="4"/>
      <c r="S113" s="4"/>
      <c r="T113" s="4">
        <v>0</v>
      </c>
      <c r="U113" s="4"/>
      <c r="V113" s="4"/>
      <c r="W113" s="4"/>
      <c r="X113" s="4">
        <f t="shared" si="35"/>
        <v>360000</v>
      </c>
      <c r="Y113" s="118">
        <f t="shared" si="52"/>
        <v>3640000</v>
      </c>
    </row>
    <row r="114" spans="1:27" ht="24.95" customHeight="1" x14ac:dyDescent="0.25">
      <c r="A114" s="117"/>
      <c r="B114" s="2">
        <v>42</v>
      </c>
      <c r="C114" s="9" t="s">
        <v>253</v>
      </c>
      <c r="D114" s="1" t="s">
        <v>31</v>
      </c>
      <c r="E114" s="2" t="s">
        <v>32</v>
      </c>
      <c r="F114" s="4">
        <v>8000000</v>
      </c>
      <c r="G114" s="3">
        <v>30</v>
      </c>
      <c r="H114" s="3">
        <f>+F114-K114</f>
        <v>6666667</v>
      </c>
      <c r="I114" s="3"/>
      <c r="J114" s="4"/>
      <c r="K114" s="4">
        <v>1333333</v>
      </c>
      <c r="L114" s="4"/>
      <c r="M114" s="4"/>
      <c r="N114" s="4"/>
      <c r="O114" s="4">
        <f>+H114+J114+K114+M114+N114</f>
        <v>8000000</v>
      </c>
      <c r="P114" s="4">
        <f>+O114*0.04</f>
        <v>320000</v>
      </c>
      <c r="Q114" s="4">
        <f>+F114*5%</f>
        <v>400000</v>
      </c>
      <c r="R114" s="4"/>
      <c r="S114" s="4"/>
      <c r="T114" s="4">
        <v>282000</v>
      </c>
      <c r="U114" s="4"/>
      <c r="V114" s="4"/>
      <c r="W114" s="4"/>
      <c r="X114" s="4">
        <f t="shared" si="35"/>
        <v>1002000</v>
      </c>
      <c r="Y114" s="118">
        <f t="shared" si="52"/>
        <v>6998000</v>
      </c>
    </row>
    <row r="115" spans="1:27" ht="24.95" customHeight="1" x14ac:dyDescent="0.25">
      <c r="A115" s="117"/>
      <c r="B115" s="2">
        <v>43</v>
      </c>
      <c r="C115" s="1" t="s">
        <v>135</v>
      </c>
      <c r="D115" s="1" t="s">
        <v>31</v>
      </c>
      <c r="E115" s="2" t="s">
        <v>32</v>
      </c>
      <c r="F115" s="4">
        <v>3850220</v>
      </c>
      <c r="G115" s="3">
        <v>30</v>
      </c>
      <c r="H115" s="3">
        <f t="shared" si="33"/>
        <v>3850220</v>
      </c>
      <c r="I115" s="3"/>
      <c r="J115" s="4">
        <f>+(676390/30)*G115</f>
        <v>676390</v>
      </c>
      <c r="K115" s="4"/>
      <c r="L115" s="4"/>
      <c r="M115" s="4"/>
      <c r="N115" s="4"/>
      <c r="O115" s="4">
        <f t="shared" si="44"/>
        <v>4526610</v>
      </c>
      <c r="P115" s="4">
        <f>+H115*4%</f>
        <v>154008.80000000002</v>
      </c>
      <c r="Q115" s="4">
        <f>+H115*5%</f>
        <v>192511</v>
      </c>
      <c r="R115" s="4"/>
      <c r="S115" s="4"/>
      <c r="T115" s="4">
        <v>0</v>
      </c>
      <c r="U115" s="4"/>
      <c r="V115" s="4"/>
      <c r="W115" s="4"/>
      <c r="X115" s="4">
        <f t="shared" si="35"/>
        <v>346519.80000000005</v>
      </c>
      <c r="Y115" s="118">
        <f t="shared" si="52"/>
        <v>4180090.2</v>
      </c>
    </row>
    <row r="116" spans="1:27" ht="24.95" customHeight="1" x14ac:dyDescent="0.25">
      <c r="A116" s="117"/>
      <c r="B116" s="2">
        <v>44</v>
      </c>
      <c r="C116" s="1" t="s">
        <v>136</v>
      </c>
      <c r="D116" s="1" t="s">
        <v>31</v>
      </c>
      <c r="E116" s="2" t="s">
        <v>32</v>
      </c>
      <c r="F116" s="4">
        <v>4500000</v>
      </c>
      <c r="G116" s="3">
        <v>30</v>
      </c>
      <c r="H116" s="3">
        <f t="shared" si="33"/>
        <v>4500000</v>
      </c>
      <c r="I116" s="3"/>
      <c r="J116" s="4"/>
      <c r="K116" s="4"/>
      <c r="L116" s="4"/>
      <c r="M116" s="4"/>
      <c r="N116" s="4"/>
      <c r="O116" s="4">
        <f>+H116+K116</f>
        <v>4500000</v>
      </c>
      <c r="P116" s="4">
        <f t="shared" ref="P116:P119" si="56">+F116*4%</f>
        <v>180000</v>
      </c>
      <c r="Q116" s="4">
        <f>+F116*5%</f>
        <v>225000</v>
      </c>
      <c r="R116" s="4"/>
      <c r="S116" s="4"/>
      <c r="T116" s="4">
        <v>0</v>
      </c>
      <c r="U116" s="4"/>
      <c r="V116" s="4"/>
      <c r="W116" s="4"/>
      <c r="X116" s="4">
        <f>SUM(P116:W116)</f>
        <v>405000</v>
      </c>
      <c r="Y116" s="118">
        <f t="shared" si="52"/>
        <v>4095000</v>
      </c>
    </row>
    <row r="117" spans="1:27" ht="24.95" customHeight="1" x14ac:dyDescent="0.25">
      <c r="A117" s="117"/>
      <c r="B117" s="2">
        <v>45</v>
      </c>
      <c r="C117" s="1" t="s">
        <v>164</v>
      </c>
      <c r="D117" s="1" t="s">
        <v>31</v>
      </c>
      <c r="E117" s="2" t="s">
        <v>32</v>
      </c>
      <c r="F117" s="4">
        <v>912000</v>
      </c>
      <c r="G117" s="3">
        <v>30</v>
      </c>
      <c r="H117" s="3">
        <f t="shared" si="33"/>
        <v>912000</v>
      </c>
      <c r="I117" s="3"/>
      <c r="J117" s="4">
        <f>+(88211/30)*G117</f>
        <v>88211</v>
      </c>
      <c r="K117" s="4"/>
      <c r="L117" s="4"/>
      <c r="M117" s="4"/>
      <c r="N117" s="4"/>
      <c r="O117" s="4">
        <f>+H117+J117</f>
        <v>1000211</v>
      </c>
      <c r="P117" s="4">
        <f>+H117*4%</f>
        <v>36480</v>
      </c>
      <c r="Q117" s="4">
        <f>+H117*4%</f>
        <v>36480</v>
      </c>
      <c r="R117" s="4"/>
      <c r="S117" s="4"/>
      <c r="T117" s="4">
        <v>0</v>
      </c>
      <c r="U117" s="4"/>
      <c r="V117" s="4"/>
      <c r="W117" s="4"/>
      <c r="X117" s="4">
        <f>SUM(P117:W117)</f>
        <v>72960</v>
      </c>
      <c r="Y117" s="118">
        <f t="shared" si="52"/>
        <v>927251</v>
      </c>
    </row>
    <row r="118" spans="1:27" ht="24.95" customHeight="1" x14ac:dyDescent="0.25">
      <c r="A118" s="117"/>
      <c r="B118" s="2">
        <v>46</v>
      </c>
      <c r="C118" s="9" t="s">
        <v>148</v>
      </c>
      <c r="D118" s="1" t="s">
        <v>31</v>
      </c>
      <c r="E118" s="2" t="s">
        <v>32</v>
      </c>
      <c r="F118" s="4">
        <v>1500000</v>
      </c>
      <c r="G118" s="3">
        <v>30</v>
      </c>
      <c r="H118" s="3">
        <f t="shared" si="33"/>
        <v>1500000</v>
      </c>
      <c r="I118" s="3"/>
      <c r="J118" s="4">
        <v>88211</v>
      </c>
      <c r="K118" s="4"/>
      <c r="L118" s="4"/>
      <c r="M118" s="4"/>
      <c r="N118" s="4"/>
      <c r="O118" s="4">
        <f t="shared" si="44"/>
        <v>1588211</v>
      </c>
      <c r="P118" s="4">
        <f>+F118*4%</f>
        <v>60000</v>
      </c>
      <c r="Q118" s="4">
        <f>+F118*0.04</f>
        <v>60000</v>
      </c>
      <c r="R118" s="4"/>
      <c r="S118" s="4"/>
      <c r="T118" s="4">
        <v>0</v>
      </c>
      <c r="U118" s="4"/>
      <c r="V118" s="4">
        <v>0</v>
      </c>
      <c r="W118" s="4"/>
      <c r="X118" s="4">
        <f t="shared" si="35"/>
        <v>120000</v>
      </c>
      <c r="Y118" s="118">
        <f t="shared" si="52"/>
        <v>1468211</v>
      </c>
    </row>
    <row r="119" spans="1:27" ht="24.95" customHeight="1" x14ac:dyDescent="0.25">
      <c r="A119" s="117"/>
      <c r="B119" s="2">
        <v>47</v>
      </c>
      <c r="C119" s="1" t="s">
        <v>139</v>
      </c>
      <c r="D119" s="1" t="s">
        <v>31</v>
      </c>
      <c r="E119" s="2" t="s">
        <v>32</v>
      </c>
      <c r="F119" s="4">
        <v>2300000</v>
      </c>
      <c r="G119" s="3">
        <v>30</v>
      </c>
      <c r="H119" s="3">
        <f t="shared" si="33"/>
        <v>2300000</v>
      </c>
      <c r="I119" s="3"/>
      <c r="J119" s="4"/>
      <c r="K119" s="4"/>
      <c r="L119" s="4"/>
      <c r="M119" s="4"/>
      <c r="N119" s="4"/>
      <c r="O119" s="4">
        <f t="shared" si="44"/>
        <v>2300000</v>
      </c>
      <c r="P119" s="4">
        <f t="shared" si="56"/>
        <v>92000</v>
      </c>
      <c r="Q119" s="4">
        <f>+F119*4%</f>
        <v>92000</v>
      </c>
      <c r="R119" s="4"/>
      <c r="S119" s="4"/>
      <c r="T119" s="4">
        <v>0</v>
      </c>
      <c r="U119" s="4"/>
      <c r="V119" s="4"/>
      <c r="W119" s="4"/>
      <c r="X119" s="4">
        <f t="shared" si="35"/>
        <v>184000</v>
      </c>
      <c r="Y119" s="118">
        <f t="shared" si="52"/>
        <v>2116000</v>
      </c>
    </row>
    <row r="120" spans="1:27" ht="24.95" customHeight="1" x14ac:dyDescent="0.25">
      <c r="A120" s="117"/>
      <c r="B120" s="2">
        <v>48</v>
      </c>
      <c r="C120" s="1" t="s">
        <v>141</v>
      </c>
      <c r="D120" s="1" t="s">
        <v>31</v>
      </c>
      <c r="E120" s="2" t="s">
        <v>32</v>
      </c>
      <c r="F120" s="4">
        <v>4000000</v>
      </c>
      <c r="G120" s="3">
        <v>30</v>
      </c>
      <c r="H120" s="3">
        <f t="shared" si="33"/>
        <v>4000000.0000000005</v>
      </c>
      <c r="I120" s="3"/>
      <c r="J120" s="4"/>
      <c r="K120" s="4"/>
      <c r="L120" s="4"/>
      <c r="M120" s="4"/>
      <c r="N120" s="4"/>
      <c r="O120" s="4">
        <f>+H120+J120+L120+M120+N120+K120+I120</f>
        <v>4000000.0000000005</v>
      </c>
      <c r="P120" s="4">
        <f>+F120*0.04</f>
        <v>160000</v>
      </c>
      <c r="Q120" s="4">
        <f>+F120*0.05</f>
        <v>200000</v>
      </c>
      <c r="R120" s="4"/>
      <c r="S120" s="4">
        <v>95000</v>
      </c>
      <c r="T120" s="4">
        <v>0</v>
      </c>
      <c r="U120" s="4"/>
      <c r="V120" s="4"/>
      <c r="W120" s="4"/>
      <c r="X120" s="4">
        <f t="shared" si="35"/>
        <v>455000</v>
      </c>
      <c r="Y120" s="118">
        <f t="shared" si="52"/>
        <v>3545000.0000000005</v>
      </c>
    </row>
    <row r="121" spans="1:27" ht="24.95" customHeight="1" x14ac:dyDescent="0.25">
      <c r="A121" s="117"/>
      <c r="B121" s="2">
        <v>49</v>
      </c>
      <c r="C121" s="1" t="s">
        <v>155</v>
      </c>
      <c r="D121" s="1" t="s">
        <v>31</v>
      </c>
      <c r="E121" s="2" t="s">
        <v>32</v>
      </c>
      <c r="F121" s="4">
        <v>4500000</v>
      </c>
      <c r="G121" s="3">
        <v>30</v>
      </c>
      <c r="H121" s="3">
        <f t="shared" si="33"/>
        <v>4500000</v>
      </c>
      <c r="I121" s="3"/>
      <c r="J121" s="4"/>
      <c r="K121" s="4"/>
      <c r="L121" s="4"/>
      <c r="M121" s="4"/>
      <c r="N121" s="4"/>
      <c r="O121" s="4">
        <f t="shared" ref="O121:O122" si="57">+H121+J121+L121+M121+N121+K121</f>
        <v>4500000</v>
      </c>
      <c r="P121" s="4">
        <f>+H121*4%</f>
        <v>180000</v>
      </c>
      <c r="Q121" s="4">
        <f>+H121*5%</f>
        <v>225000</v>
      </c>
      <c r="R121" s="4"/>
      <c r="S121" s="4"/>
      <c r="T121" s="4"/>
      <c r="U121" s="4"/>
      <c r="V121" s="4"/>
      <c r="W121" s="4"/>
      <c r="X121" s="4">
        <f t="shared" ref="X121" si="58">SUM(P121:W121)</f>
        <v>405000</v>
      </c>
      <c r="Y121" s="118">
        <f>+O121-X121</f>
        <v>4095000</v>
      </c>
    </row>
    <row r="122" spans="1:27" ht="24.95" customHeight="1" x14ac:dyDescent="0.25">
      <c r="A122" s="117"/>
      <c r="B122" s="2">
        <v>50</v>
      </c>
      <c r="C122" s="1" t="s">
        <v>243</v>
      </c>
      <c r="D122" s="1" t="s">
        <v>31</v>
      </c>
      <c r="E122" s="2" t="s">
        <v>32</v>
      </c>
      <c r="F122" s="4">
        <v>6500000</v>
      </c>
      <c r="G122" s="3">
        <v>30</v>
      </c>
      <c r="H122" s="3">
        <f t="shared" si="33"/>
        <v>6500000</v>
      </c>
      <c r="I122" s="3"/>
      <c r="J122" s="4"/>
      <c r="K122" s="4"/>
      <c r="L122" s="4"/>
      <c r="M122" s="4"/>
      <c r="N122" s="4"/>
      <c r="O122" s="4">
        <f t="shared" si="57"/>
        <v>6500000</v>
      </c>
      <c r="P122" s="4">
        <f>+H122*0.04</f>
        <v>260000</v>
      </c>
      <c r="Q122" s="4">
        <f>+H122*0.05</f>
        <v>325000</v>
      </c>
      <c r="R122" s="4"/>
      <c r="S122" s="4"/>
      <c r="T122" s="4">
        <v>281000</v>
      </c>
      <c r="U122" s="4"/>
      <c r="V122" s="4"/>
      <c r="W122" s="4"/>
      <c r="X122" s="4">
        <f t="shared" si="35"/>
        <v>866000</v>
      </c>
      <c r="Y122" s="118">
        <f t="shared" si="52"/>
        <v>5634000</v>
      </c>
    </row>
    <row r="123" spans="1:27" ht="17.25" customHeight="1" x14ac:dyDescent="0.25">
      <c r="A123" s="117"/>
      <c r="B123" s="2">
        <v>51</v>
      </c>
      <c r="C123" s="1" t="s">
        <v>144</v>
      </c>
      <c r="D123" s="1" t="s">
        <v>31</v>
      </c>
      <c r="E123" s="2" t="s">
        <v>32</v>
      </c>
      <c r="F123" s="4">
        <v>1800000</v>
      </c>
      <c r="G123" s="3">
        <v>30</v>
      </c>
      <c r="H123" s="3">
        <f>+F123-K123</f>
        <v>1680000</v>
      </c>
      <c r="I123" s="3"/>
      <c r="J123" s="4"/>
      <c r="K123" s="4">
        <v>120000</v>
      </c>
      <c r="L123" s="4"/>
      <c r="M123" s="4"/>
      <c r="N123" s="4"/>
      <c r="O123" s="4">
        <f>+H123+J123+L123+M123+N123+K123+I123</f>
        <v>1800000</v>
      </c>
      <c r="P123" s="4">
        <f>+F123*4%</f>
        <v>72000</v>
      </c>
      <c r="Q123" s="4">
        <f>+F123*4%</f>
        <v>72000</v>
      </c>
      <c r="R123" s="4"/>
      <c r="S123" s="4"/>
      <c r="T123" s="4">
        <v>0</v>
      </c>
      <c r="U123" s="4"/>
      <c r="V123" s="4"/>
      <c r="W123" s="4">
        <v>261848</v>
      </c>
      <c r="X123" s="4">
        <f t="shared" si="35"/>
        <v>405848</v>
      </c>
      <c r="Y123" s="118">
        <f t="shared" si="52"/>
        <v>1394152</v>
      </c>
    </row>
    <row r="124" spans="1:27" ht="12.75" thickBot="1" x14ac:dyDescent="0.3">
      <c r="A124" s="119"/>
      <c r="B124" s="120"/>
      <c r="C124" s="120"/>
      <c r="D124" s="121"/>
      <c r="E124" s="121"/>
      <c r="F124" s="122">
        <f>SUM(F4:F123)</f>
        <v>522202398</v>
      </c>
      <c r="G124" s="122"/>
      <c r="H124" s="122">
        <f>SUM(H4:H123)</f>
        <v>510388232</v>
      </c>
      <c r="I124" s="122"/>
      <c r="J124" s="122">
        <f t="shared" ref="J124:Y124" si="59">SUM(J4:J123)</f>
        <v>1999555</v>
      </c>
      <c r="K124" s="122">
        <f t="shared" si="59"/>
        <v>11814166</v>
      </c>
      <c r="L124" s="122">
        <f t="shared" si="59"/>
        <v>0</v>
      </c>
      <c r="M124" s="122">
        <f t="shared" si="59"/>
        <v>13837912</v>
      </c>
      <c r="N124" s="122">
        <f t="shared" si="59"/>
        <v>17827442</v>
      </c>
      <c r="O124" s="122">
        <f t="shared" si="59"/>
        <v>555867307</v>
      </c>
      <c r="P124" s="122">
        <f t="shared" si="59"/>
        <v>21470493</v>
      </c>
      <c r="Q124" s="122">
        <f t="shared" si="59"/>
        <v>26500494.07</v>
      </c>
      <c r="R124" s="122">
        <f t="shared" si="59"/>
        <v>612700</v>
      </c>
      <c r="S124" s="122">
        <f t="shared" si="59"/>
        <v>968292</v>
      </c>
      <c r="T124" s="122">
        <f t="shared" si="59"/>
        <v>7846359</v>
      </c>
      <c r="U124" s="122">
        <f t="shared" si="59"/>
        <v>13545000</v>
      </c>
      <c r="V124" s="122">
        <f t="shared" si="59"/>
        <v>344614</v>
      </c>
      <c r="W124" s="122">
        <f t="shared" si="59"/>
        <v>16010733</v>
      </c>
      <c r="X124" s="122">
        <f t="shared" si="59"/>
        <v>87298685.069999993</v>
      </c>
      <c r="Y124" s="123">
        <f t="shared" si="59"/>
        <v>468568621.92999995</v>
      </c>
    </row>
    <row r="125" spans="1:27" x14ac:dyDescent="0.25">
      <c r="D125" s="68"/>
      <c r="E125" s="68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66"/>
    </row>
    <row r="126" spans="1:27" x14ac:dyDescent="0.25">
      <c r="D126" s="68"/>
      <c r="E126" s="68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V126" s="12"/>
      <c r="W126" s="12"/>
      <c r="X126" s="12"/>
      <c r="Y126" s="66"/>
    </row>
    <row r="127" spans="1:27" x14ac:dyDescent="0.25">
      <c r="C127" s="72"/>
      <c r="D127" s="68"/>
      <c r="E127" s="73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V127" s="12"/>
      <c r="W127" s="12"/>
      <c r="X127" s="12"/>
      <c r="Y127" s="68"/>
    </row>
    <row r="128" spans="1:27" x14ac:dyDescent="0.25">
      <c r="C128" s="72"/>
      <c r="D128" s="68"/>
      <c r="E128" s="73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68"/>
      <c r="Z128" s="68"/>
      <c r="AA128" s="68"/>
    </row>
    <row r="129" spans="2:27" x14ac:dyDescent="0.25">
      <c r="B129" s="68"/>
      <c r="C129" s="72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12"/>
      <c r="S129" s="74"/>
      <c r="T129" s="74"/>
      <c r="U129" s="74"/>
      <c r="V129" s="74"/>
      <c r="W129" s="74"/>
      <c r="X129" s="74"/>
      <c r="Y129" s="74"/>
      <c r="Z129" s="68"/>
      <c r="AA129" s="68"/>
    </row>
    <row r="130" spans="2:27" x14ac:dyDescent="0.25">
      <c r="B130" s="68"/>
      <c r="C130" s="72"/>
      <c r="D130" s="68"/>
      <c r="E130" s="68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68"/>
      <c r="Z130" s="68"/>
      <c r="AA130" s="68"/>
    </row>
    <row r="131" spans="2:27" x14ac:dyDescent="0.25">
      <c r="B131" s="68"/>
      <c r="C131" s="72"/>
      <c r="D131" s="68"/>
      <c r="E131" s="68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68"/>
      <c r="Z131" s="68"/>
      <c r="AA131" s="68"/>
    </row>
    <row r="132" spans="2:27" x14ac:dyDescent="0.25">
      <c r="B132" s="68"/>
      <c r="C132" s="72"/>
      <c r="D132" s="68"/>
      <c r="E132" s="68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68"/>
      <c r="Z132" s="68"/>
      <c r="AA132" s="68"/>
    </row>
    <row r="133" spans="2:27" x14ac:dyDescent="0.25">
      <c r="B133" s="68"/>
      <c r="C133" s="75"/>
      <c r="D133" s="75"/>
      <c r="E133" s="75"/>
      <c r="F133" s="75"/>
      <c r="G133" s="75"/>
      <c r="H133" s="91"/>
      <c r="I133" s="91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68"/>
      <c r="AA133" s="68"/>
    </row>
    <row r="134" spans="2:27" x14ac:dyDescent="0.25">
      <c r="B134" s="78"/>
      <c r="C134" s="92"/>
      <c r="D134" s="76"/>
      <c r="E134" s="76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6"/>
      <c r="Z134" s="68"/>
      <c r="AA134" s="68"/>
    </row>
    <row r="135" spans="2:27" x14ac:dyDescent="0.25">
      <c r="B135" s="68"/>
      <c r="C135" s="93"/>
      <c r="D135" s="68"/>
      <c r="E135" s="68"/>
      <c r="F135" s="12"/>
      <c r="G135" s="12"/>
      <c r="H135" s="80"/>
      <c r="I135" s="80"/>
      <c r="J135" s="12"/>
      <c r="K135" s="12"/>
      <c r="L135" s="12"/>
      <c r="M135" s="12"/>
      <c r="N135" s="12"/>
      <c r="O135" s="12"/>
      <c r="P135" s="12"/>
      <c r="Q135" s="12"/>
      <c r="R135" s="81"/>
      <c r="S135" s="81"/>
      <c r="T135" s="81"/>
      <c r="U135" s="81"/>
      <c r="V135" s="81"/>
      <c r="W135" s="12"/>
      <c r="X135" s="12"/>
      <c r="Y135" s="68"/>
      <c r="Z135" s="68"/>
      <c r="AA135" s="68"/>
    </row>
    <row r="136" spans="2:27" x14ac:dyDescent="0.25">
      <c r="B136" s="68"/>
      <c r="C136" s="82"/>
      <c r="D136" s="76"/>
      <c r="E136" s="76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6"/>
      <c r="Z136" s="68"/>
      <c r="AA136" s="68"/>
    </row>
    <row r="137" spans="2:27" x14ac:dyDescent="0.25">
      <c r="B137" s="76"/>
      <c r="C137" s="82"/>
      <c r="D137" s="76"/>
      <c r="E137" s="76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6"/>
      <c r="Z137" s="68"/>
      <c r="AA137" s="68"/>
    </row>
    <row r="138" spans="2:27" x14ac:dyDescent="0.25">
      <c r="B138" s="68"/>
      <c r="C138" s="82"/>
      <c r="D138" s="76"/>
      <c r="E138" s="76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66"/>
      <c r="Z138" s="68"/>
      <c r="AA138" s="68"/>
    </row>
    <row r="139" spans="2:27" x14ac:dyDescent="0.25">
      <c r="C139" s="82"/>
      <c r="D139" s="76"/>
      <c r="E139" s="76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66"/>
      <c r="Z139" s="68"/>
      <c r="AA139" s="68"/>
    </row>
    <row r="140" spans="2:27" x14ac:dyDescent="0.25">
      <c r="C140" s="82"/>
      <c r="D140" s="76"/>
      <c r="E140" s="76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66"/>
      <c r="Z140" s="68"/>
      <c r="AA140" s="68"/>
    </row>
    <row r="141" spans="2:27" x14ac:dyDescent="0.25">
      <c r="C141" s="82"/>
      <c r="D141" s="76"/>
      <c r="E141" s="76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66"/>
      <c r="Z141" s="68"/>
      <c r="AA141" s="68"/>
    </row>
    <row r="142" spans="2:27" x14ac:dyDescent="0.25">
      <c r="C142" s="82"/>
      <c r="D142" s="76"/>
      <c r="E142" s="76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66"/>
      <c r="Z142" s="68"/>
      <c r="AA142" s="68"/>
    </row>
    <row r="143" spans="2:27" x14ac:dyDescent="0.25">
      <c r="C143" s="82"/>
      <c r="D143" s="76"/>
      <c r="E143" s="76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66"/>
      <c r="Z143" s="68"/>
      <c r="AA143" s="68"/>
    </row>
    <row r="144" spans="2:27" x14ac:dyDescent="0.25">
      <c r="C144" s="72"/>
      <c r="D144" s="68"/>
      <c r="E144" s="68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66"/>
      <c r="Z144" s="68"/>
      <c r="AA144" s="68"/>
    </row>
    <row r="145" spans="2:27" x14ac:dyDescent="0.25">
      <c r="C145" s="82"/>
      <c r="D145" s="68"/>
      <c r="E145" s="68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66"/>
      <c r="Z145" s="68"/>
      <c r="AA145" s="68"/>
    </row>
    <row r="146" spans="2:27" x14ac:dyDescent="0.25">
      <c r="C146" s="82"/>
      <c r="D146" s="68"/>
      <c r="E146" s="68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66"/>
      <c r="Z146" s="68"/>
      <c r="AA146" s="68"/>
    </row>
    <row r="147" spans="2:27" x14ac:dyDescent="0.25">
      <c r="C147" s="82"/>
      <c r="D147" s="68"/>
      <c r="E147" s="68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66"/>
      <c r="Z147" s="68"/>
      <c r="AA147" s="68"/>
    </row>
    <row r="148" spans="2:27" x14ac:dyDescent="0.25">
      <c r="C148" s="82"/>
      <c r="D148" s="68"/>
      <c r="E148" s="68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66"/>
      <c r="Z148" s="68"/>
      <c r="AA148" s="68"/>
    </row>
    <row r="149" spans="2:27" x14ac:dyDescent="0.25">
      <c r="C149" s="82"/>
      <c r="D149" s="68"/>
      <c r="E149" s="68"/>
      <c r="F149" s="12"/>
      <c r="G149" s="12"/>
      <c r="H149" s="12"/>
      <c r="I149" s="12"/>
      <c r="J149" s="12"/>
      <c r="K149" s="12"/>
      <c r="L149" s="12"/>
      <c r="M149" s="12"/>
      <c r="N149" s="12"/>
      <c r="O149" s="12">
        <f>737717*4</f>
        <v>2950868</v>
      </c>
      <c r="P149" s="12">
        <f>737717*2</f>
        <v>1475434</v>
      </c>
      <c r="Q149" s="12"/>
      <c r="R149" s="12"/>
      <c r="S149" s="12"/>
      <c r="T149" s="12"/>
      <c r="U149" s="12"/>
      <c r="V149" s="12"/>
      <c r="W149" s="12"/>
      <c r="X149" s="12"/>
      <c r="Y149" s="66"/>
      <c r="Z149" s="68"/>
      <c r="AA149" s="68"/>
    </row>
    <row r="150" spans="2:27" x14ac:dyDescent="0.25">
      <c r="C150" s="82"/>
      <c r="D150" s="68"/>
      <c r="E150" s="68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66"/>
      <c r="Z150" s="68"/>
      <c r="AA150" s="68"/>
    </row>
    <row r="151" spans="2:27" x14ac:dyDescent="0.25">
      <c r="C151" s="82"/>
      <c r="D151" s="68"/>
      <c r="E151" s="68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66"/>
      <c r="Z151" s="68"/>
      <c r="AA151" s="68"/>
    </row>
    <row r="152" spans="2:27" x14ac:dyDescent="0.25">
      <c r="C152" s="82"/>
      <c r="D152" s="68"/>
      <c r="E152" s="68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66"/>
      <c r="Z152" s="68"/>
      <c r="AA152" s="68"/>
    </row>
    <row r="153" spans="2:27" x14ac:dyDescent="0.25">
      <c r="C153" s="82"/>
      <c r="D153" s="68"/>
      <c r="E153" s="68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66"/>
      <c r="Z153" s="68"/>
      <c r="AA153" s="68"/>
    </row>
    <row r="154" spans="2:27" x14ac:dyDescent="0.25">
      <c r="C154" s="82"/>
      <c r="D154" s="68"/>
      <c r="E154" s="68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66"/>
      <c r="Z154" s="68"/>
      <c r="AA154" s="68"/>
    </row>
    <row r="155" spans="2:27" x14ac:dyDescent="0.25">
      <c r="C155" s="82"/>
      <c r="D155" s="68"/>
      <c r="E155" s="68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66"/>
      <c r="Z155" s="68"/>
      <c r="AA155" s="68"/>
    </row>
    <row r="156" spans="2:27" x14ac:dyDescent="0.25">
      <c r="C156" s="72"/>
      <c r="D156" s="68"/>
      <c r="E156" s="68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68"/>
      <c r="Z156" s="68"/>
      <c r="AA156" s="68"/>
    </row>
    <row r="157" spans="2:27" x14ac:dyDescent="0.25">
      <c r="C157" s="72"/>
      <c r="D157" s="68"/>
      <c r="E157" s="68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68"/>
      <c r="W157" s="12"/>
      <c r="X157" s="12"/>
      <c r="Y157" s="68"/>
      <c r="Z157" s="68"/>
      <c r="AA157" s="68"/>
    </row>
    <row r="158" spans="2:27" x14ac:dyDescent="0.25">
      <c r="B158" s="68"/>
      <c r="C158" s="72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68"/>
      <c r="AA158" s="68"/>
    </row>
    <row r="159" spans="2:27" x14ac:dyDescent="0.25">
      <c r="B159" s="68"/>
      <c r="C159" s="72"/>
      <c r="D159" s="68"/>
      <c r="E159" s="68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6"/>
      <c r="Z159" s="68"/>
      <c r="AA159" s="68"/>
    </row>
    <row r="160" spans="2:27" x14ac:dyDescent="0.25">
      <c r="B160" s="68"/>
      <c r="C160" s="82"/>
      <c r="D160" s="76"/>
      <c r="E160" s="76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6"/>
    </row>
    <row r="161" spans="2:25" x14ac:dyDescent="0.25">
      <c r="B161" s="85"/>
      <c r="C161" s="82"/>
      <c r="D161" s="76"/>
      <c r="E161" s="76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6"/>
    </row>
    <row r="162" spans="2:25" x14ac:dyDescent="0.25">
      <c r="C162" s="82"/>
      <c r="D162" s="76"/>
      <c r="E162" s="76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66"/>
    </row>
    <row r="163" spans="2:25" x14ac:dyDescent="0.25">
      <c r="C163" s="82"/>
      <c r="D163" s="76"/>
      <c r="E163" s="76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66"/>
    </row>
    <row r="164" spans="2:25" x14ac:dyDescent="0.25">
      <c r="C164" s="82"/>
      <c r="D164" s="76"/>
      <c r="E164" s="76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66"/>
    </row>
    <row r="165" spans="2:25" x14ac:dyDescent="0.25">
      <c r="C165" s="72"/>
      <c r="D165" s="68"/>
      <c r="E165" s="68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66"/>
    </row>
    <row r="166" spans="2:25" x14ac:dyDescent="0.25">
      <c r="C166" s="82"/>
      <c r="D166" s="68"/>
      <c r="E166" s="68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66"/>
    </row>
    <row r="167" spans="2:25" x14ac:dyDescent="0.25">
      <c r="C167" s="72"/>
      <c r="D167" s="68"/>
      <c r="E167" s="68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68"/>
    </row>
    <row r="168" spans="2:25" x14ac:dyDescent="0.25">
      <c r="C168" s="72"/>
      <c r="D168" s="68"/>
      <c r="E168" s="68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66"/>
    </row>
    <row r="169" spans="2:25" x14ac:dyDescent="0.25">
      <c r="B169" s="68"/>
      <c r="C169" s="72"/>
      <c r="D169" s="68"/>
      <c r="E169" s="68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68"/>
    </row>
    <row r="170" spans="2:25" x14ac:dyDescent="0.25">
      <c r="B170" s="68"/>
      <c r="C170" s="72"/>
      <c r="D170" s="68"/>
      <c r="E170" s="68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68"/>
    </row>
    <row r="171" spans="2:25" x14ac:dyDescent="0.25">
      <c r="B171" s="68"/>
      <c r="C171" s="72"/>
      <c r="D171" s="68"/>
      <c r="E171" s="68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86"/>
    </row>
    <row r="172" spans="2:25" x14ac:dyDescent="0.25">
      <c r="B172" s="68"/>
      <c r="C172" s="72"/>
      <c r="D172" s="68"/>
      <c r="E172" s="68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87"/>
    </row>
    <row r="173" spans="2:25" x14ac:dyDescent="0.25">
      <c r="C173" s="72"/>
      <c r="D173" s="68"/>
      <c r="E173" s="68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68"/>
    </row>
    <row r="174" spans="2:25" x14ac:dyDescent="0.25">
      <c r="C174" s="72"/>
      <c r="D174" s="68"/>
      <c r="E174" s="68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68"/>
    </row>
    <row r="175" spans="2:25" x14ac:dyDescent="0.25">
      <c r="C175" s="72"/>
      <c r="D175" s="68"/>
      <c r="E175" s="68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68"/>
    </row>
    <row r="176" spans="2:25" x14ac:dyDescent="0.25">
      <c r="C176" s="72"/>
      <c r="D176" s="68"/>
      <c r="E176" s="68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68"/>
    </row>
    <row r="177" spans="3:25" x14ac:dyDescent="0.25">
      <c r="C177" s="72"/>
      <c r="D177" s="68"/>
      <c r="E177" s="68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68"/>
    </row>
    <row r="178" spans="3:25" x14ac:dyDescent="0.25">
      <c r="C178" s="72"/>
      <c r="D178" s="68"/>
      <c r="E178" s="68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68"/>
    </row>
    <row r="179" spans="3:25" x14ac:dyDescent="0.25">
      <c r="C179" s="72"/>
      <c r="D179" s="68"/>
      <c r="E179" s="68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68"/>
    </row>
    <row r="180" spans="3:25" x14ac:dyDescent="0.25">
      <c r="C180" s="72"/>
      <c r="D180" s="68"/>
      <c r="E180" s="68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>
        <v>3003000</v>
      </c>
      <c r="Q180" s="12"/>
      <c r="R180" s="12"/>
      <c r="S180" s="12"/>
      <c r="T180" s="12"/>
      <c r="U180" s="12"/>
      <c r="V180" s="12"/>
      <c r="W180" s="12"/>
      <c r="X180" s="12"/>
      <c r="Y180" s="68"/>
    </row>
    <row r="181" spans="3:25" x14ac:dyDescent="0.25">
      <c r="C181" s="82"/>
      <c r="D181" s="68"/>
      <c r="E181" s="68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68"/>
    </row>
    <row r="182" spans="3:25" x14ac:dyDescent="0.25">
      <c r="C182" s="82"/>
      <c r="D182" s="68"/>
      <c r="E182" s="68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68"/>
    </row>
    <row r="183" spans="3:25" x14ac:dyDescent="0.25">
      <c r="C183" s="82"/>
      <c r="D183" s="68"/>
      <c r="E183" s="68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68"/>
    </row>
    <row r="184" spans="3:25" x14ac:dyDescent="0.25">
      <c r="C184" s="82"/>
      <c r="D184" s="68"/>
      <c r="E184" s="68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68"/>
    </row>
    <row r="185" spans="3:25" x14ac:dyDescent="0.25">
      <c r="C185" s="72">
        <v>42614840</v>
      </c>
      <c r="D185" s="68"/>
      <c r="E185" s="68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>
        <v>412608</v>
      </c>
      <c r="Y185" s="68"/>
    </row>
    <row r="186" spans="3:25" x14ac:dyDescent="0.25">
      <c r="C186" s="72">
        <v>9675182</v>
      </c>
      <c r="D186" s="68"/>
      <c r="E186" s="68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>
        <v>1880000</v>
      </c>
      <c r="Y186" s="68"/>
    </row>
    <row r="187" spans="3:25" x14ac:dyDescent="0.25">
      <c r="C187" s="72">
        <v>17903600</v>
      </c>
      <c r="D187" s="68"/>
      <c r="E187" s="68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68"/>
    </row>
    <row r="188" spans="3:25" x14ac:dyDescent="0.25">
      <c r="C188" s="72">
        <f>SUM(C185:C187)</f>
        <v>70193622</v>
      </c>
      <c r="D188" s="68"/>
      <c r="E188" s="68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68"/>
    </row>
    <row r="189" spans="3:25" x14ac:dyDescent="0.25">
      <c r="C189" s="72">
        <v>400000</v>
      </c>
      <c r="D189" s="68"/>
      <c r="E189" s="68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68"/>
    </row>
    <row r="190" spans="3:25" x14ac:dyDescent="0.25">
      <c r="C190" s="72">
        <f>+C188+C189</f>
        <v>70593622</v>
      </c>
      <c r="D190" s="68"/>
      <c r="E190" s="68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68"/>
    </row>
    <row r="194" spans="3:3" x14ac:dyDescent="0.25">
      <c r="C194" s="13">
        <v>11000000</v>
      </c>
    </row>
    <row r="195" spans="3:3" x14ac:dyDescent="0.25">
      <c r="C195" s="13">
        <f>+C193+C194</f>
        <v>11000000</v>
      </c>
    </row>
    <row r="200" spans="3:3" x14ac:dyDescent="0.25">
      <c r="C200" s="13">
        <v>3185000</v>
      </c>
    </row>
    <row r="201" spans="3:3" x14ac:dyDescent="0.25">
      <c r="C201" s="13">
        <v>1080000</v>
      </c>
    </row>
    <row r="202" spans="3:3" x14ac:dyDescent="0.25">
      <c r="C202" s="13">
        <v>4850100</v>
      </c>
    </row>
    <row r="203" spans="3:3" x14ac:dyDescent="0.25">
      <c r="C203" s="13">
        <v>5027500</v>
      </c>
    </row>
    <row r="204" spans="3:3" x14ac:dyDescent="0.25">
      <c r="C204" s="13">
        <v>4566000</v>
      </c>
    </row>
    <row r="205" spans="3:3" x14ac:dyDescent="0.25">
      <c r="C205" s="13">
        <v>1050000</v>
      </c>
    </row>
    <row r="206" spans="3:3" x14ac:dyDescent="0.25">
      <c r="C206" s="13">
        <v>3877333</v>
      </c>
    </row>
    <row r="207" spans="3:3" x14ac:dyDescent="0.25">
      <c r="C207" s="13">
        <v>6732440</v>
      </c>
    </row>
    <row r="208" spans="3:3" x14ac:dyDescent="0.25">
      <c r="C208" s="13">
        <v>3460000</v>
      </c>
    </row>
    <row r="209" spans="3:3" x14ac:dyDescent="0.25">
      <c r="C209" s="13">
        <v>588800</v>
      </c>
    </row>
    <row r="210" spans="3:3" x14ac:dyDescent="0.25">
      <c r="C210" s="13">
        <v>1868000</v>
      </c>
    </row>
    <row r="211" spans="3:3" x14ac:dyDescent="0.25">
      <c r="C211" s="13">
        <v>10313000</v>
      </c>
    </row>
    <row r="212" spans="3:3" x14ac:dyDescent="0.25">
      <c r="C212" s="13">
        <v>3443800</v>
      </c>
    </row>
    <row r="213" spans="3:3" x14ac:dyDescent="0.25">
      <c r="C213" s="13">
        <v>8136400</v>
      </c>
    </row>
    <row r="214" spans="3:3" x14ac:dyDescent="0.25">
      <c r="C214" s="13">
        <v>9675183</v>
      </c>
    </row>
    <row r="215" spans="3:3" x14ac:dyDescent="0.25">
      <c r="C215" s="13">
        <f>SUM(C199:C214)</f>
        <v>67853556</v>
      </c>
    </row>
  </sheetData>
  <mergeCells count="8">
    <mergeCell ref="F157:U157"/>
    <mergeCell ref="D158:Y158"/>
    <mergeCell ref="A1:Y1"/>
    <mergeCell ref="A2:O2"/>
    <mergeCell ref="P2:X2"/>
    <mergeCell ref="A4:A72"/>
    <mergeCell ref="A73:A123"/>
    <mergeCell ref="B124:C12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EBC9-D940-4457-9384-CE775F213D48}">
  <dimension ref="A1:AB211"/>
  <sheetViews>
    <sheetView tabSelected="1" topLeftCell="B1" workbookViewId="0">
      <selection activeCell="K8" sqref="K8"/>
    </sheetView>
  </sheetViews>
  <sheetFormatPr baseColWidth="10" defaultRowHeight="12" x14ac:dyDescent="0.25"/>
  <cols>
    <col min="1" max="1" width="6.7109375" style="62" hidden="1" customWidth="1"/>
    <col min="2" max="2" width="4.85546875" style="62" customWidth="1"/>
    <col min="3" max="3" width="32.28515625" style="13" customWidth="1"/>
    <col min="4" max="4" width="8.5703125" style="62" hidden="1" customWidth="1"/>
    <col min="5" max="5" width="11" style="62" hidden="1" customWidth="1"/>
    <col min="6" max="6" width="15" style="71" customWidth="1"/>
    <col min="7" max="7" width="4.42578125" style="71" customWidth="1"/>
    <col min="8" max="9" width="15.5703125" style="71" customWidth="1"/>
    <col min="10" max="10" width="11.28515625" style="71" customWidth="1"/>
    <col min="11" max="11" width="11.42578125" style="71"/>
    <col min="12" max="12" width="11.140625" style="71" customWidth="1"/>
    <col min="13" max="13" width="12.28515625" style="71" customWidth="1"/>
    <col min="14" max="14" width="12.5703125" style="71" customWidth="1"/>
    <col min="15" max="15" width="16" style="71" customWidth="1"/>
    <col min="16" max="16" width="13" style="71" customWidth="1"/>
    <col min="17" max="17" width="14.140625" style="71" customWidth="1"/>
    <col min="18" max="19" width="11.28515625" style="71" customWidth="1"/>
    <col min="20" max="20" width="14.140625" style="71" customWidth="1"/>
    <col min="21" max="21" width="12.28515625" style="71" customWidth="1"/>
    <col min="22" max="22" width="11.28515625" style="71" customWidth="1"/>
    <col min="23" max="23" width="15.7109375" style="71" customWidth="1"/>
    <col min="24" max="24" width="12.42578125" style="71" customWidth="1"/>
    <col min="25" max="25" width="18" style="62" bestFit="1" customWidth="1"/>
    <col min="26" max="26" width="15.7109375" style="62" bestFit="1" customWidth="1"/>
    <col min="27" max="245" width="11.42578125" style="62"/>
    <col min="246" max="246" width="10.5703125" style="62" customWidth="1"/>
    <col min="247" max="247" width="4.85546875" style="62" customWidth="1"/>
    <col min="248" max="248" width="32.42578125" style="62" customWidth="1"/>
    <col min="249" max="249" width="9.85546875" style="62" customWidth="1"/>
    <col min="250" max="250" width="10.140625" style="62" customWidth="1"/>
    <col min="251" max="251" width="12.28515625" style="62" customWidth="1"/>
    <col min="252" max="252" width="15.42578125" style="62" customWidth="1"/>
    <col min="253" max="253" width="11.85546875" style="62" customWidth="1"/>
    <col min="254" max="254" width="13.28515625" style="62" customWidth="1"/>
    <col min="255" max="255" width="15.28515625" style="62" customWidth="1"/>
    <col min="256" max="256" width="11.85546875" style="62" customWidth="1"/>
    <col min="257" max="257" width="6.140625" style="62" customWidth="1"/>
    <col min="258" max="258" width="11.85546875" style="62" customWidth="1"/>
    <col min="259" max="259" width="9.42578125" style="62" customWidth="1"/>
    <col min="260" max="260" width="14.7109375" style="62" customWidth="1"/>
    <col min="261" max="261" width="11.5703125" style="62" customWidth="1"/>
    <col min="262" max="262" width="0.42578125" style="62" customWidth="1"/>
    <col min="263" max="263" width="10.5703125" style="62" bestFit="1" customWidth="1"/>
    <col min="264" max="264" width="12.28515625" style="62" customWidth="1"/>
    <col min="265" max="265" width="12.5703125" style="62" customWidth="1"/>
    <col min="266" max="266" width="10.5703125" style="62" customWidth="1"/>
    <col min="267" max="267" width="10.140625" style="62" customWidth="1"/>
    <col min="268" max="268" width="8.42578125" style="62" customWidth="1"/>
    <col min="269" max="269" width="18.85546875" style="62" customWidth="1"/>
    <col min="270" max="270" width="10.28515625" style="62" customWidth="1"/>
    <col min="271" max="271" width="11.42578125" style="62"/>
    <col min="272" max="272" width="12.140625" style="62" customWidth="1"/>
    <col min="273" max="273" width="10.5703125" style="62" customWidth="1"/>
    <col min="274" max="274" width="12.42578125" style="62" customWidth="1"/>
    <col min="275" max="275" width="15.140625" style="62" customWidth="1"/>
    <col min="276" max="276" width="13.5703125" style="62" customWidth="1"/>
    <col min="277" max="277" width="13.140625" style="62" customWidth="1"/>
    <col min="278" max="278" width="15.7109375" style="62" customWidth="1"/>
    <col min="279" max="279" width="37.5703125" style="62" customWidth="1"/>
    <col min="280" max="501" width="11.42578125" style="62"/>
    <col min="502" max="502" width="10.5703125" style="62" customWidth="1"/>
    <col min="503" max="503" width="4.85546875" style="62" customWidth="1"/>
    <col min="504" max="504" width="32.42578125" style="62" customWidth="1"/>
    <col min="505" max="505" width="9.85546875" style="62" customWidth="1"/>
    <col min="506" max="506" width="10.140625" style="62" customWidth="1"/>
    <col min="507" max="507" width="12.28515625" style="62" customWidth="1"/>
    <col min="508" max="508" width="15.42578125" style="62" customWidth="1"/>
    <col min="509" max="509" width="11.85546875" style="62" customWidth="1"/>
    <col min="510" max="510" width="13.28515625" style="62" customWidth="1"/>
    <col min="511" max="511" width="15.28515625" style="62" customWidth="1"/>
    <col min="512" max="512" width="11.85546875" style="62" customWidth="1"/>
    <col min="513" max="513" width="6.140625" style="62" customWidth="1"/>
    <col min="514" max="514" width="11.85546875" style="62" customWidth="1"/>
    <col min="515" max="515" width="9.42578125" style="62" customWidth="1"/>
    <col min="516" max="516" width="14.7109375" style="62" customWidth="1"/>
    <col min="517" max="517" width="11.5703125" style="62" customWidth="1"/>
    <col min="518" max="518" width="0.42578125" style="62" customWidth="1"/>
    <col min="519" max="519" width="10.5703125" style="62" bestFit="1" customWidth="1"/>
    <col min="520" max="520" width="12.28515625" style="62" customWidth="1"/>
    <col min="521" max="521" width="12.5703125" style="62" customWidth="1"/>
    <col min="522" max="522" width="10.5703125" style="62" customWidth="1"/>
    <col min="523" max="523" width="10.140625" style="62" customWidth="1"/>
    <col min="524" max="524" width="8.42578125" style="62" customWidth="1"/>
    <col min="525" max="525" width="18.85546875" style="62" customWidth="1"/>
    <col min="526" max="526" width="10.28515625" style="62" customWidth="1"/>
    <col min="527" max="527" width="11.42578125" style="62"/>
    <col min="528" max="528" width="12.140625" style="62" customWidth="1"/>
    <col min="529" max="529" width="10.5703125" style="62" customWidth="1"/>
    <col min="530" max="530" width="12.42578125" style="62" customWidth="1"/>
    <col min="531" max="531" width="15.140625" style="62" customWidth="1"/>
    <col min="532" max="532" width="13.5703125" style="62" customWidth="1"/>
    <col min="533" max="533" width="13.140625" style="62" customWidth="1"/>
    <col min="534" max="534" width="15.7109375" style="62" customWidth="1"/>
    <col min="535" max="535" width="37.5703125" style="62" customWidth="1"/>
    <col min="536" max="757" width="11.42578125" style="62"/>
    <col min="758" max="758" width="10.5703125" style="62" customWidth="1"/>
    <col min="759" max="759" width="4.85546875" style="62" customWidth="1"/>
    <col min="760" max="760" width="32.42578125" style="62" customWidth="1"/>
    <col min="761" max="761" width="9.85546875" style="62" customWidth="1"/>
    <col min="762" max="762" width="10.140625" style="62" customWidth="1"/>
    <col min="763" max="763" width="12.28515625" style="62" customWidth="1"/>
    <col min="764" max="764" width="15.42578125" style="62" customWidth="1"/>
    <col min="765" max="765" width="11.85546875" style="62" customWidth="1"/>
    <col min="766" max="766" width="13.28515625" style="62" customWidth="1"/>
    <col min="767" max="767" width="15.28515625" style="62" customWidth="1"/>
    <col min="768" max="768" width="11.85546875" style="62" customWidth="1"/>
    <col min="769" max="769" width="6.140625" style="62" customWidth="1"/>
    <col min="770" max="770" width="11.85546875" style="62" customWidth="1"/>
    <col min="771" max="771" width="9.42578125" style="62" customWidth="1"/>
    <col min="772" max="772" width="14.7109375" style="62" customWidth="1"/>
    <col min="773" max="773" width="11.5703125" style="62" customWidth="1"/>
    <col min="774" max="774" width="0.42578125" style="62" customWidth="1"/>
    <col min="775" max="775" width="10.5703125" style="62" bestFit="1" customWidth="1"/>
    <col min="776" max="776" width="12.28515625" style="62" customWidth="1"/>
    <col min="777" max="777" width="12.5703125" style="62" customWidth="1"/>
    <col min="778" max="778" width="10.5703125" style="62" customWidth="1"/>
    <col min="779" max="779" width="10.140625" style="62" customWidth="1"/>
    <col min="780" max="780" width="8.42578125" style="62" customWidth="1"/>
    <col min="781" max="781" width="18.85546875" style="62" customWidth="1"/>
    <col min="782" max="782" width="10.28515625" style="62" customWidth="1"/>
    <col min="783" max="783" width="11.42578125" style="62"/>
    <col min="784" max="784" width="12.140625" style="62" customWidth="1"/>
    <col min="785" max="785" width="10.5703125" style="62" customWidth="1"/>
    <col min="786" max="786" width="12.42578125" style="62" customWidth="1"/>
    <col min="787" max="787" width="15.140625" style="62" customWidth="1"/>
    <col min="788" max="788" width="13.5703125" style="62" customWidth="1"/>
    <col min="789" max="789" width="13.140625" style="62" customWidth="1"/>
    <col min="790" max="790" width="15.7109375" style="62" customWidth="1"/>
    <col min="791" max="791" width="37.5703125" style="62" customWidth="1"/>
    <col min="792" max="1013" width="11.42578125" style="62"/>
    <col min="1014" max="1014" width="10.5703125" style="62" customWidth="1"/>
    <col min="1015" max="1015" width="4.85546875" style="62" customWidth="1"/>
    <col min="1016" max="1016" width="32.42578125" style="62" customWidth="1"/>
    <col min="1017" max="1017" width="9.85546875" style="62" customWidth="1"/>
    <col min="1018" max="1018" width="10.140625" style="62" customWidth="1"/>
    <col min="1019" max="1019" width="12.28515625" style="62" customWidth="1"/>
    <col min="1020" max="1020" width="15.42578125" style="62" customWidth="1"/>
    <col min="1021" max="1021" width="11.85546875" style="62" customWidth="1"/>
    <col min="1022" max="1022" width="13.28515625" style="62" customWidth="1"/>
    <col min="1023" max="1023" width="15.28515625" style="62" customWidth="1"/>
    <col min="1024" max="1024" width="11.85546875" style="62" customWidth="1"/>
    <col min="1025" max="1025" width="6.140625" style="62" customWidth="1"/>
    <col min="1026" max="1026" width="11.85546875" style="62" customWidth="1"/>
    <col min="1027" max="1027" width="9.42578125" style="62" customWidth="1"/>
    <col min="1028" max="1028" width="14.7109375" style="62" customWidth="1"/>
    <col min="1029" max="1029" width="11.5703125" style="62" customWidth="1"/>
    <col min="1030" max="1030" width="0.42578125" style="62" customWidth="1"/>
    <col min="1031" max="1031" width="10.5703125" style="62" bestFit="1" customWidth="1"/>
    <col min="1032" max="1032" width="12.28515625" style="62" customWidth="1"/>
    <col min="1033" max="1033" width="12.5703125" style="62" customWidth="1"/>
    <col min="1034" max="1034" width="10.5703125" style="62" customWidth="1"/>
    <col min="1035" max="1035" width="10.140625" style="62" customWidth="1"/>
    <col min="1036" max="1036" width="8.42578125" style="62" customWidth="1"/>
    <col min="1037" max="1037" width="18.85546875" style="62" customWidth="1"/>
    <col min="1038" max="1038" width="10.28515625" style="62" customWidth="1"/>
    <col min="1039" max="1039" width="11.42578125" style="62"/>
    <col min="1040" max="1040" width="12.140625" style="62" customWidth="1"/>
    <col min="1041" max="1041" width="10.5703125" style="62" customWidth="1"/>
    <col min="1042" max="1042" width="12.42578125" style="62" customWidth="1"/>
    <col min="1043" max="1043" width="15.140625" style="62" customWidth="1"/>
    <col min="1044" max="1044" width="13.5703125" style="62" customWidth="1"/>
    <col min="1045" max="1045" width="13.140625" style="62" customWidth="1"/>
    <col min="1046" max="1046" width="15.7109375" style="62" customWidth="1"/>
    <col min="1047" max="1047" width="37.5703125" style="62" customWidth="1"/>
    <col min="1048" max="1269" width="11.42578125" style="62"/>
    <col min="1270" max="1270" width="10.5703125" style="62" customWidth="1"/>
    <col min="1271" max="1271" width="4.85546875" style="62" customWidth="1"/>
    <col min="1272" max="1272" width="32.42578125" style="62" customWidth="1"/>
    <col min="1273" max="1273" width="9.85546875" style="62" customWidth="1"/>
    <col min="1274" max="1274" width="10.140625" style="62" customWidth="1"/>
    <col min="1275" max="1275" width="12.28515625" style="62" customWidth="1"/>
    <col min="1276" max="1276" width="15.42578125" style="62" customWidth="1"/>
    <col min="1277" max="1277" width="11.85546875" style="62" customWidth="1"/>
    <col min="1278" max="1278" width="13.28515625" style="62" customWidth="1"/>
    <col min="1279" max="1279" width="15.28515625" style="62" customWidth="1"/>
    <col min="1280" max="1280" width="11.85546875" style="62" customWidth="1"/>
    <col min="1281" max="1281" width="6.140625" style="62" customWidth="1"/>
    <col min="1282" max="1282" width="11.85546875" style="62" customWidth="1"/>
    <col min="1283" max="1283" width="9.42578125" style="62" customWidth="1"/>
    <col min="1284" max="1284" width="14.7109375" style="62" customWidth="1"/>
    <col min="1285" max="1285" width="11.5703125" style="62" customWidth="1"/>
    <col min="1286" max="1286" width="0.42578125" style="62" customWidth="1"/>
    <col min="1287" max="1287" width="10.5703125" style="62" bestFit="1" customWidth="1"/>
    <col min="1288" max="1288" width="12.28515625" style="62" customWidth="1"/>
    <col min="1289" max="1289" width="12.5703125" style="62" customWidth="1"/>
    <col min="1290" max="1290" width="10.5703125" style="62" customWidth="1"/>
    <col min="1291" max="1291" width="10.140625" style="62" customWidth="1"/>
    <col min="1292" max="1292" width="8.42578125" style="62" customWidth="1"/>
    <col min="1293" max="1293" width="18.85546875" style="62" customWidth="1"/>
    <col min="1294" max="1294" width="10.28515625" style="62" customWidth="1"/>
    <col min="1295" max="1295" width="11.42578125" style="62"/>
    <col min="1296" max="1296" width="12.140625" style="62" customWidth="1"/>
    <col min="1297" max="1297" width="10.5703125" style="62" customWidth="1"/>
    <col min="1298" max="1298" width="12.42578125" style="62" customWidth="1"/>
    <col min="1299" max="1299" width="15.140625" style="62" customWidth="1"/>
    <col min="1300" max="1300" width="13.5703125" style="62" customWidth="1"/>
    <col min="1301" max="1301" width="13.140625" style="62" customWidth="1"/>
    <col min="1302" max="1302" width="15.7109375" style="62" customWidth="1"/>
    <col min="1303" max="1303" width="37.5703125" style="62" customWidth="1"/>
    <col min="1304" max="1525" width="11.42578125" style="62"/>
    <col min="1526" max="1526" width="10.5703125" style="62" customWidth="1"/>
    <col min="1527" max="1527" width="4.85546875" style="62" customWidth="1"/>
    <col min="1528" max="1528" width="32.42578125" style="62" customWidth="1"/>
    <col min="1529" max="1529" width="9.85546875" style="62" customWidth="1"/>
    <col min="1530" max="1530" width="10.140625" style="62" customWidth="1"/>
    <col min="1531" max="1531" width="12.28515625" style="62" customWidth="1"/>
    <col min="1532" max="1532" width="15.42578125" style="62" customWidth="1"/>
    <col min="1533" max="1533" width="11.85546875" style="62" customWidth="1"/>
    <col min="1534" max="1534" width="13.28515625" style="62" customWidth="1"/>
    <col min="1535" max="1535" width="15.28515625" style="62" customWidth="1"/>
    <col min="1536" max="1536" width="11.85546875" style="62" customWidth="1"/>
    <col min="1537" max="1537" width="6.140625" style="62" customWidth="1"/>
    <col min="1538" max="1538" width="11.85546875" style="62" customWidth="1"/>
    <col min="1539" max="1539" width="9.42578125" style="62" customWidth="1"/>
    <col min="1540" max="1540" width="14.7109375" style="62" customWidth="1"/>
    <col min="1541" max="1541" width="11.5703125" style="62" customWidth="1"/>
    <col min="1542" max="1542" width="0.42578125" style="62" customWidth="1"/>
    <col min="1543" max="1543" width="10.5703125" style="62" bestFit="1" customWidth="1"/>
    <col min="1544" max="1544" width="12.28515625" style="62" customWidth="1"/>
    <col min="1545" max="1545" width="12.5703125" style="62" customWidth="1"/>
    <col min="1546" max="1546" width="10.5703125" style="62" customWidth="1"/>
    <col min="1547" max="1547" width="10.140625" style="62" customWidth="1"/>
    <col min="1548" max="1548" width="8.42578125" style="62" customWidth="1"/>
    <col min="1549" max="1549" width="18.85546875" style="62" customWidth="1"/>
    <col min="1550" max="1550" width="10.28515625" style="62" customWidth="1"/>
    <col min="1551" max="1551" width="11.42578125" style="62"/>
    <col min="1552" max="1552" width="12.140625" style="62" customWidth="1"/>
    <col min="1553" max="1553" width="10.5703125" style="62" customWidth="1"/>
    <col min="1554" max="1554" width="12.42578125" style="62" customWidth="1"/>
    <col min="1555" max="1555" width="15.140625" style="62" customWidth="1"/>
    <col min="1556" max="1556" width="13.5703125" style="62" customWidth="1"/>
    <col min="1557" max="1557" width="13.140625" style="62" customWidth="1"/>
    <col min="1558" max="1558" width="15.7109375" style="62" customWidth="1"/>
    <col min="1559" max="1559" width="37.5703125" style="62" customWidth="1"/>
    <col min="1560" max="1781" width="11.42578125" style="62"/>
    <col min="1782" max="1782" width="10.5703125" style="62" customWidth="1"/>
    <col min="1783" max="1783" width="4.85546875" style="62" customWidth="1"/>
    <col min="1784" max="1784" width="32.42578125" style="62" customWidth="1"/>
    <col min="1785" max="1785" width="9.85546875" style="62" customWidth="1"/>
    <col min="1786" max="1786" width="10.140625" style="62" customWidth="1"/>
    <col min="1787" max="1787" width="12.28515625" style="62" customWidth="1"/>
    <col min="1788" max="1788" width="15.42578125" style="62" customWidth="1"/>
    <col min="1789" max="1789" width="11.85546875" style="62" customWidth="1"/>
    <col min="1790" max="1790" width="13.28515625" style="62" customWidth="1"/>
    <col min="1791" max="1791" width="15.28515625" style="62" customWidth="1"/>
    <col min="1792" max="1792" width="11.85546875" style="62" customWidth="1"/>
    <col min="1793" max="1793" width="6.140625" style="62" customWidth="1"/>
    <col min="1794" max="1794" width="11.85546875" style="62" customWidth="1"/>
    <col min="1795" max="1795" width="9.42578125" style="62" customWidth="1"/>
    <col min="1796" max="1796" width="14.7109375" style="62" customWidth="1"/>
    <col min="1797" max="1797" width="11.5703125" style="62" customWidth="1"/>
    <col min="1798" max="1798" width="0.42578125" style="62" customWidth="1"/>
    <col min="1799" max="1799" width="10.5703125" style="62" bestFit="1" customWidth="1"/>
    <col min="1800" max="1800" width="12.28515625" style="62" customWidth="1"/>
    <col min="1801" max="1801" width="12.5703125" style="62" customWidth="1"/>
    <col min="1802" max="1802" width="10.5703125" style="62" customWidth="1"/>
    <col min="1803" max="1803" width="10.140625" style="62" customWidth="1"/>
    <col min="1804" max="1804" width="8.42578125" style="62" customWidth="1"/>
    <col min="1805" max="1805" width="18.85546875" style="62" customWidth="1"/>
    <col min="1806" max="1806" width="10.28515625" style="62" customWidth="1"/>
    <col min="1807" max="1807" width="11.42578125" style="62"/>
    <col min="1808" max="1808" width="12.140625" style="62" customWidth="1"/>
    <col min="1809" max="1809" width="10.5703125" style="62" customWidth="1"/>
    <col min="1810" max="1810" width="12.42578125" style="62" customWidth="1"/>
    <col min="1811" max="1811" width="15.140625" style="62" customWidth="1"/>
    <col min="1812" max="1812" width="13.5703125" style="62" customWidth="1"/>
    <col min="1813" max="1813" width="13.140625" style="62" customWidth="1"/>
    <col min="1814" max="1814" width="15.7109375" style="62" customWidth="1"/>
    <col min="1815" max="1815" width="37.5703125" style="62" customWidth="1"/>
    <col min="1816" max="2037" width="11.42578125" style="62"/>
    <col min="2038" max="2038" width="10.5703125" style="62" customWidth="1"/>
    <col min="2039" max="2039" width="4.85546875" style="62" customWidth="1"/>
    <col min="2040" max="2040" width="32.42578125" style="62" customWidth="1"/>
    <col min="2041" max="2041" width="9.85546875" style="62" customWidth="1"/>
    <col min="2042" max="2042" width="10.140625" style="62" customWidth="1"/>
    <col min="2043" max="2043" width="12.28515625" style="62" customWidth="1"/>
    <col min="2044" max="2044" width="15.42578125" style="62" customWidth="1"/>
    <col min="2045" max="2045" width="11.85546875" style="62" customWidth="1"/>
    <col min="2046" max="2046" width="13.28515625" style="62" customWidth="1"/>
    <col min="2047" max="2047" width="15.28515625" style="62" customWidth="1"/>
    <col min="2048" max="2048" width="11.85546875" style="62" customWidth="1"/>
    <col min="2049" max="2049" width="6.140625" style="62" customWidth="1"/>
    <col min="2050" max="2050" width="11.85546875" style="62" customWidth="1"/>
    <col min="2051" max="2051" width="9.42578125" style="62" customWidth="1"/>
    <col min="2052" max="2052" width="14.7109375" style="62" customWidth="1"/>
    <col min="2053" max="2053" width="11.5703125" style="62" customWidth="1"/>
    <col min="2054" max="2054" width="0.42578125" style="62" customWidth="1"/>
    <col min="2055" max="2055" width="10.5703125" style="62" bestFit="1" customWidth="1"/>
    <col min="2056" max="2056" width="12.28515625" style="62" customWidth="1"/>
    <col min="2057" max="2057" width="12.5703125" style="62" customWidth="1"/>
    <col min="2058" max="2058" width="10.5703125" style="62" customWidth="1"/>
    <col min="2059" max="2059" width="10.140625" style="62" customWidth="1"/>
    <col min="2060" max="2060" width="8.42578125" style="62" customWidth="1"/>
    <col min="2061" max="2061" width="18.85546875" style="62" customWidth="1"/>
    <col min="2062" max="2062" width="10.28515625" style="62" customWidth="1"/>
    <col min="2063" max="2063" width="11.42578125" style="62"/>
    <col min="2064" max="2064" width="12.140625" style="62" customWidth="1"/>
    <col min="2065" max="2065" width="10.5703125" style="62" customWidth="1"/>
    <col min="2066" max="2066" width="12.42578125" style="62" customWidth="1"/>
    <col min="2067" max="2067" width="15.140625" style="62" customWidth="1"/>
    <col min="2068" max="2068" width="13.5703125" style="62" customWidth="1"/>
    <col min="2069" max="2069" width="13.140625" style="62" customWidth="1"/>
    <col min="2070" max="2070" width="15.7109375" style="62" customWidth="1"/>
    <col min="2071" max="2071" width="37.5703125" style="62" customWidth="1"/>
    <col min="2072" max="2293" width="11.42578125" style="62"/>
    <col min="2294" max="2294" width="10.5703125" style="62" customWidth="1"/>
    <col min="2295" max="2295" width="4.85546875" style="62" customWidth="1"/>
    <col min="2296" max="2296" width="32.42578125" style="62" customWidth="1"/>
    <col min="2297" max="2297" width="9.85546875" style="62" customWidth="1"/>
    <col min="2298" max="2298" width="10.140625" style="62" customWidth="1"/>
    <col min="2299" max="2299" width="12.28515625" style="62" customWidth="1"/>
    <col min="2300" max="2300" width="15.42578125" style="62" customWidth="1"/>
    <col min="2301" max="2301" width="11.85546875" style="62" customWidth="1"/>
    <col min="2302" max="2302" width="13.28515625" style="62" customWidth="1"/>
    <col min="2303" max="2303" width="15.28515625" style="62" customWidth="1"/>
    <col min="2304" max="2304" width="11.85546875" style="62" customWidth="1"/>
    <col min="2305" max="2305" width="6.140625" style="62" customWidth="1"/>
    <col min="2306" max="2306" width="11.85546875" style="62" customWidth="1"/>
    <col min="2307" max="2307" width="9.42578125" style="62" customWidth="1"/>
    <col min="2308" max="2308" width="14.7109375" style="62" customWidth="1"/>
    <col min="2309" max="2309" width="11.5703125" style="62" customWidth="1"/>
    <col min="2310" max="2310" width="0.42578125" style="62" customWidth="1"/>
    <col min="2311" max="2311" width="10.5703125" style="62" bestFit="1" customWidth="1"/>
    <col min="2312" max="2312" width="12.28515625" style="62" customWidth="1"/>
    <col min="2313" max="2313" width="12.5703125" style="62" customWidth="1"/>
    <col min="2314" max="2314" width="10.5703125" style="62" customWidth="1"/>
    <col min="2315" max="2315" width="10.140625" style="62" customWidth="1"/>
    <col min="2316" max="2316" width="8.42578125" style="62" customWidth="1"/>
    <col min="2317" max="2317" width="18.85546875" style="62" customWidth="1"/>
    <col min="2318" max="2318" width="10.28515625" style="62" customWidth="1"/>
    <col min="2319" max="2319" width="11.42578125" style="62"/>
    <col min="2320" max="2320" width="12.140625" style="62" customWidth="1"/>
    <col min="2321" max="2321" width="10.5703125" style="62" customWidth="1"/>
    <col min="2322" max="2322" width="12.42578125" style="62" customWidth="1"/>
    <col min="2323" max="2323" width="15.140625" style="62" customWidth="1"/>
    <col min="2324" max="2324" width="13.5703125" style="62" customWidth="1"/>
    <col min="2325" max="2325" width="13.140625" style="62" customWidth="1"/>
    <col min="2326" max="2326" width="15.7109375" style="62" customWidth="1"/>
    <col min="2327" max="2327" width="37.5703125" style="62" customWidth="1"/>
    <col min="2328" max="2549" width="11.42578125" style="62"/>
    <col min="2550" max="2550" width="10.5703125" style="62" customWidth="1"/>
    <col min="2551" max="2551" width="4.85546875" style="62" customWidth="1"/>
    <col min="2552" max="2552" width="32.42578125" style="62" customWidth="1"/>
    <col min="2553" max="2553" width="9.85546875" style="62" customWidth="1"/>
    <col min="2554" max="2554" width="10.140625" style="62" customWidth="1"/>
    <col min="2555" max="2555" width="12.28515625" style="62" customWidth="1"/>
    <col min="2556" max="2556" width="15.42578125" style="62" customWidth="1"/>
    <col min="2557" max="2557" width="11.85546875" style="62" customWidth="1"/>
    <col min="2558" max="2558" width="13.28515625" style="62" customWidth="1"/>
    <col min="2559" max="2559" width="15.28515625" style="62" customWidth="1"/>
    <col min="2560" max="2560" width="11.85546875" style="62" customWidth="1"/>
    <col min="2561" max="2561" width="6.140625" style="62" customWidth="1"/>
    <col min="2562" max="2562" width="11.85546875" style="62" customWidth="1"/>
    <col min="2563" max="2563" width="9.42578125" style="62" customWidth="1"/>
    <col min="2564" max="2564" width="14.7109375" style="62" customWidth="1"/>
    <col min="2565" max="2565" width="11.5703125" style="62" customWidth="1"/>
    <col min="2566" max="2566" width="0.42578125" style="62" customWidth="1"/>
    <col min="2567" max="2567" width="10.5703125" style="62" bestFit="1" customWidth="1"/>
    <col min="2568" max="2568" width="12.28515625" style="62" customWidth="1"/>
    <col min="2569" max="2569" width="12.5703125" style="62" customWidth="1"/>
    <col min="2570" max="2570" width="10.5703125" style="62" customWidth="1"/>
    <col min="2571" max="2571" width="10.140625" style="62" customWidth="1"/>
    <col min="2572" max="2572" width="8.42578125" style="62" customWidth="1"/>
    <col min="2573" max="2573" width="18.85546875" style="62" customWidth="1"/>
    <col min="2574" max="2574" width="10.28515625" style="62" customWidth="1"/>
    <col min="2575" max="2575" width="11.42578125" style="62"/>
    <col min="2576" max="2576" width="12.140625" style="62" customWidth="1"/>
    <col min="2577" max="2577" width="10.5703125" style="62" customWidth="1"/>
    <col min="2578" max="2578" width="12.42578125" style="62" customWidth="1"/>
    <col min="2579" max="2579" width="15.140625" style="62" customWidth="1"/>
    <col min="2580" max="2580" width="13.5703125" style="62" customWidth="1"/>
    <col min="2581" max="2581" width="13.140625" style="62" customWidth="1"/>
    <col min="2582" max="2582" width="15.7109375" style="62" customWidth="1"/>
    <col min="2583" max="2583" width="37.5703125" style="62" customWidth="1"/>
    <col min="2584" max="2805" width="11.42578125" style="62"/>
    <col min="2806" max="2806" width="10.5703125" style="62" customWidth="1"/>
    <col min="2807" max="2807" width="4.85546875" style="62" customWidth="1"/>
    <col min="2808" max="2808" width="32.42578125" style="62" customWidth="1"/>
    <col min="2809" max="2809" width="9.85546875" style="62" customWidth="1"/>
    <col min="2810" max="2810" width="10.140625" style="62" customWidth="1"/>
    <col min="2811" max="2811" width="12.28515625" style="62" customWidth="1"/>
    <col min="2812" max="2812" width="15.42578125" style="62" customWidth="1"/>
    <col min="2813" max="2813" width="11.85546875" style="62" customWidth="1"/>
    <col min="2814" max="2814" width="13.28515625" style="62" customWidth="1"/>
    <col min="2815" max="2815" width="15.28515625" style="62" customWidth="1"/>
    <col min="2816" max="2816" width="11.85546875" style="62" customWidth="1"/>
    <col min="2817" max="2817" width="6.140625" style="62" customWidth="1"/>
    <col min="2818" max="2818" width="11.85546875" style="62" customWidth="1"/>
    <col min="2819" max="2819" width="9.42578125" style="62" customWidth="1"/>
    <col min="2820" max="2820" width="14.7109375" style="62" customWidth="1"/>
    <col min="2821" max="2821" width="11.5703125" style="62" customWidth="1"/>
    <col min="2822" max="2822" width="0.42578125" style="62" customWidth="1"/>
    <col min="2823" max="2823" width="10.5703125" style="62" bestFit="1" customWidth="1"/>
    <col min="2824" max="2824" width="12.28515625" style="62" customWidth="1"/>
    <col min="2825" max="2825" width="12.5703125" style="62" customWidth="1"/>
    <col min="2826" max="2826" width="10.5703125" style="62" customWidth="1"/>
    <col min="2827" max="2827" width="10.140625" style="62" customWidth="1"/>
    <col min="2828" max="2828" width="8.42578125" style="62" customWidth="1"/>
    <col min="2829" max="2829" width="18.85546875" style="62" customWidth="1"/>
    <col min="2830" max="2830" width="10.28515625" style="62" customWidth="1"/>
    <col min="2831" max="2831" width="11.42578125" style="62"/>
    <col min="2832" max="2832" width="12.140625" style="62" customWidth="1"/>
    <col min="2833" max="2833" width="10.5703125" style="62" customWidth="1"/>
    <col min="2834" max="2834" width="12.42578125" style="62" customWidth="1"/>
    <col min="2835" max="2835" width="15.140625" style="62" customWidth="1"/>
    <col min="2836" max="2836" width="13.5703125" style="62" customWidth="1"/>
    <col min="2837" max="2837" width="13.140625" style="62" customWidth="1"/>
    <col min="2838" max="2838" width="15.7109375" style="62" customWidth="1"/>
    <col min="2839" max="2839" width="37.5703125" style="62" customWidth="1"/>
    <col min="2840" max="3061" width="11.42578125" style="62"/>
    <col min="3062" max="3062" width="10.5703125" style="62" customWidth="1"/>
    <col min="3063" max="3063" width="4.85546875" style="62" customWidth="1"/>
    <col min="3064" max="3064" width="32.42578125" style="62" customWidth="1"/>
    <col min="3065" max="3065" width="9.85546875" style="62" customWidth="1"/>
    <col min="3066" max="3066" width="10.140625" style="62" customWidth="1"/>
    <col min="3067" max="3067" width="12.28515625" style="62" customWidth="1"/>
    <col min="3068" max="3068" width="15.42578125" style="62" customWidth="1"/>
    <col min="3069" max="3069" width="11.85546875" style="62" customWidth="1"/>
    <col min="3070" max="3070" width="13.28515625" style="62" customWidth="1"/>
    <col min="3071" max="3071" width="15.28515625" style="62" customWidth="1"/>
    <col min="3072" max="3072" width="11.85546875" style="62" customWidth="1"/>
    <col min="3073" max="3073" width="6.140625" style="62" customWidth="1"/>
    <col min="3074" max="3074" width="11.85546875" style="62" customWidth="1"/>
    <col min="3075" max="3075" width="9.42578125" style="62" customWidth="1"/>
    <col min="3076" max="3076" width="14.7109375" style="62" customWidth="1"/>
    <col min="3077" max="3077" width="11.5703125" style="62" customWidth="1"/>
    <col min="3078" max="3078" width="0.42578125" style="62" customWidth="1"/>
    <col min="3079" max="3079" width="10.5703125" style="62" bestFit="1" customWidth="1"/>
    <col min="3080" max="3080" width="12.28515625" style="62" customWidth="1"/>
    <col min="3081" max="3081" width="12.5703125" style="62" customWidth="1"/>
    <col min="3082" max="3082" width="10.5703125" style="62" customWidth="1"/>
    <col min="3083" max="3083" width="10.140625" style="62" customWidth="1"/>
    <col min="3084" max="3084" width="8.42578125" style="62" customWidth="1"/>
    <col min="3085" max="3085" width="18.85546875" style="62" customWidth="1"/>
    <col min="3086" max="3086" width="10.28515625" style="62" customWidth="1"/>
    <col min="3087" max="3087" width="11.42578125" style="62"/>
    <col min="3088" max="3088" width="12.140625" style="62" customWidth="1"/>
    <col min="3089" max="3089" width="10.5703125" style="62" customWidth="1"/>
    <col min="3090" max="3090" width="12.42578125" style="62" customWidth="1"/>
    <col min="3091" max="3091" width="15.140625" style="62" customWidth="1"/>
    <col min="3092" max="3092" width="13.5703125" style="62" customWidth="1"/>
    <col min="3093" max="3093" width="13.140625" style="62" customWidth="1"/>
    <col min="3094" max="3094" width="15.7109375" style="62" customWidth="1"/>
    <col min="3095" max="3095" width="37.5703125" style="62" customWidth="1"/>
    <col min="3096" max="3317" width="11.42578125" style="62"/>
    <col min="3318" max="3318" width="10.5703125" style="62" customWidth="1"/>
    <col min="3319" max="3319" width="4.85546875" style="62" customWidth="1"/>
    <col min="3320" max="3320" width="32.42578125" style="62" customWidth="1"/>
    <col min="3321" max="3321" width="9.85546875" style="62" customWidth="1"/>
    <col min="3322" max="3322" width="10.140625" style="62" customWidth="1"/>
    <col min="3323" max="3323" width="12.28515625" style="62" customWidth="1"/>
    <col min="3324" max="3324" width="15.42578125" style="62" customWidth="1"/>
    <col min="3325" max="3325" width="11.85546875" style="62" customWidth="1"/>
    <col min="3326" max="3326" width="13.28515625" style="62" customWidth="1"/>
    <col min="3327" max="3327" width="15.28515625" style="62" customWidth="1"/>
    <col min="3328" max="3328" width="11.85546875" style="62" customWidth="1"/>
    <col min="3329" max="3329" width="6.140625" style="62" customWidth="1"/>
    <col min="3330" max="3330" width="11.85546875" style="62" customWidth="1"/>
    <col min="3331" max="3331" width="9.42578125" style="62" customWidth="1"/>
    <col min="3332" max="3332" width="14.7109375" style="62" customWidth="1"/>
    <col min="3333" max="3333" width="11.5703125" style="62" customWidth="1"/>
    <col min="3334" max="3334" width="0.42578125" style="62" customWidth="1"/>
    <col min="3335" max="3335" width="10.5703125" style="62" bestFit="1" customWidth="1"/>
    <col min="3336" max="3336" width="12.28515625" style="62" customWidth="1"/>
    <col min="3337" max="3337" width="12.5703125" style="62" customWidth="1"/>
    <col min="3338" max="3338" width="10.5703125" style="62" customWidth="1"/>
    <col min="3339" max="3339" width="10.140625" style="62" customWidth="1"/>
    <col min="3340" max="3340" width="8.42578125" style="62" customWidth="1"/>
    <col min="3341" max="3341" width="18.85546875" style="62" customWidth="1"/>
    <col min="3342" max="3342" width="10.28515625" style="62" customWidth="1"/>
    <col min="3343" max="3343" width="11.42578125" style="62"/>
    <col min="3344" max="3344" width="12.140625" style="62" customWidth="1"/>
    <col min="3345" max="3345" width="10.5703125" style="62" customWidth="1"/>
    <col min="3346" max="3346" width="12.42578125" style="62" customWidth="1"/>
    <col min="3347" max="3347" width="15.140625" style="62" customWidth="1"/>
    <col min="3348" max="3348" width="13.5703125" style="62" customWidth="1"/>
    <col min="3349" max="3349" width="13.140625" style="62" customWidth="1"/>
    <col min="3350" max="3350" width="15.7109375" style="62" customWidth="1"/>
    <col min="3351" max="3351" width="37.5703125" style="62" customWidth="1"/>
    <col min="3352" max="3573" width="11.42578125" style="62"/>
    <col min="3574" max="3574" width="10.5703125" style="62" customWidth="1"/>
    <col min="3575" max="3575" width="4.85546875" style="62" customWidth="1"/>
    <col min="3576" max="3576" width="32.42578125" style="62" customWidth="1"/>
    <col min="3577" max="3577" width="9.85546875" style="62" customWidth="1"/>
    <col min="3578" max="3578" width="10.140625" style="62" customWidth="1"/>
    <col min="3579" max="3579" width="12.28515625" style="62" customWidth="1"/>
    <col min="3580" max="3580" width="15.42578125" style="62" customWidth="1"/>
    <col min="3581" max="3581" width="11.85546875" style="62" customWidth="1"/>
    <col min="3582" max="3582" width="13.28515625" style="62" customWidth="1"/>
    <col min="3583" max="3583" width="15.28515625" style="62" customWidth="1"/>
    <col min="3584" max="3584" width="11.85546875" style="62" customWidth="1"/>
    <col min="3585" max="3585" width="6.140625" style="62" customWidth="1"/>
    <col min="3586" max="3586" width="11.85546875" style="62" customWidth="1"/>
    <col min="3587" max="3587" width="9.42578125" style="62" customWidth="1"/>
    <col min="3588" max="3588" width="14.7109375" style="62" customWidth="1"/>
    <col min="3589" max="3589" width="11.5703125" style="62" customWidth="1"/>
    <col min="3590" max="3590" width="0.42578125" style="62" customWidth="1"/>
    <col min="3591" max="3591" width="10.5703125" style="62" bestFit="1" customWidth="1"/>
    <col min="3592" max="3592" width="12.28515625" style="62" customWidth="1"/>
    <col min="3593" max="3593" width="12.5703125" style="62" customWidth="1"/>
    <col min="3594" max="3594" width="10.5703125" style="62" customWidth="1"/>
    <col min="3595" max="3595" width="10.140625" style="62" customWidth="1"/>
    <col min="3596" max="3596" width="8.42578125" style="62" customWidth="1"/>
    <col min="3597" max="3597" width="18.85546875" style="62" customWidth="1"/>
    <col min="3598" max="3598" width="10.28515625" style="62" customWidth="1"/>
    <col min="3599" max="3599" width="11.42578125" style="62"/>
    <col min="3600" max="3600" width="12.140625" style="62" customWidth="1"/>
    <col min="3601" max="3601" width="10.5703125" style="62" customWidth="1"/>
    <col min="3602" max="3602" width="12.42578125" style="62" customWidth="1"/>
    <col min="3603" max="3603" width="15.140625" style="62" customWidth="1"/>
    <col min="3604" max="3604" width="13.5703125" style="62" customWidth="1"/>
    <col min="3605" max="3605" width="13.140625" style="62" customWidth="1"/>
    <col min="3606" max="3606" width="15.7109375" style="62" customWidth="1"/>
    <col min="3607" max="3607" width="37.5703125" style="62" customWidth="1"/>
    <col min="3608" max="3829" width="11.42578125" style="62"/>
    <col min="3830" max="3830" width="10.5703125" style="62" customWidth="1"/>
    <col min="3831" max="3831" width="4.85546875" style="62" customWidth="1"/>
    <col min="3832" max="3832" width="32.42578125" style="62" customWidth="1"/>
    <col min="3833" max="3833" width="9.85546875" style="62" customWidth="1"/>
    <col min="3834" max="3834" width="10.140625" style="62" customWidth="1"/>
    <col min="3835" max="3835" width="12.28515625" style="62" customWidth="1"/>
    <col min="3836" max="3836" width="15.42578125" style="62" customWidth="1"/>
    <col min="3837" max="3837" width="11.85546875" style="62" customWidth="1"/>
    <col min="3838" max="3838" width="13.28515625" style="62" customWidth="1"/>
    <col min="3839" max="3839" width="15.28515625" style="62" customWidth="1"/>
    <col min="3840" max="3840" width="11.85546875" style="62" customWidth="1"/>
    <col min="3841" max="3841" width="6.140625" style="62" customWidth="1"/>
    <col min="3842" max="3842" width="11.85546875" style="62" customWidth="1"/>
    <col min="3843" max="3843" width="9.42578125" style="62" customWidth="1"/>
    <col min="3844" max="3844" width="14.7109375" style="62" customWidth="1"/>
    <col min="3845" max="3845" width="11.5703125" style="62" customWidth="1"/>
    <col min="3846" max="3846" width="0.42578125" style="62" customWidth="1"/>
    <col min="3847" max="3847" width="10.5703125" style="62" bestFit="1" customWidth="1"/>
    <col min="3848" max="3848" width="12.28515625" style="62" customWidth="1"/>
    <col min="3849" max="3849" width="12.5703125" style="62" customWidth="1"/>
    <col min="3850" max="3850" width="10.5703125" style="62" customWidth="1"/>
    <col min="3851" max="3851" width="10.140625" style="62" customWidth="1"/>
    <col min="3852" max="3852" width="8.42578125" style="62" customWidth="1"/>
    <col min="3853" max="3853" width="18.85546875" style="62" customWidth="1"/>
    <col min="3854" max="3854" width="10.28515625" style="62" customWidth="1"/>
    <col min="3855" max="3855" width="11.42578125" style="62"/>
    <col min="3856" max="3856" width="12.140625" style="62" customWidth="1"/>
    <col min="3857" max="3857" width="10.5703125" style="62" customWidth="1"/>
    <col min="3858" max="3858" width="12.42578125" style="62" customWidth="1"/>
    <col min="3859" max="3859" width="15.140625" style="62" customWidth="1"/>
    <col min="3860" max="3860" width="13.5703125" style="62" customWidth="1"/>
    <col min="3861" max="3861" width="13.140625" style="62" customWidth="1"/>
    <col min="3862" max="3862" width="15.7109375" style="62" customWidth="1"/>
    <col min="3863" max="3863" width="37.5703125" style="62" customWidth="1"/>
    <col min="3864" max="4085" width="11.42578125" style="62"/>
    <col min="4086" max="4086" width="10.5703125" style="62" customWidth="1"/>
    <col min="4087" max="4087" width="4.85546875" style="62" customWidth="1"/>
    <col min="4088" max="4088" width="32.42578125" style="62" customWidth="1"/>
    <col min="4089" max="4089" width="9.85546875" style="62" customWidth="1"/>
    <col min="4090" max="4090" width="10.140625" style="62" customWidth="1"/>
    <col min="4091" max="4091" width="12.28515625" style="62" customWidth="1"/>
    <col min="4092" max="4092" width="15.42578125" style="62" customWidth="1"/>
    <col min="4093" max="4093" width="11.85546875" style="62" customWidth="1"/>
    <col min="4094" max="4094" width="13.28515625" style="62" customWidth="1"/>
    <col min="4095" max="4095" width="15.28515625" style="62" customWidth="1"/>
    <col min="4096" max="4096" width="11.85546875" style="62" customWidth="1"/>
    <col min="4097" max="4097" width="6.140625" style="62" customWidth="1"/>
    <col min="4098" max="4098" width="11.85546875" style="62" customWidth="1"/>
    <col min="4099" max="4099" width="9.42578125" style="62" customWidth="1"/>
    <col min="4100" max="4100" width="14.7109375" style="62" customWidth="1"/>
    <col min="4101" max="4101" width="11.5703125" style="62" customWidth="1"/>
    <col min="4102" max="4102" width="0.42578125" style="62" customWidth="1"/>
    <col min="4103" max="4103" width="10.5703125" style="62" bestFit="1" customWidth="1"/>
    <col min="4104" max="4104" width="12.28515625" style="62" customWidth="1"/>
    <col min="4105" max="4105" width="12.5703125" style="62" customWidth="1"/>
    <col min="4106" max="4106" width="10.5703125" style="62" customWidth="1"/>
    <col min="4107" max="4107" width="10.140625" style="62" customWidth="1"/>
    <col min="4108" max="4108" width="8.42578125" style="62" customWidth="1"/>
    <col min="4109" max="4109" width="18.85546875" style="62" customWidth="1"/>
    <col min="4110" max="4110" width="10.28515625" style="62" customWidth="1"/>
    <col min="4111" max="4111" width="11.42578125" style="62"/>
    <col min="4112" max="4112" width="12.140625" style="62" customWidth="1"/>
    <col min="4113" max="4113" width="10.5703125" style="62" customWidth="1"/>
    <col min="4114" max="4114" width="12.42578125" style="62" customWidth="1"/>
    <col min="4115" max="4115" width="15.140625" style="62" customWidth="1"/>
    <col min="4116" max="4116" width="13.5703125" style="62" customWidth="1"/>
    <col min="4117" max="4117" width="13.140625" style="62" customWidth="1"/>
    <col min="4118" max="4118" width="15.7109375" style="62" customWidth="1"/>
    <col min="4119" max="4119" width="37.5703125" style="62" customWidth="1"/>
    <col min="4120" max="4341" width="11.42578125" style="62"/>
    <col min="4342" max="4342" width="10.5703125" style="62" customWidth="1"/>
    <col min="4343" max="4343" width="4.85546875" style="62" customWidth="1"/>
    <col min="4344" max="4344" width="32.42578125" style="62" customWidth="1"/>
    <col min="4345" max="4345" width="9.85546875" style="62" customWidth="1"/>
    <col min="4346" max="4346" width="10.140625" style="62" customWidth="1"/>
    <col min="4347" max="4347" width="12.28515625" style="62" customWidth="1"/>
    <col min="4348" max="4348" width="15.42578125" style="62" customWidth="1"/>
    <col min="4349" max="4349" width="11.85546875" style="62" customWidth="1"/>
    <col min="4350" max="4350" width="13.28515625" style="62" customWidth="1"/>
    <col min="4351" max="4351" width="15.28515625" style="62" customWidth="1"/>
    <col min="4352" max="4352" width="11.85546875" style="62" customWidth="1"/>
    <col min="4353" max="4353" width="6.140625" style="62" customWidth="1"/>
    <col min="4354" max="4354" width="11.85546875" style="62" customWidth="1"/>
    <col min="4355" max="4355" width="9.42578125" style="62" customWidth="1"/>
    <col min="4356" max="4356" width="14.7109375" style="62" customWidth="1"/>
    <col min="4357" max="4357" width="11.5703125" style="62" customWidth="1"/>
    <col min="4358" max="4358" width="0.42578125" style="62" customWidth="1"/>
    <col min="4359" max="4359" width="10.5703125" style="62" bestFit="1" customWidth="1"/>
    <col min="4360" max="4360" width="12.28515625" style="62" customWidth="1"/>
    <col min="4361" max="4361" width="12.5703125" style="62" customWidth="1"/>
    <col min="4362" max="4362" width="10.5703125" style="62" customWidth="1"/>
    <col min="4363" max="4363" width="10.140625" style="62" customWidth="1"/>
    <col min="4364" max="4364" width="8.42578125" style="62" customWidth="1"/>
    <col min="4365" max="4365" width="18.85546875" style="62" customWidth="1"/>
    <col min="4366" max="4366" width="10.28515625" style="62" customWidth="1"/>
    <col min="4367" max="4367" width="11.42578125" style="62"/>
    <col min="4368" max="4368" width="12.140625" style="62" customWidth="1"/>
    <col min="4369" max="4369" width="10.5703125" style="62" customWidth="1"/>
    <col min="4370" max="4370" width="12.42578125" style="62" customWidth="1"/>
    <col min="4371" max="4371" width="15.140625" style="62" customWidth="1"/>
    <col min="4372" max="4372" width="13.5703125" style="62" customWidth="1"/>
    <col min="4373" max="4373" width="13.140625" style="62" customWidth="1"/>
    <col min="4374" max="4374" width="15.7109375" style="62" customWidth="1"/>
    <col min="4375" max="4375" width="37.5703125" style="62" customWidth="1"/>
    <col min="4376" max="4597" width="11.42578125" style="62"/>
    <col min="4598" max="4598" width="10.5703125" style="62" customWidth="1"/>
    <col min="4599" max="4599" width="4.85546875" style="62" customWidth="1"/>
    <col min="4600" max="4600" width="32.42578125" style="62" customWidth="1"/>
    <col min="4601" max="4601" width="9.85546875" style="62" customWidth="1"/>
    <col min="4602" max="4602" width="10.140625" style="62" customWidth="1"/>
    <col min="4603" max="4603" width="12.28515625" style="62" customWidth="1"/>
    <col min="4604" max="4604" width="15.42578125" style="62" customWidth="1"/>
    <col min="4605" max="4605" width="11.85546875" style="62" customWidth="1"/>
    <col min="4606" max="4606" width="13.28515625" style="62" customWidth="1"/>
    <col min="4607" max="4607" width="15.28515625" style="62" customWidth="1"/>
    <col min="4608" max="4608" width="11.85546875" style="62" customWidth="1"/>
    <col min="4609" max="4609" width="6.140625" style="62" customWidth="1"/>
    <col min="4610" max="4610" width="11.85546875" style="62" customWidth="1"/>
    <col min="4611" max="4611" width="9.42578125" style="62" customWidth="1"/>
    <col min="4612" max="4612" width="14.7109375" style="62" customWidth="1"/>
    <col min="4613" max="4613" width="11.5703125" style="62" customWidth="1"/>
    <col min="4614" max="4614" width="0.42578125" style="62" customWidth="1"/>
    <col min="4615" max="4615" width="10.5703125" style="62" bestFit="1" customWidth="1"/>
    <col min="4616" max="4616" width="12.28515625" style="62" customWidth="1"/>
    <col min="4617" max="4617" width="12.5703125" style="62" customWidth="1"/>
    <col min="4618" max="4618" width="10.5703125" style="62" customWidth="1"/>
    <col min="4619" max="4619" width="10.140625" style="62" customWidth="1"/>
    <col min="4620" max="4620" width="8.42578125" style="62" customWidth="1"/>
    <col min="4621" max="4621" width="18.85546875" style="62" customWidth="1"/>
    <col min="4622" max="4622" width="10.28515625" style="62" customWidth="1"/>
    <col min="4623" max="4623" width="11.42578125" style="62"/>
    <col min="4624" max="4624" width="12.140625" style="62" customWidth="1"/>
    <col min="4625" max="4625" width="10.5703125" style="62" customWidth="1"/>
    <col min="4626" max="4626" width="12.42578125" style="62" customWidth="1"/>
    <col min="4627" max="4627" width="15.140625" style="62" customWidth="1"/>
    <col min="4628" max="4628" width="13.5703125" style="62" customWidth="1"/>
    <col min="4629" max="4629" width="13.140625" style="62" customWidth="1"/>
    <col min="4630" max="4630" width="15.7109375" style="62" customWidth="1"/>
    <col min="4631" max="4631" width="37.5703125" style="62" customWidth="1"/>
    <col min="4632" max="4853" width="11.42578125" style="62"/>
    <col min="4854" max="4854" width="10.5703125" style="62" customWidth="1"/>
    <col min="4855" max="4855" width="4.85546875" style="62" customWidth="1"/>
    <col min="4856" max="4856" width="32.42578125" style="62" customWidth="1"/>
    <col min="4857" max="4857" width="9.85546875" style="62" customWidth="1"/>
    <col min="4858" max="4858" width="10.140625" style="62" customWidth="1"/>
    <col min="4859" max="4859" width="12.28515625" style="62" customWidth="1"/>
    <col min="4860" max="4860" width="15.42578125" style="62" customWidth="1"/>
    <col min="4861" max="4861" width="11.85546875" style="62" customWidth="1"/>
    <col min="4862" max="4862" width="13.28515625" style="62" customWidth="1"/>
    <col min="4863" max="4863" width="15.28515625" style="62" customWidth="1"/>
    <col min="4864" max="4864" width="11.85546875" style="62" customWidth="1"/>
    <col min="4865" max="4865" width="6.140625" style="62" customWidth="1"/>
    <col min="4866" max="4866" width="11.85546875" style="62" customWidth="1"/>
    <col min="4867" max="4867" width="9.42578125" style="62" customWidth="1"/>
    <col min="4868" max="4868" width="14.7109375" style="62" customWidth="1"/>
    <col min="4869" max="4869" width="11.5703125" style="62" customWidth="1"/>
    <col min="4870" max="4870" width="0.42578125" style="62" customWidth="1"/>
    <col min="4871" max="4871" width="10.5703125" style="62" bestFit="1" customWidth="1"/>
    <col min="4872" max="4872" width="12.28515625" style="62" customWidth="1"/>
    <col min="4873" max="4873" width="12.5703125" style="62" customWidth="1"/>
    <col min="4874" max="4874" width="10.5703125" style="62" customWidth="1"/>
    <col min="4875" max="4875" width="10.140625" style="62" customWidth="1"/>
    <col min="4876" max="4876" width="8.42578125" style="62" customWidth="1"/>
    <col min="4877" max="4877" width="18.85546875" style="62" customWidth="1"/>
    <col min="4878" max="4878" width="10.28515625" style="62" customWidth="1"/>
    <col min="4879" max="4879" width="11.42578125" style="62"/>
    <col min="4880" max="4880" width="12.140625" style="62" customWidth="1"/>
    <col min="4881" max="4881" width="10.5703125" style="62" customWidth="1"/>
    <col min="4882" max="4882" width="12.42578125" style="62" customWidth="1"/>
    <col min="4883" max="4883" width="15.140625" style="62" customWidth="1"/>
    <col min="4884" max="4884" width="13.5703125" style="62" customWidth="1"/>
    <col min="4885" max="4885" width="13.140625" style="62" customWidth="1"/>
    <col min="4886" max="4886" width="15.7109375" style="62" customWidth="1"/>
    <col min="4887" max="4887" width="37.5703125" style="62" customWidth="1"/>
    <col min="4888" max="5109" width="11.42578125" style="62"/>
    <col min="5110" max="5110" width="10.5703125" style="62" customWidth="1"/>
    <col min="5111" max="5111" width="4.85546875" style="62" customWidth="1"/>
    <col min="5112" max="5112" width="32.42578125" style="62" customWidth="1"/>
    <col min="5113" max="5113" width="9.85546875" style="62" customWidth="1"/>
    <col min="5114" max="5114" width="10.140625" style="62" customWidth="1"/>
    <col min="5115" max="5115" width="12.28515625" style="62" customWidth="1"/>
    <col min="5116" max="5116" width="15.42578125" style="62" customWidth="1"/>
    <col min="5117" max="5117" width="11.85546875" style="62" customWidth="1"/>
    <col min="5118" max="5118" width="13.28515625" style="62" customWidth="1"/>
    <col min="5119" max="5119" width="15.28515625" style="62" customWidth="1"/>
    <col min="5120" max="5120" width="11.85546875" style="62" customWidth="1"/>
    <col min="5121" max="5121" width="6.140625" style="62" customWidth="1"/>
    <col min="5122" max="5122" width="11.85546875" style="62" customWidth="1"/>
    <col min="5123" max="5123" width="9.42578125" style="62" customWidth="1"/>
    <col min="5124" max="5124" width="14.7109375" style="62" customWidth="1"/>
    <col min="5125" max="5125" width="11.5703125" style="62" customWidth="1"/>
    <col min="5126" max="5126" width="0.42578125" style="62" customWidth="1"/>
    <col min="5127" max="5127" width="10.5703125" style="62" bestFit="1" customWidth="1"/>
    <col min="5128" max="5128" width="12.28515625" style="62" customWidth="1"/>
    <col min="5129" max="5129" width="12.5703125" style="62" customWidth="1"/>
    <col min="5130" max="5130" width="10.5703125" style="62" customWidth="1"/>
    <col min="5131" max="5131" width="10.140625" style="62" customWidth="1"/>
    <col min="5132" max="5132" width="8.42578125" style="62" customWidth="1"/>
    <col min="5133" max="5133" width="18.85546875" style="62" customWidth="1"/>
    <col min="5134" max="5134" width="10.28515625" style="62" customWidth="1"/>
    <col min="5135" max="5135" width="11.42578125" style="62"/>
    <col min="5136" max="5136" width="12.140625" style="62" customWidth="1"/>
    <col min="5137" max="5137" width="10.5703125" style="62" customWidth="1"/>
    <col min="5138" max="5138" width="12.42578125" style="62" customWidth="1"/>
    <col min="5139" max="5139" width="15.140625" style="62" customWidth="1"/>
    <col min="5140" max="5140" width="13.5703125" style="62" customWidth="1"/>
    <col min="5141" max="5141" width="13.140625" style="62" customWidth="1"/>
    <col min="5142" max="5142" width="15.7109375" style="62" customWidth="1"/>
    <col min="5143" max="5143" width="37.5703125" style="62" customWidth="1"/>
    <col min="5144" max="5365" width="11.42578125" style="62"/>
    <col min="5366" max="5366" width="10.5703125" style="62" customWidth="1"/>
    <col min="5367" max="5367" width="4.85546875" style="62" customWidth="1"/>
    <col min="5368" max="5368" width="32.42578125" style="62" customWidth="1"/>
    <col min="5369" max="5369" width="9.85546875" style="62" customWidth="1"/>
    <col min="5370" max="5370" width="10.140625" style="62" customWidth="1"/>
    <col min="5371" max="5371" width="12.28515625" style="62" customWidth="1"/>
    <col min="5372" max="5372" width="15.42578125" style="62" customWidth="1"/>
    <col min="5373" max="5373" width="11.85546875" style="62" customWidth="1"/>
    <col min="5374" max="5374" width="13.28515625" style="62" customWidth="1"/>
    <col min="5375" max="5375" width="15.28515625" style="62" customWidth="1"/>
    <col min="5376" max="5376" width="11.85546875" style="62" customWidth="1"/>
    <col min="5377" max="5377" width="6.140625" style="62" customWidth="1"/>
    <col min="5378" max="5378" width="11.85546875" style="62" customWidth="1"/>
    <col min="5379" max="5379" width="9.42578125" style="62" customWidth="1"/>
    <col min="5380" max="5380" width="14.7109375" style="62" customWidth="1"/>
    <col min="5381" max="5381" width="11.5703125" style="62" customWidth="1"/>
    <col min="5382" max="5382" width="0.42578125" style="62" customWidth="1"/>
    <col min="5383" max="5383" width="10.5703125" style="62" bestFit="1" customWidth="1"/>
    <col min="5384" max="5384" width="12.28515625" style="62" customWidth="1"/>
    <col min="5385" max="5385" width="12.5703125" style="62" customWidth="1"/>
    <col min="5386" max="5386" width="10.5703125" style="62" customWidth="1"/>
    <col min="5387" max="5387" width="10.140625" style="62" customWidth="1"/>
    <col min="5388" max="5388" width="8.42578125" style="62" customWidth="1"/>
    <col min="5389" max="5389" width="18.85546875" style="62" customWidth="1"/>
    <col min="5390" max="5390" width="10.28515625" style="62" customWidth="1"/>
    <col min="5391" max="5391" width="11.42578125" style="62"/>
    <col min="5392" max="5392" width="12.140625" style="62" customWidth="1"/>
    <col min="5393" max="5393" width="10.5703125" style="62" customWidth="1"/>
    <col min="5394" max="5394" width="12.42578125" style="62" customWidth="1"/>
    <col min="5395" max="5395" width="15.140625" style="62" customWidth="1"/>
    <col min="5396" max="5396" width="13.5703125" style="62" customWidth="1"/>
    <col min="5397" max="5397" width="13.140625" style="62" customWidth="1"/>
    <col min="5398" max="5398" width="15.7109375" style="62" customWidth="1"/>
    <col min="5399" max="5399" width="37.5703125" style="62" customWidth="1"/>
    <col min="5400" max="5621" width="11.42578125" style="62"/>
    <col min="5622" max="5622" width="10.5703125" style="62" customWidth="1"/>
    <col min="5623" max="5623" width="4.85546875" style="62" customWidth="1"/>
    <col min="5624" max="5624" width="32.42578125" style="62" customWidth="1"/>
    <col min="5625" max="5625" width="9.85546875" style="62" customWidth="1"/>
    <col min="5626" max="5626" width="10.140625" style="62" customWidth="1"/>
    <col min="5627" max="5627" width="12.28515625" style="62" customWidth="1"/>
    <col min="5628" max="5628" width="15.42578125" style="62" customWidth="1"/>
    <col min="5629" max="5629" width="11.85546875" style="62" customWidth="1"/>
    <col min="5630" max="5630" width="13.28515625" style="62" customWidth="1"/>
    <col min="5631" max="5631" width="15.28515625" style="62" customWidth="1"/>
    <col min="5632" max="5632" width="11.85546875" style="62" customWidth="1"/>
    <col min="5633" max="5633" width="6.140625" style="62" customWidth="1"/>
    <col min="5634" max="5634" width="11.85546875" style="62" customWidth="1"/>
    <col min="5635" max="5635" width="9.42578125" style="62" customWidth="1"/>
    <col min="5636" max="5636" width="14.7109375" style="62" customWidth="1"/>
    <col min="5637" max="5637" width="11.5703125" style="62" customWidth="1"/>
    <col min="5638" max="5638" width="0.42578125" style="62" customWidth="1"/>
    <col min="5639" max="5639" width="10.5703125" style="62" bestFit="1" customWidth="1"/>
    <col min="5640" max="5640" width="12.28515625" style="62" customWidth="1"/>
    <col min="5641" max="5641" width="12.5703125" style="62" customWidth="1"/>
    <col min="5642" max="5642" width="10.5703125" style="62" customWidth="1"/>
    <col min="5643" max="5643" width="10.140625" style="62" customWidth="1"/>
    <col min="5644" max="5644" width="8.42578125" style="62" customWidth="1"/>
    <col min="5645" max="5645" width="18.85546875" style="62" customWidth="1"/>
    <col min="5646" max="5646" width="10.28515625" style="62" customWidth="1"/>
    <col min="5647" max="5647" width="11.42578125" style="62"/>
    <col min="5648" max="5648" width="12.140625" style="62" customWidth="1"/>
    <col min="5649" max="5649" width="10.5703125" style="62" customWidth="1"/>
    <col min="5650" max="5650" width="12.42578125" style="62" customWidth="1"/>
    <col min="5651" max="5651" width="15.140625" style="62" customWidth="1"/>
    <col min="5652" max="5652" width="13.5703125" style="62" customWidth="1"/>
    <col min="5653" max="5653" width="13.140625" style="62" customWidth="1"/>
    <col min="5654" max="5654" width="15.7109375" style="62" customWidth="1"/>
    <col min="5655" max="5655" width="37.5703125" style="62" customWidth="1"/>
    <col min="5656" max="5877" width="11.42578125" style="62"/>
    <col min="5878" max="5878" width="10.5703125" style="62" customWidth="1"/>
    <col min="5879" max="5879" width="4.85546875" style="62" customWidth="1"/>
    <col min="5880" max="5880" width="32.42578125" style="62" customWidth="1"/>
    <col min="5881" max="5881" width="9.85546875" style="62" customWidth="1"/>
    <col min="5882" max="5882" width="10.140625" style="62" customWidth="1"/>
    <col min="5883" max="5883" width="12.28515625" style="62" customWidth="1"/>
    <col min="5884" max="5884" width="15.42578125" style="62" customWidth="1"/>
    <col min="5885" max="5885" width="11.85546875" style="62" customWidth="1"/>
    <col min="5886" max="5886" width="13.28515625" style="62" customWidth="1"/>
    <col min="5887" max="5887" width="15.28515625" style="62" customWidth="1"/>
    <col min="5888" max="5888" width="11.85546875" style="62" customWidth="1"/>
    <col min="5889" max="5889" width="6.140625" style="62" customWidth="1"/>
    <col min="5890" max="5890" width="11.85546875" style="62" customWidth="1"/>
    <col min="5891" max="5891" width="9.42578125" style="62" customWidth="1"/>
    <col min="5892" max="5892" width="14.7109375" style="62" customWidth="1"/>
    <col min="5893" max="5893" width="11.5703125" style="62" customWidth="1"/>
    <col min="5894" max="5894" width="0.42578125" style="62" customWidth="1"/>
    <col min="5895" max="5895" width="10.5703125" style="62" bestFit="1" customWidth="1"/>
    <col min="5896" max="5896" width="12.28515625" style="62" customWidth="1"/>
    <col min="5897" max="5897" width="12.5703125" style="62" customWidth="1"/>
    <col min="5898" max="5898" width="10.5703125" style="62" customWidth="1"/>
    <col min="5899" max="5899" width="10.140625" style="62" customWidth="1"/>
    <col min="5900" max="5900" width="8.42578125" style="62" customWidth="1"/>
    <col min="5901" max="5901" width="18.85546875" style="62" customWidth="1"/>
    <col min="5902" max="5902" width="10.28515625" style="62" customWidth="1"/>
    <col min="5903" max="5903" width="11.42578125" style="62"/>
    <col min="5904" max="5904" width="12.140625" style="62" customWidth="1"/>
    <col min="5905" max="5905" width="10.5703125" style="62" customWidth="1"/>
    <col min="5906" max="5906" width="12.42578125" style="62" customWidth="1"/>
    <col min="5907" max="5907" width="15.140625" style="62" customWidth="1"/>
    <col min="5908" max="5908" width="13.5703125" style="62" customWidth="1"/>
    <col min="5909" max="5909" width="13.140625" style="62" customWidth="1"/>
    <col min="5910" max="5910" width="15.7109375" style="62" customWidth="1"/>
    <col min="5911" max="5911" width="37.5703125" style="62" customWidth="1"/>
    <col min="5912" max="6133" width="11.42578125" style="62"/>
    <col min="6134" max="6134" width="10.5703125" style="62" customWidth="1"/>
    <col min="6135" max="6135" width="4.85546875" style="62" customWidth="1"/>
    <col min="6136" max="6136" width="32.42578125" style="62" customWidth="1"/>
    <col min="6137" max="6137" width="9.85546875" style="62" customWidth="1"/>
    <col min="6138" max="6138" width="10.140625" style="62" customWidth="1"/>
    <col min="6139" max="6139" width="12.28515625" style="62" customWidth="1"/>
    <col min="6140" max="6140" width="15.42578125" style="62" customWidth="1"/>
    <col min="6141" max="6141" width="11.85546875" style="62" customWidth="1"/>
    <col min="6142" max="6142" width="13.28515625" style="62" customWidth="1"/>
    <col min="6143" max="6143" width="15.28515625" style="62" customWidth="1"/>
    <col min="6144" max="6144" width="11.85546875" style="62" customWidth="1"/>
    <col min="6145" max="6145" width="6.140625" style="62" customWidth="1"/>
    <col min="6146" max="6146" width="11.85546875" style="62" customWidth="1"/>
    <col min="6147" max="6147" width="9.42578125" style="62" customWidth="1"/>
    <col min="6148" max="6148" width="14.7109375" style="62" customWidth="1"/>
    <col min="6149" max="6149" width="11.5703125" style="62" customWidth="1"/>
    <col min="6150" max="6150" width="0.42578125" style="62" customWidth="1"/>
    <col min="6151" max="6151" width="10.5703125" style="62" bestFit="1" customWidth="1"/>
    <col min="6152" max="6152" width="12.28515625" style="62" customWidth="1"/>
    <col min="6153" max="6153" width="12.5703125" style="62" customWidth="1"/>
    <col min="6154" max="6154" width="10.5703125" style="62" customWidth="1"/>
    <col min="6155" max="6155" width="10.140625" style="62" customWidth="1"/>
    <col min="6156" max="6156" width="8.42578125" style="62" customWidth="1"/>
    <col min="6157" max="6157" width="18.85546875" style="62" customWidth="1"/>
    <col min="6158" max="6158" width="10.28515625" style="62" customWidth="1"/>
    <col min="6159" max="6159" width="11.42578125" style="62"/>
    <col min="6160" max="6160" width="12.140625" style="62" customWidth="1"/>
    <col min="6161" max="6161" width="10.5703125" style="62" customWidth="1"/>
    <col min="6162" max="6162" width="12.42578125" style="62" customWidth="1"/>
    <col min="6163" max="6163" width="15.140625" style="62" customWidth="1"/>
    <col min="6164" max="6164" width="13.5703125" style="62" customWidth="1"/>
    <col min="6165" max="6165" width="13.140625" style="62" customWidth="1"/>
    <col min="6166" max="6166" width="15.7109375" style="62" customWidth="1"/>
    <col min="6167" max="6167" width="37.5703125" style="62" customWidth="1"/>
    <col min="6168" max="6389" width="11.42578125" style="62"/>
    <col min="6390" max="6390" width="10.5703125" style="62" customWidth="1"/>
    <col min="6391" max="6391" width="4.85546875" style="62" customWidth="1"/>
    <col min="6392" max="6392" width="32.42578125" style="62" customWidth="1"/>
    <col min="6393" max="6393" width="9.85546875" style="62" customWidth="1"/>
    <col min="6394" max="6394" width="10.140625" style="62" customWidth="1"/>
    <col min="6395" max="6395" width="12.28515625" style="62" customWidth="1"/>
    <col min="6396" max="6396" width="15.42578125" style="62" customWidth="1"/>
    <col min="6397" max="6397" width="11.85546875" style="62" customWidth="1"/>
    <col min="6398" max="6398" width="13.28515625" style="62" customWidth="1"/>
    <col min="6399" max="6399" width="15.28515625" style="62" customWidth="1"/>
    <col min="6400" max="6400" width="11.85546875" style="62" customWidth="1"/>
    <col min="6401" max="6401" width="6.140625" style="62" customWidth="1"/>
    <col min="6402" max="6402" width="11.85546875" style="62" customWidth="1"/>
    <col min="6403" max="6403" width="9.42578125" style="62" customWidth="1"/>
    <col min="6404" max="6404" width="14.7109375" style="62" customWidth="1"/>
    <col min="6405" max="6405" width="11.5703125" style="62" customWidth="1"/>
    <col min="6406" max="6406" width="0.42578125" style="62" customWidth="1"/>
    <col min="6407" max="6407" width="10.5703125" style="62" bestFit="1" customWidth="1"/>
    <col min="6408" max="6408" width="12.28515625" style="62" customWidth="1"/>
    <col min="6409" max="6409" width="12.5703125" style="62" customWidth="1"/>
    <col min="6410" max="6410" width="10.5703125" style="62" customWidth="1"/>
    <col min="6411" max="6411" width="10.140625" style="62" customWidth="1"/>
    <col min="6412" max="6412" width="8.42578125" style="62" customWidth="1"/>
    <col min="6413" max="6413" width="18.85546875" style="62" customWidth="1"/>
    <col min="6414" max="6414" width="10.28515625" style="62" customWidth="1"/>
    <col min="6415" max="6415" width="11.42578125" style="62"/>
    <col min="6416" max="6416" width="12.140625" style="62" customWidth="1"/>
    <col min="6417" max="6417" width="10.5703125" style="62" customWidth="1"/>
    <col min="6418" max="6418" width="12.42578125" style="62" customWidth="1"/>
    <col min="6419" max="6419" width="15.140625" style="62" customWidth="1"/>
    <col min="6420" max="6420" width="13.5703125" style="62" customWidth="1"/>
    <col min="6421" max="6421" width="13.140625" style="62" customWidth="1"/>
    <col min="6422" max="6422" width="15.7109375" style="62" customWidth="1"/>
    <col min="6423" max="6423" width="37.5703125" style="62" customWidth="1"/>
    <col min="6424" max="6645" width="11.42578125" style="62"/>
    <col min="6646" max="6646" width="10.5703125" style="62" customWidth="1"/>
    <col min="6647" max="6647" width="4.85546875" style="62" customWidth="1"/>
    <col min="6648" max="6648" width="32.42578125" style="62" customWidth="1"/>
    <col min="6649" max="6649" width="9.85546875" style="62" customWidth="1"/>
    <col min="6650" max="6650" width="10.140625" style="62" customWidth="1"/>
    <col min="6651" max="6651" width="12.28515625" style="62" customWidth="1"/>
    <col min="6652" max="6652" width="15.42578125" style="62" customWidth="1"/>
    <col min="6653" max="6653" width="11.85546875" style="62" customWidth="1"/>
    <col min="6654" max="6654" width="13.28515625" style="62" customWidth="1"/>
    <col min="6655" max="6655" width="15.28515625" style="62" customWidth="1"/>
    <col min="6656" max="6656" width="11.85546875" style="62" customWidth="1"/>
    <col min="6657" max="6657" width="6.140625" style="62" customWidth="1"/>
    <col min="6658" max="6658" width="11.85546875" style="62" customWidth="1"/>
    <col min="6659" max="6659" width="9.42578125" style="62" customWidth="1"/>
    <col min="6660" max="6660" width="14.7109375" style="62" customWidth="1"/>
    <col min="6661" max="6661" width="11.5703125" style="62" customWidth="1"/>
    <col min="6662" max="6662" width="0.42578125" style="62" customWidth="1"/>
    <col min="6663" max="6663" width="10.5703125" style="62" bestFit="1" customWidth="1"/>
    <col min="6664" max="6664" width="12.28515625" style="62" customWidth="1"/>
    <col min="6665" max="6665" width="12.5703125" style="62" customWidth="1"/>
    <col min="6666" max="6666" width="10.5703125" style="62" customWidth="1"/>
    <col min="6667" max="6667" width="10.140625" style="62" customWidth="1"/>
    <col min="6668" max="6668" width="8.42578125" style="62" customWidth="1"/>
    <col min="6669" max="6669" width="18.85546875" style="62" customWidth="1"/>
    <col min="6670" max="6670" width="10.28515625" style="62" customWidth="1"/>
    <col min="6671" max="6671" width="11.42578125" style="62"/>
    <col min="6672" max="6672" width="12.140625" style="62" customWidth="1"/>
    <col min="6673" max="6673" width="10.5703125" style="62" customWidth="1"/>
    <col min="6674" max="6674" width="12.42578125" style="62" customWidth="1"/>
    <col min="6675" max="6675" width="15.140625" style="62" customWidth="1"/>
    <col min="6676" max="6676" width="13.5703125" style="62" customWidth="1"/>
    <col min="6677" max="6677" width="13.140625" style="62" customWidth="1"/>
    <col min="6678" max="6678" width="15.7109375" style="62" customWidth="1"/>
    <col min="6679" max="6679" width="37.5703125" style="62" customWidth="1"/>
    <col min="6680" max="6901" width="11.42578125" style="62"/>
    <col min="6902" max="6902" width="10.5703125" style="62" customWidth="1"/>
    <col min="6903" max="6903" width="4.85546875" style="62" customWidth="1"/>
    <col min="6904" max="6904" width="32.42578125" style="62" customWidth="1"/>
    <col min="6905" max="6905" width="9.85546875" style="62" customWidth="1"/>
    <col min="6906" max="6906" width="10.140625" style="62" customWidth="1"/>
    <col min="6907" max="6907" width="12.28515625" style="62" customWidth="1"/>
    <col min="6908" max="6908" width="15.42578125" style="62" customWidth="1"/>
    <col min="6909" max="6909" width="11.85546875" style="62" customWidth="1"/>
    <col min="6910" max="6910" width="13.28515625" style="62" customWidth="1"/>
    <col min="6911" max="6911" width="15.28515625" style="62" customWidth="1"/>
    <col min="6912" max="6912" width="11.85546875" style="62" customWidth="1"/>
    <col min="6913" max="6913" width="6.140625" style="62" customWidth="1"/>
    <col min="6914" max="6914" width="11.85546875" style="62" customWidth="1"/>
    <col min="6915" max="6915" width="9.42578125" style="62" customWidth="1"/>
    <col min="6916" max="6916" width="14.7109375" style="62" customWidth="1"/>
    <col min="6917" max="6917" width="11.5703125" style="62" customWidth="1"/>
    <col min="6918" max="6918" width="0.42578125" style="62" customWidth="1"/>
    <col min="6919" max="6919" width="10.5703125" style="62" bestFit="1" customWidth="1"/>
    <col min="6920" max="6920" width="12.28515625" style="62" customWidth="1"/>
    <col min="6921" max="6921" width="12.5703125" style="62" customWidth="1"/>
    <col min="6922" max="6922" width="10.5703125" style="62" customWidth="1"/>
    <col min="6923" max="6923" width="10.140625" style="62" customWidth="1"/>
    <col min="6924" max="6924" width="8.42578125" style="62" customWidth="1"/>
    <col min="6925" max="6925" width="18.85546875" style="62" customWidth="1"/>
    <col min="6926" max="6926" width="10.28515625" style="62" customWidth="1"/>
    <col min="6927" max="6927" width="11.42578125" style="62"/>
    <col min="6928" max="6928" width="12.140625" style="62" customWidth="1"/>
    <col min="6929" max="6929" width="10.5703125" style="62" customWidth="1"/>
    <col min="6930" max="6930" width="12.42578125" style="62" customWidth="1"/>
    <col min="6931" max="6931" width="15.140625" style="62" customWidth="1"/>
    <col min="6932" max="6932" width="13.5703125" style="62" customWidth="1"/>
    <col min="6933" max="6933" width="13.140625" style="62" customWidth="1"/>
    <col min="6934" max="6934" width="15.7109375" style="62" customWidth="1"/>
    <col min="6935" max="6935" width="37.5703125" style="62" customWidth="1"/>
    <col min="6936" max="7157" width="11.42578125" style="62"/>
    <col min="7158" max="7158" width="10.5703125" style="62" customWidth="1"/>
    <col min="7159" max="7159" width="4.85546875" style="62" customWidth="1"/>
    <col min="7160" max="7160" width="32.42578125" style="62" customWidth="1"/>
    <col min="7161" max="7161" width="9.85546875" style="62" customWidth="1"/>
    <col min="7162" max="7162" width="10.140625" style="62" customWidth="1"/>
    <col min="7163" max="7163" width="12.28515625" style="62" customWidth="1"/>
    <col min="7164" max="7164" width="15.42578125" style="62" customWidth="1"/>
    <col min="7165" max="7165" width="11.85546875" style="62" customWidth="1"/>
    <col min="7166" max="7166" width="13.28515625" style="62" customWidth="1"/>
    <col min="7167" max="7167" width="15.28515625" style="62" customWidth="1"/>
    <col min="7168" max="7168" width="11.85546875" style="62" customWidth="1"/>
    <col min="7169" max="7169" width="6.140625" style="62" customWidth="1"/>
    <col min="7170" max="7170" width="11.85546875" style="62" customWidth="1"/>
    <col min="7171" max="7171" width="9.42578125" style="62" customWidth="1"/>
    <col min="7172" max="7172" width="14.7109375" style="62" customWidth="1"/>
    <col min="7173" max="7173" width="11.5703125" style="62" customWidth="1"/>
    <col min="7174" max="7174" width="0.42578125" style="62" customWidth="1"/>
    <col min="7175" max="7175" width="10.5703125" style="62" bestFit="1" customWidth="1"/>
    <col min="7176" max="7176" width="12.28515625" style="62" customWidth="1"/>
    <col min="7177" max="7177" width="12.5703125" style="62" customWidth="1"/>
    <col min="7178" max="7178" width="10.5703125" style="62" customWidth="1"/>
    <col min="7179" max="7179" width="10.140625" style="62" customWidth="1"/>
    <col min="7180" max="7180" width="8.42578125" style="62" customWidth="1"/>
    <col min="7181" max="7181" width="18.85546875" style="62" customWidth="1"/>
    <col min="7182" max="7182" width="10.28515625" style="62" customWidth="1"/>
    <col min="7183" max="7183" width="11.42578125" style="62"/>
    <col min="7184" max="7184" width="12.140625" style="62" customWidth="1"/>
    <col min="7185" max="7185" width="10.5703125" style="62" customWidth="1"/>
    <col min="7186" max="7186" width="12.42578125" style="62" customWidth="1"/>
    <col min="7187" max="7187" width="15.140625" style="62" customWidth="1"/>
    <col min="7188" max="7188" width="13.5703125" style="62" customWidth="1"/>
    <col min="7189" max="7189" width="13.140625" style="62" customWidth="1"/>
    <col min="7190" max="7190" width="15.7109375" style="62" customWidth="1"/>
    <col min="7191" max="7191" width="37.5703125" style="62" customWidth="1"/>
    <col min="7192" max="7413" width="11.42578125" style="62"/>
    <col min="7414" max="7414" width="10.5703125" style="62" customWidth="1"/>
    <col min="7415" max="7415" width="4.85546875" style="62" customWidth="1"/>
    <col min="7416" max="7416" width="32.42578125" style="62" customWidth="1"/>
    <col min="7417" max="7417" width="9.85546875" style="62" customWidth="1"/>
    <col min="7418" max="7418" width="10.140625" style="62" customWidth="1"/>
    <col min="7419" max="7419" width="12.28515625" style="62" customWidth="1"/>
    <col min="7420" max="7420" width="15.42578125" style="62" customWidth="1"/>
    <col min="7421" max="7421" width="11.85546875" style="62" customWidth="1"/>
    <col min="7422" max="7422" width="13.28515625" style="62" customWidth="1"/>
    <col min="7423" max="7423" width="15.28515625" style="62" customWidth="1"/>
    <col min="7424" max="7424" width="11.85546875" style="62" customWidth="1"/>
    <col min="7425" max="7425" width="6.140625" style="62" customWidth="1"/>
    <col min="7426" max="7426" width="11.85546875" style="62" customWidth="1"/>
    <col min="7427" max="7427" width="9.42578125" style="62" customWidth="1"/>
    <col min="7428" max="7428" width="14.7109375" style="62" customWidth="1"/>
    <col min="7429" max="7429" width="11.5703125" style="62" customWidth="1"/>
    <col min="7430" max="7430" width="0.42578125" style="62" customWidth="1"/>
    <col min="7431" max="7431" width="10.5703125" style="62" bestFit="1" customWidth="1"/>
    <col min="7432" max="7432" width="12.28515625" style="62" customWidth="1"/>
    <col min="7433" max="7433" width="12.5703125" style="62" customWidth="1"/>
    <col min="7434" max="7434" width="10.5703125" style="62" customWidth="1"/>
    <col min="7435" max="7435" width="10.140625" style="62" customWidth="1"/>
    <col min="7436" max="7436" width="8.42578125" style="62" customWidth="1"/>
    <col min="7437" max="7437" width="18.85546875" style="62" customWidth="1"/>
    <col min="7438" max="7438" width="10.28515625" style="62" customWidth="1"/>
    <col min="7439" max="7439" width="11.42578125" style="62"/>
    <col min="7440" max="7440" width="12.140625" style="62" customWidth="1"/>
    <col min="7441" max="7441" width="10.5703125" style="62" customWidth="1"/>
    <col min="7442" max="7442" width="12.42578125" style="62" customWidth="1"/>
    <col min="7443" max="7443" width="15.140625" style="62" customWidth="1"/>
    <col min="7444" max="7444" width="13.5703125" style="62" customWidth="1"/>
    <col min="7445" max="7445" width="13.140625" style="62" customWidth="1"/>
    <col min="7446" max="7446" width="15.7109375" style="62" customWidth="1"/>
    <col min="7447" max="7447" width="37.5703125" style="62" customWidth="1"/>
    <col min="7448" max="7669" width="11.42578125" style="62"/>
    <col min="7670" max="7670" width="10.5703125" style="62" customWidth="1"/>
    <col min="7671" max="7671" width="4.85546875" style="62" customWidth="1"/>
    <col min="7672" max="7672" width="32.42578125" style="62" customWidth="1"/>
    <col min="7673" max="7673" width="9.85546875" style="62" customWidth="1"/>
    <col min="7674" max="7674" width="10.140625" style="62" customWidth="1"/>
    <col min="7675" max="7675" width="12.28515625" style="62" customWidth="1"/>
    <col min="7676" max="7676" width="15.42578125" style="62" customWidth="1"/>
    <col min="7677" max="7677" width="11.85546875" style="62" customWidth="1"/>
    <col min="7678" max="7678" width="13.28515625" style="62" customWidth="1"/>
    <col min="7679" max="7679" width="15.28515625" style="62" customWidth="1"/>
    <col min="7680" max="7680" width="11.85546875" style="62" customWidth="1"/>
    <col min="7681" max="7681" width="6.140625" style="62" customWidth="1"/>
    <col min="7682" max="7682" width="11.85546875" style="62" customWidth="1"/>
    <col min="7683" max="7683" width="9.42578125" style="62" customWidth="1"/>
    <col min="7684" max="7684" width="14.7109375" style="62" customWidth="1"/>
    <col min="7685" max="7685" width="11.5703125" style="62" customWidth="1"/>
    <col min="7686" max="7686" width="0.42578125" style="62" customWidth="1"/>
    <col min="7687" max="7687" width="10.5703125" style="62" bestFit="1" customWidth="1"/>
    <col min="7688" max="7688" width="12.28515625" style="62" customWidth="1"/>
    <col min="7689" max="7689" width="12.5703125" style="62" customWidth="1"/>
    <col min="7690" max="7690" width="10.5703125" style="62" customWidth="1"/>
    <col min="7691" max="7691" width="10.140625" style="62" customWidth="1"/>
    <col min="7692" max="7692" width="8.42578125" style="62" customWidth="1"/>
    <col min="7693" max="7693" width="18.85546875" style="62" customWidth="1"/>
    <col min="7694" max="7694" width="10.28515625" style="62" customWidth="1"/>
    <col min="7695" max="7695" width="11.42578125" style="62"/>
    <col min="7696" max="7696" width="12.140625" style="62" customWidth="1"/>
    <col min="7697" max="7697" width="10.5703125" style="62" customWidth="1"/>
    <col min="7698" max="7698" width="12.42578125" style="62" customWidth="1"/>
    <col min="7699" max="7699" width="15.140625" style="62" customWidth="1"/>
    <col min="7700" max="7700" width="13.5703125" style="62" customWidth="1"/>
    <col min="7701" max="7701" width="13.140625" style="62" customWidth="1"/>
    <col min="7702" max="7702" width="15.7109375" style="62" customWidth="1"/>
    <col min="7703" max="7703" width="37.5703125" style="62" customWidth="1"/>
    <col min="7704" max="7925" width="11.42578125" style="62"/>
    <col min="7926" max="7926" width="10.5703125" style="62" customWidth="1"/>
    <col min="7927" max="7927" width="4.85546875" style="62" customWidth="1"/>
    <col min="7928" max="7928" width="32.42578125" style="62" customWidth="1"/>
    <col min="7929" max="7929" width="9.85546875" style="62" customWidth="1"/>
    <col min="7930" max="7930" width="10.140625" style="62" customWidth="1"/>
    <col min="7931" max="7931" width="12.28515625" style="62" customWidth="1"/>
    <col min="7932" max="7932" width="15.42578125" style="62" customWidth="1"/>
    <col min="7933" max="7933" width="11.85546875" style="62" customWidth="1"/>
    <col min="7934" max="7934" width="13.28515625" style="62" customWidth="1"/>
    <col min="7935" max="7935" width="15.28515625" style="62" customWidth="1"/>
    <col min="7936" max="7936" width="11.85546875" style="62" customWidth="1"/>
    <col min="7937" max="7937" width="6.140625" style="62" customWidth="1"/>
    <col min="7938" max="7938" width="11.85546875" style="62" customWidth="1"/>
    <col min="7939" max="7939" width="9.42578125" style="62" customWidth="1"/>
    <col min="7940" max="7940" width="14.7109375" style="62" customWidth="1"/>
    <col min="7941" max="7941" width="11.5703125" style="62" customWidth="1"/>
    <col min="7942" max="7942" width="0.42578125" style="62" customWidth="1"/>
    <col min="7943" max="7943" width="10.5703125" style="62" bestFit="1" customWidth="1"/>
    <col min="7944" max="7944" width="12.28515625" style="62" customWidth="1"/>
    <col min="7945" max="7945" width="12.5703125" style="62" customWidth="1"/>
    <col min="7946" max="7946" width="10.5703125" style="62" customWidth="1"/>
    <col min="7947" max="7947" width="10.140625" style="62" customWidth="1"/>
    <col min="7948" max="7948" width="8.42578125" style="62" customWidth="1"/>
    <col min="7949" max="7949" width="18.85546875" style="62" customWidth="1"/>
    <col min="7950" max="7950" width="10.28515625" style="62" customWidth="1"/>
    <col min="7951" max="7951" width="11.42578125" style="62"/>
    <col min="7952" max="7952" width="12.140625" style="62" customWidth="1"/>
    <col min="7953" max="7953" width="10.5703125" style="62" customWidth="1"/>
    <col min="7954" max="7954" width="12.42578125" style="62" customWidth="1"/>
    <col min="7955" max="7955" width="15.140625" style="62" customWidth="1"/>
    <col min="7956" max="7956" width="13.5703125" style="62" customWidth="1"/>
    <col min="7957" max="7957" width="13.140625" style="62" customWidth="1"/>
    <col min="7958" max="7958" width="15.7109375" style="62" customWidth="1"/>
    <col min="7959" max="7959" width="37.5703125" style="62" customWidth="1"/>
    <col min="7960" max="8181" width="11.42578125" style="62"/>
    <col min="8182" max="8182" width="10.5703125" style="62" customWidth="1"/>
    <col min="8183" max="8183" width="4.85546875" style="62" customWidth="1"/>
    <col min="8184" max="8184" width="32.42578125" style="62" customWidth="1"/>
    <col min="8185" max="8185" width="9.85546875" style="62" customWidth="1"/>
    <col min="8186" max="8186" width="10.140625" style="62" customWidth="1"/>
    <col min="8187" max="8187" width="12.28515625" style="62" customWidth="1"/>
    <col min="8188" max="8188" width="15.42578125" style="62" customWidth="1"/>
    <col min="8189" max="8189" width="11.85546875" style="62" customWidth="1"/>
    <col min="8190" max="8190" width="13.28515625" style="62" customWidth="1"/>
    <col min="8191" max="8191" width="15.28515625" style="62" customWidth="1"/>
    <col min="8192" max="8192" width="11.85546875" style="62" customWidth="1"/>
    <col min="8193" max="8193" width="6.140625" style="62" customWidth="1"/>
    <col min="8194" max="8194" width="11.85546875" style="62" customWidth="1"/>
    <col min="8195" max="8195" width="9.42578125" style="62" customWidth="1"/>
    <col min="8196" max="8196" width="14.7109375" style="62" customWidth="1"/>
    <col min="8197" max="8197" width="11.5703125" style="62" customWidth="1"/>
    <col min="8198" max="8198" width="0.42578125" style="62" customWidth="1"/>
    <col min="8199" max="8199" width="10.5703125" style="62" bestFit="1" customWidth="1"/>
    <col min="8200" max="8200" width="12.28515625" style="62" customWidth="1"/>
    <col min="8201" max="8201" width="12.5703125" style="62" customWidth="1"/>
    <col min="8202" max="8202" width="10.5703125" style="62" customWidth="1"/>
    <col min="8203" max="8203" width="10.140625" style="62" customWidth="1"/>
    <col min="8204" max="8204" width="8.42578125" style="62" customWidth="1"/>
    <col min="8205" max="8205" width="18.85546875" style="62" customWidth="1"/>
    <col min="8206" max="8206" width="10.28515625" style="62" customWidth="1"/>
    <col min="8207" max="8207" width="11.42578125" style="62"/>
    <col min="8208" max="8208" width="12.140625" style="62" customWidth="1"/>
    <col min="8209" max="8209" width="10.5703125" style="62" customWidth="1"/>
    <col min="8210" max="8210" width="12.42578125" style="62" customWidth="1"/>
    <col min="8211" max="8211" width="15.140625" style="62" customWidth="1"/>
    <col min="8212" max="8212" width="13.5703125" style="62" customWidth="1"/>
    <col min="8213" max="8213" width="13.140625" style="62" customWidth="1"/>
    <col min="8214" max="8214" width="15.7109375" style="62" customWidth="1"/>
    <col min="8215" max="8215" width="37.5703125" style="62" customWidth="1"/>
    <col min="8216" max="8437" width="11.42578125" style="62"/>
    <col min="8438" max="8438" width="10.5703125" style="62" customWidth="1"/>
    <col min="8439" max="8439" width="4.85546875" style="62" customWidth="1"/>
    <col min="8440" max="8440" width="32.42578125" style="62" customWidth="1"/>
    <col min="8441" max="8441" width="9.85546875" style="62" customWidth="1"/>
    <col min="8442" max="8442" width="10.140625" style="62" customWidth="1"/>
    <col min="8443" max="8443" width="12.28515625" style="62" customWidth="1"/>
    <col min="8444" max="8444" width="15.42578125" style="62" customWidth="1"/>
    <col min="8445" max="8445" width="11.85546875" style="62" customWidth="1"/>
    <col min="8446" max="8446" width="13.28515625" style="62" customWidth="1"/>
    <col min="8447" max="8447" width="15.28515625" style="62" customWidth="1"/>
    <col min="8448" max="8448" width="11.85546875" style="62" customWidth="1"/>
    <col min="8449" max="8449" width="6.140625" style="62" customWidth="1"/>
    <col min="8450" max="8450" width="11.85546875" style="62" customWidth="1"/>
    <col min="8451" max="8451" width="9.42578125" style="62" customWidth="1"/>
    <col min="8452" max="8452" width="14.7109375" style="62" customWidth="1"/>
    <col min="8453" max="8453" width="11.5703125" style="62" customWidth="1"/>
    <col min="8454" max="8454" width="0.42578125" style="62" customWidth="1"/>
    <col min="8455" max="8455" width="10.5703125" style="62" bestFit="1" customWidth="1"/>
    <col min="8456" max="8456" width="12.28515625" style="62" customWidth="1"/>
    <col min="8457" max="8457" width="12.5703125" style="62" customWidth="1"/>
    <col min="8458" max="8458" width="10.5703125" style="62" customWidth="1"/>
    <col min="8459" max="8459" width="10.140625" style="62" customWidth="1"/>
    <col min="8460" max="8460" width="8.42578125" style="62" customWidth="1"/>
    <col min="8461" max="8461" width="18.85546875" style="62" customWidth="1"/>
    <col min="8462" max="8462" width="10.28515625" style="62" customWidth="1"/>
    <col min="8463" max="8463" width="11.42578125" style="62"/>
    <col min="8464" max="8464" width="12.140625" style="62" customWidth="1"/>
    <col min="8465" max="8465" width="10.5703125" style="62" customWidth="1"/>
    <col min="8466" max="8466" width="12.42578125" style="62" customWidth="1"/>
    <col min="8467" max="8467" width="15.140625" style="62" customWidth="1"/>
    <col min="8468" max="8468" width="13.5703125" style="62" customWidth="1"/>
    <col min="8469" max="8469" width="13.140625" style="62" customWidth="1"/>
    <col min="8470" max="8470" width="15.7109375" style="62" customWidth="1"/>
    <col min="8471" max="8471" width="37.5703125" style="62" customWidth="1"/>
    <col min="8472" max="8693" width="11.42578125" style="62"/>
    <col min="8694" max="8694" width="10.5703125" style="62" customWidth="1"/>
    <col min="8695" max="8695" width="4.85546875" style="62" customWidth="1"/>
    <col min="8696" max="8696" width="32.42578125" style="62" customWidth="1"/>
    <col min="8697" max="8697" width="9.85546875" style="62" customWidth="1"/>
    <col min="8698" max="8698" width="10.140625" style="62" customWidth="1"/>
    <col min="8699" max="8699" width="12.28515625" style="62" customWidth="1"/>
    <col min="8700" max="8700" width="15.42578125" style="62" customWidth="1"/>
    <col min="8701" max="8701" width="11.85546875" style="62" customWidth="1"/>
    <col min="8702" max="8702" width="13.28515625" style="62" customWidth="1"/>
    <col min="8703" max="8703" width="15.28515625" style="62" customWidth="1"/>
    <col min="8704" max="8704" width="11.85546875" style="62" customWidth="1"/>
    <col min="8705" max="8705" width="6.140625" style="62" customWidth="1"/>
    <col min="8706" max="8706" width="11.85546875" style="62" customWidth="1"/>
    <col min="8707" max="8707" width="9.42578125" style="62" customWidth="1"/>
    <col min="8708" max="8708" width="14.7109375" style="62" customWidth="1"/>
    <col min="8709" max="8709" width="11.5703125" style="62" customWidth="1"/>
    <col min="8710" max="8710" width="0.42578125" style="62" customWidth="1"/>
    <col min="8711" max="8711" width="10.5703125" style="62" bestFit="1" customWidth="1"/>
    <col min="8712" max="8712" width="12.28515625" style="62" customWidth="1"/>
    <col min="8713" max="8713" width="12.5703125" style="62" customWidth="1"/>
    <col min="8714" max="8714" width="10.5703125" style="62" customWidth="1"/>
    <col min="8715" max="8715" width="10.140625" style="62" customWidth="1"/>
    <col min="8716" max="8716" width="8.42578125" style="62" customWidth="1"/>
    <col min="8717" max="8717" width="18.85546875" style="62" customWidth="1"/>
    <col min="8718" max="8718" width="10.28515625" style="62" customWidth="1"/>
    <col min="8719" max="8719" width="11.42578125" style="62"/>
    <col min="8720" max="8720" width="12.140625" style="62" customWidth="1"/>
    <col min="8721" max="8721" width="10.5703125" style="62" customWidth="1"/>
    <col min="8722" max="8722" width="12.42578125" style="62" customWidth="1"/>
    <col min="8723" max="8723" width="15.140625" style="62" customWidth="1"/>
    <col min="8724" max="8724" width="13.5703125" style="62" customWidth="1"/>
    <col min="8725" max="8725" width="13.140625" style="62" customWidth="1"/>
    <col min="8726" max="8726" width="15.7109375" style="62" customWidth="1"/>
    <col min="8727" max="8727" width="37.5703125" style="62" customWidth="1"/>
    <col min="8728" max="8949" width="11.42578125" style="62"/>
    <col min="8950" max="8950" width="10.5703125" style="62" customWidth="1"/>
    <col min="8951" max="8951" width="4.85546875" style="62" customWidth="1"/>
    <col min="8952" max="8952" width="32.42578125" style="62" customWidth="1"/>
    <col min="8953" max="8953" width="9.85546875" style="62" customWidth="1"/>
    <col min="8954" max="8954" width="10.140625" style="62" customWidth="1"/>
    <col min="8955" max="8955" width="12.28515625" style="62" customWidth="1"/>
    <col min="8956" max="8956" width="15.42578125" style="62" customWidth="1"/>
    <col min="8957" max="8957" width="11.85546875" style="62" customWidth="1"/>
    <col min="8958" max="8958" width="13.28515625" style="62" customWidth="1"/>
    <col min="8959" max="8959" width="15.28515625" style="62" customWidth="1"/>
    <col min="8960" max="8960" width="11.85546875" style="62" customWidth="1"/>
    <col min="8961" max="8961" width="6.140625" style="62" customWidth="1"/>
    <col min="8962" max="8962" width="11.85546875" style="62" customWidth="1"/>
    <col min="8963" max="8963" width="9.42578125" style="62" customWidth="1"/>
    <col min="8964" max="8964" width="14.7109375" style="62" customWidth="1"/>
    <col min="8965" max="8965" width="11.5703125" style="62" customWidth="1"/>
    <col min="8966" max="8966" width="0.42578125" style="62" customWidth="1"/>
    <col min="8967" max="8967" width="10.5703125" style="62" bestFit="1" customWidth="1"/>
    <col min="8968" max="8968" width="12.28515625" style="62" customWidth="1"/>
    <col min="8969" max="8969" width="12.5703125" style="62" customWidth="1"/>
    <col min="8970" max="8970" width="10.5703125" style="62" customWidth="1"/>
    <col min="8971" max="8971" width="10.140625" style="62" customWidth="1"/>
    <col min="8972" max="8972" width="8.42578125" style="62" customWidth="1"/>
    <col min="8973" max="8973" width="18.85546875" style="62" customWidth="1"/>
    <col min="8974" max="8974" width="10.28515625" style="62" customWidth="1"/>
    <col min="8975" max="8975" width="11.42578125" style="62"/>
    <col min="8976" max="8976" width="12.140625" style="62" customWidth="1"/>
    <col min="8977" max="8977" width="10.5703125" style="62" customWidth="1"/>
    <col min="8978" max="8978" width="12.42578125" style="62" customWidth="1"/>
    <col min="8979" max="8979" width="15.140625" style="62" customWidth="1"/>
    <col min="8980" max="8980" width="13.5703125" style="62" customWidth="1"/>
    <col min="8981" max="8981" width="13.140625" style="62" customWidth="1"/>
    <col min="8982" max="8982" width="15.7109375" style="62" customWidth="1"/>
    <col min="8983" max="8983" width="37.5703125" style="62" customWidth="1"/>
    <col min="8984" max="9205" width="11.42578125" style="62"/>
    <col min="9206" max="9206" width="10.5703125" style="62" customWidth="1"/>
    <col min="9207" max="9207" width="4.85546875" style="62" customWidth="1"/>
    <col min="9208" max="9208" width="32.42578125" style="62" customWidth="1"/>
    <col min="9209" max="9209" width="9.85546875" style="62" customWidth="1"/>
    <col min="9210" max="9210" width="10.140625" style="62" customWidth="1"/>
    <col min="9211" max="9211" width="12.28515625" style="62" customWidth="1"/>
    <col min="9212" max="9212" width="15.42578125" style="62" customWidth="1"/>
    <col min="9213" max="9213" width="11.85546875" style="62" customWidth="1"/>
    <col min="9214" max="9214" width="13.28515625" style="62" customWidth="1"/>
    <col min="9215" max="9215" width="15.28515625" style="62" customWidth="1"/>
    <col min="9216" max="9216" width="11.85546875" style="62" customWidth="1"/>
    <col min="9217" max="9217" width="6.140625" style="62" customWidth="1"/>
    <col min="9218" max="9218" width="11.85546875" style="62" customWidth="1"/>
    <col min="9219" max="9219" width="9.42578125" style="62" customWidth="1"/>
    <col min="9220" max="9220" width="14.7109375" style="62" customWidth="1"/>
    <col min="9221" max="9221" width="11.5703125" style="62" customWidth="1"/>
    <col min="9222" max="9222" width="0.42578125" style="62" customWidth="1"/>
    <col min="9223" max="9223" width="10.5703125" style="62" bestFit="1" customWidth="1"/>
    <col min="9224" max="9224" width="12.28515625" style="62" customWidth="1"/>
    <col min="9225" max="9225" width="12.5703125" style="62" customWidth="1"/>
    <col min="9226" max="9226" width="10.5703125" style="62" customWidth="1"/>
    <col min="9227" max="9227" width="10.140625" style="62" customWidth="1"/>
    <col min="9228" max="9228" width="8.42578125" style="62" customWidth="1"/>
    <col min="9229" max="9229" width="18.85546875" style="62" customWidth="1"/>
    <col min="9230" max="9230" width="10.28515625" style="62" customWidth="1"/>
    <col min="9231" max="9231" width="11.42578125" style="62"/>
    <col min="9232" max="9232" width="12.140625" style="62" customWidth="1"/>
    <col min="9233" max="9233" width="10.5703125" style="62" customWidth="1"/>
    <col min="9234" max="9234" width="12.42578125" style="62" customWidth="1"/>
    <col min="9235" max="9235" width="15.140625" style="62" customWidth="1"/>
    <col min="9236" max="9236" width="13.5703125" style="62" customWidth="1"/>
    <col min="9237" max="9237" width="13.140625" style="62" customWidth="1"/>
    <col min="9238" max="9238" width="15.7109375" style="62" customWidth="1"/>
    <col min="9239" max="9239" width="37.5703125" style="62" customWidth="1"/>
    <col min="9240" max="9461" width="11.42578125" style="62"/>
    <col min="9462" max="9462" width="10.5703125" style="62" customWidth="1"/>
    <col min="9463" max="9463" width="4.85546875" style="62" customWidth="1"/>
    <col min="9464" max="9464" width="32.42578125" style="62" customWidth="1"/>
    <col min="9465" max="9465" width="9.85546875" style="62" customWidth="1"/>
    <col min="9466" max="9466" width="10.140625" style="62" customWidth="1"/>
    <col min="9467" max="9467" width="12.28515625" style="62" customWidth="1"/>
    <col min="9468" max="9468" width="15.42578125" style="62" customWidth="1"/>
    <col min="9469" max="9469" width="11.85546875" style="62" customWidth="1"/>
    <col min="9470" max="9470" width="13.28515625" style="62" customWidth="1"/>
    <col min="9471" max="9471" width="15.28515625" style="62" customWidth="1"/>
    <col min="9472" max="9472" width="11.85546875" style="62" customWidth="1"/>
    <col min="9473" max="9473" width="6.140625" style="62" customWidth="1"/>
    <col min="9474" max="9474" width="11.85546875" style="62" customWidth="1"/>
    <col min="9475" max="9475" width="9.42578125" style="62" customWidth="1"/>
    <col min="9476" max="9476" width="14.7109375" style="62" customWidth="1"/>
    <col min="9477" max="9477" width="11.5703125" style="62" customWidth="1"/>
    <col min="9478" max="9478" width="0.42578125" style="62" customWidth="1"/>
    <col min="9479" max="9479" width="10.5703125" style="62" bestFit="1" customWidth="1"/>
    <col min="9480" max="9480" width="12.28515625" style="62" customWidth="1"/>
    <col min="9481" max="9481" width="12.5703125" style="62" customWidth="1"/>
    <col min="9482" max="9482" width="10.5703125" style="62" customWidth="1"/>
    <col min="9483" max="9483" width="10.140625" style="62" customWidth="1"/>
    <col min="9484" max="9484" width="8.42578125" style="62" customWidth="1"/>
    <col min="9485" max="9485" width="18.85546875" style="62" customWidth="1"/>
    <col min="9486" max="9486" width="10.28515625" style="62" customWidth="1"/>
    <col min="9487" max="9487" width="11.42578125" style="62"/>
    <col min="9488" max="9488" width="12.140625" style="62" customWidth="1"/>
    <col min="9489" max="9489" width="10.5703125" style="62" customWidth="1"/>
    <col min="9490" max="9490" width="12.42578125" style="62" customWidth="1"/>
    <col min="9491" max="9491" width="15.140625" style="62" customWidth="1"/>
    <col min="9492" max="9492" width="13.5703125" style="62" customWidth="1"/>
    <col min="9493" max="9493" width="13.140625" style="62" customWidth="1"/>
    <col min="9494" max="9494" width="15.7109375" style="62" customWidth="1"/>
    <col min="9495" max="9495" width="37.5703125" style="62" customWidth="1"/>
    <col min="9496" max="9717" width="11.42578125" style="62"/>
    <col min="9718" max="9718" width="10.5703125" style="62" customWidth="1"/>
    <col min="9719" max="9719" width="4.85546875" style="62" customWidth="1"/>
    <col min="9720" max="9720" width="32.42578125" style="62" customWidth="1"/>
    <col min="9721" max="9721" width="9.85546875" style="62" customWidth="1"/>
    <col min="9722" max="9722" width="10.140625" style="62" customWidth="1"/>
    <col min="9723" max="9723" width="12.28515625" style="62" customWidth="1"/>
    <col min="9724" max="9724" width="15.42578125" style="62" customWidth="1"/>
    <col min="9725" max="9725" width="11.85546875" style="62" customWidth="1"/>
    <col min="9726" max="9726" width="13.28515625" style="62" customWidth="1"/>
    <col min="9727" max="9727" width="15.28515625" style="62" customWidth="1"/>
    <col min="9728" max="9728" width="11.85546875" style="62" customWidth="1"/>
    <col min="9729" max="9729" width="6.140625" style="62" customWidth="1"/>
    <col min="9730" max="9730" width="11.85546875" style="62" customWidth="1"/>
    <col min="9731" max="9731" width="9.42578125" style="62" customWidth="1"/>
    <col min="9732" max="9732" width="14.7109375" style="62" customWidth="1"/>
    <col min="9733" max="9733" width="11.5703125" style="62" customWidth="1"/>
    <col min="9734" max="9734" width="0.42578125" style="62" customWidth="1"/>
    <col min="9735" max="9735" width="10.5703125" style="62" bestFit="1" customWidth="1"/>
    <col min="9736" max="9736" width="12.28515625" style="62" customWidth="1"/>
    <col min="9737" max="9737" width="12.5703125" style="62" customWidth="1"/>
    <col min="9738" max="9738" width="10.5703125" style="62" customWidth="1"/>
    <col min="9739" max="9739" width="10.140625" style="62" customWidth="1"/>
    <col min="9740" max="9740" width="8.42578125" style="62" customWidth="1"/>
    <col min="9741" max="9741" width="18.85546875" style="62" customWidth="1"/>
    <col min="9742" max="9742" width="10.28515625" style="62" customWidth="1"/>
    <col min="9743" max="9743" width="11.42578125" style="62"/>
    <col min="9744" max="9744" width="12.140625" style="62" customWidth="1"/>
    <col min="9745" max="9745" width="10.5703125" style="62" customWidth="1"/>
    <col min="9746" max="9746" width="12.42578125" style="62" customWidth="1"/>
    <col min="9747" max="9747" width="15.140625" style="62" customWidth="1"/>
    <col min="9748" max="9748" width="13.5703125" style="62" customWidth="1"/>
    <col min="9749" max="9749" width="13.140625" style="62" customWidth="1"/>
    <col min="9750" max="9750" width="15.7109375" style="62" customWidth="1"/>
    <col min="9751" max="9751" width="37.5703125" style="62" customWidth="1"/>
    <col min="9752" max="9973" width="11.42578125" style="62"/>
    <col min="9974" max="9974" width="10.5703125" style="62" customWidth="1"/>
    <col min="9975" max="9975" width="4.85546875" style="62" customWidth="1"/>
    <col min="9976" max="9976" width="32.42578125" style="62" customWidth="1"/>
    <col min="9977" max="9977" width="9.85546875" style="62" customWidth="1"/>
    <col min="9978" max="9978" width="10.140625" style="62" customWidth="1"/>
    <col min="9979" max="9979" width="12.28515625" style="62" customWidth="1"/>
    <col min="9980" max="9980" width="15.42578125" style="62" customWidth="1"/>
    <col min="9981" max="9981" width="11.85546875" style="62" customWidth="1"/>
    <col min="9982" max="9982" width="13.28515625" style="62" customWidth="1"/>
    <col min="9983" max="9983" width="15.28515625" style="62" customWidth="1"/>
    <col min="9984" max="9984" width="11.85546875" style="62" customWidth="1"/>
    <col min="9985" max="9985" width="6.140625" style="62" customWidth="1"/>
    <col min="9986" max="9986" width="11.85546875" style="62" customWidth="1"/>
    <col min="9987" max="9987" width="9.42578125" style="62" customWidth="1"/>
    <col min="9988" max="9988" width="14.7109375" style="62" customWidth="1"/>
    <col min="9989" max="9989" width="11.5703125" style="62" customWidth="1"/>
    <col min="9990" max="9990" width="0.42578125" style="62" customWidth="1"/>
    <col min="9991" max="9991" width="10.5703125" style="62" bestFit="1" customWidth="1"/>
    <col min="9992" max="9992" width="12.28515625" style="62" customWidth="1"/>
    <col min="9993" max="9993" width="12.5703125" style="62" customWidth="1"/>
    <col min="9994" max="9994" width="10.5703125" style="62" customWidth="1"/>
    <col min="9995" max="9995" width="10.140625" style="62" customWidth="1"/>
    <col min="9996" max="9996" width="8.42578125" style="62" customWidth="1"/>
    <col min="9997" max="9997" width="18.85546875" style="62" customWidth="1"/>
    <col min="9998" max="9998" width="10.28515625" style="62" customWidth="1"/>
    <col min="9999" max="9999" width="11.42578125" style="62"/>
    <col min="10000" max="10000" width="12.140625" style="62" customWidth="1"/>
    <col min="10001" max="10001" width="10.5703125" style="62" customWidth="1"/>
    <col min="10002" max="10002" width="12.42578125" style="62" customWidth="1"/>
    <col min="10003" max="10003" width="15.140625" style="62" customWidth="1"/>
    <col min="10004" max="10004" width="13.5703125" style="62" customWidth="1"/>
    <col min="10005" max="10005" width="13.140625" style="62" customWidth="1"/>
    <col min="10006" max="10006" width="15.7109375" style="62" customWidth="1"/>
    <col min="10007" max="10007" width="37.5703125" style="62" customWidth="1"/>
    <col min="10008" max="10229" width="11.42578125" style="62"/>
    <col min="10230" max="10230" width="10.5703125" style="62" customWidth="1"/>
    <col min="10231" max="10231" width="4.85546875" style="62" customWidth="1"/>
    <col min="10232" max="10232" width="32.42578125" style="62" customWidth="1"/>
    <col min="10233" max="10233" width="9.85546875" style="62" customWidth="1"/>
    <col min="10234" max="10234" width="10.140625" style="62" customWidth="1"/>
    <col min="10235" max="10235" width="12.28515625" style="62" customWidth="1"/>
    <col min="10236" max="10236" width="15.42578125" style="62" customWidth="1"/>
    <col min="10237" max="10237" width="11.85546875" style="62" customWidth="1"/>
    <col min="10238" max="10238" width="13.28515625" style="62" customWidth="1"/>
    <col min="10239" max="10239" width="15.28515625" style="62" customWidth="1"/>
    <col min="10240" max="10240" width="11.85546875" style="62" customWidth="1"/>
    <col min="10241" max="10241" width="6.140625" style="62" customWidth="1"/>
    <col min="10242" max="10242" width="11.85546875" style="62" customWidth="1"/>
    <col min="10243" max="10243" width="9.42578125" style="62" customWidth="1"/>
    <col min="10244" max="10244" width="14.7109375" style="62" customWidth="1"/>
    <col min="10245" max="10245" width="11.5703125" style="62" customWidth="1"/>
    <col min="10246" max="10246" width="0.42578125" style="62" customWidth="1"/>
    <col min="10247" max="10247" width="10.5703125" style="62" bestFit="1" customWidth="1"/>
    <col min="10248" max="10248" width="12.28515625" style="62" customWidth="1"/>
    <col min="10249" max="10249" width="12.5703125" style="62" customWidth="1"/>
    <col min="10250" max="10250" width="10.5703125" style="62" customWidth="1"/>
    <col min="10251" max="10251" width="10.140625" style="62" customWidth="1"/>
    <col min="10252" max="10252" width="8.42578125" style="62" customWidth="1"/>
    <col min="10253" max="10253" width="18.85546875" style="62" customWidth="1"/>
    <col min="10254" max="10254" width="10.28515625" style="62" customWidth="1"/>
    <col min="10255" max="10255" width="11.42578125" style="62"/>
    <col min="10256" max="10256" width="12.140625" style="62" customWidth="1"/>
    <col min="10257" max="10257" width="10.5703125" style="62" customWidth="1"/>
    <col min="10258" max="10258" width="12.42578125" style="62" customWidth="1"/>
    <col min="10259" max="10259" width="15.140625" style="62" customWidth="1"/>
    <col min="10260" max="10260" width="13.5703125" style="62" customWidth="1"/>
    <col min="10261" max="10261" width="13.140625" style="62" customWidth="1"/>
    <col min="10262" max="10262" width="15.7109375" style="62" customWidth="1"/>
    <col min="10263" max="10263" width="37.5703125" style="62" customWidth="1"/>
    <col min="10264" max="10485" width="11.42578125" style="62"/>
    <col min="10486" max="10486" width="10.5703125" style="62" customWidth="1"/>
    <col min="10487" max="10487" width="4.85546875" style="62" customWidth="1"/>
    <col min="10488" max="10488" width="32.42578125" style="62" customWidth="1"/>
    <col min="10489" max="10489" width="9.85546875" style="62" customWidth="1"/>
    <col min="10490" max="10490" width="10.140625" style="62" customWidth="1"/>
    <col min="10491" max="10491" width="12.28515625" style="62" customWidth="1"/>
    <col min="10492" max="10492" width="15.42578125" style="62" customWidth="1"/>
    <col min="10493" max="10493" width="11.85546875" style="62" customWidth="1"/>
    <col min="10494" max="10494" width="13.28515625" style="62" customWidth="1"/>
    <col min="10495" max="10495" width="15.28515625" style="62" customWidth="1"/>
    <col min="10496" max="10496" width="11.85546875" style="62" customWidth="1"/>
    <col min="10497" max="10497" width="6.140625" style="62" customWidth="1"/>
    <col min="10498" max="10498" width="11.85546875" style="62" customWidth="1"/>
    <col min="10499" max="10499" width="9.42578125" style="62" customWidth="1"/>
    <col min="10500" max="10500" width="14.7109375" style="62" customWidth="1"/>
    <col min="10501" max="10501" width="11.5703125" style="62" customWidth="1"/>
    <col min="10502" max="10502" width="0.42578125" style="62" customWidth="1"/>
    <col min="10503" max="10503" width="10.5703125" style="62" bestFit="1" customWidth="1"/>
    <col min="10504" max="10504" width="12.28515625" style="62" customWidth="1"/>
    <col min="10505" max="10505" width="12.5703125" style="62" customWidth="1"/>
    <col min="10506" max="10506" width="10.5703125" style="62" customWidth="1"/>
    <col min="10507" max="10507" width="10.140625" style="62" customWidth="1"/>
    <col min="10508" max="10508" width="8.42578125" style="62" customWidth="1"/>
    <col min="10509" max="10509" width="18.85546875" style="62" customWidth="1"/>
    <col min="10510" max="10510" width="10.28515625" style="62" customWidth="1"/>
    <col min="10511" max="10511" width="11.42578125" style="62"/>
    <col min="10512" max="10512" width="12.140625" style="62" customWidth="1"/>
    <col min="10513" max="10513" width="10.5703125" style="62" customWidth="1"/>
    <col min="10514" max="10514" width="12.42578125" style="62" customWidth="1"/>
    <col min="10515" max="10515" width="15.140625" style="62" customWidth="1"/>
    <col min="10516" max="10516" width="13.5703125" style="62" customWidth="1"/>
    <col min="10517" max="10517" width="13.140625" style="62" customWidth="1"/>
    <col min="10518" max="10518" width="15.7109375" style="62" customWidth="1"/>
    <col min="10519" max="10519" width="37.5703125" style="62" customWidth="1"/>
    <col min="10520" max="10741" width="11.42578125" style="62"/>
    <col min="10742" max="10742" width="10.5703125" style="62" customWidth="1"/>
    <col min="10743" max="10743" width="4.85546875" style="62" customWidth="1"/>
    <col min="10744" max="10744" width="32.42578125" style="62" customWidth="1"/>
    <col min="10745" max="10745" width="9.85546875" style="62" customWidth="1"/>
    <col min="10746" max="10746" width="10.140625" style="62" customWidth="1"/>
    <col min="10747" max="10747" width="12.28515625" style="62" customWidth="1"/>
    <col min="10748" max="10748" width="15.42578125" style="62" customWidth="1"/>
    <col min="10749" max="10749" width="11.85546875" style="62" customWidth="1"/>
    <col min="10750" max="10750" width="13.28515625" style="62" customWidth="1"/>
    <col min="10751" max="10751" width="15.28515625" style="62" customWidth="1"/>
    <col min="10752" max="10752" width="11.85546875" style="62" customWidth="1"/>
    <col min="10753" max="10753" width="6.140625" style="62" customWidth="1"/>
    <col min="10754" max="10754" width="11.85546875" style="62" customWidth="1"/>
    <col min="10755" max="10755" width="9.42578125" style="62" customWidth="1"/>
    <col min="10756" max="10756" width="14.7109375" style="62" customWidth="1"/>
    <col min="10757" max="10757" width="11.5703125" style="62" customWidth="1"/>
    <col min="10758" max="10758" width="0.42578125" style="62" customWidth="1"/>
    <col min="10759" max="10759" width="10.5703125" style="62" bestFit="1" customWidth="1"/>
    <col min="10760" max="10760" width="12.28515625" style="62" customWidth="1"/>
    <col min="10761" max="10761" width="12.5703125" style="62" customWidth="1"/>
    <col min="10762" max="10762" width="10.5703125" style="62" customWidth="1"/>
    <col min="10763" max="10763" width="10.140625" style="62" customWidth="1"/>
    <col min="10764" max="10764" width="8.42578125" style="62" customWidth="1"/>
    <col min="10765" max="10765" width="18.85546875" style="62" customWidth="1"/>
    <col min="10766" max="10766" width="10.28515625" style="62" customWidth="1"/>
    <col min="10767" max="10767" width="11.42578125" style="62"/>
    <col min="10768" max="10768" width="12.140625" style="62" customWidth="1"/>
    <col min="10769" max="10769" width="10.5703125" style="62" customWidth="1"/>
    <col min="10770" max="10770" width="12.42578125" style="62" customWidth="1"/>
    <col min="10771" max="10771" width="15.140625" style="62" customWidth="1"/>
    <col min="10772" max="10772" width="13.5703125" style="62" customWidth="1"/>
    <col min="10773" max="10773" width="13.140625" style="62" customWidth="1"/>
    <col min="10774" max="10774" width="15.7109375" style="62" customWidth="1"/>
    <col min="10775" max="10775" width="37.5703125" style="62" customWidth="1"/>
    <col min="10776" max="10997" width="11.42578125" style="62"/>
    <col min="10998" max="10998" width="10.5703125" style="62" customWidth="1"/>
    <col min="10999" max="10999" width="4.85546875" style="62" customWidth="1"/>
    <col min="11000" max="11000" width="32.42578125" style="62" customWidth="1"/>
    <col min="11001" max="11001" width="9.85546875" style="62" customWidth="1"/>
    <col min="11002" max="11002" width="10.140625" style="62" customWidth="1"/>
    <col min="11003" max="11003" width="12.28515625" style="62" customWidth="1"/>
    <col min="11004" max="11004" width="15.42578125" style="62" customWidth="1"/>
    <col min="11005" max="11005" width="11.85546875" style="62" customWidth="1"/>
    <col min="11006" max="11006" width="13.28515625" style="62" customWidth="1"/>
    <col min="11007" max="11007" width="15.28515625" style="62" customWidth="1"/>
    <col min="11008" max="11008" width="11.85546875" style="62" customWidth="1"/>
    <col min="11009" max="11009" width="6.140625" style="62" customWidth="1"/>
    <col min="11010" max="11010" width="11.85546875" style="62" customWidth="1"/>
    <col min="11011" max="11011" width="9.42578125" style="62" customWidth="1"/>
    <col min="11012" max="11012" width="14.7109375" style="62" customWidth="1"/>
    <col min="11013" max="11013" width="11.5703125" style="62" customWidth="1"/>
    <col min="11014" max="11014" width="0.42578125" style="62" customWidth="1"/>
    <col min="11015" max="11015" width="10.5703125" style="62" bestFit="1" customWidth="1"/>
    <col min="11016" max="11016" width="12.28515625" style="62" customWidth="1"/>
    <col min="11017" max="11017" width="12.5703125" style="62" customWidth="1"/>
    <col min="11018" max="11018" width="10.5703125" style="62" customWidth="1"/>
    <col min="11019" max="11019" width="10.140625" style="62" customWidth="1"/>
    <col min="11020" max="11020" width="8.42578125" style="62" customWidth="1"/>
    <col min="11021" max="11021" width="18.85546875" style="62" customWidth="1"/>
    <col min="11022" max="11022" width="10.28515625" style="62" customWidth="1"/>
    <col min="11023" max="11023" width="11.42578125" style="62"/>
    <col min="11024" max="11024" width="12.140625" style="62" customWidth="1"/>
    <col min="11025" max="11025" width="10.5703125" style="62" customWidth="1"/>
    <col min="11026" max="11026" width="12.42578125" style="62" customWidth="1"/>
    <col min="11027" max="11027" width="15.140625" style="62" customWidth="1"/>
    <col min="11028" max="11028" width="13.5703125" style="62" customWidth="1"/>
    <col min="11029" max="11029" width="13.140625" style="62" customWidth="1"/>
    <col min="11030" max="11030" width="15.7109375" style="62" customWidth="1"/>
    <col min="11031" max="11031" width="37.5703125" style="62" customWidth="1"/>
    <col min="11032" max="11253" width="11.42578125" style="62"/>
    <col min="11254" max="11254" width="10.5703125" style="62" customWidth="1"/>
    <col min="11255" max="11255" width="4.85546875" style="62" customWidth="1"/>
    <col min="11256" max="11256" width="32.42578125" style="62" customWidth="1"/>
    <col min="11257" max="11257" width="9.85546875" style="62" customWidth="1"/>
    <col min="11258" max="11258" width="10.140625" style="62" customWidth="1"/>
    <col min="11259" max="11259" width="12.28515625" style="62" customWidth="1"/>
    <col min="11260" max="11260" width="15.42578125" style="62" customWidth="1"/>
    <col min="11261" max="11261" width="11.85546875" style="62" customWidth="1"/>
    <col min="11262" max="11262" width="13.28515625" style="62" customWidth="1"/>
    <col min="11263" max="11263" width="15.28515625" style="62" customWidth="1"/>
    <col min="11264" max="11264" width="11.85546875" style="62" customWidth="1"/>
    <col min="11265" max="11265" width="6.140625" style="62" customWidth="1"/>
    <col min="11266" max="11266" width="11.85546875" style="62" customWidth="1"/>
    <col min="11267" max="11267" width="9.42578125" style="62" customWidth="1"/>
    <col min="11268" max="11268" width="14.7109375" style="62" customWidth="1"/>
    <col min="11269" max="11269" width="11.5703125" style="62" customWidth="1"/>
    <col min="11270" max="11270" width="0.42578125" style="62" customWidth="1"/>
    <col min="11271" max="11271" width="10.5703125" style="62" bestFit="1" customWidth="1"/>
    <col min="11272" max="11272" width="12.28515625" style="62" customWidth="1"/>
    <col min="11273" max="11273" width="12.5703125" style="62" customWidth="1"/>
    <col min="11274" max="11274" width="10.5703125" style="62" customWidth="1"/>
    <col min="11275" max="11275" width="10.140625" style="62" customWidth="1"/>
    <col min="11276" max="11276" width="8.42578125" style="62" customWidth="1"/>
    <col min="11277" max="11277" width="18.85546875" style="62" customWidth="1"/>
    <col min="11278" max="11278" width="10.28515625" style="62" customWidth="1"/>
    <col min="11279" max="11279" width="11.42578125" style="62"/>
    <col min="11280" max="11280" width="12.140625" style="62" customWidth="1"/>
    <col min="11281" max="11281" width="10.5703125" style="62" customWidth="1"/>
    <col min="11282" max="11282" width="12.42578125" style="62" customWidth="1"/>
    <col min="11283" max="11283" width="15.140625" style="62" customWidth="1"/>
    <col min="11284" max="11284" width="13.5703125" style="62" customWidth="1"/>
    <col min="11285" max="11285" width="13.140625" style="62" customWidth="1"/>
    <col min="11286" max="11286" width="15.7109375" style="62" customWidth="1"/>
    <col min="11287" max="11287" width="37.5703125" style="62" customWidth="1"/>
    <col min="11288" max="11509" width="11.42578125" style="62"/>
    <col min="11510" max="11510" width="10.5703125" style="62" customWidth="1"/>
    <col min="11511" max="11511" width="4.85546875" style="62" customWidth="1"/>
    <col min="11512" max="11512" width="32.42578125" style="62" customWidth="1"/>
    <col min="11513" max="11513" width="9.85546875" style="62" customWidth="1"/>
    <col min="11514" max="11514" width="10.140625" style="62" customWidth="1"/>
    <col min="11515" max="11515" width="12.28515625" style="62" customWidth="1"/>
    <col min="11516" max="11516" width="15.42578125" style="62" customWidth="1"/>
    <col min="11517" max="11517" width="11.85546875" style="62" customWidth="1"/>
    <col min="11518" max="11518" width="13.28515625" style="62" customWidth="1"/>
    <col min="11519" max="11519" width="15.28515625" style="62" customWidth="1"/>
    <col min="11520" max="11520" width="11.85546875" style="62" customWidth="1"/>
    <col min="11521" max="11521" width="6.140625" style="62" customWidth="1"/>
    <col min="11522" max="11522" width="11.85546875" style="62" customWidth="1"/>
    <col min="11523" max="11523" width="9.42578125" style="62" customWidth="1"/>
    <col min="11524" max="11524" width="14.7109375" style="62" customWidth="1"/>
    <col min="11525" max="11525" width="11.5703125" style="62" customWidth="1"/>
    <col min="11526" max="11526" width="0.42578125" style="62" customWidth="1"/>
    <col min="11527" max="11527" width="10.5703125" style="62" bestFit="1" customWidth="1"/>
    <col min="11528" max="11528" width="12.28515625" style="62" customWidth="1"/>
    <col min="11529" max="11529" width="12.5703125" style="62" customWidth="1"/>
    <col min="11530" max="11530" width="10.5703125" style="62" customWidth="1"/>
    <col min="11531" max="11531" width="10.140625" style="62" customWidth="1"/>
    <col min="11532" max="11532" width="8.42578125" style="62" customWidth="1"/>
    <col min="11533" max="11533" width="18.85546875" style="62" customWidth="1"/>
    <col min="11534" max="11534" width="10.28515625" style="62" customWidth="1"/>
    <col min="11535" max="11535" width="11.42578125" style="62"/>
    <col min="11536" max="11536" width="12.140625" style="62" customWidth="1"/>
    <col min="11537" max="11537" width="10.5703125" style="62" customWidth="1"/>
    <col min="11538" max="11538" width="12.42578125" style="62" customWidth="1"/>
    <col min="11539" max="11539" width="15.140625" style="62" customWidth="1"/>
    <col min="11540" max="11540" width="13.5703125" style="62" customWidth="1"/>
    <col min="11541" max="11541" width="13.140625" style="62" customWidth="1"/>
    <col min="11542" max="11542" width="15.7109375" style="62" customWidth="1"/>
    <col min="11543" max="11543" width="37.5703125" style="62" customWidth="1"/>
    <col min="11544" max="11765" width="11.42578125" style="62"/>
    <col min="11766" max="11766" width="10.5703125" style="62" customWidth="1"/>
    <col min="11767" max="11767" width="4.85546875" style="62" customWidth="1"/>
    <col min="11768" max="11768" width="32.42578125" style="62" customWidth="1"/>
    <col min="11769" max="11769" width="9.85546875" style="62" customWidth="1"/>
    <col min="11770" max="11770" width="10.140625" style="62" customWidth="1"/>
    <col min="11771" max="11771" width="12.28515625" style="62" customWidth="1"/>
    <col min="11772" max="11772" width="15.42578125" style="62" customWidth="1"/>
    <col min="11773" max="11773" width="11.85546875" style="62" customWidth="1"/>
    <col min="11774" max="11774" width="13.28515625" style="62" customWidth="1"/>
    <col min="11775" max="11775" width="15.28515625" style="62" customWidth="1"/>
    <col min="11776" max="11776" width="11.85546875" style="62" customWidth="1"/>
    <col min="11777" max="11777" width="6.140625" style="62" customWidth="1"/>
    <col min="11778" max="11778" width="11.85546875" style="62" customWidth="1"/>
    <col min="11779" max="11779" width="9.42578125" style="62" customWidth="1"/>
    <col min="11780" max="11780" width="14.7109375" style="62" customWidth="1"/>
    <col min="11781" max="11781" width="11.5703125" style="62" customWidth="1"/>
    <col min="11782" max="11782" width="0.42578125" style="62" customWidth="1"/>
    <col min="11783" max="11783" width="10.5703125" style="62" bestFit="1" customWidth="1"/>
    <col min="11784" max="11784" width="12.28515625" style="62" customWidth="1"/>
    <col min="11785" max="11785" width="12.5703125" style="62" customWidth="1"/>
    <col min="11786" max="11786" width="10.5703125" style="62" customWidth="1"/>
    <col min="11787" max="11787" width="10.140625" style="62" customWidth="1"/>
    <col min="11788" max="11788" width="8.42578125" style="62" customWidth="1"/>
    <col min="11789" max="11789" width="18.85546875" style="62" customWidth="1"/>
    <col min="11790" max="11790" width="10.28515625" style="62" customWidth="1"/>
    <col min="11791" max="11791" width="11.42578125" style="62"/>
    <col min="11792" max="11792" width="12.140625" style="62" customWidth="1"/>
    <col min="11793" max="11793" width="10.5703125" style="62" customWidth="1"/>
    <col min="11794" max="11794" width="12.42578125" style="62" customWidth="1"/>
    <col min="11795" max="11795" width="15.140625" style="62" customWidth="1"/>
    <col min="11796" max="11796" width="13.5703125" style="62" customWidth="1"/>
    <col min="11797" max="11797" width="13.140625" style="62" customWidth="1"/>
    <col min="11798" max="11798" width="15.7109375" style="62" customWidth="1"/>
    <col min="11799" max="11799" width="37.5703125" style="62" customWidth="1"/>
    <col min="11800" max="12021" width="11.42578125" style="62"/>
    <col min="12022" max="12022" width="10.5703125" style="62" customWidth="1"/>
    <col min="12023" max="12023" width="4.85546875" style="62" customWidth="1"/>
    <col min="12024" max="12024" width="32.42578125" style="62" customWidth="1"/>
    <col min="12025" max="12025" width="9.85546875" style="62" customWidth="1"/>
    <col min="12026" max="12026" width="10.140625" style="62" customWidth="1"/>
    <col min="12027" max="12027" width="12.28515625" style="62" customWidth="1"/>
    <col min="12028" max="12028" width="15.42578125" style="62" customWidth="1"/>
    <col min="12029" max="12029" width="11.85546875" style="62" customWidth="1"/>
    <col min="12030" max="12030" width="13.28515625" style="62" customWidth="1"/>
    <col min="12031" max="12031" width="15.28515625" style="62" customWidth="1"/>
    <col min="12032" max="12032" width="11.85546875" style="62" customWidth="1"/>
    <col min="12033" max="12033" width="6.140625" style="62" customWidth="1"/>
    <col min="12034" max="12034" width="11.85546875" style="62" customWidth="1"/>
    <col min="12035" max="12035" width="9.42578125" style="62" customWidth="1"/>
    <col min="12036" max="12036" width="14.7109375" style="62" customWidth="1"/>
    <col min="12037" max="12037" width="11.5703125" style="62" customWidth="1"/>
    <col min="12038" max="12038" width="0.42578125" style="62" customWidth="1"/>
    <col min="12039" max="12039" width="10.5703125" style="62" bestFit="1" customWidth="1"/>
    <col min="12040" max="12040" width="12.28515625" style="62" customWidth="1"/>
    <col min="12041" max="12041" width="12.5703125" style="62" customWidth="1"/>
    <col min="12042" max="12042" width="10.5703125" style="62" customWidth="1"/>
    <col min="12043" max="12043" width="10.140625" style="62" customWidth="1"/>
    <col min="12044" max="12044" width="8.42578125" style="62" customWidth="1"/>
    <col min="12045" max="12045" width="18.85546875" style="62" customWidth="1"/>
    <col min="12046" max="12046" width="10.28515625" style="62" customWidth="1"/>
    <col min="12047" max="12047" width="11.42578125" style="62"/>
    <col min="12048" max="12048" width="12.140625" style="62" customWidth="1"/>
    <col min="12049" max="12049" width="10.5703125" style="62" customWidth="1"/>
    <col min="12050" max="12050" width="12.42578125" style="62" customWidth="1"/>
    <col min="12051" max="12051" width="15.140625" style="62" customWidth="1"/>
    <col min="12052" max="12052" width="13.5703125" style="62" customWidth="1"/>
    <col min="12053" max="12053" width="13.140625" style="62" customWidth="1"/>
    <col min="12054" max="12054" width="15.7109375" style="62" customWidth="1"/>
    <col min="12055" max="12055" width="37.5703125" style="62" customWidth="1"/>
    <col min="12056" max="12277" width="11.42578125" style="62"/>
    <col min="12278" max="12278" width="10.5703125" style="62" customWidth="1"/>
    <col min="12279" max="12279" width="4.85546875" style="62" customWidth="1"/>
    <col min="12280" max="12280" width="32.42578125" style="62" customWidth="1"/>
    <col min="12281" max="12281" width="9.85546875" style="62" customWidth="1"/>
    <col min="12282" max="12282" width="10.140625" style="62" customWidth="1"/>
    <col min="12283" max="12283" width="12.28515625" style="62" customWidth="1"/>
    <col min="12284" max="12284" width="15.42578125" style="62" customWidth="1"/>
    <col min="12285" max="12285" width="11.85546875" style="62" customWidth="1"/>
    <col min="12286" max="12286" width="13.28515625" style="62" customWidth="1"/>
    <col min="12287" max="12287" width="15.28515625" style="62" customWidth="1"/>
    <col min="12288" max="12288" width="11.85546875" style="62" customWidth="1"/>
    <col min="12289" max="12289" width="6.140625" style="62" customWidth="1"/>
    <col min="12290" max="12290" width="11.85546875" style="62" customWidth="1"/>
    <col min="12291" max="12291" width="9.42578125" style="62" customWidth="1"/>
    <col min="12292" max="12292" width="14.7109375" style="62" customWidth="1"/>
    <col min="12293" max="12293" width="11.5703125" style="62" customWidth="1"/>
    <col min="12294" max="12294" width="0.42578125" style="62" customWidth="1"/>
    <col min="12295" max="12295" width="10.5703125" style="62" bestFit="1" customWidth="1"/>
    <col min="12296" max="12296" width="12.28515625" style="62" customWidth="1"/>
    <col min="12297" max="12297" width="12.5703125" style="62" customWidth="1"/>
    <col min="12298" max="12298" width="10.5703125" style="62" customWidth="1"/>
    <col min="12299" max="12299" width="10.140625" style="62" customWidth="1"/>
    <col min="12300" max="12300" width="8.42578125" style="62" customWidth="1"/>
    <col min="12301" max="12301" width="18.85546875" style="62" customWidth="1"/>
    <col min="12302" max="12302" width="10.28515625" style="62" customWidth="1"/>
    <col min="12303" max="12303" width="11.42578125" style="62"/>
    <col min="12304" max="12304" width="12.140625" style="62" customWidth="1"/>
    <col min="12305" max="12305" width="10.5703125" style="62" customWidth="1"/>
    <col min="12306" max="12306" width="12.42578125" style="62" customWidth="1"/>
    <col min="12307" max="12307" width="15.140625" style="62" customWidth="1"/>
    <col min="12308" max="12308" width="13.5703125" style="62" customWidth="1"/>
    <col min="12309" max="12309" width="13.140625" style="62" customWidth="1"/>
    <col min="12310" max="12310" width="15.7109375" style="62" customWidth="1"/>
    <col min="12311" max="12311" width="37.5703125" style="62" customWidth="1"/>
    <col min="12312" max="12533" width="11.42578125" style="62"/>
    <col min="12534" max="12534" width="10.5703125" style="62" customWidth="1"/>
    <col min="12535" max="12535" width="4.85546875" style="62" customWidth="1"/>
    <col min="12536" max="12536" width="32.42578125" style="62" customWidth="1"/>
    <col min="12537" max="12537" width="9.85546875" style="62" customWidth="1"/>
    <col min="12538" max="12538" width="10.140625" style="62" customWidth="1"/>
    <col min="12539" max="12539" width="12.28515625" style="62" customWidth="1"/>
    <col min="12540" max="12540" width="15.42578125" style="62" customWidth="1"/>
    <col min="12541" max="12541" width="11.85546875" style="62" customWidth="1"/>
    <col min="12542" max="12542" width="13.28515625" style="62" customWidth="1"/>
    <col min="12543" max="12543" width="15.28515625" style="62" customWidth="1"/>
    <col min="12544" max="12544" width="11.85546875" style="62" customWidth="1"/>
    <col min="12545" max="12545" width="6.140625" style="62" customWidth="1"/>
    <col min="12546" max="12546" width="11.85546875" style="62" customWidth="1"/>
    <col min="12547" max="12547" width="9.42578125" style="62" customWidth="1"/>
    <col min="12548" max="12548" width="14.7109375" style="62" customWidth="1"/>
    <col min="12549" max="12549" width="11.5703125" style="62" customWidth="1"/>
    <col min="12550" max="12550" width="0.42578125" style="62" customWidth="1"/>
    <col min="12551" max="12551" width="10.5703125" style="62" bestFit="1" customWidth="1"/>
    <col min="12552" max="12552" width="12.28515625" style="62" customWidth="1"/>
    <col min="12553" max="12553" width="12.5703125" style="62" customWidth="1"/>
    <col min="12554" max="12554" width="10.5703125" style="62" customWidth="1"/>
    <col min="12555" max="12555" width="10.140625" style="62" customWidth="1"/>
    <col min="12556" max="12556" width="8.42578125" style="62" customWidth="1"/>
    <col min="12557" max="12557" width="18.85546875" style="62" customWidth="1"/>
    <col min="12558" max="12558" width="10.28515625" style="62" customWidth="1"/>
    <col min="12559" max="12559" width="11.42578125" style="62"/>
    <col min="12560" max="12560" width="12.140625" style="62" customWidth="1"/>
    <col min="12561" max="12561" width="10.5703125" style="62" customWidth="1"/>
    <col min="12562" max="12562" width="12.42578125" style="62" customWidth="1"/>
    <col min="12563" max="12563" width="15.140625" style="62" customWidth="1"/>
    <col min="12564" max="12564" width="13.5703125" style="62" customWidth="1"/>
    <col min="12565" max="12565" width="13.140625" style="62" customWidth="1"/>
    <col min="12566" max="12566" width="15.7109375" style="62" customWidth="1"/>
    <col min="12567" max="12567" width="37.5703125" style="62" customWidth="1"/>
    <col min="12568" max="12789" width="11.42578125" style="62"/>
    <col min="12790" max="12790" width="10.5703125" style="62" customWidth="1"/>
    <col min="12791" max="12791" width="4.85546875" style="62" customWidth="1"/>
    <col min="12792" max="12792" width="32.42578125" style="62" customWidth="1"/>
    <col min="12793" max="12793" width="9.85546875" style="62" customWidth="1"/>
    <col min="12794" max="12794" width="10.140625" style="62" customWidth="1"/>
    <col min="12795" max="12795" width="12.28515625" style="62" customWidth="1"/>
    <col min="12796" max="12796" width="15.42578125" style="62" customWidth="1"/>
    <col min="12797" max="12797" width="11.85546875" style="62" customWidth="1"/>
    <col min="12798" max="12798" width="13.28515625" style="62" customWidth="1"/>
    <col min="12799" max="12799" width="15.28515625" style="62" customWidth="1"/>
    <col min="12800" max="12800" width="11.85546875" style="62" customWidth="1"/>
    <col min="12801" max="12801" width="6.140625" style="62" customWidth="1"/>
    <col min="12802" max="12802" width="11.85546875" style="62" customWidth="1"/>
    <col min="12803" max="12803" width="9.42578125" style="62" customWidth="1"/>
    <col min="12804" max="12804" width="14.7109375" style="62" customWidth="1"/>
    <col min="12805" max="12805" width="11.5703125" style="62" customWidth="1"/>
    <col min="12806" max="12806" width="0.42578125" style="62" customWidth="1"/>
    <col min="12807" max="12807" width="10.5703125" style="62" bestFit="1" customWidth="1"/>
    <col min="12808" max="12808" width="12.28515625" style="62" customWidth="1"/>
    <col min="12809" max="12809" width="12.5703125" style="62" customWidth="1"/>
    <col min="12810" max="12810" width="10.5703125" style="62" customWidth="1"/>
    <col min="12811" max="12811" width="10.140625" style="62" customWidth="1"/>
    <col min="12812" max="12812" width="8.42578125" style="62" customWidth="1"/>
    <col min="12813" max="12813" width="18.85546875" style="62" customWidth="1"/>
    <col min="12814" max="12814" width="10.28515625" style="62" customWidth="1"/>
    <col min="12815" max="12815" width="11.42578125" style="62"/>
    <col min="12816" max="12816" width="12.140625" style="62" customWidth="1"/>
    <col min="12817" max="12817" width="10.5703125" style="62" customWidth="1"/>
    <col min="12818" max="12818" width="12.42578125" style="62" customWidth="1"/>
    <col min="12819" max="12819" width="15.140625" style="62" customWidth="1"/>
    <col min="12820" max="12820" width="13.5703125" style="62" customWidth="1"/>
    <col min="12821" max="12821" width="13.140625" style="62" customWidth="1"/>
    <col min="12822" max="12822" width="15.7109375" style="62" customWidth="1"/>
    <col min="12823" max="12823" width="37.5703125" style="62" customWidth="1"/>
    <col min="12824" max="13045" width="11.42578125" style="62"/>
    <col min="13046" max="13046" width="10.5703125" style="62" customWidth="1"/>
    <col min="13047" max="13047" width="4.85546875" style="62" customWidth="1"/>
    <col min="13048" max="13048" width="32.42578125" style="62" customWidth="1"/>
    <col min="13049" max="13049" width="9.85546875" style="62" customWidth="1"/>
    <col min="13050" max="13050" width="10.140625" style="62" customWidth="1"/>
    <col min="13051" max="13051" width="12.28515625" style="62" customWidth="1"/>
    <col min="13052" max="13052" width="15.42578125" style="62" customWidth="1"/>
    <col min="13053" max="13053" width="11.85546875" style="62" customWidth="1"/>
    <col min="13054" max="13054" width="13.28515625" style="62" customWidth="1"/>
    <col min="13055" max="13055" width="15.28515625" style="62" customWidth="1"/>
    <col min="13056" max="13056" width="11.85546875" style="62" customWidth="1"/>
    <col min="13057" max="13057" width="6.140625" style="62" customWidth="1"/>
    <col min="13058" max="13058" width="11.85546875" style="62" customWidth="1"/>
    <col min="13059" max="13059" width="9.42578125" style="62" customWidth="1"/>
    <col min="13060" max="13060" width="14.7109375" style="62" customWidth="1"/>
    <col min="13061" max="13061" width="11.5703125" style="62" customWidth="1"/>
    <col min="13062" max="13062" width="0.42578125" style="62" customWidth="1"/>
    <col min="13063" max="13063" width="10.5703125" style="62" bestFit="1" customWidth="1"/>
    <col min="13064" max="13064" width="12.28515625" style="62" customWidth="1"/>
    <col min="13065" max="13065" width="12.5703125" style="62" customWidth="1"/>
    <col min="13066" max="13066" width="10.5703125" style="62" customWidth="1"/>
    <col min="13067" max="13067" width="10.140625" style="62" customWidth="1"/>
    <col min="13068" max="13068" width="8.42578125" style="62" customWidth="1"/>
    <col min="13069" max="13069" width="18.85546875" style="62" customWidth="1"/>
    <col min="13070" max="13070" width="10.28515625" style="62" customWidth="1"/>
    <col min="13071" max="13071" width="11.42578125" style="62"/>
    <col min="13072" max="13072" width="12.140625" style="62" customWidth="1"/>
    <col min="13073" max="13073" width="10.5703125" style="62" customWidth="1"/>
    <col min="13074" max="13074" width="12.42578125" style="62" customWidth="1"/>
    <col min="13075" max="13075" width="15.140625" style="62" customWidth="1"/>
    <col min="13076" max="13076" width="13.5703125" style="62" customWidth="1"/>
    <col min="13077" max="13077" width="13.140625" style="62" customWidth="1"/>
    <col min="13078" max="13078" width="15.7109375" style="62" customWidth="1"/>
    <col min="13079" max="13079" width="37.5703125" style="62" customWidth="1"/>
    <col min="13080" max="13301" width="11.42578125" style="62"/>
    <col min="13302" max="13302" width="10.5703125" style="62" customWidth="1"/>
    <col min="13303" max="13303" width="4.85546875" style="62" customWidth="1"/>
    <col min="13304" max="13304" width="32.42578125" style="62" customWidth="1"/>
    <col min="13305" max="13305" width="9.85546875" style="62" customWidth="1"/>
    <col min="13306" max="13306" width="10.140625" style="62" customWidth="1"/>
    <col min="13307" max="13307" width="12.28515625" style="62" customWidth="1"/>
    <col min="13308" max="13308" width="15.42578125" style="62" customWidth="1"/>
    <col min="13309" max="13309" width="11.85546875" style="62" customWidth="1"/>
    <col min="13310" max="13310" width="13.28515625" style="62" customWidth="1"/>
    <col min="13311" max="13311" width="15.28515625" style="62" customWidth="1"/>
    <col min="13312" max="13312" width="11.85546875" style="62" customWidth="1"/>
    <col min="13313" max="13313" width="6.140625" style="62" customWidth="1"/>
    <col min="13314" max="13314" width="11.85546875" style="62" customWidth="1"/>
    <col min="13315" max="13315" width="9.42578125" style="62" customWidth="1"/>
    <col min="13316" max="13316" width="14.7109375" style="62" customWidth="1"/>
    <col min="13317" max="13317" width="11.5703125" style="62" customWidth="1"/>
    <col min="13318" max="13318" width="0.42578125" style="62" customWidth="1"/>
    <col min="13319" max="13319" width="10.5703125" style="62" bestFit="1" customWidth="1"/>
    <col min="13320" max="13320" width="12.28515625" style="62" customWidth="1"/>
    <col min="13321" max="13321" width="12.5703125" style="62" customWidth="1"/>
    <col min="13322" max="13322" width="10.5703125" style="62" customWidth="1"/>
    <col min="13323" max="13323" width="10.140625" style="62" customWidth="1"/>
    <col min="13324" max="13324" width="8.42578125" style="62" customWidth="1"/>
    <col min="13325" max="13325" width="18.85546875" style="62" customWidth="1"/>
    <col min="13326" max="13326" width="10.28515625" style="62" customWidth="1"/>
    <col min="13327" max="13327" width="11.42578125" style="62"/>
    <col min="13328" max="13328" width="12.140625" style="62" customWidth="1"/>
    <col min="13329" max="13329" width="10.5703125" style="62" customWidth="1"/>
    <col min="13330" max="13330" width="12.42578125" style="62" customWidth="1"/>
    <col min="13331" max="13331" width="15.140625" style="62" customWidth="1"/>
    <col min="13332" max="13332" width="13.5703125" style="62" customWidth="1"/>
    <col min="13333" max="13333" width="13.140625" style="62" customWidth="1"/>
    <col min="13334" max="13334" width="15.7109375" style="62" customWidth="1"/>
    <col min="13335" max="13335" width="37.5703125" style="62" customWidth="1"/>
    <col min="13336" max="13557" width="11.42578125" style="62"/>
    <col min="13558" max="13558" width="10.5703125" style="62" customWidth="1"/>
    <col min="13559" max="13559" width="4.85546875" style="62" customWidth="1"/>
    <col min="13560" max="13560" width="32.42578125" style="62" customWidth="1"/>
    <col min="13561" max="13561" width="9.85546875" style="62" customWidth="1"/>
    <col min="13562" max="13562" width="10.140625" style="62" customWidth="1"/>
    <col min="13563" max="13563" width="12.28515625" style="62" customWidth="1"/>
    <col min="13564" max="13564" width="15.42578125" style="62" customWidth="1"/>
    <col min="13565" max="13565" width="11.85546875" style="62" customWidth="1"/>
    <col min="13566" max="13566" width="13.28515625" style="62" customWidth="1"/>
    <col min="13567" max="13567" width="15.28515625" style="62" customWidth="1"/>
    <col min="13568" max="13568" width="11.85546875" style="62" customWidth="1"/>
    <col min="13569" max="13569" width="6.140625" style="62" customWidth="1"/>
    <col min="13570" max="13570" width="11.85546875" style="62" customWidth="1"/>
    <col min="13571" max="13571" width="9.42578125" style="62" customWidth="1"/>
    <col min="13572" max="13572" width="14.7109375" style="62" customWidth="1"/>
    <col min="13573" max="13573" width="11.5703125" style="62" customWidth="1"/>
    <col min="13574" max="13574" width="0.42578125" style="62" customWidth="1"/>
    <col min="13575" max="13575" width="10.5703125" style="62" bestFit="1" customWidth="1"/>
    <col min="13576" max="13576" width="12.28515625" style="62" customWidth="1"/>
    <col min="13577" max="13577" width="12.5703125" style="62" customWidth="1"/>
    <col min="13578" max="13578" width="10.5703125" style="62" customWidth="1"/>
    <col min="13579" max="13579" width="10.140625" style="62" customWidth="1"/>
    <col min="13580" max="13580" width="8.42578125" style="62" customWidth="1"/>
    <col min="13581" max="13581" width="18.85546875" style="62" customWidth="1"/>
    <col min="13582" max="13582" width="10.28515625" style="62" customWidth="1"/>
    <col min="13583" max="13583" width="11.42578125" style="62"/>
    <col min="13584" max="13584" width="12.140625" style="62" customWidth="1"/>
    <col min="13585" max="13585" width="10.5703125" style="62" customWidth="1"/>
    <col min="13586" max="13586" width="12.42578125" style="62" customWidth="1"/>
    <col min="13587" max="13587" width="15.140625" style="62" customWidth="1"/>
    <col min="13588" max="13588" width="13.5703125" style="62" customWidth="1"/>
    <col min="13589" max="13589" width="13.140625" style="62" customWidth="1"/>
    <col min="13590" max="13590" width="15.7109375" style="62" customWidth="1"/>
    <col min="13591" max="13591" width="37.5703125" style="62" customWidth="1"/>
    <col min="13592" max="13813" width="11.42578125" style="62"/>
    <col min="13814" max="13814" width="10.5703125" style="62" customWidth="1"/>
    <col min="13815" max="13815" width="4.85546875" style="62" customWidth="1"/>
    <col min="13816" max="13816" width="32.42578125" style="62" customWidth="1"/>
    <col min="13817" max="13817" width="9.85546875" style="62" customWidth="1"/>
    <col min="13818" max="13818" width="10.140625" style="62" customWidth="1"/>
    <col min="13819" max="13819" width="12.28515625" style="62" customWidth="1"/>
    <col min="13820" max="13820" width="15.42578125" style="62" customWidth="1"/>
    <col min="13821" max="13821" width="11.85546875" style="62" customWidth="1"/>
    <col min="13822" max="13822" width="13.28515625" style="62" customWidth="1"/>
    <col min="13823" max="13823" width="15.28515625" style="62" customWidth="1"/>
    <col min="13824" max="13824" width="11.85546875" style="62" customWidth="1"/>
    <col min="13825" max="13825" width="6.140625" style="62" customWidth="1"/>
    <col min="13826" max="13826" width="11.85546875" style="62" customWidth="1"/>
    <col min="13827" max="13827" width="9.42578125" style="62" customWidth="1"/>
    <col min="13828" max="13828" width="14.7109375" style="62" customWidth="1"/>
    <col min="13829" max="13829" width="11.5703125" style="62" customWidth="1"/>
    <col min="13830" max="13830" width="0.42578125" style="62" customWidth="1"/>
    <col min="13831" max="13831" width="10.5703125" style="62" bestFit="1" customWidth="1"/>
    <col min="13832" max="13832" width="12.28515625" style="62" customWidth="1"/>
    <col min="13833" max="13833" width="12.5703125" style="62" customWidth="1"/>
    <col min="13834" max="13834" width="10.5703125" style="62" customWidth="1"/>
    <col min="13835" max="13835" width="10.140625" style="62" customWidth="1"/>
    <col min="13836" max="13836" width="8.42578125" style="62" customWidth="1"/>
    <col min="13837" max="13837" width="18.85546875" style="62" customWidth="1"/>
    <col min="13838" max="13838" width="10.28515625" style="62" customWidth="1"/>
    <col min="13839" max="13839" width="11.42578125" style="62"/>
    <col min="13840" max="13840" width="12.140625" style="62" customWidth="1"/>
    <col min="13841" max="13841" width="10.5703125" style="62" customWidth="1"/>
    <col min="13842" max="13842" width="12.42578125" style="62" customWidth="1"/>
    <col min="13843" max="13843" width="15.140625" style="62" customWidth="1"/>
    <col min="13844" max="13844" width="13.5703125" style="62" customWidth="1"/>
    <col min="13845" max="13845" width="13.140625" style="62" customWidth="1"/>
    <col min="13846" max="13846" width="15.7109375" style="62" customWidth="1"/>
    <col min="13847" max="13847" width="37.5703125" style="62" customWidth="1"/>
    <col min="13848" max="14069" width="11.42578125" style="62"/>
    <col min="14070" max="14070" width="10.5703125" style="62" customWidth="1"/>
    <col min="14071" max="14071" width="4.85546875" style="62" customWidth="1"/>
    <col min="14072" max="14072" width="32.42578125" style="62" customWidth="1"/>
    <col min="14073" max="14073" width="9.85546875" style="62" customWidth="1"/>
    <col min="14074" max="14074" width="10.140625" style="62" customWidth="1"/>
    <col min="14075" max="14075" width="12.28515625" style="62" customWidth="1"/>
    <col min="14076" max="14076" width="15.42578125" style="62" customWidth="1"/>
    <col min="14077" max="14077" width="11.85546875" style="62" customWidth="1"/>
    <col min="14078" max="14078" width="13.28515625" style="62" customWidth="1"/>
    <col min="14079" max="14079" width="15.28515625" style="62" customWidth="1"/>
    <col min="14080" max="14080" width="11.85546875" style="62" customWidth="1"/>
    <col min="14081" max="14081" width="6.140625" style="62" customWidth="1"/>
    <col min="14082" max="14082" width="11.85546875" style="62" customWidth="1"/>
    <col min="14083" max="14083" width="9.42578125" style="62" customWidth="1"/>
    <col min="14084" max="14084" width="14.7109375" style="62" customWidth="1"/>
    <col min="14085" max="14085" width="11.5703125" style="62" customWidth="1"/>
    <col min="14086" max="14086" width="0.42578125" style="62" customWidth="1"/>
    <col min="14087" max="14087" width="10.5703125" style="62" bestFit="1" customWidth="1"/>
    <col min="14088" max="14088" width="12.28515625" style="62" customWidth="1"/>
    <col min="14089" max="14089" width="12.5703125" style="62" customWidth="1"/>
    <col min="14090" max="14090" width="10.5703125" style="62" customWidth="1"/>
    <col min="14091" max="14091" width="10.140625" style="62" customWidth="1"/>
    <col min="14092" max="14092" width="8.42578125" style="62" customWidth="1"/>
    <col min="14093" max="14093" width="18.85546875" style="62" customWidth="1"/>
    <col min="14094" max="14094" width="10.28515625" style="62" customWidth="1"/>
    <col min="14095" max="14095" width="11.42578125" style="62"/>
    <col min="14096" max="14096" width="12.140625" style="62" customWidth="1"/>
    <col min="14097" max="14097" width="10.5703125" style="62" customWidth="1"/>
    <col min="14098" max="14098" width="12.42578125" style="62" customWidth="1"/>
    <col min="14099" max="14099" width="15.140625" style="62" customWidth="1"/>
    <col min="14100" max="14100" width="13.5703125" style="62" customWidth="1"/>
    <col min="14101" max="14101" width="13.140625" style="62" customWidth="1"/>
    <col min="14102" max="14102" width="15.7109375" style="62" customWidth="1"/>
    <col min="14103" max="14103" width="37.5703125" style="62" customWidth="1"/>
    <col min="14104" max="14325" width="11.42578125" style="62"/>
    <col min="14326" max="14326" width="10.5703125" style="62" customWidth="1"/>
    <col min="14327" max="14327" width="4.85546875" style="62" customWidth="1"/>
    <col min="14328" max="14328" width="32.42578125" style="62" customWidth="1"/>
    <col min="14329" max="14329" width="9.85546875" style="62" customWidth="1"/>
    <col min="14330" max="14330" width="10.140625" style="62" customWidth="1"/>
    <col min="14331" max="14331" width="12.28515625" style="62" customWidth="1"/>
    <col min="14332" max="14332" width="15.42578125" style="62" customWidth="1"/>
    <col min="14333" max="14333" width="11.85546875" style="62" customWidth="1"/>
    <col min="14334" max="14334" width="13.28515625" style="62" customWidth="1"/>
    <col min="14335" max="14335" width="15.28515625" style="62" customWidth="1"/>
    <col min="14336" max="14336" width="11.85546875" style="62" customWidth="1"/>
    <col min="14337" max="14337" width="6.140625" style="62" customWidth="1"/>
    <col min="14338" max="14338" width="11.85546875" style="62" customWidth="1"/>
    <col min="14339" max="14339" width="9.42578125" style="62" customWidth="1"/>
    <col min="14340" max="14340" width="14.7109375" style="62" customWidth="1"/>
    <col min="14341" max="14341" width="11.5703125" style="62" customWidth="1"/>
    <col min="14342" max="14342" width="0.42578125" style="62" customWidth="1"/>
    <col min="14343" max="14343" width="10.5703125" style="62" bestFit="1" customWidth="1"/>
    <col min="14344" max="14344" width="12.28515625" style="62" customWidth="1"/>
    <col min="14345" max="14345" width="12.5703125" style="62" customWidth="1"/>
    <col min="14346" max="14346" width="10.5703125" style="62" customWidth="1"/>
    <col min="14347" max="14347" width="10.140625" style="62" customWidth="1"/>
    <col min="14348" max="14348" width="8.42578125" style="62" customWidth="1"/>
    <col min="14349" max="14349" width="18.85546875" style="62" customWidth="1"/>
    <col min="14350" max="14350" width="10.28515625" style="62" customWidth="1"/>
    <col min="14351" max="14351" width="11.42578125" style="62"/>
    <col min="14352" max="14352" width="12.140625" style="62" customWidth="1"/>
    <col min="14353" max="14353" width="10.5703125" style="62" customWidth="1"/>
    <col min="14354" max="14354" width="12.42578125" style="62" customWidth="1"/>
    <col min="14355" max="14355" width="15.140625" style="62" customWidth="1"/>
    <col min="14356" max="14356" width="13.5703125" style="62" customWidth="1"/>
    <col min="14357" max="14357" width="13.140625" style="62" customWidth="1"/>
    <col min="14358" max="14358" width="15.7109375" style="62" customWidth="1"/>
    <col min="14359" max="14359" width="37.5703125" style="62" customWidth="1"/>
    <col min="14360" max="14581" width="11.42578125" style="62"/>
    <col min="14582" max="14582" width="10.5703125" style="62" customWidth="1"/>
    <col min="14583" max="14583" width="4.85546875" style="62" customWidth="1"/>
    <col min="14584" max="14584" width="32.42578125" style="62" customWidth="1"/>
    <col min="14585" max="14585" width="9.85546875" style="62" customWidth="1"/>
    <col min="14586" max="14586" width="10.140625" style="62" customWidth="1"/>
    <col min="14587" max="14587" width="12.28515625" style="62" customWidth="1"/>
    <col min="14588" max="14588" width="15.42578125" style="62" customWidth="1"/>
    <col min="14589" max="14589" width="11.85546875" style="62" customWidth="1"/>
    <col min="14590" max="14590" width="13.28515625" style="62" customWidth="1"/>
    <col min="14591" max="14591" width="15.28515625" style="62" customWidth="1"/>
    <col min="14592" max="14592" width="11.85546875" style="62" customWidth="1"/>
    <col min="14593" max="14593" width="6.140625" style="62" customWidth="1"/>
    <col min="14594" max="14594" width="11.85546875" style="62" customWidth="1"/>
    <col min="14595" max="14595" width="9.42578125" style="62" customWidth="1"/>
    <col min="14596" max="14596" width="14.7109375" style="62" customWidth="1"/>
    <col min="14597" max="14597" width="11.5703125" style="62" customWidth="1"/>
    <col min="14598" max="14598" width="0.42578125" style="62" customWidth="1"/>
    <col min="14599" max="14599" width="10.5703125" style="62" bestFit="1" customWidth="1"/>
    <col min="14600" max="14600" width="12.28515625" style="62" customWidth="1"/>
    <col min="14601" max="14601" width="12.5703125" style="62" customWidth="1"/>
    <col min="14602" max="14602" width="10.5703125" style="62" customWidth="1"/>
    <col min="14603" max="14603" width="10.140625" style="62" customWidth="1"/>
    <col min="14604" max="14604" width="8.42578125" style="62" customWidth="1"/>
    <col min="14605" max="14605" width="18.85546875" style="62" customWidth="1"/>
    <col min="14606" max="14606" width="10.28515625" style="62" customWidth="1"/>
    <col min="14607" max="14607" width="11.42578125" style="62"/>
    <col min="14608" max="14608" width="12.140625" style="62" customWidth="1"/>
    <col min="14609" max="14609" width="10.5703125" style="62" customWidth="1"/>
    <col min="14610" max="14610" width="12.42578125" style="62" customWidth="1"/>
    <col min="14611" max="14611" width="15.140625" style="62" customWidth="1"/>
    <col min="14612" max="14612" width="13.5703125" style="62" customWidth="1"/>
    <col min="14613" max="14613" width="13.140625" style="62" customWidth="1"/>
    <col min="14614" max="14614" width="15.7109375" style="62" customWidth="1"/>
    <col min="14615" max="14615" width="37.5703125" style="62" customWidth="1"/>
    <col min="14616" max="14837" width="11.42578125" style="62"/>
    <col min="14838" max="14838" width="10.5703125" style="62" customWidth="1"/>
    <col min="14839" max="14839" width="4.85546875" style="62" customWidth="1"/>
    <col min="14840" max="14840" width="32.42578125" style="62" customWidth="1"/>
    <col min="14841" max="14841" width="9.85546875" style="62" customWidth="1"/>
    <col min="14842" max="14842" width="10.140625" style="62" customWidth="1"/>
    <col min="14843" max="14843" width="12.28515625" style="62" customWidth="1"/>
    <col min="14844" max="14844" width="15.42578125" style="62" customWidth="1"/>
    <col min="14845" max="14845" width="11.85546875" style="62" customWidth="1"/>
    <col min="14846" max="14846" width="13.28515625" style="62" customWidth="1"/>
    <col min="14847" max="14847" width="15.28515625" style="62" customWidth="1"/>
    <col min="14848" max="14848" width="11.85546875" style="62" customWidth="1"/>
    <col min="14849" max="14849" width="6.140625" style="62" customWidth="1"/>
    <col min="14850" max="14850" width="11.85546875" style="62" customWidth="1"/>
    <col min="14851" max="14851" width="9.42578125" style="62" customWidth="1"/>
    <col min="14852" max="14852" width="14.7109375" style="62" customWidth="1"/>
    <col min="14853" max="14853" width="11.5703125" style="62" customWidth="1"/>
    <col min="14854" max="14854" width="0.42578125" style="62" customWidth="1"/>
    <col min="14855" max="14855" width="10.5703125" style="62" bestFit="1" customWidth="1"/>
    <col min="14856" max="14856" width="12.28515625" style="62" customWidth="1"/>
    <col min="14857" max="14857" width="12.5703125" style="62" customWidth="1"/>
    <col min="14858" max="14858" width="10.5703125" style="62" customWidth="1"/>
    <col min="14859" max="14859" width="10.140625" style="62" customWidth="1"/>
    <col min="14860" max="14860" width="8.42578125" style="62" customWidth="1"/>
    <col min="14861" max="14861" width="18.85546875" style="62" customWidth="1"/>
    <col min="14862" max="14862" width="10.28515625" style="62" customWidth="1"/>
    <col min="14863" max="14863" width="11.42578125" style="62"/>
    <col min="14864" max="14864" width="12.140625" style="62" customWidth="1"/>
    <col min="14865" max="14865" width="10.5703125" style="62" customWidth="1"/>
    <col min="14866" max="14866" width="12.42578125" style="62" customWidth="1"/>
    <col min="14867" max="14867" width="15.140625" style="62" customWidth="1"/>
    <col min="14868" max="14868" width="13.5703125" style="62" customWidth="1"/>
    <col min="14869" max="14869" width="13.140625" style="62" customWidth="1"/>
    <col min="14870" max="14870" width="15.7109375" style="62" customWidth="1"/>
    <col min="14871" max="14871" width="37.5703125" style="62" customWidth="1"/>
    <col min="14872" max="15093" width="11.42578125" style="62"/>
    <col min="15094" max="15094" width="10.5703125" style="62" customWidth="1"/>
    <col min="15095" max="15095" width="4.85546875" style="62" customWidth="1"/>
    <col min="15096" max="15096" width="32.42578125" style="62" customWidth="1"/>
    <col min="15097" max="15097" width="9.85546875" style="62" customWidth="1"/>
    <col min="15098" max="15098" width="10.140625" style="62" customWidth="1"/>
    <col min="15099" max="15099" width="12.28515625" style="62" customWidth="1"/>
    <col min="15100" max="15100" width="15.42578125" style="62" customWidth="1"/>
    <col min="15101" max="15101" width="11.85546875" style="62" customWidth="1"/>
    <col min="15102" max="15102" width="13.28515625" style="62" customWidth="1"/>
    <col min="15103" max="15103" width="15.28515625" style="62" customWidth="1"/>
    <col min="15104" max="15104" width="11.85546875" style="62" customWidth="1"/>
    <col min="15105" max="15105" width="6.140625" style="62" customWidth="1"/>
    <col min="15106" max="15106" width="11.85546875" style="62" customWidth="1"/>
    <col min="15107" max="15107" width="9.42578125" style="62" customWidth="1"/>
    <col min="15108" max="15108" width="14.7109375" style="62" customWidth="1"/>
    <col min="15109" max="15109" width="11.5703125" style="62" customWidth="1"/>
    <col min="15110" max="15110" width="0.42578125" style="62" customWidth="1"/>
    <col min="15111" max="15111" width="10.5703125" style="62" bestFit="1" customWidth="1"/>
    <col min="15112" max="15112" width="12.28515625" style="62" customWidth="1"/>
    <col min="15113" max="15113" width="12.5703125" style="62" customWidth="1"/>
    <col min="15114" max="15114" width="10.5703125" style="62" customWidth="1"/>
    <col min="15115" max="15115" width="10.140625" style="62" customWidth="1"/>
    <col min="15116" max="15116" width="8.42578125" style="62" customWidth="1"/>
    <col min="15117" max="15117" width="18.85546875" style="62" customWidth="1"/>
    <col min="15118" max="15118" width="10.28515625" style="62" customWidth="1"/>
    <col min="15119" max="15119" width="11.42578125" style="62"/>
    <col min="15120" max="15120" width="12.140625" style="62" customWidth="1"/>
    <col min="15121" max="15121" width="10.5703125" style="62" customWidth="1"/>
    <col min="15122" max="15122" width="12.42578125" style="62" customWidth="1"/>
    <col min="15123" max="15123" width="15.140625" style="62" customWidth="1"/>
    <col min="15124" max="15124" width="13.5703125" style="62" customWidth="1"/>
    <col min="15125" max="15125" width="13.140625" style="62" customWidth="1"/>
    <col min="15126" max="15126" width="15.7109375" style="62" customWidth="1"/>
    <col min="15127" max="15127" width="37.5703125" style="62" customWidth="1"/>
    <col min="15128" max="15349" width="11.42578125" style="62"/>
    <col min="15350" max="15350" width="10.5703125" style="62" customWidth="1"/>
    <col min="15351" max="15351" width="4.85546875" style="62" customWidth="1"/>
    <col min="15352" max="15352" width="32.42578125" style="62" customWidth="1"/>
    <col min="15353" max="15353" width="9.85546875" style="62" customWidth="1"/>
    <col min="15354" max="15354" width="10.140625" style="62" customWidth="1"/>
    <col min="15355" max="15355" width="12.28515625" style="62" customWidth="1"/>
    <col min="15356" max="15356" width="15.42578125" style="62" customWidth="1"/>
    <col min="15357" max="15357" width="11.85546875" style="62" customWidth="1"/>
    <col min="15358" max="15358" width="13.28515625" style="62" customWidth="1"/>
    <col min="15359" max="15359" width="15.28515625" style="62" customWidth="1"/>
    <col min="15360" max="15360" width="11.85546875" style="62" customWidth="1"/>
    <col min="15361" max="15361" width="6.140625" style="62" customWidth="1"/>
    <col min="15362" max="15362" width="11.85546875" style="62" customWidth="1"/>
    <col min="15363" max="15363" width="9.42578125" style="62" customWidth="1"/>
    <col min="15364" max="15364" width="14.7109375" style="62" customWidth="1"/>
    <col min="15365" max="15365" width="11.5703125" style="62" customWidth="1"/>
    <col min="15366" max="15366" width="0.42578125" style="62" customWidth="1"/>
    <col min="15367" max="15367" width="10.5703125" style="62" bestFit="1" customWidth="1"/>
    <col min="15368" max="15368" width="12.28515625" style="62" customWidth="1"/>
    <col min="15369" max="15369" width="12.5703125" style="62" customWidth="1"/>
    <col min="15370" max="15370" width="10.5703125" style="62" customWidth="1"/>
    <col min="15371" max="15371" width="10.140625" style="62" customWidth="1"/>
    <col min="15372" max="15372" width="8.42578125" style="62" customWidth="1"/>
    <col min="15373" max="15373" width="18.85546875" style="62" customWidth="1"/>
    <col min="15374" max="15374" width="10.28515625" style="62" customWidth="1"/>
    <col min="15375" max="15375" width="11.42578125" style="62"/>
    <col min="15376" max="15376" width="12.140625" style="62" customWidth="1"/>
    <col min="15377" max="15377" width="10.5703125" style="62" customWidth="1"/>
    <col min="15378" max="15378" width="12.42578125" style="62" customWidth="1"/>
    <col min="15379" max="15379" width="15.140625" style="62" customWidth="1"/>
    <col min="15380" max="15380" width="13.5703125" style="62" customWidth="1"/>
    <col min="15381" max="15381" width="13.140625" style="62" customWidth="1"/>
    <col min="15382" max="15382" width="15.7109375" style="62" customWidth="1"/>
    <col min="15383" max="15383" width="37.5703125" style="62" customWidth="1"/>
    <col min="15384" max="15605" width="11.42578125" style="62"/>
    <col min="15606" max="15606" width="10.5703125" style="62" customWidth="1"/>
    <col min="15607" max="15607" width="4.85546875" style="62" customWidth="1"/>
    <col min="15608" max="15608" width="32.42578125" style="62" customWidth="1"/>
    <col min="15609" max="15609" width="9.85546875" style="62" customWidth="1"/>
    <col min="15610" max="15610" width="10.140625" style="62" customWidth="1"/>
    <col min="15611" max="15611" width="12.28515625" style="62" customWidth="1"/>
    <col min="15612" max="15612" width="15.42578125" style="62" customWidth="1"/>
    <col min="15613" max="15613" width="11.85546875" style="62" customWidth="1"/>
    <col min="15614" max="15614" width="13.28515625" style="62" customWidth="1"/>
    <col min="15615" max="15615" width="15.28515625" style="62" customWidth="1"/>
    <col min="15616" max="15616" width="11.85546875" style="62" customWidth="1"/>
    <col min="15617" max="15617" width="6.140625" style="62" customWidth="1"/>
    <col min="15618" max="15618" width="11.85546875" style="62" customWidth="1"/>
    <col min="15619" max="15619" width="9.42578125" style="62" customWidth="1"/>
    <col min="15620" max="15620" width="14.7109375" style="62" customWidth="1"/>
    <col min="15621" max="15621" width="11.5703125" style="62" customWidth="1"/>
    <col min="15622" max="15622" width="0.42578125" style="62" customWidth="1"/>
    <col min="15623" max="15623" width="10.5703125" style="62" bestFit="1" customWidth="1"/>
    <col min="15624" max="15624" width="12.28515625" style="62" customWidth="1"/>
    <col min="15625" max="15625" width="12.5703125" style="62" customWidth="1"/>
    <col min="15626" max="15626" width="10.5703125" style="62" customWidth="1"/>
    <col min="15627" max="15627" width="10.140625" style="62" customWidth="1"/>
    <col min="15628" max="15628" width="8.42578125" style="62" customWidth="1"/>
    <col min="15629" max="15629" width="18.85546875" style="62" customWidth="1"/>
    <col min="15630" max="15630" width="10.28515625" style="62" customWidth="1"/>
    <col min="15631" max="15631" width="11.42578125" style="62"/>
    <col min="15632" max="15632" width="12.140625" style="62" customWidth="1"/>
    <col min="15633" max="15633" width="10.5703125" style="62" customWidth="1"/>
    <col min="15634" max="15634" width="12.42578125" style="62" customWidth="1"/>
    <col min="15635" max="15635" width="15.140625" style="62" customWidth="1"/>
    <col min="15636" max="15636" width="13.5703125" style="62" customWidth="1"/>
    <col min="15637" max="15637" width="13.140625" style="62" customWidth="1"/>
    <col min="15638" max="15638" width="15.7109375" style="62" customWidth="1"/>
    <col min="15639" max="15639" width="37.5703125" style="62" customWidth="1"/>
    <col min="15640" max="15861" width="11.42578125" style="62"/>
    <col min="15862" max="15862" width="10.5703125" style="62" customWidth="1"/>
    <col min="15863" max="15863" width="4.85546875" style="62" customWidth="1"/>
    <col min="15864" max="15864" width="32.42578125" style="62" customWidth="1"/>
    <col min="15865" max="15865" width="9.85546875" style="62" customWidth="1"/>
    <col min="15866" max="15866" width="10.140625" style="62" customWidth="1"/>
    <col min="15867" max="15867" width="12.28515625" style="62" customWidth="1"/>
    <col min="15868" max="15868" width="15.42578125" style="62" customWidth="1"/>
    <col min="15869" max="15869" width="11.85546875" style="62" customWidth="1"/>
    <col min="15870" max="15870" width="13.28515625" style="62" customWidth="1"/>
    <col min="15871" max="15871" width="15.28515625" style="62" customWidth="1"/>
    <col min="15872" max="15872" width="11.85546875" style="62" customWidth="1"/>
    <col min="15873" max="15873" width="6.140625" style="62" customWidth="1"/>
    <col min="15874" max="15874" width="11.85546875" style="62" customWidth="1"/>
    <col min="15875" max="15875" width="9.42578125" style="62" customWidth="1"/>
    <col min="15876" max="15876" width="14.7109375" style="62" customWidth="1"/>
    <col min="15877" max="15877" width="11.5703125" style="62" customWidth="1"/>
    <col min="15878" max="15878" width="0.42578125" style="62" customWidth="1"/>
    <col min="15879" max="15879" width="10.5703125" style="62" bestFit="1" customWidth="1"/>
    <col min="15880" max="15880" width="12.28515625" style="62" customWidth="1"/>
    <col min="15881" max="15881" width="12.5703125" style="62" customWidth="1"/>
    <col min="15882" max="15882" width="10.5703125" style="62" customWidth="1"/>
    <col min="15883" max="15883" width="10.140625" style="62" customWidth="1"/>
    <col min="15884" max="15884" width="8.42578125" style="62" customWidth="1"/>
    <col min="15885" max="15885" width="18.85546875" style="62" customWidth="1"/>
    <col min="15886" max="15886" width="10.28515625" style="62" customWidth="1"/>
    <col min="15887" max="15887" width="11.42578125" style="62"/>
    <col min="15888" max="15888" width="12.140625" style="62" customWidth="1"/>
    <col min="15889" max="15889" width="10.5703125" style="62" customWidth="1"/>
    <col min="15890" max="15890" width="12.42578125" style="62" customWidth="1"/>
    <col min="15891" max="15891" width="15.140625" style="62" customWidth="1"/>
    <col min="15892" max="15892" width="13.5703125" style="62" customWidth="1"/>
    <col min="15893" max="15893" width="13.140625" style="62" customWidth="1"/>
    <col min="15894" max="15894" width="15.7109375" style="62" customWidth="1"/>
    <col min="15895" max="15895" width="37.5703125" style="62" customWidth="1"/>
    <col min="15896" max="16117" width="11.42578125" style="62"/>
    <col min="16118" max="16118" width="10.5703125" style="62" customWidth="1"/>
    <col min="16119" max="16119" width="4.85546875" style="62" customWidth="1"/>
    <col min="16120" max="16120" width="32.42578125" style="62" customWidth="1"/>
    <col min="16121" max="16121" width="9.85546875" style="62" customWidth="1"/>
    <col min="16122" max="16122" width="10.140625" style="62" customWidth="1"/>
    <col min="16123" max="16123" width="12.28515625" style="62" customWidth="1"/>
    <col min="16124" max="16124" width="15.42578125" style="62" customWidth="1"/>
    <col min="16125" max="16125" width="11.85546875" style="62" customWidth="1"/>
    <col min="16126" max="16126" width="13.28515625" style="62" customWidth="1"/>
    <col min="16127" max="16127" width="15.28515625" style="62" customWidth="1"/>
    <col min="16128" max="16128" width="11.85546875" style="62" customWidth="1"/>
    <col min="16129" max="16129" width="6.140625" style="62" customWidth="1"/>
    <col min="16130" max="16130" width="11.85546875" style="62" customWidth="1"/>
    <col min="16131" max="16131" width="9.42578125" style="62" customWidth="1"/>
    <col min="16132" max="16132" width="14.7109375" style="62" customWidth="1"/>
    <col min="16133" max="16133" width="11.5703125" style="62" customWidth="1"/>
    <col min="16134" max="16134" width="0.42578125" style="62" customWidth="1"/>
    <col min="16135" max="16135" width="10.5703125" style="62" bestFit="1" customWidth="1"/>
    <col min="16136" max="16136" width="12.28515625" style="62" customWidth="1"/>
    <col min="16137" max="16137" width="12.5703125" style="62" customWidth="1"/>
    <col min="16138" max="16138" width="10.5703125" style="62" customWidth="1"/>
    <col min="16139" max="16139" width="10.140625" style="62" customWidth="1"/>
    <col min="16140" max="16140" width="8.42578125" style="62" customWidth="1"/>
    <col min="16141" max="16141" width="18.85546875" style="62" customWidth="1"/>
    <col min="16142" max="16142" width="10.28515625" style="62" customWidth="1"/>
    <col min="16143" max="16143" width="11.42578125" style="62"/>
    <col min="16144" max="16144" width="12.140625" style="62" customWidth="1"/>
    <col min="16145" max="16145" width="10.5703125" style="62" customWidth="1"/>
    <col min="16146" max="16146" width="12.42578125" style="62" customWidth="1"/>
    <col min="16147" max="16147" width="15.140625" style="62" customWidth="1"/>
    <col min="16148" max="16148" width="13.5703125" style="62" customWidth="1"/>
    <col min="16149" max="16149" width="13.140625" style="62" customWidth="1"/>
    <col min="16150" max="16150" width="15.7109375" style="62" customWidth="1"/>
    <col min="16151" max="16151" width="37.5703125" style="62" customWidth="1"/>
    <col min="16152" max="16384" width="11.42578125" style="62"/>
  </cols>
  <sheetData>
    <row r="1" spans="1:26" ht="15" customHeight="1" x14ac:dyDescent="0.25">
      <c r="A1" s="110" t="s">
        <v>258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2"/>
    </row>
    <row r="2" spans="1:26" ht="15" customHeight="1" x14ac:dyDescent="0.25">
      <c r="A2" s="113" t="s">
        <v>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5"/>
      <c r="P2" s="96" t="s">
        <v>3</v>
      </c>
      <c r="Q2" s="97"/>
      <c r="R2" s="97"/>
      <c r="S2" s="97"/>
      <c r="T2" s="97"/>
      <c r="U2" s="97"/>
      <c r="V2" s="97"/>
      <c r="W2" s="97"/>
      <c r="X2" s="98"/>
      <c r="Y2" s="114"/>
    </row>
    <row r="3" spans="1:26" ht="24.75" customHeight="1" x14ac:dyDescent="0.25">
      <c r="A3" s="115"/>
      <c r="B3" s="2" t="s">
        <v>4</v>
      </c>
      <c r="C3" s="2" t="s">
        <v>5</v>
      </c>
      <c r="D3" s="2" t="s">
        <v>6</v>
      </c>
      <c r="E3" s="2" t="s">
        <v>7</v>
      </c>
      <c r="F3" s="2" t="s">
        <v>9</v>
      </c>
      <c r="G3" s="2" t="s">
        <v>10</v>
      </c>
      <c r="H3" s="2" t="s">
        <v>11</v>
      </c>
      <c r="I3" s="2" t="s">
        <v>245</v>
      </c>
      <c r="J3" s="2" t="s">
        <v>12</v>
      </c>
      <c r="K3" s="2" t="s">
        <v>172</v>
      </c>
      <c r="L3" s="2" t="s">
        <v>173</v>
      </c>
      <c r="M3" s="2" t="s">
        <v>14</v>
      </c>
      <c r="N3" s="2" t="s">
        <v>174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159</v>
      </c>
      <c r="T3" s="2" t="s">
        <v>22</v>
      </c>
      <c r="U3" s="2" t="s">
        <v>23</v>
      </c>
      <c r="V3" s="2" t="s">
        <v>180</v>
      </c>
      <c r="W3" s="2" t="s">
        <v>25</v>
      </c>
      <c r="X3" s="2" t="s">
        <v>26</v>
      </c>
      <c r="Y3" s="2" t="s">
        <v>27</v>
      </c>
    </row>
    <row r="4" spans="1:26" s="13" customFormat="1" ht="24.95" customHeight="1" x14ac:dyDescent="0.25">
      <c r="A4" s="117" t="s">
        <v>29</v>
      </c>
      <c r="B4" s="2">
        <v>1</v>
      </c>
      <c r="C4" s="1" t="s">
        <v>147</v>
      </c>
      <c r="D4" s="1" t="s">
        <v>31</v>
      </c>
      <c r="E4" s="2" t="s">
        <v>32</v>
      </c>
      <c r="F4" s="3">
        <v>4500000</v>
      </c>
      <c r="G4" s="3">
        <v>30</v>
      </c>
      <c r="H4" s="3">
        <f>+F4/30*G4</f>
        <v>4500000</v>
      </c>
      <c r="I4" s="3"/>
      <c r="J4" s="3"/>
      <c r="K4" s="3"/>
      <c r="L4" s="3"/>
      <c r="M4" s="3"/>
      <c r="N4" s="3"/>
      <c r="O4" s="3">
        <f>+H4+N4+M4+L4+K4+J4</f>
        <v>4500000</v>
      </c>
      <c r="P4" s="3">
        <f>+F4*0.04</f>
        <v>180000</v>
      </c>
      <c r="Q4" s="3">
        <f>+F4*0.05</f>
        <v>225000</v>
      </c>
      <c r="R4" s="3"/>
      <c r="S4" s="3"/>
      <c r="T4" s="3">
        <v>11000</v>
      </c>
      <c r="U4" s="3"/>
      <c r="V4" s="3"/>
      <c r="W4" s="3"/>
      <c r="X4" s="4">
        <f>SUM(P4:W4)</f>
        <v>416000</v>
      </c>
      <c r="Y4" s="118">
        <f>+O4-X4</f>
        <v>4084000</v>
      </c>
    </row>
    <row r="5" spans="1:26" ht="24.95" customHeight="1" x14ac:dyDescent="0.25">
      <c r="A5" s="117"/>
      <c r="B5" s="2">
        <v>2</v>
      </c>
      <c r="C5" s="1" t="s">
        <v>30</v>
      </c>
      <c r="D5" s="1" t="s">
        <v>31</v>
      </c>
      <c r="E5" s="2" t="s">
        <v>32</v>
      </c>
      <c r="F5" s="4">
        <v>6100000</v>
      </c>
      <c r="G5" s="3">
        <v>30</v>
      </c>
      <c r="H5" s="3">
        <v>4066667</v>
      </c>
      <c r="I5" s="3"/>
      <c r="J5" s="4"/>
      <c r="K5" s="4">
        <v>2033334</v>
      </c>
      <c r="L5" s="4">
        <v>59571</v>
      </c>
      <c r="M5" s="4">
        <v>500000</v>
      </c>
      <c r="N5" s="4">
        <v>714844</v>
      </c>
      <c r="O5" s="4">
        <f>+H5+J5+L5+M5+N5+K5</f>
        <v>7374416</v>
      </c>
      <c r="P5" s="4">
        <f>+(F5+N5)*4%</f>
        <v>272593.76</v>
      </c>
      <c r="Q5" s="4">
        <f>+(F5+N5)*5%</f>
        <v>340742.2</v>
      </c>
      <c r="R5" s="4"/>
      <c r="S5" s="4"/>
      <c r="T5" s="4">
        <v>117000</v>
      </c>
      <c r="U5" s="4"/>
      <c r="V5" s="4"/>
      <c r="W5" s="4"/>
      <c r="X5" s="4">
        <f t="shared" ref="X5:X10" si="0">SUM(P5:W5)</f>
        <v>730335.96</v>
      </c>
      <c r="Y5" s="118">
        <f>+O5-X5</f>
        <v>6644080.04</v>
      </c>
      <c r="Z5" s="124"/>
    </row>
    <row r="6" spans="1:26" ht="24.95" customHeight="1" x14ac:dyDescent="0.25">
      <c r="A6" s="117"/>
      <c r="B6" s="2">
        <v>3</v>
      </c>
      <c r="C6" s="1" t="s">
        <v>33</v>
      </c>
      <c r="D6" s="1" t="s">
        <v>31</v>
      </c>
      <c r="E6" s="2" t="s">
        <v>32</v>
      </c>
      <c r="F6" s="4">
        <v>6000000</v>
      </c>
      <c r="G6" s="3">
        <v>30</v>
      </c>
      <c r="H6" s="3">
        <f>+F6-K6</f>
        <v>6000000</v>
      </c>
      <c r="I6" s="3"/>
      <c r="J6" s="4"/>
      <c r="K6" s="4"/>
      <c r="L6" s="4"/>
      <c r="M6" s="4">
        <v>600000</v>
      </c>
      <c r="N6" s="4"/>
      <c r="O6" s="4">
        <f t="shared" ref="O6:O69" si="1">+H6+J6+L6+M6+N6+K6</f>
        <v>6600000</v>
      </c>
      <c r="P6" s="4">
        <f>F6*4%</f>
        <v>240000</v>
      </c>
      <c r="Q6" s="4">
        <f>F6*5%</f>
        <v>300000</v>
      </c>
      <c r="R6" s="4"/>
      <c r="S6" s="4"/>
      <c r="T6" s="4">
        <v>102000</v>
      </c>
      <c r="U6" s="4"/>
      <c r="V6" s="4"/>
      <c r="W6" s="4">
        <v>1212777</v>
      </c>
      <c r="X6" s="4">
        <f t="shared" si="0"/>
        <v>1854777</v>
      </c>
      <c r="Y6" s="118">
        <f>+O6-X6</f>
        <v>4745223</v>
      </c>
    </row>
    <row r="7" spans="1:26" ht="24.95" customHeight="1" x14ac:dyDescent="0.25">
      <c r="A7" s="117"/>
      <c r="B7" s="2">
        <v>4</v>
      </c>
      <c r="C7" s="1" t="s">
        <v>34</v>
      </c>
      <c r="D7" s="1" t="s">
        <v>31</v>
      </c>
      <c r="E7" s="2" t="s">
        <v>32</v>
      </c>
      <c r="F7" s="4">
        <v>6000000</v>
      </c>
      <c r="G7" s="3">
        <v>30</v>
      </c>
      <c r="H7" s="3">
        <f t="shared" ref="H7:H69" si="2">+F7/30*G7</f>
        <v>6000000</v>
      </c>
      <c r="I7" s="3"/>
      <c r="J7" s="4"/>
      <c r="K7" s="4"/>
      <c r="L7" s="4"/>
      <c r="M7" s="4"/>
      <c r="N7" s="4"/>
      <c r="O7" s="4">
        <f t="shared" si="1"/>
        <v>6000000</v>
      </c>
      <c r="P7" s="4">
        <f>+O7*4%</f>
        <v>240000</v>
      </c>
      <c r="Q7" s="4">
        <f>+O7*5%</f>
        <v>300000</v>
      </c>
      <c r="R7" s="4"/>
      <c r="S7" s="4"/>
      <c r="T7" s="7">
        <v>98000</v>
      </c>
      <c r="U7" s="4"/>
      <c r="V7" s="4"/>
      <c r="W7" s="4">
        <v>726520</v>
      </c>
      <c r="X7" s="4">
        <f t="shared" si="0"/>
        <v>1364520</v>
      </c>
      <c r="Y7" s="118">
        <f t="shared" ref="Y7" si="3">+O7-X7</f>
        <v>4635480</v>
      </c>
    </row>
    <row r="8" spans="1:26" ht="24.95" customHeight="1" x14ac:dyDescent="0.25">
      <c r="A8" s="117"/>
      <c r="B8" s="2">
        <v>5</v>
      </c>
      <c r="C8" s="1" t="s">
        <v>35</v>
      </c>
      <c r="D8" s="1" t="s">
        <v>31</v>
      </c>
      <c r="E8" s="2" t="s">
        <v>32</v>
      </c>
      <c r="F8" s="4">
        <v>5000000</v>
      </c>
      <c r="G8" s="3">
        <v>30</v>
      </c>
      <c r="H8" s="3">
        <f t="shared" si="2"/>
        <v>5000000</v>
      </c>
      <c r="I8" s="3"/>
      <c r="J8" s="4"/>
      <c r="K8" s="4"/>
      <c r="L8" s="4"/>
      <c r="M8" s="4"/>
      <c r="N8" s="4"/>
      <c r="O8" s="4">
        <f t="shared" si="1"/>
        <v>5000000</v>
      </c>
      <c r="P8" s="4">
        <f t="shared" ref="P8:P9" si="4">+F8*4%</f>
        <v>200000</v>
      </c>
      <c r="Q8" s="4">
        <f t="shared" ref="Q8:Q16" si="5">+F8*5%</f>
        <v>250000</v>
      </c>
      <c r="R8" s="4"/>
      <c r="S8" s="4"/>
      <c r="T8" s="7">
        <v>21409</v>
      </c>
      <c r="U8" s="4">
        <v>500000</v>
      </c>
      <c r="V8" s="4">
        <v>163012</v>
      </c>
      <c r="W8" s="4">
        <v>186238</v>
      </c>
      <c r="X8" s="4">
        <f t="shared" si="0"/>
        <v>1320659</v>
      </c>
      <c r="Y8" s="118">
        <f>+O8-X8</f>
        <v>3679341</v>
      </c>
    </row>
    <row r="9" spans="1:26" ht="24.95" customHeight="1" x14ac:dyDescent="0.25">
      <c r="A9" s="117"/>
      <c r="B9" s="2">
        <v>6</v>
      </c>
      <c r="C9" s="1" t="s">
        <v>36</v>
      </c>
      <c r="D9" s="1" t="s">
        <v>31</v>
      </c>
      <c r="E9" s="2" t="s">
        <v>32</v>
      </c>
      <c r="F9" s="4">
        <v>5300000</v>
      </c>
      <c r="G9" s="3">
        <v>30</v>
      </c>
      <c r="H9" s="3">
        <f t="shared" si="2"/>
        <v>5300000</v>
      </c>
      <c r="I9" s="3"/>
      <c r="J9" s="4"/>
      <c r="K9" s="4"/>
      <c r="L9" s="4"/>
      <c r="M9" s="4">
        <v>2012670</v>
      </c>
      <c r="N9" s="4"/>
      <c r="O9" s="4">
        <f t="shared" si="1"/>
        <v>7312670</v>
      </c>
      <c r="P9" s="4">
        <f t="shared" si="4"/>
        <v>212000</v>
      </c>
      <c r="Q9" s="4">
        <f t="shared" si="5"/>
        <v>265000</v>
      </c>
      <c r="R9" s="4"/>
      <c r="S9" s="4"/>
      <c r="T9" s="4">
        <v>50000</v>
      </c>
      <c r="U9" s="4">
        <v>700000</v>
      </c>
      <c r="V9" s="4"/>
      <c r="W9" s="4"/>
      <c r="X9" s="4">
        <f t="shared" si="0"/>
        <v>1227000</v>
      </c>
      <c r="Y9" s="118">
        <f>+O9-X9</f>
        <v>6085670</v>
      </c>
    </row>
    <row r="10" spans="1:26" ht="24.95" customHeight="1" x14ac:dyDescent="0.25">
      <c r="A10" s="117"/>
      <c r="B10" s="2">
        <v>7</v>
      </c>
      <c r="C10" s="1" t="s">
        <v>37</v>
      </c>
      <c r="D10" s="1" t="s">
        <v>31</v>
      </c>
      <c r="E10" s="2" t="s">
        <v>32</v>
      </c>
      <c r="F10" s="4">
        <v>5200000</v>
      </c>
      <c r="G10" s="3">
        <v>30</v>
      </c>
      <c r="H10" s="3">
        <f>+F10-K10</f>
        <v>5019844</v>
      </c>
      <c r="I10" s="3"/>
      <c r="J10" s="4"/>
      <c r="K10" s="4">
        <v>180156</v>
      </c>
      <c r="L10" s="4"/>
      <c r="M10" s="4">
        <v>89000</v>
      </c>
      <c r="N10" s="4"/>
      <c r="O10" s="4">
        <f t="shared" si="1"/>
        <v>5289000</v>
      </c>
      <c r="P10" s="4">
        <f>+F10*4%</f>
        <v>208000</v>
      </c>
      <c r="Q10" s="4">
        <f>+F10*5%</f>
        <v>260000</v>
      </c>
      <c r="R10" s="4"/>
      <c r="S10" s="4"/>
      <c r="T10" s="4">
        <v>6400</v>
      </c>
      <c r="U10" s="4"/>
      <c r="V10" s="4"/>
      <c r="W10" s="4">
        <f>945750+420786</f>
        <v>1366536</v>
      </c>
      <c r="X10" s="4">
        <f t="shared" si="0"/>
        <v>1840936</v>
      </c>
      <c r="Y10" s="118">
        <f>O10-X10</f>
        <v>3448064</v>
      </c>
    </row>
    <row r="11" spans="1:26" ht="24.95" customHeight="1" x14ac:dyDescent="0.25">
      <c r="A11" s="117"/>
      <c r="B11" s="2">
        <v>8</v>
      </c>
      <c r="C11" s="1" t="s">
        <v>39</v>
      </c>
      <c r="D11" s="1" t="s">
        <v>31</v>
      </c>
      <c r="E11" s="2" t="s">
        <v>32</v>
      </c>
      <c r="F11" s="4">
        <v>5184000</v>
      </c>
      <c r="G11" s="3">
        <v>30</v>
      </c>
      <c r="H11" s="3">
        <f t="shared" si="2"/>
        <v>5184000</v>
      </c>
      <c r="I11" s="3"/>
      <c r="J11" s="4"/>
      <c r="K11" s="4"/>
      <c r="L11" s="4"/>
      <c r="M11" s="4"/>
      <c r="N11" s="4"/>
      <c r="O11" s="4">
        <f t="shared" si="1"/>
        <v>5184000</v>
      </c>
      <c r="P11" s="4">
        <f>+H11*4%</f>
        <v>207360</v>
      </c>
      <c r="Q11" s="4">
        <f>+H11*5%</f>
        <v>259200</v>
      </c>
      <c r="R11" s="4"/>
      <c r="S11" s="4"/>
      <c r="T11" s="4">
        <v>78000</v>
      </c>
      <c r="U11" s="4"/>
      <c r="V11" s="4"/>
      <c r="W11" s="4"/>
      <c r="X11" s="4">
        <f t="shared" ref="X11:X69" si="6">SUM(P11:W11)</f>
        <v>544560</v>
      </c>
      <c r="Y11" s="118">
        <f>O11-X11</f>
        <v>4639440</v>
      </c>
    </row>
    <row r="12" spans="1:26" ht="24.95" customHeight="1" x14ac:dyDescent="0.25">
      <c r="A12" s="117"/>
      <c r="B12" s="2">
        <v>9</v>
      </c>
      <c r="C12" s="1" t="s">
        <v>160</v>
      </c>
      <c r="D12" s="1" t="s">
        <v>31</v>
      </c>
      <c r="E12" s="2" t="s">
        <v>32</v>
      </c>
      <c r="F12" s="4">
        <v>3700000</v>
      </c>
      <c r="G12" s="3">
        <v>30</v>
      </c>
      <c r="H12" s="3">
        <f t="shared" si="2"/>
        <v>3700000</v>
      </c>
      <c r="I12" s="3"/>
      <c r="J12" s="4"/>
      <c r="K12" s="4"/>
      <c r="L12" s="4"/>
      <c r="M12" s="4"/>
      <c r="N12" s="4"/>
      <c r="O12" s="4">
        <f t="shared" si="1"/>
        <v>3700000</v>
      </c>
      <c r="P12" s="4">
        <f>+H12*4%</f>
        <v>148000</v>
      </c>
      <c r="Q12" s="4">
        <f>+H12*5%</f>
        <v>185000</v>
      </c>
      <c r="R12" s="4"/>
      <c r="S12" s="4"/>
      <c r="T12" s="4"/>
      <c r="U12" s="4"/>
      <c r="V12" s="4"/>
      <c r="W12" s="4"/>
      <c r="X12" s="4">
        <f t="shared" ref="X12:X14" si="7">SUM(P12:W12)</f>
        <v>333000</v>
      </c>
      <c r="Y12" s="118">
        <f>O12-X12</f>
        <v>3367000</v>
      </c>
    </row>
    <row r="13" spans="1:26" ht="24.95" customHeight="1" x14ac:dyDescent="0.25">
      <c r="A13" s="117"/>
      <c r="B13" s="2">
        <v>10</v>
      </c>
      <c r="C13" s="1" t="s">
        <v>181</v>
      </c>
      <c r="D13" s="1" t="s">
        <v>31</v>
      </c>
      <c r="E13" s="2" t="s">
        <v>32</v>
      </c>
      <c r="F13" s="4">
        <v>5600000</v>
      </c>
      <c r="G13" s="3">
        <v>28</v>
      </c>
      <c r="H13" s="3">
        <f t="shared" si="2"/>
        <v>5226666.666666666</v>
      </c>
      <c r="I13" s="3"/>
      <c r="J13" s="4"/>
      <c r="K13" s="4"/>
      <c r="L13" s="4"/>
      <c r="M13" s="4"/>
      <c r="N13" s="4"/>
      <c r="O13" s="4">
        <f t="shared" si="1"/>
        <v>5226666.666666666</v>
      </c>
      <c r="P13" s="4">
        <f>+H13*4%</f>
        <v>209066.66666666666</v>
      </c>
      <c r="Q13" s="4">
        <f>+H13*5%</f>
        <v>261333.33333333331</v>
      </c>
      <c r="R13" s="4"/>
      <c r="S13" s="4"/>
      <c r="T13" s="4">
        <v>36000</v>
      </c>
      <c r="U13" s="4"/>
      <c r="V13" s="4"/>
      <c r="W13" s="4"/>
      <c r="X13" s="4">
        <f t="shared" si="7"/>
        <v>506400</v>
      </c>
      <c r="Y13" s="118">
        <f t="shared" ref="Y13:Y14" si="8">O13-X13</f>
        <v>4720266.666666666</v>
      </c>
    </row>
    <row r="14" spans="1:26" ht="24.95" customHeight="1" x14ac:dyDescent="0.25">
      <c r="A14" s="117"/>
      <c r="B14" s="2">
        <v>11</v>
      </c>
      <c r="C14" s="1" t="s">
        <v>182</v>
      </c>
      <c r="D14" s="1" t="s">
        <v>31</v>
      </c>
      <c r="E14" s="2" t="s">
        <v>32</v>
      </c>
      <c r="F14" s="4">
        <v>4750000</v>
      </c>
      <c r="G14" s="3">
        <v>30</v>
      </c>
      <c r="H14" s="3">
        <f t="shared" si="2"/>
        <v>4750000</v>
      </c>
      <c r="I14" s="3"/>
      <c r="J14" s="4"/>
      <c r="K14" s="4"/>
      <c r="L14" s="4"/>
      <c r="M14" s="4"/>
      <c r="N14" s="4"/>
      <c r="O14" s="4">
        <f t="shared" si="1"/>
        <v>4750000</v>
      </c>
      <c r="P14" s="4">
        <f>+O14*4%</f>
        <v>190000</v>
      </c>
      <c r="Q14" s="4">
        <f>+O14*5%</f>
        <v>237500</v>
      </c>
      <c r="R14" s="4"/>
      <c r="S14" s="4"/>
      <c r="T14" s="4">
        <v>45000</v>
      </c>
      <c r="U14" s="4"/>
      <c r="V14" s="4"/>
      <c r="W14" s="4"/>
      <c r="X14" s="4">
        <f t="shared" si="7"/>
        <v>472500</v>
      </c>
      <c r="Y14" s="118">
        <f t="shared" si="8"/>
        <v>4277500</v>
      </c>
    </row>
    <row r="15" spans="1:26" ht="24.95" customHeight="1" x14ac:dyDescent="0.25">
      <c r="A15" s="117"/>
      <c r="B15" s="2">
        <v>12</v>
      </c>
      <c r="C15" s="1" t="s">
        <v>40</v>
      </c>
      <c r="D15" s="1" t="s">
        <v>31</v>
      </c>
      <c r="E15" s="2" t="s">
        <v>32</v>
      </c>
      <c r="F15" s="4">
        <v>5725000</v>
      </c>
      <c r="G15" s="3">
        <v>30</v>
      </c>
      <c r="H15" s="3">
        <f>+F15-K15</f>
        <v>5152500</v>
      </c>
      <c r="I15" s="3"/>
      <c r="J15" s="4"/>
      <c r="K15" s="4">
        <v>572500</v>
      </c>
      <c r="L15" s="4"/>
      <c r="M15" s="4"/>
      <c r="N15" s="4"/>
      <c r="O15" s="4">
        <f t="shared" si="1"/>
        <v>5725000</v>
      </c>
      <c r="P15" s="4">
        <f>+F15*4%</f>
        <v>229000</v>
      </c>
      <c r="Q15" s="4">
        <f t="shared" si="5"/>
        <v>286250</v>
      </c>
      <c r="R15" s="4"/>
      <c r="S15" s="4"/>
      <c r="T15" s="4">
        <v>0</v>
      </c>
      <c r="U15" s="4"/>
      <c r="V15" s="4"/>
      <c r="W15" s="4"/>
      <c r="X15" s="4">
        <f t="shared" si="6"/>
        <v>515250</v>
      </c>
      <c r="Y15" s="118">
        <f t="shared" ref="Y15:Y29" si="9">+O15-X15</f>
        <v>5209750</v>
      </c>
    </row>
    <row r="16" spans="1:26" ht="24.95" customHeight="1" x14ac:dyDescent="0.25">
      <c r="A16" s="117"/>
      <c r="B16" s="2">
        <v>13</v>
      </c>
      <c r="C16" s="1" t="s">
        <v>246</v>
      </c>
      <c r="D16" s="1" t="s">
        <v>31</v>
      </c>
      <c r="E16" s="2" t="s">
        <v>32</v>
      </c>
      <c r="F16" s="4">
        <v>7300000</v>
      </c>
      <c r="G16" s="3">
        <v>30</v>
      </c>
      <c r="H16" s="3">
        <f t="shared" si="2"/>
        <v>7300000</v>
      </c>
      <c r="I16" s="3"/>
      <c r="J16" s="4"/>
      <c r="K16" s="4"/>
      <c r="L16" s="4"/>
      <c r="M16" s="4"/>
      <c r="N16" s="4"/>
      <c r="O16" s="4">
        <f t="shared" si="1"/>
        <v>7300000</v>
      </c>
      <c r="P16" s="4">
        <f>+F16*4%</f>
        <v>292000</v>
      </c>
      <c r="Q16" s="4">
        <f t="shared" si="5"/>
        <v>365000</v>
      </c>
      <c r="R16" s="4"/>
      <c r="S16" s="4"/>
      <c r="T16" s="4">
        <v>250000</v>
      </c>
      <c r="U16" s="4">
        <v>980000</v>
      </c>
      <c r="V16" s="4"/>
      <c r="W16" s="4"/>
      <c r="X16" s="4">
        <f t="shared" si="6"/>
        <v>1887000</v>
      </c>
      <c r="Y16" s="118">
        <f t="shared" si="9"/>
        <v>5413000</v>
      </c>
    </row>
    <row r="17" spans="1:25" ht="24.95" customHeight="1" x14ac:dyDescent="0.25">
      <c r="A17" s="117"/>
      <c r="B17" s="2">
        <v>14</v>
      </c>
      <c r="C17" s="1" t="s">
        <v>93</v>
      </c>
      <c r="D17" s="1" t="s">
        <v>31</v>
      </c>
      <c r="E17" s="2" t="s">
        <v>32</v>
      </c>
      <c r="F17" s="4">
        <v>5500000</v>
      </c>
      <c r="G17" s="3">
        <v>30</v>
      </c>
      <c r="H17" s="3">
        <f>+F17-K17</f>
        <v>2383336</v>
      </c>
      <c r="I17" s="3"/>
      <c r="J17" s="4"/>
      <c r="K17" s="4">
        <v>3116664</v>
      </c>
      <c r="L17" s="4"/>
      <c r="M17" s="4"/>
      <c r="N17" s="4"/>
      <c r="O17" s="4">
        <f t="shared" si="1"/>
        <v>5500000</v>
      </c>
      <c r="P17" s="4">
        <f>+O17*4%</f>
        <v>220000</v>
      </c>
      <c r="Q17" s="4">
        <f>+O17*5%</f>
        <v>275000</v>
      </c>
      <c r="R17" s="4"/>
      <c r="S17" s="4"/>
      <c r="T17" s="4">
        <v>48000</v>
      </c>
      <c r="U17" s="4"/>
      <c r="V17" s="4"/>
      <c r="W17" s="4"/>
      <c r="X17" s="4">
        <f t="shared" ref="X17:X19" si="10">SUM(P17:W17)</f>
        <v>543000</v>
      </c>
      <c r="Y17" s="118">
        <f t="shared" si="9"/>
        <v>4957000</v>
      </c>
    </row>
    <row r="18" spans="1:25" ht="24.95" customHeight="1" x14ac:dyDescent="0.25">
      <c r="A18" s="117"/>
      <c r="B18" s="2">
        <v>15</v>
      </c>
      <c r="C18" s="1" t="s">
        <v>183</v>
      </c>
      <c r="D18" s="1" t="s">
        <v>31</v>
      </c>
      <c r="E18" s="2" t="s">
        <v>32</v>
      </c>
      <c r="F18" s="4">
        <v>7000000</v>
      </c>
      <c r="G18" s="3">
        <v>30</v>
      </c>
      <c r="H18" s="3">
        <f t="shared" si="2"/>
        <v>7000000</v>
      </c>
      <c r="I18" s="3"/>
      <c r="J18" s="4"/>
      <c r="K18" s="4"/>
      <c r="L18" s="4"/>
      <c r="M18" s="4"/>
      <c r="N18" s="4"/>
      <c r="O18" s="4">
        <f t="shared" si="1"/>
        <v>7000000</v>
      </c>
      <c r="P18" s="4">
        <f>+O18*4%</f>
        <v>280000</v>
      </c>
      <c r="Q18" s="4">
        <f>+O18*5%</f>
        <v>350000</v>
      </c>
      <c r="R18" s="4"/>
      <c r="S18" s="4"/>
      <c r="T18" s="4">
        <v>0</v>
      </c>
      <c r="U18" s="4"/>
      <c r="V18" s="4"/>
      <c r="W18" s="4"/>
      <c r="X18" s="4">
        <f t="shared" si="10"/>
        <v>630000</v>
      </c>
      <c r="Y18" s="118">
        <f t="shared" si="9"/>
        <v>6370000</v>
      </c>
    </row>
    <row r="19" spans="1:25" ht="24.95" customHeight="1" x14ac:dyDescent="0.25">
      <c r="A19" s="117"/>
      <c r="B19" s="2">
        <v>16</v>
      </c>
      <c r="C19" s="1" t="s">
        <v>167</v>
      </c>
      <c r="D19" s="1" t="s">
        <v>31</v>
      </c>
      <c r="E19" s="2" t="s">
        <v>32</v>
      </c>
      <c r="F19" s="4">
        <v>5500000</v>
      </c>
      <c r="G19" s="3">
        <v>30</v>
      </c>
      <c r="H19" s="3">
        <f>+F19-K19</f>
        <v>4766666</v>
      </c>
      <c r="I19" s="3"/>
      <c r="J19" s="4"/>
      <c r="K19" s="4">
        <v>733334</v>
      </c>
      <c r="L19" s="4"/>
      <c r="M19" s="4"/>
      <c r="N19" s="4"/>
      <c r="O19" s="4">
        <f t="shared" si="1"/>
        <v>5500000</v>
      </c>
      <c r="P19" s="4">
        <f>+F19*4%</f>
        <v>220000</v>
      </c>
      <c r="Q19" s="4">
        <f>+F19*5%</f>
        <v>275000</v>
      </c>
      <c r="R19" s="4"/>
      <c r="S19" s="4"/>
      <c r="T19" s="4">
        <v>21000</v>
      </c>
      <c r="U19" s="4"/>
      <c r="V19" s="4"/>
      <c r="W19" s="4"/>
      <c r="X19" s="4">
        <f t="shared" si="10"/>
        <v>516000</v>
      </c>
      <c r="Y19" s="118">
        <f t="shared" si="9"/>
        <v>4984000</v>
      </c>
    </row>
    <row r="20" spans="1:25" ht="24.95" customHeight="1" x14ac:dyDescent="0.25">
      <c r="A20" s="117"/>
      <c r="B20" s="2">
        <v>17</v>
      </c>
      <c r="C20" s="9" t="s">
        <v>42</v>
      </c>
      <c r="D20" s="1" t="s">
        <v>31</v>
      </c>
      <c r="E20" s="2" t="s">
        <v>32</v>
      </c>
      <c r="F20" s="4">
        <v>4800000</v>
      </c>
      <c r="G20" s="3">
        <v>30</v>
      </c>
      <c r="H20" s="3">
        <f t="shared" si="2"/>
        <v>4800000</v>
      </c>
      <c r="I20" s="3"/>
      <c r="J20" s="4"/>
      <c r="K20" s="4"/>
      <c r="L20" s="4"/>
      <c r="M20" s="4"/>
      <c r="N20" s="4"/>
      <c r="O20" s="4">
        <f>+H20+J20+L20+M20+N20+K20+I20</f>
        <v>4800000</v>
      </c>
      <c r="P20" s="4">
        <f>+(F20+N20)*4%</f>
        <v>192000</v>
      </c>
      <c r="Q20" s="4">
        <f>+(F20+N20)*5%</f>
        <v>240000</v>
      </c>
      <c r="R20" s="4"/>
      <c r="S20" s="4"/>
      <c r="T20" s="4">
        <v>0</v>
      </c>
      <c r="U20" s="4"/>
      <c r="V20" s="4"/>
      <c r="W20" s="4"/>
      <c r="X20" s="4">
        <f t="shared" si="6"/>
        <v>432000</v>
      </c>
      <c r="Y20" s="118">
        <f t="shared" si="9"/>
        <v>4368000</v>
      </c>
    </row>
    <row r="21" spans="1:25" ht="24.95" customHeight="1" x14ac:dyDescent="0.25">
      <c r="A21" s="117"/>
      <c r="B21" s="2">
        <v>18</v>
      </c>
      <c r="C21" s="9" t="s">
        <v>201</v>
      </c>
      <c r="D21" s="1" t="s">
        <v>31</v>
      </c>
      <c r="E21" s="2" t="s">
        <v>32</v>
      </c>
      <c r="F21" s="4">
        <v>6200000</v>
      </c>
      <c r="G21" s="3">
        <v>30</v>
      </c>
      <c r="H21" s="3">
        <f t="shared" si="2"/>
        <v>6200000</v>
      </c>
      <c r="I21" s="3"/>
      <c r="J21" s="4"/>
      <c r="K21" s="4"/>
      <c r="L21" s="4"/>
      <c r="M21" s="4"/>
      <c r="N21" s="4"/>
      <c r="O21" s="4">
        <f t="shared" ref="O21" si="11">+H21+J21+L21+M21+N21+K21</f>
        <v>6200000</v>
      </c>
      <c r="P21" s="4">
        <f>+H21*4%</f>
        <v>248000</v>
      </c>
      <c r="Q21" s="4">
        <f>+H21*0.05</f>
        <v>310000</v>
      </c>
      <c r="R21" s="4"/>
      <c r="S21" s="4"/>
      <c r="T21" s="4">
        <v>153000</v>
      </c>
      <c r="U21" s="4"/>
      <c r="V21" s="4"/>
      <c r="W21" s="4"/>
      <c r="X21" s="4">
        <f t="shared" ref="X21:X23" si="12">SUM(P21:W21)</f>
        <v>711000</v>
      </c>
      <c r="Y21" s="118">
        <f t="shared" si="9"/>
        <v>5489000</v>
      </c>
    </row>
    <row r="22" spans="1:25" ht="24.95" customHeight="1" x14ac:dyDescent="0.25">
      <c r="A22" s="117"/>
      <c r="B22" s="2">
        <v>19</v>
      </c>
      <c r="C22" s="9" t="s">
        <v>161</v>
      </c>
      <c r="D22" s="1" t="s">
        <v>31</v>
      </c>
      <c r="E22" s="2" t="s">
        <v>32</v>
      </c>
      <c r="F22" s="4">
        <v>4600000</v>
      </c>
      <c r="G22" s="3">
        <v>30</v>
      </c>
      <c r="H22" s="3">
        <f t="shared" si="2"/>
        <v>4600000</v>
      </c>
      <c r="I22" s="3"/>
      <c r="J22" s="4"/>
      <c r="K22" s="4"/>
      <c r="L22" s="4"/>
      <c r="M22" s="4"/>
      <c r="N22" s="4"/>
      <c r="O22" s="4">
        <f t="shared" si="1"/>
        <v>4600000</v>
      </c>
      <c r="P22" s="4">
        <f>+F22*4%</f>
        <v>184000</v>
      </c>
      <c r="Q22" s="4">
        <f>+F22*0.05</f>
        <v>230000</v>
      </c>
      <c r="R22" s="4"/>
      <c r="S22" s="4"/>
      <c r="T22" s="4">
        <v>24000</v>
      </c>
      <c r="U22" s="4"/>
      <c r="V22" s="4"/>
      <c r="W22" s="4"/>
      <c r="X22" s="4">
        <f t="shared" si="12"/>
        <v>438000</v>
      </c>
      <c r="Y22" s="118">
        <f t="shared" si="9"/>
        <v>4162000</v>
      </c>
    </row>
    <row r="23" spans="1:25" ht="24.95" customHeight="1" x14ac:dyDescent="0.25">
      <c r="A23" s="117"/>
      <c r="B23" s="2">
        <v>20</v>
      </c>
      <c r="C23" s="9" t="s">
        <v>235</v>
      </c>
      <c r="D23" s="1" t="s">
        <v>31</v>
      </c>
      <c r="E23" s="2" t="s">
        <v>32</v>
      </c>
      <c r="F23" s="4">
        <v>5600000</v>
      </c>
      <c r="G23" s="3">
        <v>30</v>
      </c>
      <c r="H23" s="3">
        <f>+F23-K23</f>
        <v>4480001</v>
      </c>
      <c r="I23" s="3"/>
      <c r="K23" s="4">
        <v>1119999</v>
      </c>
      <c r="L23" s="4"/>
      <c r="M23" s="4">
        <f>+(400000/30)*30</f>
        <v>400000</v>
      </c>
      <c r="N23" s="4"/>
      <c r="O23" s="4">
        <f>+H23+M23+N23+K23+I23</f>
        <v>6000000</v>
      </c>
      <c r="P23" s="4">
        <f>+F23*4%</f>
        <v>224000</v>
      </c>
      <c r="Q23" s="4">
        <f>+F23*0.05</f>
        <v>280000</v>
      </c>
      <c r="R23" s="4"/>
      <c r="S23" s="4"/>
      <c r="T23" s="4">
        <v>56000</v>
      </c>
      <c r="U23" s="4"/>
      <c r="V23" s="4"/>
      <c r="W23" s="4"/>
      <c r="X23" s="4">
        <f t="shared" si="12"/>
        <v>560000</v>
      </c>
      <c r="Y23" s="118">
        <f t="shared" si="9"/>
        <v>5440000</v>
      </c>
    </row>
    <row r="24" spans="1:25" ht="24.95" customHeight="1" x14ac:dyDescent="0.25">
      <c r="A24" s="117"/>
      <c r="B24" s="2">
        <v>21</v>
      </c>
      <c r="C24" s="9" t="s">
        <v>44</v>
      </c>
      <c r="D24" s="1" t="s">
        <v>31</v>
      </c>
      <c r="E24" s="2" t="s">
        <v>32</v>
      </c>
      <c r="F24" s="4">
        <v>4400000</v>
      </c>
      <c r="G24" s="3">
        <v>30</v>
      </c>
      <c r="H24" s="3">
        <f t="shared" si="2"/>
        <v>4400000</v>
      </c>
      <c r="I24" s="3"/>
      <c r="J24" s="4"/>
      <c r="K24" s="4"/>
      <c r="L24" s="4"/>
      <c r="M24" s="4"/>
      <c r="N24" s="4"/>
      <c r="O24" s="4">
        <f t="shared" si="1"/>
        <v>4400000</v>
      </c>
      <c r="P24" s="4">
        <f>+O24*0.04</f>
        <v>176000</v>
      </c>
      <c r="Q24" s="4">
        <f>+O24*0.05</f>
        <v>220000</v>
      </c>
      <c r="R24" s="4"/>
      <c r="S24" s="4"/>
      <c r="T24" s="4"/>
      <c r="U24" s="4"/>
      <c r="V24" s="4"/>
      <c r="W24" s="4"/>
      <c r="X24" s="4">
        <f t="shared" si="6"/>
        <v>396000</v>
      </c>
      <c r="Y24" s="118">
        <f t="shared" si="9"/>
        <v>4004000</v>
      </c>
    </row>
    <row r="25" spans="1:25" ht="24.95" customHeight="1" x14ac:dyDescent="0.25">
      <c r="A25" s="117"/>
      <c r="B25" s="2">
        <v>22</v>
      </c>
      <c r="C25" s="9" t="s">
        <v>46</v>
      </c>
      <c r="D25" s="1" t="s">
        <v>31</v>
      </c>
      <c r="E25" s="2" t="s">
        <v>32</v>
      </c>
      <c r="F25" s="4">
        <v>5500000</v>
      </c>
      <c r="G25" s="3">
        <v>30</v>
      </c>
      <c r="H25" s="3">
        <f>+F25-K25</f>
        <v>4950000</v>
      </c>
      <c r="I25" s="3"/>
      <c r="J25" s="4"/>
      <c r="K25" s="4">
        <v>550000</v>
      </c>
      <c r="L25" s="4"/>
      <c r="M25" s="4"/>
      <c r="N25" s="4"/>
      <c r="O25" s="4">
        <f t="shared" si="1"/>
        <v>5500000</v>
      </c>
      <c r="P25" s="4">
        <f>+O25*0.04</f>
        <v>220000</v>
      </c>
      <c r="Q25" s="4">
        <f>+O25*0.05</f>
        <v>275000</v>
      </c>
      <c r="R25" s="4"/>
      <c r="S25" s="4"/>
      <c r="T25" s="4">
        <v>83397</v>
      </c>
      <c r="U25" s="4"/>
      <c r="V25" s="4"/>
      <c r="W25" s="4"/>
      <c r="X25" s="4">
        <f t="shared" si="6"/>
        <v>578397</v>
      </c>
      <c r="Y25" s="118">
        <f t="shared" si="9"/>
        <v>4921603</v>
      </c>
    </row>
    <row r="26" spans="1:25" ht="24.95" customHeight="1" x14ac:dyDescent="0.25">
      <c r="A26" s="117"/>
      <c r="B26" s="2">
        <v>23</v>
      </c>
      <c r="C26" s="9" t="s">
        <v>247</v>
      </c>
      <c r="D26" s="1" t="s">
        <v>31</v>
      </c>
      <c r="E26" s="2" t="s">
        <v>32</v>
      </c>
      <c r="F26" s="4">
        <v>5500000</v>
      </c>
      <c r="G26" s="3">
        <v>30</v>
      </c>
      <c r="H26" s="3">
        <f t="shared" si="2"/>
        <v>5500000</v>
      </c>
      <c r="I26" s="3"/>
      <c r="J26" s="4"/>
      <c r="K26" s="4"/>
      <c r="L26" s="4"/>
      <c r="M26" s="4"/>
      <c r="N26" s="4"/>
      <c r="O26" s="4">
        <f t="shared" si="1"/>
        <v>5500000</v>
      </c>
      <c r="P26" s="4">
        <f>+H26*0.04</f>
        <v>220000</v>
      </c>
      <c r="Q26" s="4">
        <f>+H26*0.05</f>
        <v>275000</v>
      </c>
      <c r="R26" s="4"/>
      <c r="S26" s="4"/>
      <c r="T26" s="4">
        <v>146000</v>
      </c>
      <c r="U26" s="4"/>
      <c r="V26" s="4"/>
      <c r="W26" s="4"/>
      <c r="X26" s="4">
        <f t="shared" si="6"/>
        <v>641000</v>
      </c>
      <c r="Y26" s="118">
        <f t="shared" si="9"/>
        <v>4859000</v>
      </c>
    </row>
    <row r="27" spans="1:25" ht="24.95" customHeight="1" x14ac:dyDescent="0.25">
      <c r="A27" s="117"/>
      <c r="B27" s="2">
        <v>24</v>
      </c>
      <c r="C27" s="1" t="s">
        <v>150</v>
      </c>
      <c r="D27" s="1" t="s">
        <v>31</v>
      </c>
      <c r="E27" s="2" t="s">
        <v>32</v>
      </c>
      <c r="F27" s="4">
        <v>7000000</v>
      </c>
      <c r="G27" s="3">
        <v>30</v>
      </c>
      <c r="H27" s="3">
        <f>+F27-K27</f>
        <v>6300000</v>
      </c>
      <c r="I27" s="3"/>
      <c r="J27" s="4"/>
      <c r="K27" s="4">
        <v>700000</v>
      </c>
      <c r="L27" s="4"/>
      <c r="M27" s="4"/>
      <c r="N27" s="4"/>
      <c r="O27" s="4">
        <f>+H27+J27+L27+M27+N27+K27</f>
        <v>7000000</v>
      </c>
      <c r="P27" s="4">
        <f>O27*4%</f>
        <v>280000</v>
      </c>
      <c r="Q27" s="4">
        <f>+O27*5%</f>
        <v>350000</v>
      </c>
      <c r="R27" s="4"/>
      <c r="S27" s="4">
        <v>147000</v>
      </c>
      <c r="T27" s="4">
        <v>209509</v>
      </c>
      <c r="U27" s="4"/>
      <c r="V27" s="4"/>
      <c r="W27" s="4"/>
      <c r="X27" s="4">
        <f>SUM(P27:W27)</f>
        <v>986509</v>
      </c>
      <c r="Y27" s="118">
        <f>O27-X27</f>
        <v>6013491</v>
      </c>
    </row>
    <row r="28" spans="1:25" ht="24.95" customHeight="1" x14ac:dyDescent="0.25">
      <c r="A28" s="117"/>
      <c r="B28" s="2">
        <v>25</v>
      </c>
      <c r="C28" s="9" t="s">
        <v>47</v>
      </c>
      <c r="D28" s="1" t="s">
        <v>31</v>
      </c>
      <c r="E28" s="2" t="s">
        <v>32</v>
      </c>
      <c r="F28" s="4">
        <v>5200000</v>
      </c>
      <c r="G28" s="3">
        <v>30</v>
      </c>
      <c r="H28" s="3">
        <f t="shared" si="2"/>
        <v>5200000</v>
      </c>
      <c r="I28" s="3"/>
      <c r="J28" s="4"/>
      <c r="K28" s="4"/>
      <c r="L28" s="4">
        <v>88021</v>
      </c>
      <c r="M28" s="4"/>
      <c r="N28" s="4">
        <v>1056250</v>
      </c>
      <c r="O28" s="4">
        <f t="shared" si="1"/>
        <v>6344271</v>
      </c>
      <c r="P28" s="4">
        <f>+((F28+N28)*4%)</f>
        <v>250250</v>
      </c>
      <c r="Q28" s="4">
        <f>+((F28+N28)*5%)</f>
        <v>312812.5</v>
      </c>
      <c r="R28" s="4"/>
      <c r="S28" s="4"/>
      <c r="T28" s="4">
        <v>46204</v>
      </c>
      <c r="U28" s="4"/>
      <c r="V28" s="4"/>
      <c r="W28" s="4"/>
      <c r="X28" s="4">
        <f t="shared" si="6"/>
        <v>609266.5</v>
      </c>
      <c r="Y28" s="118">
        <f t="shared" si="9"/>
        <v>5735004.5</v>
      </c>
    </row>
    <row r="29" spans="1:25" ht="24.95" customHeight="1" x14ac:dyDescent="0.25">
      <c r="A29" s="117"/>
      <c r="B29" s="2">
        <v>26</v>
      </c>
      <c r="C29" s="1" t="s">
        <v>48</v>
      </c>
      <c r="D29" s="1" t="s">
        <v>31</v>
      </c>
      <c r="E29" s="2" t="s">
        <v>32</v>
      </c>
      <c r="F29" s="4">
        <v>5500000</v>
      </c>
      <c r="G29" s="3">
        <v>30</v>
      </c>
      <c r="H29" s="3">
        <f t="shared" si="2"/>
        <v>5500000</v>
      </c>
      <c r="I29" s="3"/>
      <c r="J29" s="4"/>
      <c r="K29" s="4"/>
      <c r="L29" s="4"/>
      <c r="M29" s="4">
        <v>450000</v>
      </c>
      <c r="N29" s="4"/>
      <c r="O29" s="4">
        <f t="shared" si="1"/>
        <v>5950000</v>
      </c>
      <c r="P29" s="4">
        <f>+F29*4%</f>
        <v>220000</v>
      </c>
      <c r="Q29" s="4">
        <f>+F29*5%</f>
        <v>275000</v>
      </c>
      <c r="R29" s="4"/>
      <c r="S29" s="4"/>
      <c r="T29" s="7">
        <v>150521</v>
      </c>
      <c r="U29" s="4">
        <v>1365000</v>
      </c>
      <c r="V29" s="4"/>
      <c r="W29" s="4"/>
      <c r="X29" s="4">
        <f t="shared" si="6"/>
        <v>2010521</v>
      </c>
      <c r="Y29" s="118">
        <f t="shared" si="9"/>
        <v>3939479</v>
      </c>
    </row>
    <row r="30" spans="1:25" ht="24.95" customHeight="1" x14ac:dyDescent="0.25">
      <c r="A30" s="117"/>
      <c r="B30" s="2">
        <v>27</v>
      </c>
      <c r="C30" s="1" t="s">
        <v>49</v>
      </c>
      <c r="D30" s="1" t="s">
        <v>31</v>
      </c>
      <c r="E30" s="2" t="s">
        <v>32</v>
      </c>
      <c r="F30" s="4">
        <v>5350000</v>
      </c>
      <c r="G30" s="3">
        <v>30</v>
      </c>
      <c r="H30" s="3">
        <f>+F30-K30</f>
        <v>2318334</v>
      </c>
      <c r="I30" s="3"/>
      <c r="J30" s="4"/>
      <c r="K30" s="4">
        <v>3031666</v>
      </c>
      <c r="L30" s="4"/>
      <c r="M30" s="4">
        <v>1000000</v>
      </c>
      <c r="N30" s="4"/>
      <c r="O30" s="4">
        <f t="shared" si="1"/>
        <v>6350000</v>
      </c>
      <c r="P30" s="4">
        <f>+F30*4%</f>
        <v>214000</v>
      </c>
      <c r="Q30" s="4">
        <f>+F30*0.05</f>
        <v>267500</v>
      </c>
      <c r="R30" s="4"/>
      <c r="S30" s="4"/>
      <c r="T30" s="7">
        <v>96000</v>
      </c>
      <c r="U30" s="4"/>
      <c r="V30" s="4"/>
      <c r="W30" s="4">
        <f>810005+511813</f>
        <v>1321818</v>
      </c>
      <c r="X30" s="4">
        <f t="shared" si="6"/>
        <v>1899318</v>
      </c>
      <c r="Y30" s="118">
        <f t="shared" ref="Y30:Y36" si="13">O30-X30</f>
        <v>4450682</v>
      </c>
    </row>
    <row r="31" spans="1:25" ht="24.95" customHeight="1" x14ac:dyDescent="0.25">
      <c r="A31" s="117"/>
      <c r="B31" s="2">
        <v>28</v>
      </c>
      <c r="C31" s="1" t="s">
        <v>168</v>
      </c>
      <c r="D31" s="1" t="s">
        <v>31</v>
      </c>
      <c r="E31" s="2" t="s">
        <v>32</v>
      </c>
      <c r="F31" s="4">
        <v>5000000</v>
      </c>
      <c r="G31" s="3">
        <v>30</v>
      </c>
      <c r="H31" s="3">
        <f t="shared" si="2"/>
        <v>5000000</v>
      </c>
      <c r="I31" s="3"/>
      <c r="J31" s="4"/>
      <c r="K31" s="4"/>
      <c r="L31" s="4"/>
      <c r="M31" s="4"/>
      <c r="N31" s="4"/>
      <c r="O31" s="4">
        <f t="shared" si="1"/>
        <v>5000000</v>
      </c>
      <c r="P31" s="4">
        <f>+H31*4%</f>
        <v>200000</v>
      </c>
      <c r="Q31" s="4">
        <f>+H31*5%</f>
        <v>250000</v>
      </c>
      <c r="R31" s="4"/>
      <c r="S31" s="4"/>
      <c r="T31" s="7">
        <v>78000</v>
      </c>
      <c r="U31" s="4"/>
      <c r="V31" s="4"/>
      <c r="W31" s="4"/>
      <c r="X31" s="4">
        <f t="shared" ref="X31" si="14">SUM(P31:W31)</f>
        <v>528000</v>
      </c>
      <c r="Y31" s="118">
        <f t="shared" si="13"/>
        <v>4472000</v>
      </c>
    </row>
    <row r="32" spans="1:25" ht="24.95" customHeight="1" x14ac:dyDescent="0.25">
      <c r="A32" s="117"/>
      <c r="B32" s="2">
        <v>29</v>
      </c>
      <c r="C32" s="1" t="s">
        <v>176</v>
      </c>
      <c r="D32" s="1" t="s">
        <v>31</v>
      </c>
      <c r="E32" s="2" t="s">
        <v>32</v>
      </c>
      <c r="F32" s="4">
        <v>7000000</v>
      </c>
      <c r="G32" s="3">
        <v>30</v>
      </c>
      <c r="H32" s="3">
        <f t="shared" si="2"/>
        <v>7000000</v>
      </c>
      <c r="I32" s="3"/>
      <c r="J32" s="4"/>
      <c r="K32" s="4"/>
      <c r="L32" s="4"/>
      <c r="M32" s="4"/>
      <c r="N32" s="4"/>
      <c r="O32" s="4">
        <f t="shared" si="1"/>
        <v>7000000</v>
      </c>
      <c r="P32" s="4">
        <f>+O32*4%</f>
        <v>280000</v>
      </c>
      <c r="Q32" s="4">
        <f>+O32*5%</f>
        <v>350000</v>
      </c>
      <c r="R32" s="4"/>
      <c r="S32" s="4"/>
      <c r="T32" s="7">
        <v>309000</v>
      </c>
      <c r="U32" s="4"/>
      <c r="V32" s="4"/>
      <c r="W32" s="4"/>
      <c r="X32" s="4">
        <f t="shared" ref="X32" si="15">SUM(P32:W32)</f>
        <v>939000</v>
      </c>
      <c r="Y32" s="118">
        <f t="shared" si="13"/>
        <v>6061000</v>
      </c>
    </row>
    <row r="33" spans="1:28" ht="24.95" customHeight="1" x14ac:dyDescent="0.25">
      <c r="A33" s="117"/>
      <c r="B33" s="2">
        <v>30</v>
      </c>
      <c r="C33" s="1" t="s">
        <v>50</v>
      </c>
      <c r="D33" s="1" t="s">
        <v>31</v>
      </c>
      <c r="E33" s="2" t="s">
        <v>32</v>
      </c>
      <c r="F33" s="4">
        <v>8500000</v>
      </c>
      <c r="G33" s="3">
        <v>30</v>
      </c>
      <c r="H33" s="3">
        <f t="shared" si="2"/>
        <v>8500000</v>
      </c>
      <c r="I33" s="3"/>
      <c r="J33" s="4"/>
      <c r="K33" s="4"/>
      <c r="L33" s="4"/>
      <c r="M33" s="4"/>
      <c r="N33" s="4"/>
      <c r="O33" s="4">
        <f t="shared" si="1"/>
        <v>8500000</v>
      </c>
      <c r="P33" s="4">
        <f>+O33*4%</f>
        <v>340000</v>
      </c>
      <c r="Q33" s="4">
        <f>+O33*0.05</f>
        <v>425000</v>
      </c>
      <c r="R33" s="4"/>
      <c r="S33" s="4"/>
      <c r="T33" s="7">
        <v>292000</v>
      </c>
      <c r="U33" s="4"/>
      <c r="V33" s="4"/>
      <c r="W33" s="4"/>
      <c r="X33" s="4">
        <f t="shared" si="6"/>
        <v>1057000</v>
      </c>
      <c r="Y33" s="118">
        <f t="shared" si="13"/>
        <v>7443000</v>
      </c>
    </row>
    <row r="34" spans="1:28" ht="24.95" customHeight="1" x14ac:dyDescent="0.25">
      <c r="A34" s="117"/>
      <c r="B34" s="2">
        <v>31</v>
      </c>
      <c r="C34" s="1" t="s">
        <v>51</v>
      </c>
      <c r="D34" s="1" t="s">
        <v>31</v>
      </c>
      <c r="E34" s="2" t="s">
        <v>32</v>
      </c>
      <c r="F34" s="4">
        <v>7314000</v>
      </c>
      <c r="G34" s="3">
        <v>30</v>
      </c>
      <c r="H34" s="3">
        <f t="shared" si="2"/>
        <v>7314000</v>
      </c>
      <c r="I34" s="3"/>
      <c r="J34" s="4"/>
      <c r="K34" s="4"/>
      <c r="L34" s="4"/>
      <c r="M34" s="4">
        <v>1400000</v>
      </c>
      <c r="N34" s="10"/>
      <c r="O34" s="4">
        <f t="shared" si="1"/>
        <v>8714000</v>
      </c>
      <c r="P34" s="4">
        <f>+F34*4%</f>
        <v>292560</v>
      </c>
      <c r="Q34" s="4">
        <f>+F34*5%</f>
        <v>365700</v>
      </c>
      <c r="R34" s="4"/>
      <c r="S34" s="4"/>
      <c r="T34" s="7">
        <v>162000</v>
      </c>
      <c r="U34" s="4">
        <v>1300000</v>
      </c>
      <c r="V34" s="4"/>
      <c r="W34" s="4"/>
      <c r="X34" s="4">
        <f t="shared" si="6"/>
        <v>2120260</v>
      </c>
      <c r="Y34" s="118">
        <f t="shared" si="13"/>
        <v>6593740</v>
      </c>
    </row>
    <row r="35" spans="1:28" ht="24.95" customHeight="1" x14ac:dyDescent="0.25">
      <c r="A35" s="117"/>
      <c r="B35" s="2">
        <v>32</v>
      </c>
      <c r="C35" s="1" t="s">
        <v>177</v>
      </c>
      <c r="D35" s="1" t="s">
        <v>31</v>
      </c>
      <c r="E35" s="2" t="s">
        <v>32</v>
      </c>
      <c r="F35" s="4">
        <v>5500000</v>
      </c>
      <c r="G35" s="3">
        <v>30</v>
      </c>
      <c r="H35" s="3">
        <f t="shared" si="2"/>
        <v>5500000</v>
      </c>
      <c r="I35" s="3"/>
      <c r="J35" s="4"/>
      <c r="K35" s="4"/>
      <c r="L35" s="4"/>
      <c r="M35" s="4"/>
      <c r="N35" s="10"/>
      <c r="O35" s="4">
        <f t="shared" si="1"/>
        <v>5500000</v>
      </c>
      <c r="P35" s="4">
        <f>+H35*4%</f>
        <v>220000</v>
      </c>
      <c r="Q35" s="4">
        <f>+H35*5%</f>
        <v>275000</v>
      </c>
      <c r="R35" s="4"/>
      <c r="S35" s="4"/>
      <c r="T35" s="7">
        <v>36000</v>
      </c>
      <c r="U35" s="4"/>
      <c r="V35" s="4"/>
      <c r="W35" s="4"/>
      <c r="X35" s="4">
        <f t="shared" ref="X35" si="16">SUM(P35:W35)</f>
        <v>531000</v>
      </c>
      <c r="Y35" s="118">
        <f t="shared" si="13"/>
        <v>4969000</v>
      </c>
    </row>
    <row r="36" spans="1:28" ht="24.95" customHeight="1" x14ac:dyDescent="0.25">
      <c r="A36" s="117"/>
      <c r="B36" s="2">
        <v>33</v>
      </c>
      <c r="C36" s="9" t="s">
        <v>151</v>
      </c>
      <c r="D36" s="1" t="s">
        <v>31</v>
      </c>
      <c r="E36" s="2" t="s">
        <v>32</v>
      </c>
      <c r="F36" s="4">
        <v>4500000</v>
      </c>
      <c r="G36" s="3">
        <v>30</v>
      </c>
      <c r="H36" s="3">
        <f>+F36-K36</f>
        <v>4500000</v>
      </c>
      <c r="I36" s="3"/>
      <c r="J36" s="4"/>
      <c r="K36" s="4"/>
      <c r="L36" s="4"/>
      <c r="M36" s="4"/>
      <c r="N36" s="4"/>
      <c r="O36" s="4">
        <f>+H36+J36+L36+M36+N36+K36</f>
        <v>4500000</v>
      </c>
      <c r="P36" s="4">
        <v>180000</v>
      </c>
      <c r="Q36" s="4">
        <v>225000</v>
      </c>
      <c r="R36" s="4"/>
      <c r="S36" s="4"/>
      <c r="T36" s="4"/>
      <c r="U36" s="4"/>
      <c r="V36" s="4"/>
      <c r="W36" s="4"/>
      <c r="X36" s="4">
        <f>SUM(P36:W36)</f>
        <v>405000</v>
      </c>
      <c r="Y36" s="118">
        <f t="shared" si="13"/>
        <v>4095000</v>
      </c>
      <c r="AB36" s="62">
        <v>4084000</v>
      </c>
    </row>
    <row r="37" spans="1:28" ht="24.95" customHeight="1" x14ac:dyDescent="0.25">
      <c r="A37" s="117"/>
      <c r="B37" s="2">
        <v>34</v>
      </c>
      <c r="C37" s="1" t="s">
        <v>52</v>
      </c>
      <c r="D37" s="1" t="s">
        <v>31</v>
      </c>
      <c r="E37" s="2" t="s">
        <v>32</v>
      </c>
      <c r="F37" s="4">
        <v>5500000</v>
      </c>
      <c r="G37" s="3">
        <v>30</v>
      </c>
      <c r="H37" s="3">
        <f t="shared" si="2"/>
        <v>5500000</v>
      </c>
      <c r="I37" s="3"/>
      <c r="J37" s="4"/>
      <c r="K37" s="4"/>
      <c r="L37" s="4"/>
      <c r="M37" s="4"/>
      <c r="N37" s="4"/>
      <c r="O37" s="4">
        <f t="shared" si="1"/>
        <v>5500000</v>
      </c>
      <c r="P37" s="4">
        <f>O37*4/100</f>
        <v>220000</v>
      </c>
      <c r="Q37" s="4">
        <f>+O37*5%</f>
        <v>275000</v>
      </c>
      <c r="R37" s="4"/>
      <c r="S37" s="4"/>
      <c r="T37" s="4">
        <v>0</v>
      </c>
      <c r="U37" s="4">
        <v>550000</v>
      </c>
      <c r="V37" s="4"/>
      <c r="W37" s="4"/>
      <c r="X37" s="4">
        <f t="shared" si="6"/>
        <v>1045000</v>
      </c>
      <c r="Y37" s="118">
        <f t="shared" ref="Y37:Y42" si="17">+O37-X37</f>
        <v>4455000</v>
      </c>
      <c r="AB37" s="62">
        <v>3947500</v>
      </c>
    </row>
    <row r="38" spans="1:28" ht="24.95" customHeight="1" x14ac:dyDescent="0.25">
      <c r="A38" s="117"/>
      <c r="B38" s="2">
        <v>35</v>
      </c>
      <c r="C38" s="1" t="s">
        <v>53</v>
      </c>
      <c r="D38" s="1" t="s">
        <v>31</v>
      </c>
      <c r="E38" s="2" t="s">
        <v>32</v>
      </c>
      <c r="F38" s="4">
        <v>5300000</v>
      </c>
      <c r="G38" s="3">
        <v>30</v>
      </c>
      <c r="H38" s="3">
        <f t="shared" si="2"/>
        <v>5300000</v>
      </c>
      <c r="I38" s="3"/>
      <c r="J38" s="4"/>
      <c r="K38" s="4"/>
      <c r="L38" s="4"/>
      <c r="M38" s="4">
        <v>1621317</v>
      </c>
      <c r="N38" s="4"/>
      <c r="O38" s="4">
        <f t="shared" si="1"/>
        <v>6921317</v>
      </c>
      <c r="P38" s="4">
        <f t="shared" ref="P38:P64" si="18">F38*4/100</f>
        <v>212000</v>
      </c>
      <c r="Q38" s="4">
        <f t="shared" ref="Q38:Q64" si="19">+F38*0.05</f>
        <v>265000</v>
      </c>
      <c r="R38" s="4"/>
      <c r="S38" s="4"/>
      <c r="T38" s="7">
        <v>100000</v>
      </c>
      <c r="U38" s="4">
        <v>2000000</v>
      </c>
      <c r="V38" s="4"/>
      <c r="W38" s="4">
        <f>884747</f>
        <v>884747</v>
      </c>
      <c r="X38" s="4">
        <f t="shared" si="6"/>
        <v>3461747</v>
      </c>
      <c r="Y38" s="118">
        <f t="shared" si="17"/>
        <v>3459570</v>
      </c>
    </row>
    <row r="39" spans="1:28" ht="24.95" customHeight="1" x14ac:dyDescent="0.25">
      <c r="A39" s="117"/>
      <c r="B39" s="2">
        <v>36</v>
      </c>
      <c r="C39" s="1" t="s">
        <v>54</v>
      </c>
      <c r="D39" s="1" t="s">
        <v>31</v>
      </c>
      <c r="E39" s="2" t="s">
        <v>32</v>
      </c>
      <c r="F39" s="4">
        <v>4800000</v>
      </c>
      <c r="G39" s="3">
        <v>30</v>
      </c>
      <c r="H39" s="3">
        <f t="shared" si="2"/>
        <v>4800000</v>
      </c>
      <c r="I39" s="3"/>
      <c r="J39" s="4"/>
      <c r="K39" s="4"/>
      <c r="L39" s="4"/>
      <c r="M39" s="4">
        <v>92925</v>
      </c>
      <c r="N39" s="4"/>
      <c r="O39" s="4">
        <f t="shared" si="1"/>
        <v>4892925</v>
      </c>
      <c r="P39" s="4">
        <f t="shared" si="18"/>
        <v>192000</v>
      </c>
      <c r="Q39" s="4">
        <f>+F39*0.05</f>
        <v>240000</v>
      </c>
      <c r="R39" s="4"/>
      <c r="S39" s="4"/>
      <c r="T39" s="7">
        <v>26000</v>
      </c>
      <c r="U39" s="4"/>
      <c r="V39" s="4"/>
      <c r="W39" s="4">
        <v>472184</v>
      </c>
      <c r="X39" s="4">
        <f t="shared" si="6"/>
        <v>930184</v>
      </c>
      <c r="Y39" s="118">
        <f t="shared" si="17"/>
        <v>3962741</v>
      </c>
      <c r="AA39" s="67">
        <f>+T41-AA40</f>
        <v>19215</v>
      </c>
    </row>
    <row r="40" spans="1:28" ht="24.95" customHeight="1" x14ac:dyDescent="0.25">
      <c r="A40" s="117"/>
      <c r="B40" s="2">
        <v>37</v>
      </c>
      <c r="C40" s="1" t="s">
        <v>236</v>
      </c>
      <c r="D40" s="1" t="s">
        <v>31</v>
      </c>
      <c r="E40" s="2" t="s">
        <v>32</v>
      </c>
      <c r="F40" s="4">
        <v>5500000</v>
      </c>
      <c r="G40" s="3">
        <v>30</v>
      </c>
      <c r="H40" s="3">
        <f>+F40-K40</f>
        <v>4950000</v>
      </c>
      <c r="I40" s="3"/>
      <c r="J40" s="4"/>
      <c r="K40" s="4">
        <v>550000</v>
      </c>
      <c r="L40" s="4"/>
      <c r="M40" s="4"/>
      <c r="N40" s="4"/>
      <c r="O40" s="4">
        <f t="shared" si="1"/>
        <v>5500000</v>
      </c>
      <c r="P40" s="4">
        <f>+F40*4%</f>
        <v>220000</v>
      </c>
      <c r="Q40" s="4">
        <f>+F40*0.05</f>
        <v>275000</v>
      </c>
      <c r="R40" s="4"/>
      <c r="S40" s="4"/>
      <c r="T40" s="7">
        <v>146000</v>
      </c>
      <c r="U40" s="4"/>
      <c r="V40" s="4"/>
      <c r="W40" s="4"/>
      <c r="X40" s="4">
        <f t="shared" ref="X40" si="20">SUM(P40:W40)</f>
        <v>641000</v>
      </c>
      <c r="Y40" s="118">
        <f t="shared" si="17"/>
        <v>4859000</v>
      </c>
      <c r="AA40" s="67">
        <f>+AA41-Y41</f>
        <v>184785</v>
      </c>
    </row>
    <row r="41" spans="1:28" ht="24.95" customHeight="1" x14ac:dyDescent="0.25">
      <c r="A41" s="117"/>
      <c r="B41" s="2">
        <v>38</v>
      </c>
      <c r="C41" s="1" t="s">
        <v>55</v>
      </c>
      <c r="D41" s="1" t="s">
        <v>31</v>
      </c>
      <c r="E41" s="2" t="s">
        <v>32</v>
      </c>
      <c r="F41" s="4">
        <v>6100000</v>
      </c>
      <c r="G41" s="3">
        <v>30</v>
      </c>
      <c r="H41" s="3">
        <f>+F41-K41</f>
        <v>6100000</v>
      </c>
      <c r="I41" s="3"/>
      <c r="J41" s="4"/>
      <c r="K41" s="4"/>
      <c r="L41" s="4"/>
      <c r="M41" s="4"/>
      <c r="N41" s="4"/>
      <c r="O41" s="4">
        <f t="shared" si="1"/>
        <v>6100000</v>
      </c>
      <c r="P41" s="4">
        <f>O41*4/100</f>
        <v>244000</v>
      </c>
      <c r="Q41" s="4">
        <f>+O41*0.05</f>
        <v>305000</v>
      </c>
      <c r="R41" s="4"/>
      <c r="S41" s="4"/>
      <c r="T41" s="4">
        <v>204000</v>
      </c>
      <c r="U41" s="4"/>
      <c r="V41" s="4"/>
      <c r="W41" s="4"/>
      <c r="X41" s="4">
        <f t="shared" si="6"/>
        <v>753000</v>
      </c>
      <c r="Y41" s="118">
        <f t="shared" si="17"/>
        <v>5347000</v>
      </c>
      <c r="AA41" s="124">
        <v>5531785</v>
      </c>
    </row>
    <row r="42" spans="1:28" ht="24.95" customHeight="1" x14ac:dyDescent="0.25">
      <c r="A42" s="117"/>
      <c r="B42" s="2">
        <v>39</v>
      </c>
      <c r="C42" s="1" t="s">
        <v>56</v>
      </c>
      <c r="D42" s="1" t="s">
        <v>31</v>
      </c>
      <c r="E42" s="2" t="s">
        <v>32</v>
      </c>
      <c r="F42" s="4">
        <v>5900000</v>
      </c>
      <c r="G42" s="3">
        <v>30</v>
      </c>
      <c r="H42" s="3">
        <f>+F42-K42</f>
        <v>5506666</v>
      </c>
      <c r="I42" s="3"/>
      <c r="J42" s="4"/>
      <c r="K42" s="4">
        <v>393334</v>
      </c>
      <c r="L42" s="4"/>
      <c r="M42" s="4">
        <v>300000</v>
      </c>
      <c r="N42" s="4"/>
      <c r="O42" s="4">
        <f t="shared" si="1"/>
        <v>6200000</v>
      </c>
      <c r="P42" s="4">
        <f>F42*4/100</f>
        <v>236000</v>
      </c>
      <c r="Q42" s="4">
        <f t="shared" si="19"/>
        <v>295000</v>
      </c>
      <c r="R42" s="4"/>
      <c r="S42" s="4"/>
      <c r="T42" s="7">
        <v>148000</v>
      </c>
      <c r="U42" s="4"/>
      <c r="V42" s="4"/>
      <c r="W42" s="4"/>
      <c r="X42" s="4">
        <f t="shared" si="6"/>
        <v>679000</v>
      </c>
      <c r="Y42" s="118">
        <f t="shared" si="17"/>
        <v>5521000</v>
      </c>
    </row>
    <row r="43" spans="1:28" ht="24.95" customHeight="1" x14ac:dyDescent="0.25">
      <c r="A43" s="117"/>
      <c r="B43" s="2">
        <v>40</v>
      </c>
      <c r="C43" s="1" t="s">
        <v>112</v>
      </c>
      <c r="D43" s="1" t="s">
        <v>31</v>
      </c>
      <c r="E43" s="2" t="s">
        <v>32</v>
      </c>
      <c r="F43" s="4">
        <v>4300000</v>
      </c>
      <c r="G43" s="3">
        <v>30</v>
      </c>
      <c r="H43" s="3">
        <f t="shared" si="2"/>
        <v>4300000</v>
      </c>
      <c r="I43" s="3"/>
      <c r="J43" s="4"/>
      <c r="K43" s="4"/>
      <c r="L43" s="4"/>
      <c r="M43" s="4"/>
      <c r="N43" s="4"/>
      <c r="O43" s="4">
        <f t="shared" si="1"/>
        <v>4300000</v>
      </c>
      <c r="P43" s="4">
        <f>+F43*4%</f>
        <v>172000</v>
      </c>
      <c r="Q43" s="4">
        <f>+F43*5%</f>
        <v>215000</v>
      </c>
      <c r="R43" s="4"/>
      <c r="S43" s="4"/>
      <c r="T43" s="7">
        <v>0</v>
      </c>
      <c r="U43" s="4"/>
      <c r="V43" s="4">
        <v>0</v>
      </c>
      <c r="W43" s="4">
        <v>709704</v>
      </c>
      <c r="X43" s="4">
        <f t="shared" ref="X43" si="21">SUM(P43:W43)</f>
        <v>1096704</v>
      </c>
      <c r="Y43" s="118">
        <f>+O43-X43</f>
        <v>3203296</v>
      </c>
      <c r="Z43" s="67"/>
    </row>
    <row r="44" spans="1:28" ht="24.95" customHeight="1" x14ac:dyDescent="0.25">
      <c r="A44" s="117"/>
      <c r="B44" s="2">
        <v>41</v>
      </c>
      <c r="C44" s="1" t="s">
        <v>113</v>
      </c>
      <c r="D44" s="1" t="s">
        <v>31</v>
      </c>
      <c r="E44" s="2" t="s">
        <v>32</v>
      </c>
      <c r="F44" s="4">
        <v>4770000</v>
      </c>
      <c r="G44" s="3">
        <v>30</v>
      </c>
      <c r="H44" s="3">
        <f t="shared" si="2"/>
        <v>4770000</v>
      </c>
      <c r="I44" s="3"/>
      <c r="J44" s="4"/>
      <c r="K44" s="4"/>
      <c r="L44" s="4"/>
      <c r="M44" s="4">
        <v>160000</v>
      </c>
      <c r="N44" s="4"/>
      <c r="O44" s="4">
        <f t="shared" si="1"/>
        <v>4930000</v>
      </c>
      <c r="P44" s="4">
        <f t="shared" ref="P44" si="22">+F44*4%</f>
        <v>190800</v>
      </c>
      <c r="Q44" s="4">
        <f>+F44*5%</f>
        <v>238500</v>
      </c>
      <c r="R44" s="4"/>
      <c r="S44" s="4"/>
      <c r="T44" s="7">
        <v>0</v>
      </c>
      <c r="U44" s="4"/>
      <c r="V44" s="4"/>
      <c r="W44" s="4"/>
      <c r="X44" s="4">
        <f t="shared" ref="X44" si="23">SUM(P44:W44)</f>
        <v>429300</v>
      </c>
      <c r="Y44" s="118">
        <f t="shared" ref="Y44" si="24">+O44-X44</f>
        <v>4500700</v>
      </c>
    </row>
    <row r="45" spans="1:28" ht="24.95" customHeight="1" x14ac:dyDescent="0.25">
      <c r="A45" s="117"/>
      <c r="B45" s="2">
        <v>42</v>
      </c>
      <c r="C45" s="1" t="s">
        <v>62</v>
      </c>
      <c r="D45" s="1" t="s">
        <v>31</v>
      </c>
      <c r="E45" s="2" t="s">
        <v>32</v>
      </c>
      <c r="F45" s="4">
        <v>5088000</v>
      </c>
      <c r="G45" s="3">
        <v>30</v>
      </c>
      <c r="H45" s="3">
        <f>+F45-K45</f>
        <v>4918400</v>
      </c>
      <c r="I45" s="3"/>
      <c r="J45" s="4"/>
      <c r="K45" s="4">
        <v>169600</v>
      </c>
      <c r="L45" s="4">
        <v>397500</v>
      </c>
      <c r="M45" s="4">
        <v>412000</v>
      </c>
      <c r="N45" s="4">
        <v>4770000</v>
      </c>
      <c r="O45" s="4">
        <f t="shared" si="1"/>
        <v>10667500</v>
      </c>
      <c r="P45" s="4">
        <v>381600</v>
      </c>
      <c r="Q45" s="4">
        <v>477000</v>
      </c>
      <c r="R45" s="4"/>
      <c r="S45" s="4"/>
      <c r="T45" s="4">
        <v>120000</v>
      </c>
      <c r="U45" s="4">
        <f>1150000</f>
        <v>1150000</v>
      </c>
      <c r="V45" s="4"/>
      <c r="W45" s="4">
        <f>209579</f>
        <v>209579</v>
      </c>
      <c r="X45" s="4">
        <f t="shared" si="6"/>
        <v>2338179</v>
      </c>
      <c r="Y45" s="118">
        <f>O45-X45</f>
        <v>8329321</v>
      </c>
    </row>
    <row r="46" spans="1:28" ht="24.95" customHeight="1" x14ac:dyDescent="0.25">
      <c r="A46" s="117"/>
      <c r="B46" s="2">
        <v>43</v>
      </c>
      <c r="C46" s="1" t="s">
        <v>63</v>
      </c>
      <c r="D46" s="1" t="s">
        <v>31</v>
      </c>
      <c r="E46" s="2" t="s">
        <v>32</v>
      </c>
      <c r="F46" s="4">
        <v>4540000</v>
      </c>
      <c r="G46" s="3">
        <v>30</v>
      </c>
      <c r="H46" s="3">
        <f t="shared" si="2"/>
        <v>4540000</v>
      </c>
      <c r="I46" s="3"/>
      <c r="J46" s="4"/>
      <c r="K46" s="4"/>
      <c r="L46" s="4"/>
      <c r="M46" s="4"/>
      <c r="N46" s="4"/>
      <c r="O46" s="4">
        <f t="shared" si="1"/>
        <v>4540000</v>
      </c>
      <c r="P46" s="4">
        <f t="shared" si="18"/>
        <v>181600</v>
      </c>
      <c r="Q46" s="4">
        <f t="shared" si="19"/>
        <v>227000</v>
      </c>
      <c r="R46" s="4"/>
      <c r="S46" s="4"/>
      <c r="T46" s="7">
        <v>0</v>
      </c>
      <c r="U46" s="4"/>
      <c r="V46" s="4"/>
      <c r="W46" s="4">
        <v>407106</v>
      </c>
      <c r="X46" s="4">
        <f t="shared" si="6"/>
        <v>815706</v>
      </c>
      <c r="Y46" s="118">
        <f>O46-X46</f>
        <v>3724294</v>
      </c>
    </row>
    <row r="47" spans="1:28" ht="24.95" customHeight="1" x14ac:dyDescent="0.25">
      <c r="A47" s="117"/>
      <c r="B47" s="2">
        <v>44</v>
      </c>
      <c r="C47" s="1" t="s">
        <v>64</v>
      </c>
      <c r="D47" s="1" t="s">
        <v>31</v>
      </c>
      <c r="E47" s="2" t="s">
        <v>32</v>
      </c>
      <c r="F47" s="4">
        <v>4500000</v>
      </c>
      <c r="G47" s="3">
        <v>30</v>
      </c>
      <c r="H47" s="3">
        <f t="shared" si="2"/>
        <v>4500000</v>
      </c>
      <c r="I47" s="3"/>
      <c r="J47" s="4"/>
      <c r="K47" s="4"/>
      <c r="L47" s="4"/>
      <c r="M47" s="4"/>
      <c r="N47" s="4"/>
      <c r="O47" s="4">
        <f t="shared" si="1"/>
        <v>4500000</v>
      </c>
      <c r="P47" s="4">
        <f>O47*4/100</f>
        <v>180000</v>
      </c>
      <c r="Q47" s="4">
        <f>+O47*0.05</f>
        <v>225000</v>
      </c>
      <c r="R47" s="4"/>
      <c r="S47" s="4"/>
      <c r="T47" s="4">
        <v>0</v>
      </c>
      <c r="U47" s="4"/>
      <c r="V47" s="4"/>
      <c r="W47" s="4">
        <v>636561</v>
      </c>
      <c r="X47" s="4">
        <f t="shared" si="6"/>
        <v>1041561</v>
      </c>
      <c r="Y47" s="118">
        <f>+O47-X47</f>
        <v>3458439</v>
      </c>
    </row>
    <row r="48" spans="1:28" ht="24.95" customHeight="1" x14ac:dyDescent="0.25">
      <c r="A48" s="117"/>
      <c r="B48" s="2">
        <v>45</v>
      </c>
      <c r="C48" s="1" t="s">
        <v>66</v>
      </c>
      <c r="D48" s="1" t="s">
        <v>31</v>
      </c>
      <c r="E48" s="2" t="s">
        <v>32</v>
      </c>
      <c r="F48" s="4">
        <v>6360000</v>
      </c>
      <c r="G48" s="3">
        <v>30</v>
      </c>
      <c r="H48" s="3">
        <f t="shared" si="2"/>
        <v>6360000</v>
      </c>
      <c r="I48" s="3"/>
      <c r="J48" s="4"/>
      <c r="K48" s="4"/>
      <c r="L48" s="4"/>
      <c r="M48" s="4"/>
      <c r="N48" s="4"/>
      <c r="O48" s="4">
        <f t="shared" si="1"/>
        <v>6360000</v>
      </c>
      <c r="P48" s="4">
        <f t="shared" si="18"/>
        <v>254400</v>
      </c>
      <c r="Q48" s="4">
        <f t="shared" si="19"/>
        <v>318000</v>
      </c>
      <c r="R48" s="4"/>
      <c r="S48" s="4"/>
      <c r="T48" s="4">
        <v>208000</v>
      </c>
      <c r="U48" s="4"/>
      <c r="V48" s="4">
        <v>162225</v>
      </c>
      <c r="W48" s="4"/>
      <c r="X48" s="4">
        <f t="shared" si="6"/>
        <v>942625</v>
      </c>
      <c r="Y48" s="118">
        <f t="shared" ref="Y48:Y52" si="25">+O48-X48</f>
        <v>5417375</v>
      </c>
    </row>
    <row r="49" spans="1:28" ht="24.95" customHeight="1" x14ac:dyDescent="0.25">
      <c r="A49" s="117"/>
      <c r="B49" s="2">
        <v>46</v>
      </c>
      <c r="C49" s="1" t="s">
        <v>259</v>
      </c>
      <c r="D49" s="1" t="s">
        <v>31</v>
      </c>
      <c r="E49" s="2" t="s">
        <v>32</v>
      </c>
      <c r="F49" s="4">
        <v>11500000</v>
      </c>
      <c r="G49" s="3">
        <v>28</v>
      </c>
      <c r="H49" s="3">
        <v>6900000</v>
      </c>
      <c r="I49" s="3"/>
      <c r="J49" s="4"/>
      <c r="K49" s="4">
        <f>1916667+1916667</f>
        <v>3833334</v>
      </c>
      <c r="L49" s="4"/>
      <c r="M49" s="4"/>
      <c r="N49" s="4"/>
      <c r="O49" s="4">
        <f t="shared" si="1"/>
        <v>10733334</v>
      </c>
      <c r="P49" s="4">
        <v>300533</v>
      </c>
      <c r="Q49" s="4">
        <f>300533+75133</f>
        <v>375666</v>
      </c>
      <c r="R49" s="4"/>
      <c r="S49" s="4"/>
      <c r="T49" s="4">
        <v>374806</v>
      </c>
      <c r="U49" s="4"/>
      <c r="V49" s="4"/>
      <c r="W49" s="4"/>
      <c r="X49" s="4">
        <f t="shared" ref="X49" si="26">SUM(P49:W49)</f>
        <v>1051005</v>
      </c>
      <c r="Y49" s="118">
        <f t="shared" si="25"/>
        <v>9682329</v>
      </c>
    </row>
    <row r="50" spans="1:28" ht="24.95" customHeight="1" x14ac:dyDescent="0.25">
      <c r="A50" s="117"/>
      <c r="B50" s="2">
        <v>47</v>
      </c>
      <c r="C50" s="1" t="s">
        <v>153</v>
      </c>
      <c r="D50" s="1" t="s">
        <v>31</v>
      </c>
      <c r="E50" s="2" t="s">
        <v>32</v>
      </c>
      <c r="F50" s="4">
        <v>3500000</v>
      </c>
      <c r="G50" s="3">
        <v>30</v>
      </c>
      <c r="H50" s="3">
        <f t="shared" si="2"/>
        <v>3500000</v>
      </c>
      <c r="I50" s="3"/>
      <c r="J50" s="4"/>
      <c r="K50" s="4"/>
      <c r="L50" s="4"/>
      <c r="M50" s="4"/>
      <c r="N50" s="4"/>
      <c r="O50" s="4">
        <f>+H50+J50+L50+M50+N50+K50</f>
        <v>3500000</v>
      </c>
      <c r="P50" s="4">
        <f>H50*4/100</f>
        <v>140000</v>
      </c>
      <c r="Q50" s="4">
        <f>+H50*0.05</f>
        <v>175000</v>
      </c>
      <c r="R50" s="4"/>
      <c r="S50" s="4"/>
      <c r="T50" s="4">
        <v>0</v>
      </c>
      <c r="U50" s="4"/>
      <c r="V50" s="4">
        <v>0</v>
      </c>
      <c r="W50" s="4"/>
      <c r="X50" s="4">
        <f t="shared" ref="X50:X51" si="27">SUM(P50:W50)</f>
        <v>315000</v>
      </c>
      <c r="Y50" s="118">
        <f t="shared" si="25"/>
        <v>3185000</v>
      </c>
    </row>
    <row r="51" spans="1:28" ht="24.95" customHeight="1" x14ac:dyDescent="0.25">
      <c r="A51" s="117"/>
      <c r="B51" s="2">
        <v>48</v>
      </c>
      <c r="C51" s="1" t="s">
        <v>237</v>
      </c>
      <c r="D51" s="1" t="s">
        <v>31</v>
      </c>
      <c r="E51" s="2" t="s">
        <v>32</v>
      </c>
      <c r="F51" s="4">
        <v>5000000</v>
      </c>
      <c r="G51" s="3">
        <v>30</v>
      </c>
      <c r="H51" s="3">
        <f t="shared" si="2"/>
        <v>5000000</v>
      </c>
      <c r="I51" s="3"/>
      <c r="J51" s="4"/>
      <c r="K51" s="4"/>
      <c r="L51" s="4"/>
      <c r="M51" s="4">
        <v>1000000</v>
      </c>
      <c r="N51" s="4"/>
      <c r="O51" s="4">
        <f>+H51+J51+L51+M51+N51+K51</f>
        <v>6000000</v>
      </c>
      <c r="P51" s="4">
        <f>+H51*4%</f>
        <v>200000</v>
      </c>
      <c r="Q51" s="4">
        <f>+H51*0.05</f>
        <v>250000</v>
      </c>
      <c r="R51" s="4"/>
      <c r="S51" s="4"/>
      <c r="T51" s="4">
        <v>78000</v>
      </c>
      <c r="U51" s="4"/>
      <c r="V51" s="4">
        <v>0</v>
      </c>
      <c r="W51" s="4"/>
      <c r="X51" s="4">
        <f t="shared" si="27"/>
        <v>528000</v>
      </c>
      <c r="Y51" s="118">
        <f t="shared" si="25"/>
        <v>5472000</v>
      </c>
    </row>
    <row r="52" spans="1:28" ht="24.95" customHeight="1" x14ac:dyDescent="0.25">
      <c r="A52" s="117"/>
      <c r="B52" s="2">
        <v>49</v>
      </c>
      <c r="C52" s="1" t="s">
        <v>67</v>
      </c>
      <c r="D52" s="1" t="s">
        <v>31</v>
      </c>
      <c r="E52" s="2" t="s">
        <v>32</v>
      </c>
      <c r="F52" s="4">
        <v>4770000</v>
      </c>
      <c r="G52" s="3">
        <v>30</v>
      </c>
      <c r="H52" s="3">
        <f t="shared" si="2"/>
        <v>4770000</v>
      </c>
      <c r="I52" s="3"/>
      <c r="J52" s="4"/>
      <c r="K52" s="4"/>
      <c r="L52" s="4"/>
      <c r="M52" s="4">
        <v>500000</v>
      </c>
      <c r="N52" s="4"/>
      <c r="O52" s="4">
        <f t="shared" si="1"/>
        <v>5270000</v>
      </c>
      <c r="P52" s="4">
        <f t="shared" si="18"/>
        <v>190800</v>
      </c>
      <c r="Q52" s="4">
        <f t="shared" si="19"/>
        <v>238500</v>
      </c>
      <c r="R52" s="4"/>
      <c r="S52" s="4"/>
      <c r="T52" s="4">
        <v>22000</v>
      </c>
      <c r="U52" s="4"/>
      <c r="V52" s="4"/>
      <c r="W52" s="4"/>
      <c r="X52" s="4">
        <f t="shared" si="6"/>
        <v>451300</v>
      </c>
      <c r="Y52" s="118">
        <f t="shared" si="25"/>
        <v>4818700</v>
      </c>
    </row>
    <row r="53" spans="1:28" ht="24.95" customHeight="1" x14ac:dyDescent="0.25">
      <c r="A53" s="117"/>
      <c r="B53" s="2">
        <v>50</v>
      </c>
      <c r="C53" s="1" t="s">
        <v>69</v>
      </c>
      <c r="D53" s="1" t="s">
        <v>31</v>
      </c>
      <c r="E53" s="2" t="s">
        <v>32</v>
      </c>
      <c r="F53" s="4">
        <v>6000000</v>
      </c>
      <c r="G53" s="3">
        <v>30</v>
      </c>
      <c r="H53" s="3">
        <f>+F53-K53</f>
        <v>4000000</v>
      </c>
      <c r="I53" s="3"/>
      <c r="J53" s="4"/>
      <c r="K53" s="4">
        <v>2000000</v>
      </c>
      <c r="L53" s="4"/>
      <c r="M53" s="4"/>
      <c r="N53" s="4"/>
      <c r="O53" s="4">
        <f t="shared" si="1"/>
        <v>6000000</v>
      </c>
      <c r="P53" s="4">
        <f t="shared" si="18"/>
        <v>240000</v>
      </c>
      <c r="Q53" s="4">
        <f t="shared" si="19"/>
        <v>300000</v>
      </c>
      <c r="R53" s="4">
        <v>0</v>
      </c>
      <c r="S53" s="4"/>
      <c r="T53" s="4">
        <v>0</v>
      </c>
      <c r="U53" s="4"/>
      <c r="V53" s="4"/>
      <c r="W53" s="4"/>
      <c r="X53" s="4">
        <f t="shared" si="6"/>
        <v>540000</v>
      </c>
      <c r="Y53" s="118">
        <f>O53-X53</f>
        <v>5460000</v>
      </c>
      <c r="AB53" s="62">
        <v>321831000</v>
      </c>
    </row>
    <row r="54" spans="1:28" ht="24.95" customHeight="1" x14ac:dyDescent="0.25">
      <c r="A54" s="117"/>
      <c r="B54" s="2">
        <v>51</v>
      </c>
      <c r="C54" s="1" t="s">
        <v>255</v>
      </c>
      <c r="D54" s="1"/>
      <c r="E54" s="2"/>
      <c r="F54" s="4">
        <v>1300000</v>
      </c>
      <c r="G54" s="3">
        <v>30</v>
      </c>
      <c r="H54" s="3">
        <f t="shared" ref="H54" si="28">+F54/30*G54</f>
        <v>1300000</v>
      </c>
      <c r="I54" s="3"/>
      <c r="J54" s="3">
        <v>88211</v>
      </c>
      <c r="K54" s="4"/>
      <c r="L54" s="4"/>
      <c r="M54" s="4"/>
      <c r="N54" s="4"/>
      <c r="O54" s="4">
        <f t="shared" si="1"/>
        <v>1388211</v>
      </c>
      <c r="P54" s="4">
        <f>F54*4/100</f>
        <v>52000</v>
      </c>
      <c r="Q54" s="4">
        <f>+F54*0.04</f>
        <v>52000</v>
      </c>
      <c r="R54" s="4">
        <v>0</v>
      </c>
      <c r="S54" s="4"/>
      <c r="T54" s="4">
        <v>0</v>
      </c>
      <c r="U54" s="4"/>
      <c r="V54" s="4"/>
      <c r="W54" s="4"/>
      <c r="X54" s="4">
        <f t="shared" ref="X54" si="29">SUM(P54:W54)</f>
        <v>104000</v>
      </c>
      <c r="Y54" s="118">
        <f>O54-X54</f>
        <v>1284211</v>
      </c>
    </row>
    <row r="55" spans="1:28" ht="24.95" customHeight="1" x14ac:dyDescent="0.25">
      <c r="A55" s="117"/>
      <c r="B55" s="2">
        <v>52</v>
      </c>
      <c r="C55" s="1" t="s">
        <v>70</v>
      </c>
      <c r="D55" s="1" t="s">
        <v>31</v>
      </c>
      <c r="E55" s="2" t="s">
        <v>32</v>
      </c>
      <c r="F55" s="4">
        <v>7800000</v>
      </c>
      <c r="G55" s="3">
        <v>30</v>
      </c>
      <c r="H55" s="3">
        <f t="shared" si="2"/>
        <v>7800000</v>
      </c>
      <c r="I55" s="3"/>
      <c r="J55" s="4"/>
      <c r="K55" s="4"/>
      <c r="L55" s="4"/>
      <c r="M55" s="4">
        <v>1200000</v>
      </c>
      <c r="N55" s="4"/>
      <c r="O55" s="4">
        <f t="shared" si="1"/>
        <v>9000000</v>
      </c>
      <c r="P55" s="4">
        <f>(F55*4/100)</f>
        <v>312000</v>
      </c>
      <c r="Q55" s="4">
        <f>+(F55*0.05)</f>
        <v>390000</v>
      </c>
      <c r="R55" s="4"/>
      <c r="S55" s="4"/>
      <c r="T55" s="4">
        <v>302000</v>
      </c>
      <c r="U55" s="4"/>
      <c r="V55" s="4"/>
      <c r="W55" s="4"/>
      <c r="X55" s="4">
        <f t="shared" si="6"/>
        <v>1004000</v>
      </c>
      <c r="Y55" s="118">
        <f>+O55-X55</f>
        <v>7996000</v>
      </c>
      <c r="Z55" s="118"/>
      <c r="AB55" s="62">
        <f>+AB53/2</f>
        <v>160915500</v>
      </c>
    </row>
    <row r="56" spans="1:28" ht="24.95" customHeight="1" x14ac:dyDescent="0.25">
      <c r="A56" s="117"/>
      <c r="B56" s="2">
        <v>53</v>
      </c>
      <c r="C56" s="9" t="s">
        <v>72</v>
      </c>
      <c r="D56" s="1" t="s">
        <v>31</v>
      </c>
      <c r="E56" s="2" t="s">
        <v>32</v>
      </c>
      <c r="F56" s="4">
        <v>7000000</v>
      </c>
      <c r="G56" s="3">
        <v>30</v>
      </c>
      <c r="H56" s="3">
        <f t="shared" si="2"/>
        <v>7000000</v>
      </c>
      <c r="I56" s="3"/>
      <c r="J56" s="4"/>
      <c r="K56" s="4"/>
      <c r="L56" s="4"/>
      <c r="M56" s="4"/>
      <c r="N56" s="4"/>
      <c r="O56" s="4">
        <f t="shared" si="1"/>
        <v>7000000</v>
      </c>
      <c r="P56" s="4">
        <f>O56*4/100</f>
        <v>280000</v>
      </c>
      <c r="Q56" s="4">
        <f>+O56*0.05</f>
        <v>350000</v>
      </c>
      <c r="R56" s="4"/>
      <c r="S56" s="4"/>
      <c r="T56" s="4">
        <v>182000</v>
      </c>
      <c r="U56" s="4"/>
      <c r="V56" s="4"/>
      <c r="W56" s="4"/>
      <c r="X56" s="4">
        <f t="shared" si="6"/>
        <v>812000</v>
      </c>
      <c r="Y56" s="118">
        <f>O56-X56</f>
        <v>6188000</v>
      </c>
    </row>
    <row r="57" spans="1:28" ht="24.95" customHeight="1" x14ac:dyDescent="0.25">
      <c r="A57" s="117"/>
      <c r="B57" s="2">
        <v>54</v>
      </c>
      <c r="C57" s="1" t="s">
        <v>73</v>
      </c>
      <c r="D57" s="1" t="s">
        <v>31</v>
      </c>
      <c r="E57" s="2" t="s">
        <v>32</v>
      </c>
      <c r="F57" s="4">
        <v>5350000</v>
      </c>
      <c r="G57" s="3">
        <v>30</v>
      </c>
      <c r="H57" s="3">
        <f t="shared" si="2"/>
        <v>5350000</v>
      </c>
      <c r="I57" s="3"/>
      <c r="J57" s="4"/>
      <c r="K57" s="4"/>
      <c r="L57" s="4"/>
      <c r="M57" s="4"/>
      <c r="N57" s="4"/>
      <c r="O57" s="4">
        <f t="shared" si="1"/>
        <v>5350000</v>
      </c>
      <c r="P57" s="4">
        <f t="shared" si="18"/>
        <v>214000</v>
      </c>
      <c r="Q57" s="4">
        <f t="shared" si="19"/>
        <v>267500</v>
      </c>
      <c r="R57" s="4"/>
      <c r="S57" s="4"/>
      <c r="T57" s="4">
        <v>95000</v>
      </c>
      <c r="U57" s="4"/>
      <c r="V57" s="4"/>
      <c r="W57" s="4"/>
      <c r="X57" s="4">
        <f t="shared" si="6"/>
        <v>576500</v>
      </c>
      <c r="Y57" s="118">
        <f t="shared" ref="Y57:Y63" si="30">+O57-X57</f>
        <v>4773500</v>
      </c>
    </row>
    <row r="58" spans="1:28" ht="24.95" customHeight="1" x14ac:dyDescent="0.25">
      <c r="A58" s="117"/>
      <c r="B58" s="2">
        <v>55</v>
      </c>
      <c r="C58" s="1" t="s">
        <v>74</v>
      </c>
      <c r="D58" s="2" t="s">
        <v>31</v>
      </c>
      <c r="E58" s="2" t="s">
        <v>32</v>
      </c>
      <c r="F58" s="4">
        <v>4500000</v>
      </c>
      <c r="G58" s="3">
        <v>30</v>
      </c>
      <c r="H58" s="3">
        <f t="shared" si="2"/>
        <v>4500000</v>
      </c>
      <c r="I58" s="3"/>
      <c r="J58" s="4"/>
      <c r="K58" s="4"/>
      <c r="L58" s="4"/>
      <c r="M58" s="4"/>
      <c r="N58" s="4"/>
      <c r="O58" s="4">
        <f t="shared" si="1"/>
        <v>4500000</v>
      </c>
      <c r="P58" s="4">
        <f>O58*4/100</f>
        <v>180000</v>
      </c>
      <c r="Q58" s="4">
        <f>+O58*0.05</f>
        <v>225000</v>
      </c>
      <c r="R58" s="4"/>
      <c r="S58" s="4"/>
      <c r="T58" s="4">
        <v>0</v>
      </c>
      <c r="U58" s="4"/>
      <c r="V58" s="4"/>
      <c r="W58" s="4"/>
      <c r="X58" s="4">
        <f t="shared" si="6"/>
        <v>405000</v>
      </c>
      <c r="Y58" s="118">
        <f t="shared" si="30"/>
        <v>4095000</v>
      </c>
    </row>
    <row r="59" spans="1:28" ht="24.95" customHeight="1" x14ac:dyDescent="0.25">
      <c r="A59" s="117"/>
      <c r="B59" s="2">
        <v>56</v>
      </c>
      <c r="C59" s="1" t="s">
        <v>75</v>
      </c>
      <c r="D59" s="1" t="s">
        <v>31</v>
      </c>
      <c r="E59" s="2" t="s">
        <v>32</v>
      </c>
      <c r="F59" s="4">
        <v>5100000</v>
      </c>
      <c r="G59" s="3">
        <v>30</v>
      </c>
      <c r="H59" s="3">
        <f t="shared" si="2"/>
        <v>5100000</v>
      </c>
      <c r="I59" s="3"/>
      <c r="J59" s="4"/>
      <c r="K59" s="4"/>
      <c r="L59" s="4"/>
      <c r="M59" s="4"/>
      <c r="N59" s="4"/>
      <c r="O59" s="4">
        <f t="shared" si="1"/>
        <v>5100000</v>
      </c>
      <c r="P59" s="4">
        <f>O59*4/100</f>
        <v>204000</v>
      </c>
      <c r="Q59" s="4">
        <f>+O59*0.05</f>
        <v>255000</v>
      </c>
      <c r="R59" s="4"/>
      <c r="S59" s="4"/>
      <c r="T59" s="4">
        <v>0</v>
      </c>
      <c r="U59" s="4"/>
      <c r="V59" s="4"/>
      <c r="W59" s="4">
        <v>317224</v>
      </c>
      <c r="X59" s="4">
        <f t="shared" si="6"/>
        <v>776224</v>
      </c>
      <c r="Y59" s="118">
        <f t="shared" si="30"/>
        <v>4323776</v>
      </c>
    </row>
    <row r="60" spans="1:28" ht="24.95" customHeight="1" x14ac:dyDescent="0.25">
      <c r="A60" s="117"/>
      <c r="B60" s="2">
        <v>57</v>
      </c>
      <c r="C60" s="1" t="s">
        <v>163</v>
      </c>
      <c r="D60" s="1" t="s">
        <v>31</v>
      </c>
      <c r="E60" s="2" t="s">
        <v>32</v>
      </c>
      <c r="F60" s="4">
        <v>6800000</v>
      </c>
      <c r="G60" s="3">
        <v>30</v>
      </c>
      <c r="H60" s="3">
        <f t="shared" si="2"/>
        <v>6800000</v>
      </c>
      <c r="I60" s="3"/>
      <c r="J60" s="4"/>
      <c r="K60" s="4"/>
      <c r="L60" s="4"/>
      <c r="M60" s="4"/>
      <c r="N60" s="4"/>
      <c r="O60" s="4">
        <f t="shared" si="1"/>
        <v>6800000</v>
      </c>
      <c r="P60" s="4">
        <f>+O60*4%</f>
        <v>272000</v>
      </c>
      <c r="Q60" s="4">
        <f>+O60*0.05</f>
        <v>340000</v>
      </c>
      <c r="R60" s="4"/>
      <c r="S60" s="4"/>
      <c r="T60" s="4">
        <v>96000</v>
      </c>
      <c r="U60" s="4"/>
      <c r="V60" s="4"/>
      <c r="W60" s="4"/>
      <c r="X60" s="4">
        <f t="shared" ref="X60" si="31">SUM(P60:W60)</f>
        <v>708000</v>
      </c>
      <c r="Y60" s="118">
        <f>+O60-X60</f>
        <v>6092000</v>
      </c>
    </row>
    <row r="61" spans="1:28" ht="24.95" customHeight="1" x14ac:dyDescent="0.25">
      <c r="A61" s="117"/>
      <c r="B61" s="2">
        <v>58</v>
      </c>
      <c r="C61" s="1" t="s">
        <v>77</v>
      </c>
      <c r="D61" s="1" t="s">
        <v>31</v>
      </c>
      <c r="E61" s="2" t="s">
        <v>32</v>
      </c>
      <c r="F61" s="4">
        <v>4400000</v>
      </c>
      <c r="G61" s="3">
        <v>30</v>
      </c>
      <c r="H61" s="3">
        <f>+F61-K61</f>
        <v>2912964</v>
      </c>
      <c r="I61" s="3"/>
      <c r="J61" s="4"/>
      <c r="K61" s="4">
        <f>743518+743518</f>
        <v>1487036</v>
      </c>
      <c r="L61" s="4"/>
      <c r="M61" s="4"/>
      <c r="N61" s="4"/>
      <c r="O61" s="4">
        <f t="shared" si="1"/>
        <v>4400000</v>
      </c>
      <c r="P61" s="4">
        <f>F61*4/100</f>
        <v>176000</v>
      </c>
      <c r="Q61" s="4">
        <f>+F61*0.05</f>
        <v>220000</v>
      </c>
      <c r="R61" s="4"/>
      <c r="S61" s="4"/>
      <c r="T61" s="4">
        <v>0</v>
      </c>
      <c r="U61" s="4"/>
      <c r="V61" s="4"/>
      <c r="W61" s="4">
        <v>141077</v>
      </c>
      <c r="X61" s="4">
        <f t="shared" si="6"/>
        <v>537077</v>
      </c>
      <c r="Y61" s="118">
        <f t="shared" si="30"/>
        <v>3862923</v>
      </c>
    </row>
    <row r="62" spans="1:28" ht="24.95" customHeight="1" x14ac:dyDescent="0.25">
      <c r="A62" s="117"/>
      <c r="B62" s="2">
        <v>59</v>
      </c>
      <c r="C62" s="1" t="s">
        <v>78</v>
      </c>
      <c r="D62" s="1" t="s">
        <v>31</v>
      </c>
      <c r="E62" s="2" t="s">
        <v>32</v>
      </c>
      <c r="F62" s="4">
        <v>7800000</v>
      </c>
      <c r="G62" s="3">
        <v>30</v>
      </c>
      <c r="H62" s="3">
        <f t="shared" si="2"/>
        <v>7800000</v>
      </c>
      <c r="I62" s="3"/>
      <c r="J62" s="4"/>
      <c r="K62" s="4"/>
      <c r="L62" s="4"/>
      <c r="M62" s="4">
        <v>400000</v>
      </c>
      <c r="N62" s="4"/>
      <c r="O62" s="4">
        <f t="shared" si="1"/>
        <v>8200000</v>
      </c>
      <c r="P62" s="4">
        <f>F62*4/100</f>
        <v>312000</v>
      </c>
      <c r="Q62" s="4">
        <f>+F62*0.05</f>
        <v>390000</v>
      </c>
      <c r="R62" s="4"/>
      <c r="S62" s="4"/>
      <c r="T62" s="4">
        <v>315000</v>
      </c>
      <c r="U62" s="4"/>
      <c r="V62" s="4"/>
      <c r="W62" s="4"/>
      <c r="X62" s="4">
        <f t="shared" si="6"/>
        <v>1017000</v>
      </c>
      <c r="Y62" s="118">
        <f t="shared" si="30"/>
        <v>7183000</v>
      </c>
    </row>
    <row r="63" spans="1:28" ht="24.95" customHeight="1" x14ac:dyDescent="0.25">
      <c r="A63" s="117"/>
      <c r="B63" s="2">
        <v>60</v>
      </c>
      <c r="C63" s="1" t="s">
        <v>154</v>
      </c>
      <c r="D63" s="1" t="s">
        <v>31</v>
      </c>
      <c r="E63" s="2" t="s">
        <v>32</v>
      </c>
      <c r="F63" s="4">
        <v>4500000</v>
      </c>
      <c r="G63" s="3">
        <v>30</v>
      </c>
      <c r="H63" s="3">
        <f t="shared" si="2"/>
        <v>4500000</v>
      </c>
      <c r="I63" s="3"/>
      <c r="J63" s="4"/>
      <c r="K63" s="4"/>
      <c r="L63" s="4"/>
      <c r="M63" s="4"/>
      <c r="N63" s="4"/>
      <c r="O63" s="4">
        <f t="shared" si="1"/>
        <v>4500000</v>
      </c>
      <c r="P63" s="4">
        <f>H63*4/100</f>
        <v>180000</v>
      </c>
      <c r="Q63" s="4">
        <f>+H63*0.05</f>
        <v>225000</v>
      </c>
      <c r="R63" s="4"/>
      <c r="S63" s="4"/>
      <c r="T63" s="4"/>
      <c r="U63" s="4"/>
      <c r="V63" s="4"/>
      <c r="W63" s="4"/>
      <c r="X63" s="4">
        <f t="shared" ref="X63" si="32">SUM(P63:W63)</f>
        <v>405000</v>
      </c>
      <c r="Y63" s="118">
        <f t="shared" si="30"/>
        <v>4095000</v>
      </c>
    </row>
    <row r="64" spans="1:28" ht="24.95" customHeight="1" x14ac:dyDescent="0.25">
      <c r="A64" s="117"/>
      <c r="B64" s="2">
        <v>61</v>
      </c>
      <c r="C64" s="1" t="s">
        <v>80</v>
      </c>
      <c r="D64" s="1" t="s">
        <v>31</v>
      </c>
      <c r="E64" s="2" t="s">
        <v>32</v>
      </c>
      <c r="F64" s="4">
        <v>6000000</v>
      </c>
      <c r="G64" s="3">
        <v>30</v>
      </c>
      <c r="H64" s="3">
        <f t="shared" si="2"/>
        <v>6000000</v>
      </c>
      <c r="I64" s="3"/>
      <c r="J64" s="4"/>
      <c r="K64" s="4"/>
      <c r="L64" s="4"/>
      <c r="M64" s="4">
        <v>400000</v>
      </c>
      <c r="N64" s="4"/>
      <c r="O64" s="4">
        <f t="shared" si="1"/>
        <v>6400000</v>
      </c>
      <c r="P64" s="4">
        <f t="shared" si="18"/>
        <v>240000</v>
      </c>
      <c r="Q64" s="4">
        <f t="shared" si="19"/>
        <v>300000</v>
      </c>
      <c r="R64" s="4"/>
      <c r="S64" s="4"/>
      <c r="T64" s="4">
        <v>120000</v>
      </c>
      <c r="U64" s="4"/>
      <c r="V64" s="4"/>
      <c r="W64" s="4"/>
      <c r="X64" s="4">
        <f t="shared" si="6"/>
        <v>660000</v>
      </c>
      <c r="Y64" s="118">
        <f>O64-X64</f>
        <v>5740000</v>
      </c>
    </row>
    <row r="65" spans="1:25" ht="24.95" customHeight="1" x14ac:dyDescent="0.25">
      <c r="A65" s="117"/>
      <c r="B65" s="2">
        <v>62</v>
      </c>
      <c r="C65" s="1" t="s">
        <v>238</v>
      </c>
      <c r="D65" s="1" t="s">
        <v>31</v>
      </c>
      <c r="E65" s="2" t="s">
        <v>32</v>
      </c>
      <c r="F65" s="4">
        <v>4800000</v>
      </c>
      <c r="G65" s="3">
        <v>30</v>
      </c>
      <c r="H65" s="3">
        <f t="shared" si="2"/>
        <v>4800000</v>
      </c>
      <c r="I65" s="3"/>
      <c r="J65" s="4"/>
      <c r="K65" s="4"/>
      <c r="L65" s="4"/>
      <c r="M65" s="4"/>
      <c r="N65" s="4"/>
      <c r="O65" s="4">
        <f t="shared" si="1"/>
        <v>4800000</v>
      </c>
      <c r="P65" s="4">
        <f>+H65*4%</f>
        <v>192000</v>
      </c>
      <c r="Q65" s="4">
        <f>+H65*5%</f>
        <v>240000</v>
      </c>
      <c r="R65" s="4"/>
      <c r="S65" s="4"/>
      <c r="T65" s="4">
        <v>51000</v>
      </c>
      <c r="U65" s="4"/>
      <c r="V65" s="4"/>
      <c r="W65" s="4"/>
      <c r="X65" s="4">
        <f t="shared" ref="X65:X66" si="33">SUM(P65:W65)</f>
        <v>483000</v>
      </c>
      <c r="Y65" s="118">
        <f>+O65-X65</f>
        <v>4317000</v>
      </c>
    </row>
    <row r="66" spans="1:25" ht="24.95" customHeight="1" x14ac:dyDescent="0.25">
      <c r="A66" s="117"/>
      <c r="B66" s="2">
        <v>63</v>
      </c>
      <c r="C66" s="1" t="s">
        <v>239</v>
      </c>
      <c r="D66" s="1" t="s">
        <v>31</v>
      </c>
      <c r="E66" s="2" t="s">
        <v>32</v>
      </c>
      <c r="F66" s="4">
        <v>4800000</v>
      </c>
      <c r="G66" s="3">
        <v>30</v>
      </c>
      <c r="H66" s="3">
        <f t="shared" si="2"/>
        <v>4800000</v>
      </c>
      <c r="I66" s="3"/>
      <c r="J66" s="4"/>
      <c r="K66" s="4"/>
      <c r="L66" s="4"/>
      <c r="M66" s="4"/>
      <c r="N66" s="4"/>
      <c r="O66" s="4">
        <f t="shared" si="1"/>
        <v>4800000</v>
      </c>
      <c r="P66" s="4">
        <f>+H66*4%</f>
        <v>192000</v>
      </c>
      <c r="Q66" s="4">
        <f>+H66*5%</f>
        <v>240000</v>
      </c>
      <c r="R66" s="4"/>
      <c r="S66" s="4"/>
      <c r="T66" s="4">
        <v>51000</v>
      </c>
      <c r="U66" s="4"/>
      <c r="V66" s="4"/>
      <c r="W66" s="4"/>
      <c r="X66" s="4">
        <f t="shared" si="33"/>
        <v>483000</v>
      </c>
      <c r="Y66" s="118">
        <f>+O66-X66</f>
        <v>4317000</v>
      </c>
    </row>
    <row r="67" spans="1:25" ht="24.95" customHeight="1" x14ac:dyDescent="0.25">
      <c r="A67" s="117"/>
      <c r="B67" s="2">
        <v>64</v>
      </c>
      <c r="C67" s="1" t="s">
        <v>81</v>
      </c>
      <c r="D67" s="1" t="s">
        <v>31</v>
      </c>
      <c r="E67" s="2" t="s">
        <v>32</v>
      </c>
      <c r="F67" s="4">
        <v>4800000</v>
      </c>
      <c r="G67" s="3">
        <v>30</v>
      </c>
      <c r="H67" s="3">
        <f t="shared" si="2"/>
        <v>4800000</v>
      </c>
      <c r="I67" s="3"/>
      <c r="J67" s="4"/>
      <c r="K67" s="4"/>
      <c r="L67" s="4"/>
      <c r="M67" s="4"/>
      <c r="N67" s="4"/>
      <c r="O67" s="4">
        <f t="shared" si="1"/>
        <v>4800000</v>
      </c>
      <c r="P67" s="4">
        <f>+O67*4%</f>
        <v>192000</v>
      </c>
      <c r="Q67" s="4">
        <f>+O67*5%</f>
        <v>240000</v>
      </c>
      <c r="R67" s="4"/>
      <c r="S67" s="4"/>
      <c r="T67" s="4">
        <v>26000</v>
      </c>
      <c r="U67" s="4"/>
      <c r="V67" s="4"/>
      <c r="W67" s="4">
        <v>524069</v>
      </c>
      <c r="X67" s="4">
        <f t="shared" si="6"/>
        <v>982069</v>
      </c>
      <c r="Y67" s="118">
        <f>+O67-X67</f>
        <v>3817931</v>
      </c>
    </row>
    <row r="68" spans="1:25" ht="24.95" customHeight="1" x14ac:dyDescent="0.25">
      <c r="A68" s="117"/>
      <c r="B68" s="2">
        <v>65</v>
      </c>
      <c r="C68" s="1" t="s">
        <v>240</v>
      </c>
      <c r="D68" s="1" t="s">
        <v>31</v>
      </c>
      <c r="E68" s="2" t="s">
        <v>32</v>
      </c>
      <c r="F68" s="4">
        <v>5200000</v>
      </c>
      <c r="G68" s="3">
        <v>30</v>
      </c>
      <c r="H68" s="3">
        <f t="shared" si="2"/>
        <v>5200000</v>
      </c>
      <c r="I68" s="3"/>
      <c r="J68" s="4"/>
      <c r="K68" s="4"/>
      <c r="L68" s="4"/>
      <c r="M68" s="4"/>
      <c r="N68" s="4"/>
      <c r="O68" s="4">
        <f t="shared" si="1"/>
        <v>5200000</v>
      </c>
      <c r="P68" s="4">
        <f>+H68*4%</f>
        <v>208000</v>
      </c>
      <c r="Q68" s="4">
        <f>+H68*5%</f>
        <v>260000</v>
      </c>
      <c r="R68" s="4"/>
      <c r="S68" s="4"/>
      <c r="T68" s="4">
        <v>105000</v>
      </c>
      <c r="U68" s="4"/>
      <c r="V68" s="4"/>
      <c r="W68" s="4"/>
      <c r="X68" s="4">
        <f t="shared" ref="X68" si="34">SUM(P68:W68)</f>
        <v>573000</v>
      </c>
      <c r="Y68" s="118">
        <f>+O68-X68</f>
        <v>4627000</v>
      </c>
    </row>
    <row r="69" spans="1:25" ht="24.95" customHeight="1" x14ac:dyDescent="0.25">
      <c r="A69" s="117"/>
      <c r="B69" s="2">
        <v>66</v>
      </c>
      <c r="C69" s="1" t="s">
        <v>82</v>
      </c>
      <c r="D69" s="1" t="s">
        <v>31</v>
      </c>
      <c r="E69" s="2" t="s">
        <v>32</v>
      </c>
      <c r="F69" s="4">
        <v>6500000</v>
      </c>
      <c r="G69" s="3">
        <v>30</v>
      </c>
      <c r="H69" s="3">
        <f t="shared" si="2"/>
        <v>6500000</v>
      </c>
      <c r="I69" s="3"/>
      <c r="J69" s="4"/>
      <c r="K69" s="4"/>
      <c r="L69" s="4"/>
      <c r="M69" s="4"/>
      <c r="N69" s="4"/>
      <c r="O69" s="4">
        <f t="shared" si="1"/>
        <v>6500000</v>
      </c>
      <c r="P69" s="4">
        <f>+F69*0.04</f>
        <v>260000</v>
      </c>
      <c r="Q69" s="4">
        <f>+F69*0.05</f>
        <v>325000</v>
      </c>
      <c r="R69" s="4"/>
      <c r="S69" s="4">
        <v>147000</v>
      </c>
      <c r="T69" s="4">
        <v>207372</v>
      </c>
      <c r="U69" s="4"/>
      <c r="V69" s="4"/>
      <c r="W69" s="4"/>
      <c r="X69" s="4">
        <f t="shared" si="6"/>
        <v>939372</v>
      </c>
      <c r="Y69" s="118">
        <f>O69-X69</f>
        <v>5560628</v>
      </c>
    </row>
    <row r="70" spans="1:25" ht="24.75" customHeight="1" x14ac:dyDescent="0.25">
      <c r="A70" s="117" t="s">
        <v>83</v>
      </c>
      <c r="B70" s="2">
        <v>1</v>
      </c>
      <c r="C70" s="1" t="s">
        <v>84</v>
      </c>
      <c r="D70" s="1" t="s">
        <v>31</v>
      </c>
      <c r="E70" s="2" t="s">
        <v>32</v>
      </c>
      <c r="F70" s="4">
        <v>912000</v>
      </c>
      <c r="G70" s="3">
        <v>30</v>
      </c>
      <c r="H70" s="3">
        <f>+F70/30*G70-K70</f>
        <v>790400</v>
      </c>
      <c r="I70" s="3"/>
      <c r="J70" s="4">
        <f>+(88211/30)*G70</f>
        <v>88211</v>
      </c>
      <c r="K70" s="4">
        <f>+F70/30*4</f>
        <v>121600</v>
      </c>
      <c r="L70" s="4"/>
      <c r="M70" s="4"/>
      <c r="N70" s="4"/>
      <c r="O70" s="4">
        <f>SUM(H70:N70)</f>
        <v>1000211</v>
      </c>
      <c r="P70" s="4">
        <f>+F70*4%</f>
        <v>36480</v>
      </c>
      <c r="Q70" s="4">
        <f>+F70*0.04</f>
        <v>36480</v>
      </c>
      <c r="R70" s="4"/>
      <c r="S70" s="4"/>
      <c r="T70" s="4"/>
      <c r="U70" s="4"/>
      <c r="V70" s="4"/>
      <c r="W70" s="4"/>
      <c r="X70" s="4">
        <f>SUM(P70:W70)</f>
        <v>72960</v>
      </c>
      <c r="Y70" s="118">
        <f>O70-X70</f>
        <v>927251</v>
      </c>
    </row>
    <row r="71" spans="1:25" ht="24.95" customHeight="1" x14ac:dyDescent="0.25">
      <c r="A71" s="117"/>
      <c r="B71" s="2">
        <f>+B70+1</f>
        <v>2</v>
      </c>
      <c r="C71" s="1" t="s">
        <v>85</v>
      </c>
      <c r="D71" s="1" t="s">
        <v>31</v>
      </c>
      <c r="E71" s="2" t="s">
        <v>32</v>
      </c>
      <c r="F71" s="4">
        <v>4000000</v>
      </c>
      <c r="G71" s="3">
        <v>30</v>
      </c>
      <c r="H71" s="3">
        <f t="shared" ref="H71:H120" si="35">+F71/30*G71-K71</f>
        <v>2800000.0000000005</v>
      </c>
      <c r="I71" s="3"/>
      <c r="J71" s="4"/>
      <c r="K71" s="4">
        <f>+F71/30*9</f>
        <v>1200000</v>
      </c>
      <c r="L71" s="4"/>
      <c r="M71" s="4"/>
      <c r="N71" s="4"/>
      <c r="O71" s="4">
        <f t="shared" ref="O71:O120" si="36">SUM(H71:N71)</f>
        <v>4000000.0000000005</v>
      </c>
      <c r="P71" s="4">
        <f>+F71*4%</f>
        <v>160000</v>
      </c>
      <c r="Q71" s="4">
        <f>+F71*0.05</f>
        <v>200000</v>
      </c>
      <c r="R71" s="4"/>
      <c r="S71" s="4"/>
      <c r="T71" s="4"/>
      <c r="U71" s="4"/>
      <c r="V71" s="4"/>
      <c r="W71" s="4">
        <v>853816</v>
      </c>
      <c r="X71" s="4">
        <f t="shared" ref="X71:X120" si="37">SUM(P71:W71)</f>
        <v>1213816</v>
      </c>
      <c r="Y71" s="118">
        <f>O71-X71</f>
        <v>2786184.0000000005</v>
      </c>
    </row>
    <row r="72" spans="1:25" ht="24.95" customHeight="1" x14ac:dyDescent="0.25">
      <c r="A72" s="117"/>
      <c r="B72" s="2">
        <f t="shared" ref="B72:B120" si="38">+B71+1</f>
        <v>3</v>
      </c>
      <c r="C72" s="9" t="s">
        <v>86</v>
      </c>
      <c r="D72" s="1" t="s">
        <v>31</v>
      </c>
      <c r="E72" s="2" t="s">
        <v>32</v>
      </c>
      <c r="F72" s="4">
        <v>2500000</v>
      </c>
      <c r="G72" s="3">
        <v>30</v>
      </c>
      <c r="H72" s="3">
        <f t="shared" si="35"/>
        <v>2500000</v>
      </c>
      <c r="I72" s="3"/>
      <c r="J72" s="4"/>
      <c r="K72" s="4"/>
      <c r="L72" s="4"/>
      <c r="M72" s="4"/>
      <c r="N72" s="4"/>
      <c r="O72" s="4">
        <f t="shared" si="36"/>
        <v>2500000</v>
      </c>
      <c r="P72" s="4">
        <f>+F72*4%</f>
        <v>100000</v>
      </c>
      <c r="Q72" s="4">
        <f>+F72*4%</f>
        <v>100000</v>
      </c>
      <c r="R72" s="4"/>
      <c r="S72" s="4"/>
      <c r="T72" s="4"/>
      <c r="U72" s="4"/>
      <c r="V72" s="4"/>
      <c r="W72" s="4"/>
      <c r="X72" s="4">
        <f t="shared" si="37"/>
        <v>200000</v>
      </c>
      <c r="Y72" s="118">
        <f>O72-X72</f>
        <v>2300000</v>
      </c>
    </row>
    <row r="73" spans="1:25" ht="24.95" customHeight="1" x14ac:dyDescent="0.25">
      <c r="A73" s="117"/>
      <c r="B73" s="2">
        <f t="shared" si="38"/>
        <v>4</v>
      </c>
      <c r="C73" s="9" t="s">
        <v>248</v>
      </c>
      <c r="D73" s="1" t="s">
        <v>31</v>
      </c>
      <c r="E73" s="2" t="s">
        <v>256</v>
      </c>
      <c r="F73" s="4">
        <v>781242</v>
      </c>
      <c r="G73" s="3">
        <v>30</v>
      </c>
      <c r="H73" s="3">
        <f t="shared" si="35"/>
        <v>781242</v>
      </c>
      <c r="I73" s="3"/>
      <c r="J73" s="4"/>
      <c r="K73" s="4"/>
      <c r="L73" s="4"/>
      <c r="M73" s="4"/>
      <c r="N73" s="4"/>
      <c r="O73" s="4">
        <f t="shared" si="36"/>
        <v>781242</v>
      </c>
      <c r="P73" s="4"/>
      <c r="Q73" s="4"/>
      <c r="R73" s="4"/>
      <c r="S73" s="4"/>
      <c r="T73" s="4"/>
      <c r="U73" s="4"/>
      <c r="V73" s="4"/>
      <c r="W73" s="4"/>
      <c r="X73" s="4">
        <f t="shared" ref="X73:X74" si="39">SUM(P73:W73)</f>
        <v>0</v>
      </c>
      <c r="Y73" s="118">
        <f t="shared" ref="Y73:Y74" si="40">O73-X73</f>
        <v>781242</v>
      </c>
    </row>
    <row r="74" spans="1:25" ht="24.95" customHeight="1" x14ac:dyDescent="0.25">
      <c r="A74" s="117"/>
      <c r="B74" s="2">
        <f t="shared" si="38"/>
        <v>5</v>
      </c>
      <c r="C74" s="9" t="s">
        <v>249</v>
      </c>
      <c r="D74" s="1" t="s">
        <v>31</v>
      </c>
      <c r="E74" s="2" t="s">
        <v>256</v>
      </c>
      <c r="F74" s="4">
        <v>781242</v>
      </c>
      <c r="G74" s="3">
        <v>30</v>
      </c>
      <c r="H74" s="3">
        <f t="shared" si="35"/>
        <v>781242</v>
      </c>
      <c r="I74" s="3"/>
      <c r="J74" s="4"/>
      <c r="K74" s="4"/>
      <c r="L74" s="4"/>
      <c r="M74" s="4"/>
      <c r="N74" s="4"/>
      <c r="O74" s="4">
        <f t="shared" si="36"/>
        <v>781242</v>
      </c>
      <c r="P74" s="4"/>
      <c r="Q74" s="4"/>
      <c r="R74" s="4"/>
      <c r="S74" s="4"/>
      <c r="T74" s="4"/>
      <c r="U74" s="4"/>
      <c r="V74" s="4"/>
      <c r="W74" s="4"/>
      <c r="X74" s="4">
        <f t="shared" si="39"/>
        <v>0</v>
      </c>
      <c r="Y74" s="118">
        <f t="shared" si="40"/>
        <v>781242</v>
      </c>
    </row>
    <row r="75" spans="1:25" ht="24.95" customHeight="1" x14ac:dyDescent="0.25">
      <c r="A75" s="117"/>
      <c r="B75" s="2">
        <f t="shared" si="38"/>
        <v>6</v>
      </c>
      <c r="C75" s="1" t="s">
        <v>87</v>
      </c>
      <c r="D75" s="1" t="s">
        <v>31</v>
      </c>
      <c r="E75" s="2" t="s">
        <v>32</v>
      </c>
      <c r="F75" s="4">
        <v>3000000</v>
      </c>
      <c r="G75" s="3">
        <v>30</v>
      </c>
      <c r="H75" s="3">
        <f t="shared" si="35"/>
        <v>3000000</v>
      </c>
      <c r="I75" s="3"/>
      <c r="J75" s="4"/>
      <c r="K75" s="4"/>
      <c r="L75" s="4"/>
      <c r="M75" s="4"/>
      <c r="N75" s="4"/>
      <c r="O75" s="4">
        <f t="shared" si="36"/>
        <v>3000000</v>
      </c>
      <c r="P75" s="4">
        <f>+F75*4%</f>
        <v>120000</v>
      </c>
      <c r="Q75" s="4">
        <f>+F75*4%</f>
        <v>120000</v>
      </c>
      <c r="R75" s="4"/>
      <c r="S75" s="4">
        <v>1380000</v>
      </c>
      <c r="T75" s="7"/>
      <c r="U75" s="4"/>
      <c r="V75" s="4"/>
      <c r="W75" s="4"/>
      <c r="X75" s="4">
        <f t="shared" si="37"/>
        <v>1620000</v>
      </c>
      <c r="Y75" s="118">
        <f t="shared" ref="Y75:Y86" si="41">+O75-X75</f>
        <v>1380000</v>
      </c>
    </row>
    <row r="76" spans="1:25" ht="24.95" customHeight="1" x14ac:dyDescent="0.25">
      <c r="A76" s="117"/>
      <c r="B76" s="2">
        <f t="shared" si="38"/>
        <v>7</v>
      </c>
      <c r="C76" s="1" t="s">
        <v>250</v>
      </c>
      <c r="D76" s="1" t="s">
        <v>45</v>
      </c>
      <c r="E76" s="2" t="s">
        <v>256</v>
      </c>
      <c r="F76" s="4">
        <v>390621</v>
      </c>
      <c r="G76" s="3">
        <v>30</v>
      </c>
      <c r="H76" s="3">
        <f t="shared" si="35"/>
        <v>390621</v>
      </c>
      <c r="I76" s="3"/>
      <c r="J76" s="4"/>
      <c r="K76" s="4"/>
      <c r="L76" s="4"/>
      <c r="M76" s="4"/>
      <c r="N76" s="4"/>
      <c r="O76" s="4">
        <f t="shared" si="36"/>
        <v>390621</v>
      </c>
      <c r="P76" s="4"/>
      <c r="Q76" s="4"/>
      <c r="R76" s="4"/>
      <c r="S76" s="4"/>
      <c r="T76" s="7"/>
      <c r="U76" s="4"/>
      <c r="V76" s="4"/>
      <c r="W76" s="4"/>
      <c r="X76" s="4">
        <f t="shared" ref="X76" si="42">SUM(P76:W76)</f>
        <v>0</v>
      </c>
      <c r="Y76" s="118">
        <f t="shared" si="41"/>
        <v>390621</v>
      </c>
    </row>
    <row r="77" spans="1:25" ht="24.95" customHeight="1" x14ac:dyDescent="0.25">
      <c r="A77" s="117"/>
      <c r="B77" s="2">
        <f t="shared" si="38"/>
        <v>8</v>
      </c>
      <c r="C77" s="1" t="s">
        <v>91</v>
      </c>
      <c r="D77" s="1" t="s">
        <v>31</v>
      </c>
      <c r="E77" s="2" t="s">
        <v>32</v>
      </c>
      <c r="F77" s="4">
        <v>781242</v>
      </c>
      <c r="G77" s="3">
        <v>30</v>
      </c>
      <c r="H77" s="3">
        <f t="shared" si="35"/>
        <v>781242</v>
      </c>
      <c r="I77" s="3"/>
      <c r="J77" s="4">
        <f>+(88211/30)*G77</f>
        <v>88211</v>
      </c>
      <c r="K77" s="4"/>
      <c r="L77" s="4"/>
      <c r="M77" s="4"/>
      <c r="N77" s="4"/>
      <c r="O77" s="4">
        <f t="shared" si="36"/>
        <v>869453</v>
      </c>
      <c r="P77" s="4">
        <f t="shared" ref="P77:P84" si="43">+F77*4%</f>
        <v>31249.68</v>
      </c>
      <c r="Q77" s="4">
        <v>31250</v>
      </c>
      <c r="R77" s="4"/>
      <c r="S77" s="4">
        <v>600970</v>
      </c>
      <c r="T77" s="7"/>
      <c r="U77" s="4"/>
      <c r="V77" s="4"/>
      <c r="W77" s="4"/>
      <c r="X77" s="4">
        <f t="shared" si="37"/>
        <v>663469.68000000005</v>
      </c>
      <c r="Y77" s="118">
        <f t="shared" si="41"/>
        <v>205983.31999999995</v>
      </c>
    </row>
    <row r="78" spans="1:25" ht="24.95" customHeight="1" x14ac:dyDescent="0.25">
      <c r="A78" s="117"/>
      <c r="B78" s="2">
        <f t="shared" si="38"/>
        <v>9</v>
      </c>
      <c r="C78" s="1" t="s">
        <v>94</v>
      </c>
      <c r="D78" s="1" t="s">
        <v>31</v>
      </c>
      <c r="E78" s="2" t="s">
        <v>32</v>
      </c>
      <c r="F78" s="4">
        <v>4000000</v>
      </c>
      <c r="G78" s="3">
        <v>27</v>
      </c>
      <c r="H78" s="3">
        <f t="shared" si="35"/>
        <v>3066666.666666667</v>
      </c>
      <c r="I78" s="3">
        <f>+F78/30*2+88893</f>
        <v>355559.66666666669</v>
      </c>
      <c r="J78" s="4"/>
      <c r="K78" s="4">
        <f>+F78/30*4</f>
        <v>533333.33333333337</v>
      </c>
      <c r="L78" s="4"/>
      <c r="M78" s="4"/>
      <c r="N78" s="4"/>
      <c r="O78" s="4">
        <f>SUM(H78:N78)</f>
        <v>3955559.666666667</v>
      </c>
      <c r="P78" s="4">
        <f t="shared" si="43"/>
        <v>160000</v>
      </c>
      <c r="Q78" s="4">
        <f>+F78*5%</f>
        <v>200000</v>
      </c>
      <c r="R78" s="4"/>
      <c r="S78" s="4">
        <v>265625</v>
      </c>
      <c r="T78" s="4">
        <v>0</v>
      </c>
      <c r="U78" s="4"/>
      <c r="V78" s="4"/>
      <c r="W78" s="4">
        <v>224445</v>
      </c>
      <c r="X78" s="4">
        <f t="shared" si="37"/>
        <v>850070</v>
      </c>
      <c r="Y78" s="118">
        <f t="shared" si="41"/>
        <v>3105489.666666667</v>
      </c>
    </row>
    <row r="79" spans="1:25" ht="24.95" customHeight="1" x14ac:dyDescent="0.25">
      <c r="A79" s="117"/>
      <c r="B79" s="2">
        <f t="shared" si="38"/>
        <v>10</v>
      </c>
      <c r="C79" s="1" t="s">
        <v>241</v>
      </c>
      <c r="D79" s="1" t="s">
        <v>31</v>
      </c>
      <c r="E79" s="2" t="s">
        <v>32</v>
      </c>
      <c r="F79" s="4">
        <v>3000000</v>
      </c>
      <c r="G79" s="3">
        <v>28</v>
      </c>
      <c r="H79" s="3">
        <f t="shared" si="35"/>
        <v>2700000</v>
      </c>
      <c r="I79" s="3">
        <f>+F79/30*2</f>
        <v>200000</v>
      </c>
      <c r="J79" s="4"/>
      <c r="K79" s="4">
        <f>+F79/30*1</f>
        <v>100000</v>
      </c>
      <c r="L79" s="4"/>
      <c r="M79" s="4"/>
      <c r="N79" s="4"/>
      <c r="O79" s="4">
        <f t="shared" si="36"/>
        <v>3000000</v>
      </c>
      <c r="P79" s="4">
        <f t="shared" si="43"/>
        <v>120000</v>
      </c>
      <c r="Q79" s="4">
        <f>+F79*4%</f>
        <v>120000</v>
      </c>
      <c r="R79" s="4"/>
      <c r="S79" s="4"/>
      <c r="T79" s="4"/>
      <c r="U79" s="4"/>
      <c r="V79" s="4"/>
      <c r="W79" s="4"/>
      <c r="X79" s="4">
        <f t="shared" ref="X79:X81" si="44">SUM(P79:W79)</f>
        <v>240000</v>
      </c>
      <c r="Y79" s="118">
        <f t="shared" si="41"/>
        <v>2760000</v>
      </c>
    </row>
    <row r="80" spans="1:25" ht="24.95" customHeight="1" x14ac:dyDescent="0.25">
      <c r="A80" s="117"/>
      <c r="B80" s="2">
        <f t="shared" si="38"/>
        <v>11</v>
      </c>
      <c r="C80" s="1" t="s">
        <v>251</v>
      </c>
      <c r="D80" s="1" t="s">
        <v>31</v>
      </c>
      <c r="E80" s="2" t="s">
        <v>32</v>
      </c>
      <c r="F80" s="4">
        <v>1500000</v>
      </c>
      <c r="G80" s="3">
        <v>30</v>
      </c>
      <c r="H80" s="3">
        <f t="shared" si="35"/>
        <v>1300000</v>
      </c>
      <c r="I80" s="3"/>
      <c r="J80" s="4">
        <f>+((88211/30)*G80)</f>
        <v>88211</v>
      </c>
      <c r="K80" s="4">
        <f>+F80/30*4</f>
        <v>200000</v>
      </c>
      <c r="L80" s="4"/>
      <c r="M80" s="4"/>
      <c r="N80" s="4"/>
      <c r="O80" s="4">
        <f t="shared" si="36"/>
        <v>1588211</v>
      </c>
      <c r="P80" s="4">
        <f t="shared" si="43"/>
        <v>60000</v>
      </c>
      <c r="Q80" s="4">
        <v>60000</v>
      </c>
      <c r="R80" s="4"/>
      <c r="S80" s="4"/>
      <c r="T80" s="4">
        <v>0</v>
      </c>
      <c r="U80" s="4"/>
      <c r="V80" s="4"/>
      <c r="W80" s="4"/>
      <c r="X80" s="4">
        <f t="shared" si="44"/>
        <v>120000</v>
      </c>
      <c r="Y80" s="118">
        <f>+O80-X80</f>
        <v>1468211</v>
      </c>
    </row>
    <row r="81" spans="1:25" ht="24.95" customHeight="1" x14ac:dyDescent="0.25">
      <c r="A81" s="117"/>
      <c r="B81" s="2">
        <f t="shared" si="38"/>
        <v>12</v>
      </c>
      <c r="C81" s="1" t="s">
        <v>187</v>
      </c>
      <c r="D81" s="1" t="s">
        <v>31</v>
      </c>
      <c r="E81" s="2" t="s">
        <v>32</v>
      </c>
      <c r="F81" s="4">
        <v>781242</v>
      </c>
      <c r="G81" s="3">
        <v>28</v>
      </c>
      <c r="H81" s="3">
        <f t="shared" si="35"/>
        <v>624993.60000000009</v>
      </c>
      <c r="I81" s="3">
        <f>+F81/30*2</f>
        <v>52082.8</v>
      </c>
      <c r="J81" s="4">
        <f>+((88211/30)*G81)</f>
        <v>82330.266666666663</v>
      </c>
      <c r="K81" s="4">
        <f>+F81/30*4</f>
        <v>104165.6</v>
      </c>
      <c r="L81" s="4"/>
      <c r="M81" s="4"/>
      <c r="N81" s="4"/>
      <c r="O81" s="4">
        <f t="shared" si="36"/>
        <v>863572.26666666672</v>
      </c>
      <c r="P81" s="4">
        <f t="shared" si="43"/>
        <v>31249.68</v>
      </c>
      <c r="Q81" s="4">
        <f>+F81*4%</f>
        <v>31249.68</v>
      </c>
      <c r="R81" s="4"/>
      <c r="S81" s="4"/>
      <c r="T81" s="4">
        <v>0</v>
      </c>
      <c r="U81" s="4"/>
      <c r="V81" s="4"/>
      <c r="W81" s="4"/>
      <c r="X81" s="4">
        <f t="shared" si="44"/>
        <v>62499.360000000001</v>
      </c>
      <c r="Y81" s="118">
        <f t="shared" si="41"/>
        <v>801072.90666666673</v>
      </c>
    </row>
    <row r="82" spans="1:25" ht="24.95" customHeight="1" x14ac:dyDescent="0.25">
      <c r="A82" s="117"/>
      <c r="B82" s="2">
        <f t="shared" si="38"/>
        <v>13</v>
      </c>
      <c r="C82" s="1" t="s">
        <v>95</v>
      </c>
      <c r="D82" s="1" t="s">
        <v>31</v>
      </c>
      <c r="E82" s="2" t="s">
        <v>32</v>
      </c>
      <c r="F82" s="4">
        <v>4000000</v>
      </c>
      <c r="G82" s="3">
        <v>30</v>
      </c>
      <c r="H82" s="3">
        <f t="shared" si="35"/>
        <v>3466666.666666667</v>
      </c>
      <c r="I82" s="3"/>
      <c r="J82" s="4"/>
      <c r="K82" s="4">
        <f>+F82/30*4</f>
        <v>533333.33333333337</v>
      </c>
      <c r="L82" s="4"/>
      <c r="M82" s="4"/>
      <c r="N82" s="4"/>
      <c r="O82" s="4">
        <f t="shared" si="36"/>
        <v>4000000.0000000005</v>
      </c>
      <c r="P82" s="4">
        <f t="shared" si="43"/>
        <v>160000</v>
      </c>
      <c r="Q82" s="4">
        <f>+F82*5%</f>
        <v>200000</v>
      </c>
      <c r="R82" s="4">
        <v>0</v>
      </c>
      <c r="S82" s="4"/>
      <c r="T82" s="4">
        <v>0</v>
      </c>
      <c r="U82" s="4"/>
      <c r="V82" s="4"/>
      <c r="W82" s="4">
        <v>422966</v>
      </c>
      <c r="X82" s="4">
        <f t="shared" si="37"/>
        <v>782966</v>
      </c>
      <c r="Y82" s="118">
        <f t="shared" si="41"/>
        <v>3217034.0000000005</v>
      </c>
    </row>
    <row r="83" spans="1:25" ht="24.95" customHeight="1" x14ac:dyDescent="0.25">
      <c r="A83" s="117"/>
      <c r="B83" s="2">
        <f t="shared" si="38"/>
        <v>14</v>
      </c>
      <c r="C83" s="1" t="s">
        <v>96</v>
      </c>
      <c r="D83" s="1" t="s">
        <v>31</v>
      </c>
      <c r="E83" s="2" t="s">
        <v>32</v>
      </c>
      <c r="F83" s="4">
        <v>1500000</v>
      </c>
      <c r="G83" s="3">
        <v>30</v>
      </c>
      <c r="H83" s="3">
        <f t="shared" si="35"/>
        <v>1300000</v>
      </c>
      <c r="I83" s="3"/>
      <c r="J83" s="4">
        <f>+(88211/30)*G83</f>
        <v>88211</v>
      </c>
      <c r="K83" s="4">
        <f>+F83/30*4</f>
        <v>200000</v>
      </c>
      <c r="L83" s="4"/>
      <c r="M83" s="4"/>
      <c r="N83" s="4"/>
      <c r="O83" s="4">
        <f t="shared" si="36"/>
        <v>1588211</v>
      </c>
      <c r="P83" s="4">
        <f t="shared" si="43"/>
        <v>60000</v>
      </c>
      <c r="Q83" s="4">
        <f>+F83*4%</f>
        <v>60000</v>
      </c>
      <c r="R83" s="4"/>
      <c r="S83" s="4"/>
      <c r="T83" s="4">
        <v>0</v>
      </c>
      <c r="U83" s="4"/>
      <c r="V83" s="4"/>
      <c r="W83" s="4"/>
      <c r="X83" s="4">
        <f t="shared" si="37"/>
        <v>120000</v>
      </c>
      <c r="Y83" s="118">
        <f t="shared" si="41"/>
        <v>1468211</v>
      </c>
    </row>
    <row r="84" spans="1:25" ht="24.95" customHeight="1" x14ac:dyDescent="0.25">
      <c r="A84" s="117"/>
      <c r="B84" s="2">
        <f t="shared" si="38"/>
        <v>15</v>
      </c>
      <c r="C84" s="1" t="s">
        <v>97</v>
      </c>
      <c r="D84" s="1" t="s">
        <v>31</v>
      </c>
      <c r="E84" s="2" t="s">
        <v>32</v>
      </c>
      <c r="F84" s="4">
        <v>3000000</v>
      </c>
      <c r="G84" s="3">
        <v>30</v>
      </c>
      <c r="H84" s="3">
        <f t="shared" si="35"/>
        <v>3000000</v>
      </c>
      <c r="I84" s="3"/>
      <c r="J84" s="4"/>
      <c r="K84" s="4"/>
      <c r="L84" s="4"/>
      <c r="M84" s="4">
        <v>200000</v>
      </c>
      <c r="N84" s="4"/>
      <c r="O84" s="4">
        <f t="shared" si="36"/>
        <v>3200000</v>
      </c>
      <c r="P84" s="4">
        <f t="shared" si="43"/>
        <v>120000</v>
      </c>
      <c r="Q84" s="4">
        <f>+F84*0.04</f>
        <v>120000</v>
      </c>
      <c r="R84" s="4"/>
      <c r="S84" s="4"/>
      <c r="T84" s="4">
        <v>0</v>
      </c>
      <c r="U84" s="4"/>
      <c r="V84" s="4"/>
      <c r="W84" s="4"/>
      <c r="X84" s="4">
        <f t="shared" si="37"/>
        <v>240000</v>
      </c>
      <c r="Y84" s="118">
        <f t="shared" si="41"/>
        <v>2960000</v>
      </c>
    </row>
    <row r="85" spans="1:25" ht="24" customHeight="1" x14ac:dyDescent="0.25">
      <c r="A85" s="117"/>
      <c r="B85" s="2">
        <f t="shared" si="38"/>
        <v>16</v>
      </c>
      <c r="C85" s="1" t="s">
        <v>260</v>
      </c>
      <c r="D85" s="1"/>
      <c r="E85" s="2"/>
      <c r="F85" s="4">
        <v>781242</v>
      </c>
      <c r="G85" s="3">
        <f>30-9</f>
        <v>21</v>
      </c>
      <c r="H85" s="3">
        <f t="shared" si="35"/>
        <v>546869.4</v>
      </c>
      <c r="I85" s="3"/>
      <c r="J85" s="4">
        <f>88211/30*G85</f>
        <v>61747.700000000004</v>
      </c>
      <c r="K85" s="4"/>
      <c r="L85" s="4">
        <f>+F85*G85/360</f>
        <v>45572.45</v>
      </c>
      <c r="M85" s="4"/>
      <c r="N85" s="4"/>
      <c r="O85" s="4">
        <f>SUM(H85:N85)</f>
        <v>654189.54999999993</v>
      </c>
      <c r="P85" s="4">
        <f>+H85*4%</f>
        <v>21874.776000000002</v>
      </c>
      <c r="Q85" s="4">
        <f>+H85*0.04</f>
        <v>21874.776000000002</v>
      </c>
      <c r="R85" s="4"/>
      <c r="S85" s="4"/>
      <c r="T85" s="4">
        <v>0</v>
      </c>
      <c r="U85" s="4"/>
      <c r="V85" s="4"/>
      <c r="W85" s="4"/>
      <c r="X85" s="4">
        <f t="shared" si="37"/>
        <v>43749.552000000003</v>
      </c>
      <c r="Y85" s="118">
        <f>+O85-X85</f>
        <v>610439.99799999991</v>
      </c>
    </row>
    <row r="86" spans="1:25" ht="24.95" customHeight="1" x14ac:dyDescent="0.25">
      <c r="A86" s="117"/>
      <c r="B86" s="2">
        <f t="shared" si="38"/>
        <v>17</v>
      </c>
      <c r="C86" s="1" t="s">
        <v>98</v>
      </c>
      <c r="D86" s="1" t="s">
        <v>31</v>
      </c>
      <c r="E86" s="2" t="s">
        <v>32</v>
      </c>
      <c r="F86" s="4">
        <v>2000000</v>
      </c>
      <c r="G86" s="3">
        <v>30</v>
      </c>
      <c r="H86" s="3">
        <f t="shared" si="35"/>
        <v>2000000.0000000002</v>
      </c>
      <c r="I86" s="3"/>
      <c r="J86" s="4"/>
      <c r="K86" s="4"/>
      <c r="L86" s="4"/>
      <c r="M86" s="4"/>
      <c r="N86" s="4"/>
      <c r="O86" s="4">
        <f t="shared" si="36"/>
        <v>2000000.0000000002</v>
      </c>
      <c r="P86" s="4">
        <f>+F86*4%</f>
        <v>80000</v>
      </c>
      <c r="Q86" s="4">
        <f>+F86*4%</f>
        <v>80000</v>
      </c>
      <c r="R86" s="4"/>
      <c r="S86" s="4"/>
      <c r="T86" s="4">
        <v>0</v>
      </c>
      <c r="U86" s="4"/>
      <c r="V86" s="4"/>
      <c r="W86" s="4"/>
      <c r="X86" s="4">
        <f t="shared" si="37"/>
        <v>160000</v>
      </c>
      <c r="Y86" s="118">
        <f t="shared" si="41"/>
        <v>1840000.0000000002</v>
      </c>
    </row>
    <row r="87" spans="1:25" ht="24.95" customHeight="1" x14ac:dyDescent="0.25">
      <c r="A87" s="117"/>
      <c r="B87" s="2">
        <f t="shared" si="38"/>
        <v>18</v>
      </c>
      <c r="C87" s="9" t="s">
        <v>99</v>
      </c>
      <c r="D87" s="1" t="s">
        <v>31</v>
      </c>
      <c r="E87" s="2" t="s">
        <v>32</v>
      </c>
      <c r="F87" s="4">
        <v>4500000</v>
      </c>
      <c r="G87" s="3">
        <v>30</v>
      </c>
      <c r="H87" s="3">
        <f>+F87/30*G87-K87</f>
        <v>3900000</v>
      </c>
      <c r="I87" s="3"/>
      <c r="J87" s="4"/>
      <c r="K87" s="4">
        <f>+F87/30*4</f>
        <v>600000</v>
      </c>
      <c r="L87" s="12"/>
      <c r="M87" s="4"/>
      <c r="N87" s="4"/>
      <c r="O87" s="4">
        <f t="shared" si="36"/>
        <v>4500000</v>
      </c>
      <c r="P87" s="4">
        <f>+O87*4%</f>
        <v>180000</v>
      </c>
      <c r="Q87" s="4">
        <f>+O87*5%</f>
        <v>225000</v>
      </c>
      <c r="R87" s="4"/>
      <c r="S87" s="4"/>
      <c r="T87" s="4">
        <v>0</v>
      </c>
      <c r="U87" s="4"/>
      <c r="V87" s="4"/>
      <c r="W87" s="4"/>
      <c r="X87" s="4">
        <f t="shared" si="37"/>
        <v>405000</v>
      </c>
      <c r="Y87" s="118">
        <f t="shared" ref="Y87:Y95" si="45">O87-X87</f>
        <v>4095000</v>
      </c>
    </row>
    <row r="88" spans="1:25" ht="24.95" customHeight="1" x14ac:dyDescent="0.25">
      <c r="A88" s="117"/>
      <c r="B88" s="2">
        <f t="shared" si="38"/>
        <v>19</v>
      </c>
      <c r="C88" s="1" t="s">
        <v>101</v>
      </c>
      <c r="D88" s="1" t="s">
        <v>31</v>
      </c>
      <c r="E88" s="2" t="s">
        <v>32</v>
      </c>
      <c r="F88" s="4">
        <v>1500000</v>
      </c>
      <c r="G88" s="3">
        <v>30</v>
      </c>
      <c r="H88" s="3">
        <f t="shared" si="35"/>
        <v>1300000</v>
      </c>
      <c r="I88" s="3"/>
      <c r="J88" s="4">
        <f>+(88211/30)*G88</f>
        <v>88211</v>
      </c>
      <c r="K88" s="4">
        <f>+F88/30*4</f>
        <v>200000</v>
      </c>
      <c r="L88" s="4"/>
      <c r="M88" s="4"/>
      <c r="N88" s="4"/>
      <c r="O88" s="4">
        <f t="shared" si="36"/>
        <v>1588211</v>
      </c>
      <c r="P88" s="4">
        <f>+F88*4%</f>
        <v>60000</v>
      </c>
      <c r="Q88" s="4">
        <f>+F88*4%</f>
        <v>60000</v>
      </c>
      <c r="R88" s="4"/>
      <c r="S88" s="4">
        <v>1273444</v>
      </c>
      <c r="T88" s="4"/>
      <c r="U88" s="4"/>
      <c r="V88" s="4"/>
      <c r="W88" s="4">
        <v>194767</v>
      </c>
      <c r="X88" s="4">
        <f t="shared" si="37"/>
        <v>1588211</v>
      </c>
      <c r="Y88" s="118">
        <f t="shared" si="45"/>
        <v>0</v>
      </c>
    </row>
    <row r="89" spans="1:25" ht="24.95" customHeight="1" x14ac:dyDescent="0.25">
      <c r="A89" s="117"/>
      <c r="B89" s="2">
        <f t="shared" si="38"/>
        <v>20</v>
      </c>
      <c r="C89" s="1" t="s">
        <v>170</v>
      </c>
      <c r="D89" s="1" t="s">
        <v>31</v>
      </c>
      <c r="E89" s="2" t="s">
        <v>102</v>
      </c>
      <c r="F89" s="4">
        <v>781242</v>
      </c>
      <c r="G89" s="3">
        <v>14</v>
      </c>
      <c r="H89" s="3">
        <f t="shared" si="35"/>
        <v>364579.60000000003</v>
      </c>
      <c r="I89" s="3"/>
      <c r="J89" s="4"/>
      <c r="K89" s="4"/>
      <c r="L89" s="4"/>
      <c r="M89" s="4"/>
      <c r="N89" s="4">
        <f>390621/30*16</f>
        <v>208331.2</v>
      </c>
      <c r="O89" s="4">
        <f>SUM(H89:N89)</f>
        <v>572910.80000000005</v>
      </c>
      <c r="P89" s="4"/>
      <c r="Q89" s="4"/>
      <c r="R89" s="4"/>
      <c r="S89" s="4"/>
      <c r="T89" s="4"/>
      <c r="U89" s="4"/>
      <c r="V89" s="4"/>
      <c r="W89" s="4"/>
      <c r="X89" s="4"/>
      <c r="Y89" s="118">
        <f t="shared" si="45"/>
        <v>572910.80000000005</v>
      </c>
    </row>
    <row r="90" spans="1:25" ht="24.95" customHeight="1" x14ac:dyDescent="0.25">
      <c r="A90" s="117"/>
      <c r="B90" s="2">
        <f t="shared" si="38"/>
        <v>21</v>
      </c>
      <c r="C90" s="1" t="s">
        <v>103</v>
      </c>
      <c r="D90" s="1" t="s">
        <v>31</v>
      </c>
      <c r="E90" s="2" t="s">
        <v>32</v>
      </c>
      <c r="F90" s="4">
        <v>4800000</v>
      </c>
      <c r="G90" s="3">
        <v>30</v>
      </c>
      <c r="H90" s="3">
        <f t="shared" si="35"/>
        <v>4800000</v>
      </c>
      <c r="I90" s="3"/>
      <c r="J90" s="4"/>
      <c r="K90" s="4"/>
      <c r="L90" s="4"/>
      <c r="M90" s="4"/>
      <c r="N90" s="4"/>
      <c r="O90" s="4">
        <f t="shared" si="36"/>
        <v>4800000</v>
      </c>
      <c r="P90" s="4">
        <f>+O90*0.04</f>
        <v>192000</v>
      </c>
      <c r="Q90" s="4">
        <f>+O90*0.05</f>
        <v>240000</v>
      </c>
      <c r="R90" s="4"/>
      <c r="S90" s="4"/>
      <c r="T90" s="4">
        <v>31000</v>
      </c>
      <c r="U90" s="4"/>
      <c r="V90" s="4"/>
      <c r="W90" s="4"/>
      <c r="X90" s="4">
        <f t="shared" si="37"/>
        <v>463000</v>
      </c>
      <c r="Y90" s="118">
        <f t="shared" si="45"/>
        <v>4337000</v>
      </c>
    </row>
    <row r="91" spans="1:25" ht="24.95" customHeight="1" x14ac:dyDescent="0.25">
      <c r="A91" s="117"/>
      <c r="B91" s="2">
        <f t="shared" si="38"/>
        <v>22</v>
      </c>
      <c r="C91" s="1" t="s">
        <v>104</v>
      </c>
      <c r="D91" s="1" t="s">
        <v>31</v>
      </c>
      <c r="E91" s="2" t="s">
        <v>32</v>
      </c>
      <c r="F91" s="4">
        <v>2500000</v>
      </c>
      <c r="G91" s="3">
        <v>30</v>
      </c>
      <c r="H91" s="3">
        <f t="shared" si="35"/>
        <v>2166666.6666666665</v>
      </c>
      <c r="I91" s="3"/>
      <c r="J91" s="4"/>
      <c r="K91" s="4">
        <f>+F91/30*4</f>
        <v>333333.33333333331</v>
      </c>
      <c r="L91" s="4"/>
      <c r="M91" s="4"/>
      <c r="N91" s="4"/>
      <c r="O91" s="4">
        <f t="shared" si="36"/>
        <v>2500000</v>
      </c>
      <c r="P91" s="4">
        <f>+F91*4%</f>
        <v>100000</v>
      </c>
      <c r="Q91" s="4">
        <f>+F91*4%</f>
        <v>100000</v>
      </c>
      <c r="R91" s="4"/>
      <c r="S91" s="4"/>
      <c r="T91" s="4"/>
      <c r="U91" s="4"/>
      <c r="V91" s="4"/>
      <c r="W91" s="4"/>
      <c r="X91" s="4">
        <f t="shared" si="37"/>
        <v>200000</v>
      </c>
      <c r="Y91" s="118">
        <f t="shared" si="45"/>
        <v>2300000</v>
      </c>
    </row>
    <row r="92" spans="1:25" ht="24.95" customHeight="1" x14ac:dyDescent="0.25">
      <c r="A92" s="117"/>
      <c r="B92" s="2">
        <f t="shared" si="38"/>
        <v>23</v>
      </c>
      <c r="C92" s="1" t="s">
        <v>105</v>
      </c>
      <c r="D92" s="1" t="s">
        <v>31</v>
      </c>
      <c r="E92" s="2" t="s">
        <v>32</v>
      </c>
      <c r="F92" s="4">
        <v>1272000</v>
      </c>
      <c r="G92" s="3">
        <v>30</v>
      </c>
      <c r="H92" s="3">
        <f t="shared" si="35"/>
        <v>1102400</v>
      </c>
      <c r="I92" s="3"/>
      <c r="J92" s="4">
        <f>+(88211/30)*G92</f>
        <v>88211</v>
      </c>
      <c r="K92" s="4">
        <f>+F92/30*4</f>
        <v>169600</v>
      </c>
      <c r="L92" s="4"/>
      <c r="M92" s="4"/>
      <c r="N92" s="4"/>
      <c r="O92" s="4">
        <f t="shared" si="36"/>
        <v>1360211</v>
      </c>
      <c r="P92" s="4">
        <f>+F92*4%</f>
        <v>50880</v>
      </c>
      <c r="Q92" s="4">
        <f>+F92*4%</f>
        <v>50880</v>
      </c>
      <c r="R92" s="4"/>
      <c r="S92" s="4"/>
      <c r="T92" s="4"/>
      <c r="U92" s="4"/>
      <c r="V92" s="4"/>
      <c r="W92" s="4"/>
      <c r="X92" s="4">
        <f t="shared" si="37"/>
        <v>101760</v>
      </c>
      <c r="Y92" s="118">
        <f t="shared" si="45"/>
        <v>1258451</v>
      </c>
    </row>
    <row r="93" spans="1:25" ht="24.95" customHeight="1" x14ac:dyDescent="0.25">
      <c r="A93" s="117"/>
      <c r="B93" s="2">
        <f t="shared" si="38"/>
        <v>24</v>
      </c>
      <c r="C93" s="1" t="s">
        <v>106</v>
      </c>
      <c r="D93" s="1" t="s">
        <v>31</v>
      </c>
      <c r="E93" s="2" t="s">
        <v>32</v>
      </c>
      <c r="F93" s="4">
        <v>3000000</v>
      </c>
      <c r="G93" s="3">
        <v>30</v>
      </c>
      <c r="H93" s="3">
        <f t="shared" si="35"/>
        <v>1100000</v>
      </c>
      <c r="I93" s="3"/>
      <c r="J93" s="4"/>
      <c r="K93" s="4">
        <f>+F93/30*19</f>
        <v>1900000</v>
      </c>
      <c r="L93" s="4"/>
      <c r="M93" s="4"/>
      <c r="N93" s="4"/>
      <c r="O93" s="4">
        <f t="shared" si="36"/>
        <v>3000000</v>
      </c>
      <c r="P93" s="4">
        <f>+F93*4%</f>
        <v>120000</v>
      </c>
      <c r="Q93" s="4">
        <f>+F93*4%</f>
        <v>120000</v>
      </c>
      <c r="R93" s="4"/>
      <c r="S93" s="4"/>
      <c r="T93" s="4">
        <v>0</v>
      </c>
      <c r="U93" s="4"/>
      <c r="V93" s="4"/>
      <c r="W93" s="4">
        <v>700045</v>
      </c>
      <c r="X93" s="4">
        <f t="shared" si="37"/>
        <v>940045</v>
      </c>
      <c r="Y93" s="118">
        <f t="shared" si="45"/>
        <v>2059955</v>
      </c>
    </row>
    <row r="94" spans="1:25" ht="24.95" customHeight="1" x14ac:dyDescent="0.25">
      <c r="A94" s="117"/>
      <c r="B94" s="2">
        <f t="shared" si="38"/>
        <v>25</v>
      </c>
      <c r="C94" s="1" t="s">
        <v>107</v>
      </c>
      <c r="D94" s="1" t="s">
        <v>31</v>
      </c>
      <c r="E94" s="2" t="s">
        <v>32</v>
      </c>
      <c r="F94" s="4">
        <v>912000</v>
      </c>
      <c r="G94" s="3">
        <v>30</v>
      </c>
      <c r="H94" s="3">
        <f t="shared" si="35"/>
        <v>912000</v>
      </c>
      <c r="I94" s="3"/>
      <c r="J94" s="4">
        <f>+(88211/30)*G94</f>
        <v>88211</v>
      </c>
      <c r="K94" s="4"/>
      <c r="L94" s="4"/>
      <c r="M94" s="4"/>
      <c r="N94" s="4"/>
      <c r="O94" s="4">
        <f t="shared" si="36"/>
        <v>1000211</v>
      </c>
      <c r="P94" s="4">
        <f>+H94*4%</f>
        <v>36480</v>
      </c>
      <c r="Q94" s="4">
        <f>+H94*4%</f>
        <v>36480</v>
      </c>
      <c r="R94" s="4"/>
      <c r="S94" s="4"/>
      <c r="T94" s="4"/>
      <c r="U94" s="4"/>
      <c r="V94" s="4"/>
      <c r="W94" s="4"/>
      <c r="X94" s="4">
        <f t="shared" ref="X94" si="46">SUM(P94:W94)</f>
        <v>72960</v>
      </c>
      <c r="Y94" s="118">
        <f t="shared" si="45"/>
        <v>927251</v>
      </c>
    </row>
    <row r="95" spans="1:25" ht="24.95" customHeight="1" x14ac:dyDescent="0.25">
      <c r="A95" s="117"/>
      <c r="B95" s="2">
        <f t="shared" si="38"/>
        <v>26</v>
      </c>
      <c r="C95" s="9" t="s">
        <v>109</v>
      </c>
      <c r="D95" s="1" t="s">
        <v>31</v>
      </c>
      <c r="E95" s="2" t="s">
        <v>32</v>
      </c>
      <c r="F95" s="4">
        <v>3000000</v>
      </c>
      <c r="G95" s="3">
        <v>30</v>
      </c>
      <c r="H95" s="3">
        <f t="shared" si="35"/>
        <v>3000000</v>
      </c>
      <c r="I95" s="3"/>
      <c r="J95" s="4"/>
      <c r="K95" s="4"/>
      <c r="L95" s="4"/>
      <c r="M95" s="4"/>
      <c r="N95" s="4"/>
      <c r="O95" s="4">
        <f t="shared" si="36"/>
        <v>3000000</v>
      </c>
      <c r="P95" s="4">
        <f>+F95*4%</f>
        <v>120000</v>
      </c>
      <c r="Q95" s="4">
        <f>+F95*4%</f>
        <v>120000</v>
      </c>
      <c r="R95" s="4"/>
      <c r="S95" s="4"/>
      <c r="T95" s="4"/>
      <c r="U95" s="4"/>
      <c r="V95" s="4"/>
      <c r="W95" s="4"/>
      <c r="X95" s="4">
        <f t="shared" si="37"/>
        <v>240000</v>
      </c>
      <c r="Y95" s="118">
        <f t="shared" si="45"/>
        <v>2760000</v>
      </c>
    </row>
    <row r="96" spans="1:25" ht="24.95" customHeight="1" x14ac:dyDescent="0.25">
      <c r="A96" s="117"/>
      <c r="B96" s="2">
        <f t="shared" si="38"/>
        <v>27</v>
      </c>
      <c r="C96" s="1" t="s">
        <v>111</v>
      </c>
      <c r="D96" s="1" t="s">
        <v>31</v>
      </c>
      <c r="E96" s="2" t="s">
        <v>32</v>
      </c>
      <c r="F96" s="4">
        <v>2200000</v>
      </c>
      <c r="G96" s="3">
        <v>30</v>
      </c>
      <c r="H96" s="3">
        <f t="shared" si="35"/>
        <v>1906666.6666666667</v>
      </c>
      <c r="I96" s="3"/>
      <c r="J96" s="4"/>
      <c r="K96" s="4">
        <f>+F96/30*4</f>
        <v>293333.33333333331</v>
      </c>
      <c r="L96" s="4"/>
      <c r="M96" s="4"/>
      <c r="N96" s="4"/>
      <c r="O96" s="4">
        <f t="shared" si="36"/>
        <v>2200000</v>
      </c>
      <c r="P96" s="4">
        <f>+F96*4%</f>
        <v>88000</v>
      </c>
      <c r="Q96" s="4">
        <f>+F96*4%</f>
        <v>88000</v>
      </c>
      <c r="R96" s="4"/>
      <c r="S96" s="4"/>
      <c r="T96" s="4">
        <v>0</v>
      </c>
      <c r="U96" s="4"/>
      <c r="V96" s="4"/>
      <c r="W96" s="4"/>
      <c r="X96" s="4">
        <f t="shared" si="37"/>
        <v>176000</v>
      </c>
      <c r="Y96" s="118">
        <f>+O96-X96</f>
        <v>2024000</v>
      </c>
    </row>
    <row r="97" spans="1:25" ht="24.95" customHeight="1" x14ac:dyDescent="0.25">
      <c r="A97" s="117"/>
      <c r="B97" s="2">
        <f t="shared" si="38"/>
        <v>28</v>
      </c>
      <c r="C97" s="1" t="s">
        <v>114</v>
      </c>
      <c r="D97" s="1" t="s">
        <v>31</v>
      </c>
      <c r="E97" s="2" t="s">
        <v>32</v>
      </c>
      <c r="F97" s="4">
        <v>5500000</v>
      </c>
      <c r="G97" s="3">
        <v>30</v>
      </c>
      <c r="H97" s="3">
        <f t="shared" si="35"/>
        <v>4766666.666666667</v>
      </c>
      <c r="I97" s="3"/>
      <c r="J97" s="4"/>
      <c r="K97" s="4">
        <f>+F97/30*4</f>
        <v>733333.33333333337</v>
      </c>
      <c r="L97" s="4"/>
      <c r="M97" s="4">
        <v>500000</v>
      </c>
      <c r="N97" s="4"/>
      <c r="O97" s="4">
        <f t="shared" si="36"/>
        <v>6000000</v>
      </c>
      <c r="P97" s="4">
        <f>+F97*4%</f>
        <v>220000</v>
      </c>
      <c r="Q97" s="4">
        <f>+F97*5%</f>
        <v>275000</v>
      </c>
      <c r="R97" s="4"/>
      <c r="S97" s="4"/>
      <c r="T97" s="7">
        <v>69147</v>
      </c>
      <c r="U97" s="4"/>
      <c r="V97" s="4"/>
      <c r="W97" s="4">
        <v>480989</v>
      </c>
      <c r="X97" s="4">
        <f t="shared" si="37"/>
        <v>1045136</v>
      </c>
      <c r="Y97" s="118">
        <f t="shared" ref="Y97:Y101" si="47">+O97-X97</f>
        <v>4954864</v>
      </c>
    </row>
    <row r="98" spans="1:25" ht="24.95" customHeight="1" x14ac:dyDescent="0.25">
      <c r="A98" s="117"/>
      <c r="B98" s="2">
        <f t="shared" si="38"/>
        <v>29</v>
      </c>
      <c r="C98" s="1" t="s">
        <v>188</v>
      </c>
      <c r="D98" s="1" t="s">
        <v>31</v>
      </c>
      <c r="E98" s="2" t="s">
        <v>32</v>
      </c>
      <c r="F98" s="4">
        <v>781242</v>
      </c>
      <c r="G98" s="3">
        <v>30</v>
      </c>
      <c r="H98" s="3">
        <f t="shared" si="35"/>
        <v>677076.4</v>
      </c>
      <c r="I98" s="3"/>
      <c r="J98" s="4">
        <f>+(88211/30)*G98</f>
        <v>88211</v>
      </c>
      <c r="K98" s="4">
        <f>+F98/30*4</f>
        <v>104165.6</v>
      </c>
      <c r="L98" s="4"/>
      <c r="M98" s="4"/>
      <c r="N98" s="4"/>
      <c r="O98" s="4">
        <f t="shared" si="36"/>
        <v>869453</v>
      </c>
      <c r="P98" s="4">
        <f>+F98*4%</f>
        <v>31249.68</v>
      </c>
      <c r="Q98" s="4">
        <f>+F98*4%</f>
        <v>31249.68</v>
      </c>
      <c r="R98" s="4"/>
      <c r="S98" s="4"/>
      <c r="T98" s="7"/>
      <c r="U98" s="4"/>
      <c r="V98" s="4"/>
      <c r="W98" s="4"/>
      <c r="X98" s="4">
        <f t="shared" si="37"/>
        <v>62499.360000000001</v>
      </c>
      <c r="Y98" s="118">
        <f t="shared" si="47"/>
        <v>806953.64</v>
      </c>
    </row>
    <row r="99" spans="1:25" ht="24.95" customHeight="1" x14ac:dyDescent="0.25">
      <c r="A99" s="117"/>
      <c r="B99" s="2">
        <f t="shared" si="38"/>
        <v>30</v>
      </c>
      <c r="C99" s="1" t="s">
        <v>116</v>
      </c>
      <c r="D99" s="1" t="s">
        <v>31</v>
      </c>
      <c r="E99" s="2" t="s">
        <v>32</v>
      </c>
      <c r="F99" s="4">
        <v>2180000</v>
      </c>
      <c r="G99" s="3">
        <v>30</v>
      </c>
      <c r="H99" s="3">
        <f t="shared" si="35"/>
        <v>1889333.3333333333</v>
      </c>
      <c r="I99" s="3"/>
      <c r="J99" s="4"/>
      <c r="K99" s="4">
        <f>+F99/30*4</f>
        <v>290666.66666666669</v>
      </c>
      <c r="L99" s="4"/>
      <c r="M99" s="4"/>
      <c r="N99" s="4"/>
      <c r="O99" s="4">
        <f t="shared" si="36"/>
        <v>2180000</v>
      </c>
      <c r="P99" s="4">
        <f>+F99*4%</f>
        <v>87200</v>
      </c>
      <c r="Q99" s="4">
        <f>+F99*4%</f>
        <v>87200</v>
      </c>
      <c r="R99" s="4"/>
      <c r="S99" s="4">
        <v>166667</v>
      </c>
      <c r="T99" s="7"/>
      <c r="U99" s="4"/>
      <c r="V99" s="4"/>
      <c r="W99" s="4">
        <v>372908</v>
      </c>
      <c r="X99" s="4">
        <f t="shared" si="37"/>
        <v>713975</v>
      </c>
      <c r="Y99" s="118">
        <f t="shared" si="47"/>
        <v>1466025</v>
      </c>
    </row>
    <row r="100" spans="1:25" ht="24.95" customHeight="1" x14ac:dyDescent="0.25">
      <c r="A100" s="117"/>
      <c r="B100" s="2">
        <f t="shared" si="38"/>
        <v>31</v>
      </c>
      <c r="C100" s="1" t="s">
        <v>61</v>
      </c>
      <c r="D100" s="1" t="s">
        <v>31</v>
      </c>
      <c r="E100" s="2" t="s">
        <v>32</v>
      </c>
      <c r="F100" s="4">
        <v>3500000</v>
      </c>
      <c r="G100" s="3">
        <v>30</v>
      </c>
      <c r="H100" s="3">
        <f t="shared" si="35"/>
        <v>1866666.6666666665</v>
      </c>
      <c r="I100" s="3"/>
      <c r="J100" s="4"/>
      <c r="K100" s="4">
        <f>+F100/30*14</f>
        <v>1633333.3333333335</v>
      </c>
      <c r="L100" s="4"/>
      <c r="M100" s="4"/>
      <c r="N100" s="4"/>
      <c r="O100" s="4">
        <f t="shared" si="36"/>
        <v>3500000</v>
      </c>
      <c r="P100" s="4">
        <f>F100*4/100</f>
        <v>140000</v>
      </c>
      <c r="Q100" s="4">
        <f t="shared" ref="Q100" si="48">+F100*0.05</f>
        <v>175000</v>
      </c>
      <c r="R100" s="4"/>
      <c r="S100" s="4"/>
      <c r="T100" s="7">
        <v>0</v>
      </c>
      <c r="U100" s="4"/>
      <c r="V100" s="4">
        <v>136237</v>
      </c>
      <c r="W100" s="4"/>
      <c r="X100" s="4">
        <f t="shared" si="37"/>
        <v>451237</v>
      </c>
      <c r="Y100" s="118">
        <f>O100-X100</f>
        <v>3048763</v>
      </c>
    </row>
    <row r="101" spans="1:25" ht="24.95" customHeight="1" x14ac:dyDescent="0.25">
      <c r="A101" s="117"/>
      <c r="B101" s="2">
        <f t="shared" si="38"/>
        <v>32</v>
      </c>
      <c r="C101" s="1" t="s">
        <v>118</v>
      </c>
      <c r="D101" s="1" t="s">
        <v>31</v>
      </c>
      <c r="E101" s="2" t="s">
        <v>32</v>
      </c>
      <c r="F101" s="4">
        <v>2200000</v>
      </c>
      <c r="G101" s="3">
        <v>30</v>
      </c>
      <c r="H101" s="3">
        <f>+F101/30*G101-K101</f>
        <v>1906666.6666666667</v>
      </c>
      <c r="I101" s="3"/>
      <c r="J101" s="4"/>
      <c r="K101" s="4">
        <f>+F101/30*4</f>
        <v>293333.33333333331</v>
      </c>
      <c r="L101" s="4"/>
      <c r="M101" s="4"/>
      <c r="N101" s="4"/>
      <c r="O101" s="4">
        <f t="shared" si="36"/>
        <v>2200000</v>
      </c>
      <c r="P101" s="4">
        <f>+F101*0.04</f>
        <v>88000</v>
      </c>
      <c r="Q101" s="4">
        <v>88000</v>
      </c>
      <c r="R101" s="4"/>
      <c r="S101" s="4"/>
      <c r="T101" s="7">
        <v>0</v>
      </c>
      <c r="U101" s="4"/>
      <c r="V101" s="4"/>
      <c r="W101" s="4"/>
      <c r="X101" s="4">
        <f t="shared" si="37"/>
        <v>176000</v>
      </c>
      <c r="Y101" s="118">
        <f t="shared" si="47"/>
        <v>2024000</v>
      </c>
    </row>
    <row r="102" spans="1:25" ht="24.95" customHeight="1" x14ac:dyDescent="0.25">
      <c r="A102" s="117"/>
      <c r="B102" s="2">
        <f t="shared" si="38"/>
        <v>33</v>
      </c>
      <c r="C102" s="1" t="s">
        <v>242</v>
      </c>
      <c r="D102" s="1" t="s">
        <v>31</v>
      </c>
      <c r="E102" s="2" t="s">
        <v>32</v>
      </c>
      <c r="F102" s="4">
        <v>1700000</v>
      </c>
      <c r="G102" s="3">
        <v>30</v>
      </c>
      <c r="H102" s="3">
        <f t="shared" si="35"/>
        <v>1473333.3333333333</v>
      </c>
      <c r="I102" s="3"/>
      <c r="J102" s="4"/>
      <c r="K102" s="4">
        <f>+F102/30*4</f>
        <v>226666.66666666666</v>
      </c>
      <c r="L102" s="4"/>
      <c r="M102" s="4"/>
      <c r="N102" s="4"/>
      <c r="O102" s="4">
        <f t="shared" si="36"/>
        <v>1700000</v>
      </c>
      <c r="P102" s="4">
        <f>+F102*4%</f>
        <v>68000</v>
      </c>
      <c r="Q102" s="4">
        <f>+F102*4%</f>
        <v>68000</v>
      </c>
      <c r="R102" s="4">
        <v>0</v>
      </c>
      <c r="S102" s="4"/>
      <c r="T102" s="4">
        <v>0</v>
      </c>
      <c r="U102" s="4"/>
      <c r="V102" s="4"/>
      <c r="W102" s="4"/>
      <c r="X102" s="4">
        <f t="shared" si="37"/>
        <v>136000</v>
      </c>
      <c r="Y102" s="118">
        <f t="shared" ref="Y102:Y120" si="49">O102-X102</f>
        <v>1564000</v>
      </c>
    </row>
    <row r="103" spans="1:25" ht="24.95" customHeight="1" x14ac:dyDescent="0.25">
      <c r="A103" s="117"/>
      <c r="B103" s="2">
        <f t="shared" si="38"/>
        <v>34</v>
      </c>
      <c r="C103" s="1" t="s">
        <v>122</v>
      </c>
      <c r="D103" s="1" t="s">
        <v>31</v>
      </c>
      <c r="E103" s="2" t="s">
        <v>32</v>
      </c>
      <c r="F103" s="4">
        <v>3500000</v>
      </c>
      <c r="G103" s="3">
        <v>30</v>
      </c>
      <c r="H103" s="3">
        <f t="shared" si="35"/>
        <v>3500000</v>
      </c>
      <c r="I103" s="3"/>
      <c r="J103" s="4"/>
      <c r="K103" s="4"/>
      <c r="L103" s="4"/>
      <c r="M103" s="4"/>
      <c r="N103" s="4"/>
      <c r="O103" s="4">
        <f t="shared" si="36"/>
        <v>3500000</v>
      </c>
      <c r="P103" s="4">
        <f>+F103*4%</f>
        <v>140000</v>
      </c>
      <c r="Q103" s="4">
        <f>+F103*5%</f>
        <v>175000</v>
      </c>
      <c r="R103" s="4">
        <v>0</v>
      </c>
      <c r="S103" s="4"/>
      <c r="T103" s="4">
        <v>0</v>
      </c>
      <c r="U103" s="4"/>
      <c r="V103" s="4"/>
      <c r="W103" s="4"/>
      <c r="X103" s="4">
        <f t="shared" si="37"/>
        <v>315000</v>
      </c>
      <c r="Y103" s="118">
        <f>O103-X103</f>
        <v>3185000</v>
      </c>
    </row>
    <row r="104" spans="1:25" ht="24.95" customHeight="1" x14ac:dyDescent="0.25">
      <c r="A104" s="117"/>
      <c r="B104" s="2">
        <f t="shared" si="38"/>
        <v>35</v>
      </c>
      <c r="C104" s="1" t="s">
        <v>252</v>
      </c>
      <c r="D104" s="1" t="s">
        <v>31</v>
      </c>
      <c r="E104" s="2" t="s">
        <v>32</v>
      </c>
      <c r="F104" s="4">
        <v>2700000</v>
      </c>
      <c r="G104" s="3">
        <v>30</v>
      </c>
      <c r="H104" s="3">
        <f t="shared" si="35"/>
        <v>2700000</v>
      </c>
      <c r="I104" s="3"/>
      <c r="J104" s="4"/>
      <c r="K104" s="4"/>
      <c r="L104" s="4"/>
      <c r="M104" s="4"/>
      <c r="N104" s="4"/>
      <c r="O104" s="4">
        <f t="shared" si="36"/>
        <v>2700000</v>
      </c>
      <c r="P104" s="4">
        <f>+H104*4%</f>
        <v>108000</v>
      </c>
      <c r="Q104" s="4">
        <f>+H104*4%</f>
        <v>108000</v>
      </c>
      <c r="R104" s="4">
        <v>0</v>
      </c>
      <c r="S104" s="4"/>
      <c r="T104" s="4">
        <v>0</v>
      </c>
      <c r="U104" s="4"/>
      <c r="V104" s="4"/>
      <c r="W104" s="4"/>
      <c r="X104" s="4">
        <f t="shared" si="37"/>
        <v>216000</v>
      </c>
      <c r="Y104" s="118">
        <f t="shared" si="49"/>
        <v>2484000</v>
      </c>
    </row>
    <row r="105" spans="1:25" ht="24.95" customHeight="1" x14ac:dyDescent="0.25">
      <c r="A105" s="117"/>
      <c r="B105" s="2">
        <f t="shared" si="38"/>
        <v>36</v>
      </c>
      <c r="C105" s="9" t="s">
        <v>124</v>
      </c>
      <c r="D105" s="1" t="s">
        <v>31</v>
      </c>
      <c r="E105" s="2" t="s">
        <v>32</v>
      </c>
      <c r="F105" s="4">
        <v>781242</v>
      </c>
      <c r="G105" s="3">
        <v>27</v>
      </c>
      <c r="H105" s="3">
        <f t="shared" si="35"/>
        <v>703117.8</v>
      </c>
      <c r="I105" s="3">
        <f>52083+17362</f>
        <v>69445</v>
      </c>
      <c r="J105" s="4">
        <f>88211/30*G105</f>
        <v>79389.900000000009</v>
      </c>
      <c r="K105" s="4"/>
      <c r="L105" s="4">
        <v>7460</v>
      </c>
      <c r="M105" s="4"/>
      <c r="N105" s="4">
        <v>89517</v>
      </c>
      <c r="O105" s="4">
        <f>SUM(H105:N105)</f>
        <v>948929.70000000007</v>
      </c>
      <c r="P105" s="4">
        <f>+F105*0.04</f>
        <v>31249.68</v>
      </c>
      <c r="Q105" s="4">
        <f>+F105*0.04</f>
        <v>31249.68</v>
      </c>
      <c r="R105" s="4"/>
      <c r="S105" s="4"/>
      <c r="T105" s="4">
        <v>0</v>
      </c>
      <c r="U105" s="4"/>
      <c r="V105" s="4"/>
      <c r="W105" s="4"/>
      <c r="X105" s="4">
        <f>SUM(P105:W105)</f>
        <v>62499.360000000001</v>
      </c>
      <c r="Y105" s="118">
        <f>O105-X105</f>
        <v>886430.34000000008</v>
      </c>
    </row>
    <row r="106" spans="1:25" ht="24.95" customHeight="1" x14ac:dyDescent="0.25">
      <c r="A106" s="117"/>
      <c r="B106" s="2">
        <f t="shared" si="38"/>
        <v>37</v>
      </c>
      <c r="C106" s="1" t="s">
        <v>157</v>
      </c>
      <c r="D106" s="1" t="s">
        <v>31</v>
      </c>
      <c r="E106" s="2" t="s">
        <v>32</v>
      </c>
      <c r="F106" s="4">
        <v>1000000</v>
      </c>
      <c r="G106" s="3">
        <v>30</v>
      </c>
      <c r="H106" s="3">
        <f t="shared" si="35"/>
        <v>866666.66666666674</v>
      </c>
      <c r="I106" s="3"/>
      <c r="J106" s="4">
        <f>+(88211/30)*G106</f>
        <v>88211</v>
      </c>
      <c r="K106" s="4">
        <f>+F106/30*4</f>
        <v>133333.33333333334</v>
      </c>
      <c r="L106" s="4"/>
      <c r="M106" s="4"/>
      <c r="N106" s="4"/>
      <c r="O106" s="4">
        <f t="shared" si="36"/>
        <v>1088211</v>
      </c>
      <c r="P106" s="4">
        <f>+F106*0.04</f>
        <v>40000</v>
      </c>
      <c r="Q106" s="4">
        <f>+F106*0.04</f>
        <v>40000</v>
      </c>
      <c r="R106" s="4"/>
      <c r="S106" s="4"/>
      <c r="T106" s="4">
        <v>0</v>
      </c>
      <c r="U106" s="4"/>
      <c r="V106" s="4"/>
      <c r="W106" s="4"/>
      <c r="X106" s="4">
        <f>SUM(P106:W106)</f>
        <v>80000</v>
      </c>
      <c r="Y106" s="118">
        <f>O106-X106</f>
        <v>1008211</v>
      </c>
    </row>
    <row r="107" spans="1:25" ht="24.95" customHeight="1" x14ac:dyDescent="0.25">
      <c r="A107" s="117"/>
      <c r="B107" s="2">
        <f t="shared" si="38"/>
        <v>38</v>
      </c>
      <c r="C107" s="1" t="s">
        <v>126</v>
      </c>
      <c r="D107" s="1" t="s">
        <v>31</v>
      </c>
      <c r="E107" s="2" t="s">
        <v>32</v>
      </c>
      <c r="F107" s="4">
        <v>781242</v>
      </c>
      <c r="G107" s="3">
        <v>30</v>
      </c>
      <c r="H107" s="3">
        <f t="shared" si="35"/>
        <v>677076.4</v>
      </c>
      <c r="I107" s="3"/>
      <c r="J107" s="4">
        <f>+(88211/30)*G107</f>
        <v>88211</v>
      </c>
      <c r="K107" s="4">
        <f>+F107/30*4</f>
        <v>104165.6</v>
      </c>
      <c r="L107" s="4">
        <v>3059</v>
      </c>
      <c r="M107" s="4"/>
      <c r="N107" s="4">
        <v>56966</v>
      </c>
      <c r="O107" s="4">
        <f t="shared" si="36"/>
        <v>929478</v>
      </c>
      <c r="P107" s="4">
        <f>+F107*0.04</f>
        <v>31249.68</v>
      </c>
      <c r="Q107" s="4">
        <f>+F107*0.04</f>
        <v>31249.68</v>
      </c>
      <c r="R107" s="4"/>
      <c r="S107" s="4"/>
      <c r="T107" s="4">
        <v>0</v>
      </c>
      <c r="U107" s="4"/>
      <c r="V107" s="4"/>
      <c r="W107" s="4"/>
      <c r="X107" s="4">
        <f t="shared" ref="X107" si="50">SUM(P107:W107)</f>
        <v>62499.360000000001</v>
      </c>
      <c r="Y107" s="118">
        <f t="shared" si="49"/>
        <v>866978.64</v>
      </c>
    </row>
    <row r="108" spans="1:25" ht="24.95" customHeight="1" x14ac:dyDescent="0.25">
      <c r="A108" s="117"/>
      <c r="B108" s="2">
        <f t="shared" si="38"/>
        <v>39</v>
      </c>
      <c r="C108" s="1" t="s">
        <v>128</v>
      </c>
      <c r="D108" s="1" t="s">
        <v>31</v>
      </c>
      <c r="E108" s="2" t="s">
        <v>32</v>
      </c>
      <c r="F108" s="4">
        <v>19532000</v>
      </c>
      <c r="G108" s="3">
        <v>30</v>
      </c>
      <c r="H108" s="3">
        <f t="shared" si="35"/>
        <v>19532000</v>
      </c>
      <c r="I108" s="3"/>
      <c r="J108" s="4"/>
      <c r="K108" s="4"/>
      <c r="L108" s="4"/>
      <c r="M108" s="4"/>
      <c r="N108" s="4"/>
      <c r="O108" s="4">
        <f t="shared" si="36"/>
        <v>19532000</v>
      </c>
      <c r="P108" s="4">
        <f>+H108*4%</f>
        <v>781280</v>
      </c>
      <c r="Q108" s="4">
        <f>+H108*6%</f>
        <v>1171920</v>
      </c>
      <c r="R108" s="4">
        <v>112700</v>
      </c>
      <c r="S108" s="4"/>
      <c r="T108" s="4">
        <v>1859000</v>
      </c>
      <c r="U108" s="4">
        <v>1300000</v>
      </c>
      <c r="V108" s="4"/>
      <c r="W108" s="4">
        <v>2314715</v>
      </c>
      <c r="X108" s="4">
        <f t="shared" si="37"/>
        <v>7539615</v>
      </c>
      <c r="Y108" s="118">
        <f>O108-X108</f>
        <v>11992385</v>
      </c>
    </row>
    <row r="109" spans="1:25" ht="24.95" customHeight="1" x14ac:dyDescent="0.25">
      <c r="A109" s="117"/>
      <c r="B109" s="2">
        <f t="shared" si="38"/>
        <v>40</v>
      </c>
      <c r="C109" s="1" t="s">
        <v>129</v>
      </c>
      <c r="D109" s="1" t="s">
        <v>31</v>
      </c>
      <c r="E109" s="2" t="s">
        <v>32</v>
      </c>
      <c r="F109" s="4">
        <v>5500000</v>
      </c>
      <c r="G109" s="3">
        <v>30</v>
      </c>
      <c r="H109" s="3">
        <f>+F109/30*G109-K109</f>
        <v>5500000</v>
      </c>
      <c r="I109" s="3"/>
      <c r="J109" s="4"/>
      <c r="K109" s="4"/>
      <c r="L109" s="4"/>
      <c r="M109" s="4">
        <v>500000</v>
      </c>
      <c r="N109" s="4"/>
      <c r="O109" s="4">
        <f t="shared" si="36"/>
        <v>6000000</v>
      </c>
      <c r="P109" s="4">
        <f>+F109*0.04</f>
        <v>220000</v>
      </c>
      <c r="Q109" s="4">
        <f>+F109*0.05</f>
        <v>275000</v>
      </c>
      <c r="R109" s="4"/>
      <c r="S109" s="4"/>
      <c r="T109" s="4">
        <v>120000</v>
      </c>
      <c r="U109" s="4"/>
      <c r="V109" s="4"/>
      <c r="W109" s="4">
        <f>979498+371043</f>
        <v>1350541</v>
      </c>
      <c r="X109" s="4">
        <f t="shared" si="37"/>
        <v>1965541</v>
      </c>
      <c r="Y109" s="118">
        <f t="shared" si="49"/>
        <v>4034459</v>
      </c>
    </row>
    <row r="110" spans="1:25" ht="24.95" customHeight="1" x14ac:dyDescent="0.25">
      <c r="A110" s="117"/>
      <c r="B110" s="2">
        <f t="shared" si="38"/>
        <v>41</v>
      </c>
      <c r="C110" s="1" t="s">
        <v>257</v>
      </c>
      <c r="D110" s="1"/>
      <c r="E110" s="2"/>
      <c r="F110" s="4">
        <v>781242</v>
      </c>
      <c r="G110" s="3">
        <v>30</v>
      </c>
      <c r="H110" s="3">
        <f t="shared" si="35"/>
        <v>781242</v>
      </c>
      <c r="I110" s="3"/>
      <c r="J110" s="4"/>
      <c r="K110" s="4"/>
      <c r="L110" s="4"/>
      <c r="M110" s="4"/>
      <c r="N110" s="4"/>
      <c r="O110" s="4">
        <f t="shared" si="36"/>
        <v>781242</v>
      </c>
      <c r="P110" s="4"/>
      <c r="Q110" s="4"/>
      <c r="R110" s="4"/>
      <c r="S110" s="4"/>
      <c r="T110" s="4"/>
      <c r="U110" s="4"/>
      <c r="V110" s="4"/>
      <c r="W110" s="4"/>
      <c r="X110" s="4">
        <f t="shared" ref="X110" si="51">SUM(P110:W110)</f>
        <v>0</v>
      </c>
      <c r="Y110" s="118">
        <f t="shared" si="49"/>
        <v>781242</v>
      </c>
    </row>
    <row r="111" spans="1:25" ht="24.95" customHeight="1" x14ac:dyDescent="0.25">
      <c r="A111" s="117"/>
      <c r="B111" s="2">
        <f t="shared" si="38"/>
        <v>42</v>
      </c>
      <c r="C111" s="9" t="s">
        <v>132</v>
      </c>
      <c r="D111" s="1" t="s">
        <v>31</v>
      </c>
      <c r="E111" s="2" t="s">
        <v>32</v>
      </c>
      <c r="F111" s="4">
        <v>4000000</v>
      </c>
      <c r="G111" s="3">
        <v>30</v>
      </c>
      <c r="H111" s="3">
        <f t="shared" si="35"/>
        <v>3866666.666666667</v>
      </c>
      <c r="I111" s="3"/>
      <c r="J111" s="4"/>
      <c r="K111" s="4">
        <f>+F111/30*1</f>
        <v>133333.33333333334</v>
      </c>
      <c r="L111" s="4"/>
      <c r="M111" s="4"/>
      <c r="N111" s="4"/>
      <c r="O111" s="4">
        <f>SUM(H111:N111)</f>
        <v>4000000.0000000005</v>
      </c>
      <c r="P111" s="4">
        <f>+O111*0.04</f>
        <v>160000.00000000003</v>
      </c>
      <c r="Q111" s="4">
        <v>200000</v>
      </c>
      <c r="R111" s="4"/>
      <c r="S111" s="4"/>
      <c r="T111" s="4">
        <v>0</v>
      </c>
      <c r="U111" s="4"/>
      <c r="V111" s="4"/>
      <c r="W111" s="4"/>
      <c r="X111" s="4">
        <f t="shared" si="37"/>
        <v>360000</v>
      </c>
      <c r="Y111" s="118">
        <f t="shared" si="49"/>
        <v>3640000.0000000005</v>
      </c>
    </row>
    <row r="112" spans="1:25" ht="24.95" customHeight="1" x14ac:dyDescent="0.25">
      <c r="A112" s="117"/>
      <c r="B112" s="2">
        <f t="shared" si="38"/>
        <v>43</v>
      </c>
      <c r="C112" s="9" t="s">
        <v>253</v>
      </c>
      <c r="D112" s="1" t="s">
        <v>31</v>
      </c>
      <c r="E112" s="2" t="s">
        <v>32</v>
      </c>
      <c r="F112" s="4">
        <v>8000000</v>
      </c>
      <c r="G112" s="3">
        <v>30</v>
      </c>
      <c r="H112" s="3">
        <f t="shared" si="35"/>
        <v>8000000.0000000009</v>
      </c>
      <c r="I112" s="3"/>
      <c r="J112" s="4"/>
      <c r="K112" s="4"/>
      <c r="L112" s="4"/>
      <c r="M112" s="4"/>
      <c r="N112" s="4"/>
      <c r="O112" s="4">
        <f t="shared" si="36"/>
        <v>8000000.0000000009</v>
      </c>
      <c r="P112" s="4">
        <f>+O112*0.04</f>
        <v>320000.00000000006</v>
      </c>
      <c r="Q112" s="4">
        <f>+F112*5%</f>
        <v>400000</v>
      </c>
      <c r="R112" s="4"/>
      <c r="S112" s="4"/>
      <c r="T112" s="4">
        <v>282000</v>
      </c>
      <c r="U112" s="4"/>
      <c r="V112" s="4"/>
      <c r="W112" s="4"/>
      <c r="X112" s="4">
        <f t="shared" si="37"/>
        <v>1002000</v>
      </c>
      <c r="Y112" s="118">
        <f t="shared" si="49"/>
        <v>6998000.0000000009</v>
      </c>
    </row>
    <row r="113" spans="1:27" ht="24.95" customHeight="1" x14ac:dyDescent="0.25">
      <c r="A113" s="117"/>
      <c r="B113" s="2">
        <f t="shared" si="38"/>
        <v>44</v>
      </c>
      <c r="C113" s="1" t="s">
        <v>135</v>
      </c>
      <c r="D113" s="1" t="s">
        <v>31</v>
      </c>
      <c r="E113" s="2" t="s">
        <v>32</v>
      </c>
      <c r="F113" s="4">
        <v>3850220</v>
      </c>
      <c r="G113" s="3">
        <v>30</v>
      </c>
      <c r="H113" s="3">
        <f t="shared" si="35"/>
        <v>3850220</v>
      </c>
      <c r="I113" s="3"/>
      <c r="J113" s="4">
        <f>+(676390/30)*G113</f>
        <v>676390</v>
      </c>
      <c r="K113" s="4"/>
      <c r="L113" s="4"/>
      <c r="M113" s="4"/>
      <c r="N113" s="4"/>
      <c r="O113" s="4">
        <f t="shared" si="36"/>
        <v>4526610</v>
      </c>
      <c r="P113" s="4">
        <f>+H113*4%</f>
        <v>154008.80000000002</v>
      </c>
      <c r="Q113" s="4">
        <f>+H113*5%</f>
        <v>192511</v>
      </c>
      <c r="R113" s="4"/>
      <c r="S113" s="4"/>
      <c r="T113" s="4">
        <v>0</v>
      </c>
      <c r="U113" s="4"/>
      <c r="V113" s="4"/>
      <c r="W113" s="4"/>
      <c r="X113" s="4">
        <f t="shared" si="37"/>
        <v>346519.80000000005</v>
      </c>
      <c r="Y113" s="118">
        <f t="shared" si="49"/>
        <v>4180090.2</v>
      </c>
    </row>
    <row r="114" spans="1:27" ht="24.95" customHeight="1" x14ac:dyDescent="0.25">
      <c r="A114" s="117"/>
      <c r="B114" s="2">
        <f t="shared" si="38"/>
        <v>45</v>
      </c>
      <c r="C114" s="1" t="s">
        <v>136</v>
      </c>
      <c r="D114" s="1" t="s">
        <v>31</v>
      </c>
      <c r="E114" s="2" t="s">
        <v>32</v>
      </c>
      <c r="F114" s="4">
        <v>5500000</v>
      </c>
      <c r="G114" s="3">
        <v>30</v>
      </c>
      <c r="H114" s="3">
        <f t="shared" si="35"/>
        <v>4766666.666666667</v>
      </c>
      <c r="I114" s="3"/>
      <c r="J114" s="4"/>
      <c r="K114" s="4">
        <f>+F114/30*4</f>
        <v>733333.33333333337</v>
      </c>
      <c r="L114" s="4"/>
      <c r="M114" s="4"/>
      <c r="N114" s="4"/>
      <c r="O114" s="4">
        <f t="shared" si="36"/>
        <v>5500000</v>
      </c>
      <c r="P114" s="4">
        <f>+F114*4%</f>
        <v>220000</v>
      </c>
      <c r="Q114" s="4">
        <f>+F114*5%</f>
        <v>275000</v>
      </c>
      <c r="R114" s="4"/>
      <c r="S114" s="4"/>
      <c r="T114" s="4">
        <v>0</v>
      </c>
      <c r="U114" s="4"/>
      <c r="V114" s="4"/>
      <c r="W114" s="4"/>
      <c r="X114" s="4">
        <f>SUM(P114:W114)</f>
        <v>495000</v>
      </c>
      <c r="Y114" s="118">
        <f t="shared" si="49"/>
        <v>5005000</v>
      </c>
    </row>
    <row r="115" spans="1:27" ht="24.95" customHeight="1" x14ac:dyDescent="0.25">
      <c r="A115" s="117"/>
      <c r="B115" s="2">
        <f t="shared" si="38"/>
        <v>46</v>
      </c>
      <c r="C115" s="1" t="s">
        <v>164</v>
      </c>
      <c r="D115" s="1" t="s">
        <v>31</v>
      </c>
      <c r="E115" s="2" t="s">
        <v>32</v>
      </c>
      <c r="F115" s="4">
        <v>912000</v>
      </c>
      <c r="G115" s="3">
        <v>30</v>
      </c>
      <c r="H115" s="3">
        <f t="shared" si="35"/>
        <v>912000</v>
      </c>
      <c r="I115" s="3"/>
      <c r="J115" s="4">
        <f>+(88211/30)*G115</f>
        <v>88211</v>
      </c>
      <c r="K115" s="4"/>
      <c r="L115" s="4"/>
      <c r="M115" s="4"/>
      <c r="N115" s="4"/>
      <c r="O115" s="4">
        <f t="shared" si="36"/>
        <v>1000211</v>
      </c>
      <c r="P115" s="4">
        <f>+H115*4%</f>
        <v>36480</v>
      </c>
      <c r="Q115" s="4">
        <f>+H115*4%</f>
        <v>36480</v>
      </c>
      <c r="R115" s="4"/>
      <c r="S115" s="4"/>
      <c r="T115" s="4">
        <v>0</v>
      </c>
      <c r="U115" s="4"/>
      <c r="V115" s="4"/>
      <c r="W115" s="4"/>
      <c r="X115" s="4">
        <f>SUM(P115:W115)</f>
        <v>72960</v>
      </c>
      <c r="Y115" s="118">
        <f t="shared" si="49"/>
        <v>927251</v>
      </c>
    </row>
    <row r="116" spans="1:27" ht="24.95" customHeight="1" x14ac:dyDescent="0.25">
      <c r="A116" s="117"/>
      <c r="B116" s="2">
        <f t="shared" si="38"/>
        <v>47</v>
      </c>
      <c r="C116" s="9" t="s">
        <v>148</v>
      </c>
      <c r="D116" s="1" t="s">
        <v>31</v>
      </c>
      <c r="E116" s="2" t="s">
        <v>32</v>
      </c>
      <c r="F116" s="4">
        <v>1500000</v>
      </c>
      <c r="G116" s="3">
        <v>30</v>
      </c>
      <c r="H116" s="3">
        <f t="shared" si="35"/>
        <v>1500000</v>
      </c>
      <c r="I116" s="3"/>
      <c r="J116" s="4">
        <v>88211</v>
      </c>
      <c r="K116" s="4"/>
      <c r="L116" s="4"/>
      <c r="M116" s="4"/>
      <c r="N116" s="4"/>
      <c r="O116" s="4">
        <f t="shared" si="36"/>
        <v>1588211</v>
      </c>
      <c r="P116" s="4">
        <f>+F116*4%</f>
        <v>60000</v>
      </c>
      <c r="Q116" s="4">
        <f>+F116*0.04</f>
        <v>60000</v>
      </c>
      <c r="R116" s="4"/>
      <c r="S116" s="4"/>
      <c r="T116" s="4">
        <v>0</v>
      </c>
      <c r="U116" s="4"/>
      <c r="V116" s="4">
        <v>0</v>
      </c>
      <c r="W116" s="4">
        <v>621561</v>
      </c>
      <c r="X116" s="4">
        <f t="shared" si="37"/>
        <v>741561</v>
      </c>
      <c r="Y116" s="118">
        <f t="shared" si="49"/>
        <v>846650</v>
      </c>
    </row>
    <row r="117" spans="1:27" ht="24.95" customHeight="1" x14ac:dyDescent="0.25">
      <c r="A117" s="117"/>
      <c r="B117" s="2">
        <f t="shared" si="38"/>
        <v>48</v>
      </c>
      <c r="C117" s="1" t="s">
        <v>141</v>
      </c>
      <c r="D117" s="1" t="s">
        <v>31</v>
      </c>
      <c r="E117" s="2" t="s">
        <v>32</v>
      </c>
      <c r="F117" s="4">
        <v>4000000</v>
      </c>
      <c r="G117" s="3">
        <v>30</v>
      </c>
      <c r="H117" s="3">
        <f t="shared" si="35"/>
        <v>2800000.0000000005</v>
      </c>
      <c r="I117" s="3"/>
      <c r="J117" s="4"/>
      <c r="K117" s="4">
        <f>+F117/30*9</f>
        <v>1200000</v>
      </c>
      <c r="L117" s="4"/>
      <c r="M117" s="4"/>
      <c r="N117" s="4"/>
      <c r="O117" s="4">
        <f t="shared" si="36"/>
        <v>4000000.0000000005</v>
      </c>
      <c r="P117" s="4">
        <f>+F117*0.04</f>
        <v>160000</v>
      </c>
      <c r="Q117" s="4">
        <f>+F117*0.05</f>
        <v>200000</v>
      </c>
      <c r="R117" s="4"/>
      <c r="S117" s="4">
        <v>95000</v>
      </c>
      <c r="T117" s="4">
        <v>0</v>
      </c>
      <c r="U117" s="4"/>
      <c r="V117" s="4"/>
      <c r="W117" s="4"/>
      <c r="X117" s="4">
        <f t="shared" si="37"/>
        <v>455000</v>
      </c>
      <c r="Y117" s="118">
        <f t="shared" si="49"/>
        <v>3545000.0000000005</v>
      </c>
    </row>
    <row r="118" spans="1:27" ht="24.95" customHeight="1" x14ac:dyDescent="0.25">
      <c r="A118" s="117"/>
      <c r="B118" s="2">
        <f t="shared" si="38"/>
        <v>49</v>
      </c>
      <c r="C118" s="1" t="s">
        <v>155</v>
      </c>
      <c r="D118" s="1" t="s">
        <v>31</v>
      </c>
      <c r="E118" s="2" t="s">
        <v>32</v>
      </c>
      <c r="F118" s="4">
        <v>4500000</v>
      </c>
      <c r="G118" s="3">
        <v>30</v>
      </c>
      <c r="H118" s="3">
        <f t="shared" si="35"/>
        <v>3900000</v>
      </c>
      <c r="I118" s="3"/>
      <c r="J118" s="4"/>
      <c r="K118" s="4">
        <f>+F118/30*4</f>
        <v>600000</v>
      </c>
      <c r="L118" s="4"/>
      <c r="M118" s="4"/>
      <c r="N118" s="4"/>
      <c r="O118" s="4">
        <f t="shared" si="36"/>
        <v>4500000</v>
      </c>
      <c r="P118" s="4">
        <f>+F118*4%</f>
        <v>180000</v>
      </c>
      <c r="Q118" s="4">
        <f>+F118*5%</f>
        <v>225000</v>
      </c>
      <c r="R118" s="4"/>
      <c r="S118" s="4"/>
      <c r="T118" s="4"/>
      <c r="U118" s="4"/>
      <c r="V118" s="4"/>
      <c r="W118" s="4"/>
      <c r="X118" s="4">
        <f t="shared" si="37"/>
        <v>405000</v>
      </c>
      <c r="Y118" s="118">
        <f>+O118-X118</f>
        <v>4095000</v>
      </c>
    </row>
    <row r="119" spans="1:27" ht="17.25" customHeight="1" x14ac:dyDescent="0.25">
      <c r="A119" s="117"/>
      <c r="B119" s="2">
        <f t="shared" si="38"/>
        <v>50</v>
      </c>
      <c r="C119" s="1" t="s">
        <v>243</v>
      </c>
      <c r="D119" s="1" t="s">
        <v>31</v>
      </c>
      <c r="E119" s="2" t="s">
        <v>32</v>
      </c>
      <c r="F119" s="4">
        <v>6500000</v>
      </c>
      <c r="G119" s="3">
        <v>30</v>
      </c>
      <c r="H119" s="3">
        <f t="shared" si="35"/>
        <v>5633333.333333333</v>
      </c>
      <c r="I119" s="3"/>
      <c r="J119" s="4"/>
      <c r="K119" s="4">
        <f>+F119/30*4</f>
        <v>866666.66666666663</v>
      </c>
      <c r="L119" s="4"/>
      <c r="M119" s="4"/>
      <c r="N119" s="4"/>
      <c r="O119" s="4">
        <f t="shared" si="36"/>
        <v>6500000</v>
      </c>
      <c r="P119" s="4">
        <f>+F119*0.04</f>
        <v>260000</v>
      </c>
      <c r="Q119" s="4">
        <f>+F119*0.05</f>
        <v>325000</v>
      </c>
      <c r="R119" s="4"/>
      <c r="S119" s="4"/>
      <c r="T119" s="4">
        <v>281000</v>
      </c>
      <c r="U119" s="4"/>
      <c r="V119" s="4"/>
      <c r="W119" s="4"/>
      <c r="X119" s="4">
        <f t="shared" si="37"/>
        <v>866000</v>
      </c>
      <c r="Y119" s="118">
        <f t="shared" si="49"/>
        <v>5634000</v>
      </c>
    </row>
    <row r="120" spans="1:27" ht="12.75" thickBot="1" x14ac:dyDescent="0.3">
      <c r="A120" s="119"/>
      <c r="B120" s="2">
        <f t="shared" si="38"/>
        <v>51</v>
      </c>
      <c r="C120" s="1" t="s">
        <v>144</v>
      </c>
      <c r="D120" s="1" t="s">
        <v>31</v>
      </c>
      <c r="E120" s="2" t="s">
        <v>32</v>
      </c>
      <c r="F120" s="4">
        <v>1800000</v>
      </c>
      <c r="G120" s="3">
        <v>30</v>
      </c>
      <c r="H120" s="3">
        <f t="shared" si="35"/>
        <v>1800000</v>
      </c>
      <c r="I120" s="3"/>
      <c r="J120" s="4"/>
      <c r="K120" s="4"/>
      <c r="L120" s="4"/>
      <c r="M120" s="4"/>
      <c r="N120" s="4"/>
      <c r="O120" s="4">
        <f t="shared" si="36"/>
        <v>1800000</v>
      </c>
      <c r="P120" s="4">
        <f>+F120*4%</f>
        <v>72000</v>
      </c>
      <c r="Q120" s="4">
        <f>+F120*4%</f>
        <v>72000</v>
      </c>
      <c r="R120" s="4"/>
      <c r="S120" s="4"/>
      <c r="T120" s="4">
        <v>0</v>
      </c>
      <c r="U120" s="4"/>
      <c r="V120" s="4"/>
      <c r="W120" s="4">
        <v>261848</v>
      </c>
      <c r="X120" s="4">
        <f t="shared" si="37"/>
        <v>405848</v>
      </c>
      <c r="Y120" s="118">
        <f t="shared" si="49"/>
        <v>1394152</v>
      </c>
    </row>
    <row r="121" spans="1:27" ht="12.75" thickBot="1" x14ac:dyDescent="0.3">
      <c r="A121" s="119"/>
      <c r="B121" s="120"/>
      <c r="C121" s="120"/>
      <c r="D121" s="121"/>
      <c r="E121" s="121"/>
      <c r="F121" s="122">
        <f>SUM(F4:F120)</f>
        <v>515074261</v>
      </c>
      <c r="G121" s="122"/>
      <c r="H121" s="122">
        <f>SUM(H4:H120)</f>
        <v>478541033.53333342</v>
      </c>
      <c r="I121" s="122">
        <f t="shared" ref="I121:Y121" si="52">SUM(I4:I120)</f>
        <v>677087.46666666679</v>
      </c>
      <c r="J121" s="122">
        <f t="shared" si="52"/>
        <v>2046600.8666666667</v>
      </c>
      <c r="K121" s="122">
        <f t="shared" si="52"/>
        <v>34011987.133333325</v>
      </c>
      <c r="L121" s="122">
        <f t="shared" si="52"/>
        <v>601183.44999999995</v>
      </c>
      <c r="M121" s="122">
        <f t="shared" si="52"/>
        <v>13737912</v>
      </c>
      <c r="N121" s="122">
        <f t="shared" si="52"/>
        <v>6895908.2000000002</v>
      </c>
      <c r="O121" s="122">
        <f t="shared" si="52"/>
        <v>536511712.64999998</v>
      </c>
      <c r="P121" s="122">
        <f t="shared" si="52"/>
        <v>20527495.402666666</v>
      </c>
      <c r="Q121" s="122">
        <f t="shared" si="52"/>
        <v>25339278.529333331</v>
      </c>
      <c r="R121" s="122">
        <f t="shared" si="52"/>
        <v>112700</v>
      </c>
      <c r="S121" s="122">
        <f t="shared" si="52"/>
        <v>4075706</v>
      </c>
      <c r="T121" s="122">
        <f t="shared" si="52"/>
        <v>8344765</v>
      </c>
      <c r="U121" s="122">
        <f t="shared" si="52"/>
        <v>9845000</v>
      </c>
      <c r="V121" s="122">
        <f t="shared" si="52"/>
        <v>461474</v>
      </c>
      <c r="W121" s="122">
        <f t="shared" si="52"/>
        <v>16914741</v>
      </c>
      <c r="X121" s="122">
        <f t="shared" si="52"/>
        <v>85621159.931999996</v>
      </c>
      <c r="Y121" s="122">
        <f t="shared" si="52"/>
        <v>450890552.71799999</v>
      </c>
    </row>
    <row r="122" spans="1:27" x14ac:dyDescent="0.25">
      <c r="D122" s="68"/>
      <c r="E122" s="68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V122" s="12"/>
      <c r="W122" s="12"/>
      <c r="X122" s="12"/>
      <c r="Y122" s="66"/>
    </row>
    <row r="123" spans="1:27" x14ac:dyDescent="0.25">
      <c r="C123" s="72"/>
      <c r="D123" s="68"/>
      <c r="E123" s="73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V123" s="12"/>
      <c r="W123" s="12"/>
      <c r="X123" s="12"/>
      <c r="Y123" s="68"/>
    </row>
    <row r="124" spans="1:27" x14ac:dyDescent="0.25">
      <c r="C124" s="72"/>
      <c r="D124" s="68"/>
      <c r="E124" s="73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68"/>
      <c r="Z124" s="68"/>
      <c r="AA124" s="68"/>
    </row>
    <row r="125" spans="1:27" x14ac:dyDescent="0.25">
      <c r="B125" s="68"/>
      <c r="C125" s="72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12"/>
      <c r="S125" s="74"/>
      <c r="T125" s="74"/>
      <c r="U125" s="74"/>
      <c r="V125" s="74"/>
      <c r="W125" s="74"/>
      <c r="X125" s="74"/>
      <c r="Y125" s="74"/>
      <c r="Z125" s="68"/>
      <c r="AA125" s="68"/>
    </row>
    <row r="126" spans="1:27" x14ac:dyDescent="0.25">
      <c r="B126" s="68"/>
      <c r="C126" s="72"/>
      <c r="D126" s="68"/>
      <c r="E126" s="68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68"/>
      <c r="Z126" s="68"/>
      <c r="AA126" s="68"/>
    </row>
    <row r="127" spans="1:27" x14ac:dyDescent="0.25">
      <c r="B127" s="68"/>
      <c r="C127" s="72"/>
      <c r="D127" s="68"/>
      <c r="E127" s="68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68"/>
      <c r="Z127" s="68"/>
      <c r="AA127" s="68"/>
    </row>
    <row r="128" spans="1:27" x14ac:dyDescent="0.25">
      <c r="B128" s="68"/>
      <c r="C128" s="72"/>
      <c r="D128" s="68"/>
      <c r="E128" s="68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68"/>
      <c r="Z128" s="68"/>
      <c r="AA128" s="68"/>
    </row>
    <row r="129" spans="2:27" x14ac:dyDescent="0.25">
      <c r="B129" s="68"/>
      <c r="C129" s="75"/>
      <c r="D129" s="75"/>
      <c r="E129" s="75"/>
      <c r="F129" s="75"/>
      <c r="G129" s="75"/>
      <c r="H129" s="91"/>
      <c r="I129" s="91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68"/>
      <c r="AA129" s="68"/>
    </row>
    <row r="130" spans="2:27" x14ac:dyDescent="0.25">
      <c r="B130" s="78"/>
      <c r="C130" s="92"/>
      <c r="D130" s="76"/>
      <c r="E130" s="76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6"/>
      <c r="Z130" s="68"/>
      <c r="AA130" s="68"/>
    </row>
    <row r="131" spans="2:27" x14ac:dyDescent="0.25">
      <c r="B131" s="68"/>
      <c r="C131" s="93"/>
      <c r="D131" s="68"/>
      <c r="E131" s="68"/>
      <c r="F131" s="12"/>
      <c r="G131" s="12"/>
      <c r="H131" s="80"/>
      <c r="I131" s="80"/>
      <c r="J131" s="12"/>
      <c r="K131" s="12"/>
      <c r="L131" s="12"/>
      <c r="M131" s="12"/>
      <c r="N131" s="12"/>
      <c r="O131" s="12"/>
      <c r="P131" s="12"/>
      <c r="Q131" s="12"/>
      <c r="R131" s="81"/>
      <c r="S131" s="81"/>
      <c r="T131" s="81"/>
      <c r="U131" s="81"/>
      <c r="V131" s="81"/>
      <c r="W131" s="12"/>
      <c r="X131" s="12"/>
      <c r="Y131" s="68"/>
      <c r="Z131" s="68"/>
      <c r="AA131" s="68"/>
    </row>
    <row r="132" spans="2:27" x14ac:dyDescent="0.25">
      <c r="B132" s="68"/>
      <c r="C132" s="82"/>
      <c r="D132" s="76"/>
      <c r="E132" s="76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6"/>
      <c r="Z132" s="68"/>
      <c r="AA132" s="68"/>
    </row>
    <row r="133" spans="2:27" x14ac:dyDescent="0.25">
      <c r="B133" s="76"/>
      <c r="C133" s="82"/>
      <c r="D133" s="76"/>
      <c r="E133" s="76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6"/>
      <c r="Z133" s="68"/>
      <c r="AA133" s="68"/>
    </row>
    <row r="134" spans="2:27" x14ac:dyDescent="0.25">
      <c r="B134" s="68"/>
      <c r="C134" s="82"/>
      <c r="D134" s="76"/>
      <c r="E134" s="76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66"/>
      <c r="Z134" s="68"/>
      <c r="AA134" s="68"/>
    </row>
    <row r="135" spans="2:27" x14ac:dyDescent="0.25">
      <c r="C135" s="82"/>
      <c r="D135" s="76"/>
      <c r="E135" s="76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66"/>
      <c r="Z135" s="68"/>
      <c r="AA135" s="68"/>
    </row>
    <row r="136" spans="2:27" x14ac:dyDescent="0.25">
      <c r="C136" s="82"/>
      <c r="D136" s="76"/>
      <c r="E136" s="76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66"/>
      <c r="Z136" s="68"/>
      <c r="AA136" s="68"/>
    </row>
    <row r="137" spans="2:27" x14ac:dyDescent="0.25">
      <c r="C137" s="82"/>
      <c r="D137" s="76"/>
      <c r="E137" s="76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66"/>
      <c r="Z137" s="68"/>
      <c r="AA137" s="68"/>
    </row>
    <row r="138" spans="2:27" x14ac:dyDescent="0.25">
      <c r="C138" s="82"/>
      <c r="D138" s="76"/>
      <c r="E138" s="76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66"/>
      <c r="Z138" s="68"/>
      <c r="AA138" s="68"/>
    </row>
    <row r="139" spans="2:27" x14ac:dyDescent="0.25">
      <c r="C139" s="82"/>
      <c r="D139" s="76"/>
      <c r="E139" s="76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66"/>
      <c r="Z139" s="68"/>
      <c r="AA139" s="68"/>
    </row>
    <row r="140" spans="2:27" x14ac:dyDescent="0.25">
      <c r="C140" s="72"/>
      <c r="D140" s="68"/>
      <c r="E140" s="68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66"/>
      <c r="Z140" s="68"/>
      <c r="AA140" s="68"/>
    </row>
    <row r="141" spans="2:27" x14ac:dyDescent="0.25">
      <c r="C141" s="82"/>
      <c r="D141" s="68"/>
      <c r="E141" s="68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66"/>
      <c r="Z141" s="68"/>
      <c r="AA141" s="68"/>
    </row>
    <row r="142" spans="2:27" x14ac:dyDescent="0.25">
      <c r="C142" s="82"/>
      <c r="D142" s="68"/>
      <c r="E142" s="68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66"/>
      <c r="Z142" s="68"/>
      <c r="AA142" s="68"/>
    </row>
    <row r="143" spans="2:27" x14ac:dyDescent="0.25">
      <c r="C143" s="82"/>
      <c r="D143" s="68"/>
      <c r="E143" s="68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66"/>
      <c r="Z143" s="68"/>
      <c r="AA143" s="68"/>
    </row>
    <row r="144" spans="2:27" x14ac:dyDescent="0.25">
      <c r="C144" s="82"/>
      <c r="D144" s="68"/>
      <c r="E144" s="68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66"/>
      <c r="Z144" s="68"/>
      <c r="AA144" s="68"/>
    </row>
    <row r="145" spans="2:27" x14ac:dyDescent="0.25">
      <c r="C145" s="82"/>
      <c r="D145" s="68"/>
      <c r="E145" s="68"/>
      <c r="F145" s="12"/>
      <c r="G145" s="12"/>
      <c r="H145" s="12"/>
      <c r="I145" s="12"/>
      <c r="J145" s="12"/>
      <c r="K145" s="12"/>
      <c r="L145" s="12"/>
      <c r="M145" s="12"/>
      <c r="N145" s="12"/>
      <c r="O145" s="12">
        <f>737717*4</f>
        <v>2950868</v>
      </c>
      <c r="P145" s="12">
        <f>737717*2</f>
        <v>1475434</v>
      </c>
      <c r="Q145" s="12"/>
      <c r="R145" s="12"/>
      <c r="S145" s="12"/>
      <c r="T145" s="12"/>
      <c r="U145" s="12"/>
      <c r="V145" s="12"/>
      <c r="W145" s="12"/>
      <c r="X145" s="12"/>
      <c r="Y145" s="66"/>
      <c r="Z145" s="68"/>
      <c r="AA145" s="68"/>
    </row>
    <row r="146" spans="2:27" x14ac:dyDescent="0.25">
      <c r="C146" s="82"/>
      <c r="D146" s="68"/>
      <c r="E146" s="68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66"/>
      <c r="Z146" s="68"/>
      <c r="AA146" s="68"/>
    </row>
    <row r="147" spans="2:27" x14ac:dyDescent="0.25">
      <c r="C147" s="82"/>
      <c r="D147" s="68"/>
      <c r="E147" s="68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66"/>
      <c r="Z147" s="68"/>
      <c r="AA147" s="68"/>
    </row>
    <row r="148" spans="2:27" x14ac:dyDescent="0.25">
      <c r="C148" s="82"/>
      <c r="D148" s="68"/>
      <c r="E148" s="68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66"/>
      <c r="Z148" s="68"/>
      <c r="AA148" s="68"/>
    </row>
    <row r="149" spans="2:27" x14ac:dyDescent="0.25">
      <c r="C149" s="82"/>
      <c r="D149" s="68"/>
      <c r="E149" s="68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66"/>
      <c r="Z149" s="68"/>
      <c r="AA149" s="68"/>
    </row>
    <row r="150" spans="2:27" x14ac:dyDescent="0.25">
      <c r="C150" s="82"/>
      <c r="D150" s="68"/>
      <c r="E150" s="68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66"/>
      <c r="Z150" s="68"/>
      <c r="AA150" s="68"/>
    </row>
    <row r="151" spans="2:27" x14ac:dyDescent="0.25">
      <c r="C151" s="82"/>
      <c r="D151" s="68"/>
      <c r="E151" s="68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66"/>
      <c r="Z151" s="68"/>
      <c r="AA151" s="68"/>
    </row>
    <row r="152" spans="2:27" x14ac:dyDescent="0.25">
      <c r="C152" s="72"/>
      <c r="D152" s="68"/>
      <c r="E152" s="68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68"/>
      <c r="Z152" s="68"/>
      <c r="AA152" s="68"/>
    </row>
    <row r="153" spans="2:27" x14ac:dyDescent="0.25">
      <c r="C153" s="72"/>
      <c r="D153" s="68"/>
      <c r="E153" s="68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68"/>
      <c r="W153" s="12"/>
      <c r="X153" s="12"/>
      <c r="Y153" s="68"/>
      <c r="Z153" s="68"/>
      <c r="AA153" s="68"/>
    </row>
    <row r="154" spans="2:27" x14ac:dyDescent="0.25">
      <c r="B154" s="68"/>
      <c r="C154" s="72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68"/>
      <c r="AA154" s="68"/>
    </row>
    <row r="155" spans="2:27" x14ac:dyDescent="0.25">
      <c r="B155" s="68"/>
      <c r="C155" s="72"/>
      <c r="D155" s="68"/>
      <c r="E155" s="68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6"/>
      <c r="Z155" s="68"/>
      <c r="AA155" s="68"/>
    </row>
    <row r="156" spans="2:27" x14ac:dyDescent="0.25">
      <c r="B156" s="68"/>
      <c r="C156" s="82"/>
      <c r="D156" s="76"/>
      <c r="E156" s="76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6"/>
    </row>
    <row r="157" spans="2:27" x14ac:dyDescent="0.25">
      <c r="B157" s="85"/>
      <c r="C157" s="82"/>
      <c r="D157" s="76"/>
      <c r="E157" s="76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6"/>
    </row>
    <row r="158" spans="2:27" x14ac:dyDescent="0.25">
      <c r="C158" s="82"/>
      <c r="D158" s="76"/>
      <c r="E158" s="76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66"/>
    </row>
    <row r="159" spans="2:27" x14ac:dyDescent="0.25">
      <c r="C159" s="82"/>
      <c r="D159" s="76"/>
      <c r="E159" s="76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66"/>
    </row>
    <row r="160" spans="2:27" x14ac:dyDescent="0.25">
      <c r="C160" s="82"/>
      <c r="D160" s="76"/>
      <c r="E160" s="76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66"/>
    </row>
    <row r="161" spans="2:25" x14ac:dyDescent="0.25">
      <c r="C161" s="72"/>
      <c r="D161" s="68"/>
      <c r="E161" s="68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66"/>
    </row>
    <row r="162" spans="2:25" x14ac:dyDescent="0.25">
      <c r="C162" s="82"/>
      <c r="D162" s="68"/>
      <c r="E162" s="68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66"/>
    </row>
    <row r="163" spans="2:25" x14ac:dyDescent="0.25">
      <c r="C163" s="72"/>
      <c r="D163" s="68"/>
      <c r="E163" s="68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68"/>
    </row>
    <row r="164" spans="2:25" x14ac:dyDescent="0.25">
      <c r="C164" s="72"/>
      <c r="D164" s="68"/>
      <c r="E164" s="68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66"/>
    </row>
    <row r="165" spans="2:25" x14ac:dyDescent="0.25">
      <c r="B165" s="68"/>
      <c r="C165" s="72"/>
      <c r="D165" s="68"/>
      <c r="E165" s="68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68"/>
    </row>
    <row r="166" spans="2:25" x14ac:dyDescent="0.25">
      <c r="B166" s="68"/>
      <c r="C166" s="72"/>
      <c r="D166" s="68"/>
      <c r="E166" s="68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68"/>
    </row>
    <row r="167" spans="2:25" x14ac:dyDescent="0.25">
      <c r="B167" s="68"/>
      <c r="C167" s="72"/>
      <c r="D167" s="68"/>
      <c r="E167" s="68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86"/>
    </row>
    <row r="168" spans="2:25" x14ac:dyDescent="0.25">
      <c r="B168" s="68"/>
      <c r="C168" s="72"/>
      <c r="D168" s="68"/>
      <c r="E168" s="68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87"/>
    </row>
    <row r="169" spans="2:25" x14ac:dyDescent="0.25">
      <c r="C169" s="72"/>
      <c r="D169" s="68"/>
      <c r="E169" s="68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68"/>
    </row>
    <row r="170" spans="2:25" x14ac:dyDescent="0.25">
      <c r="C170" s="72"/>
      <c r="D170" s="68"/>
      <c r="E170" s="68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68"/>
    </row>
    <row r="171" spans="2:25" x14ac:dyDescent="0.25">
      <c r="C171" s="72"/>
      <c r="D171" s="68"/>
      <c r="E171" s="68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68"/>
    </row>
    <row r="172" spans="2:25" x14ac:dyDescent="0.25">
      <c r="C172" s="72"/>
      <c r="D172" s="68"/>
      <c r="E172" s="68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68"/>
    </row>
    <row r="173" spans="2:25" x14ac:dyDescent="0.25">
      <c r="C173" s="72"/>
      <c r="D173" s="68"/>
      <c r="E173" s="68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68"/>
    </row>
    <row r="174" spans="2:25" x14ac:dyDescent="0.25">
      <c r="C174" s="72"/>
      <c r="D174" s="68"/>
      <c r="E174" s="68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68"/>
    </row>
    <row r="175" spans="2:25" x14ac:dyDescent="0.25">
      <c r="C175" s="72"/>
      <c r="D175" s="68"/>
      <c r="E175" s="68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68"/>
    </row>
    <row r="176" spans="2:25" x14ac:dyDescent="0.25">
      <c r="C176" s="72"/>
      <c r="D176" s="68"/>
      <c r="E176" s="68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>
        <v>3003000</v>
      </c>
      <c r="Q176" s="12"/>
      <c r="R176" s="12"/>
      <c r="S176" s="12"/>
      <c r="T176" s="12"/>
      <c r="U176" s="12"/>
      <c r="V176" s="12"/>
      <c r="W176" s="12"/>
      <c r="X176" s="12"/>
      <c r="Y176" s="68"/>
    </row>
    <row r="177" spans="3:25" x14ac:dyDescent="0.25">
      <c r="C177" s="82"/>
      <c r="D177" s="68"/>
      <c r="E177" s="68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68"/>
    </row>
    <row r="178" spans="3:25" x14ac:dyDescent="0.25">
      <c r="C178" s="82"/>
      <c r="D178" s="68"/>
      <c r="E178" s="68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68"/>
    </row>
    <row r="179" spans="3:25" x14ac:dyDescent="0.25">
      <c r="C179" s="82"/>
      <c r="D179" s="68"/>
      <c r="E179" s="68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68"/>
    </row>
    <row r="180" spans="3:25" x14ac:dyDescent="0.25">
      <c r="C180" s="82"/>
      <c r="D180" s="68"/>
      <c r="E180" s="68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68"/>
    </row>
    <row r="181" spans="3:25" x14ac:dyDescent="0.25">
      <c r="C181" s="72">
        <v>42614840</v>
      </c>
      <c r="D181" s="68"/>
      <c r="E181" s="68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>
        <v>412608</v>
      </c>
      <c r="Y181" s="68"/>
    </row>
    <row r="182" spans="3:25" x14ac:dyDescent="0.25">
      <c r="C182" s="72">
        <v>9675182</v>
      </c>
      <c r="D182" s="68"/>
      <c r="E182" s="68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>
        <v>1880000</v>
      </c>
      <c r="Y182" s="68"/>
    </row>
    <row r="183" spans="3:25" x14ac:dyDescent="0.25">
      <c r="C183" s="72">
        <v>17903600</v>
      </c>
      <c r="D183" s="68"/>
      <c r="E183" s="68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68"/>
    </row>
    <row r="184" spans="3:25" x14ac:dyDescent="0.25">
      <c r="C184" s="72">
        <f>SUM(C181:C183)</f>
        <v>70193622</v>
      </c>
      <c r="D184" s="68"/>
      <c r="E184" s="68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68"/>
    </row>
    <row r="185" spans="3:25" x14ac:dyDescent="0.25">
      <c r="C185" s="72">
        <v>400000</v>
      </c>
      <c r="D185" s="68"/>
      <c r="E185" s="68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68"/>
    </row>
    <row r="186" spans="3:25" x14ac:dyDescent="0.25">
      <c r="C186" s="72">
        <f>+C184+C185</f>
        <v>70593622</v>
      </c>
      <c r="D186" s="68"/>
      <c r="E186" s="68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68"/>
    </row>
    <row r="190" spans="3:25" x14ac:dyDescent="0.25">
      <c r="C190" s="13">
        <v>11000000</v>
      </c>
    </row>
    <row r="191" spans="3:25" x14ac:dyDescent="0.25">
      <c r="C191" s="13">
        <f>+C189+C190</f>
        <v>11000000</v>
      </c>
    </row>
    <row r="196" spans="3:3" x14ac:dyDescent="0.25">
      <c r="C196" s="13">
        <v>3185000</v>
      </c>
    </row>
    <row r="197" spans="3:3" x14ac:dyDescent="0.25">
      <c r="C197" s="13">
        <v>1080000</v>
      </c>
    </row>
    <row r="198" spans="3:3" x14ac:dyDescent="0.25">
      <c r="C198" s="13">
        <v>4850100</v>
      </c>
    </row>
    <row r="199" spans="3:3" x14ac:dyDescent="0.25">
      <c r="C199" s="13">
        <v>5027500</v>
      </c>
    </row>
    <row r="200" spans="3:3" x14ac:dyDescent="0.25">
      <c r="C200" s="13">
        <v>4566000</v>
      </c>
    </row>
    <row r="201" spans="3:3" x14ac:dyDescent="0.25">
      <c r="C201" s="13">
        <v>1050000</v>
      </c>
    </row>
    <row r="202" spans="3:3" x14ac:dyDescent="0.25">
      <c r="C202" s="13">
        <v>3877333</v>
      </c>
    </row>
    <row r="203" spans="3:3" x14ac:dyDescent="0.25">
      <c r="C203" s="13">
        <v>6732440</v>
      </c>
    </row>
    <row r="204" spans="3:3" x14ac:dyDescent="0.25">
      <c r="C204" s="13">
        <v>3460000</v>
      </c>
    </row>
    <row r="205" spans="3:3" x14ac:dyDescent="0.25">
      <c r="C205" s="13">
        <v>588800</v>
      </c>
    </row>
    <row r="206" spans="3:3" x14ac:dyDescent="0.25">
      <c r="C206" s="13">
        <v>1868000</v>
      </c>
    </row>
    <row r="207" spans="3:3" x14ac:dyDescent="0.25">
      <c r="C207" s="13">
        <v>10313000</v>
      </c>
    </row>
    <row r="208" spans="3:3" x14ac:dyDescent="0.25">
      <c r="C208" s="13">
        <v>3443800</v>
      </c>
    </row>
    <row r="209" spans="3:3" x14ac:dyDescent="0.25">
      <c r="C209" s="13">
        <v>8136400</v>
      </c>
    </row>
    <row r="210" spans="3:3" x14ac:dyDescent="0.25">
      <c r="C210" s="13">
        <v>9675183</v>
      </c>
    </row>
    <row r="211" spans="3:3" x14ac:dyDescent="0.25">
      <c r="C211" s="13">
        <f>SUM(C195:C210)</f>
        <v>67853556</v>
      </c>
    </row>
  </sheetData>
  <mergeCells count="8">
    <mergeCell ref="F153:U153"/>
    <mergeCell ref="D154:Y154"/>
    <mergeCell ref="A1:Y1"/>
    <mergeCell ref="A2:O2"/>
    <mergeCell ref="P2:X2"/>
    <mergeCell ref="A4:A69"/>
    <mergeCell ref="A70:A119"/>
    <mergeCell ref="B121:C12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ENERO </vt:lpstr>
      <vt:lpstr>FEBRERO </vt:lpstr>
      <vt:lpstr>MARZO </vt:lpstr>
      <vt:lpstr>ABRIL </vt:lpstr>
      <vt:lpstr>MAYO </vt:lpstr>
      <vt:lpstr>JUNIO</vt:lpstr>
      <vt:lpstr>JULIO </vt:lpstr>
      <vt:lpstr>AGOSTO </vt:lpstr>
      <vt:lpstr>SEPTIEMBRE</vt:lpstr>
      <vt:lpstr>OCTUBRE </vt:lpstr>
      <vt:lpstr>NOVIEMBRE </vt:lpstr>
      <vt:lpstr>DICIEMBRE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2019-05-27T14:54:47Z</dcterms:modified>
</cp:coreProperties>
</file>