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maira claro\Desktop\LEY DE FINANCIAMIENTO 2019\"/>
    </mc:Choice>
  </mc:AlternateContent>
  <xr:revisionPtr revIDLastSave="0" documentId="8_{7AAB9B55-59B4-491A-8F2E-67597FE8BEB6}" xr6:coauthVersionLast="45" xr6:coauthVersionMax="45" xr10:uidLastSave="{00000000-0000-0000-0000-000000000000}"/>
  <bookViews>
    <workbookView xWindow="-20610" yWindow="-15" windowWidth="20730" windowHeight="11160" activeTab="2" xr2:uid="{2A013B74-BF26-4465-BCE6-4AC5D2CC0F7F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3" l="1"/>
  <c r="I31" i="3"/>
  <c r="I33" i="3" l="1"/>
  <c r="G11" i="2"/>
  <c r="C5" i="2" l="1"/>
  <c r="D23" i="1"/>
  <c r="E34" i="2"/>
  <c r="E35" i="2"/>
  <c r="E18" i="2"/>
  <c r="E19" i="2"/>
  <c r="C20" i="2" s="1"/>
  <c r="C59" i="2"/>
  <c r="G45" i="2"/>
  <c r="B43" i="2"/>
  <c r="B41" i="2"/>
  <c r="K29" i="2"/>
  <c r="G29" i="2"/>
  <c r="B27" i="2"/>
  <c r="B25" i="2"/>
  <c r="B13" i="2"/>
  <c r="B11" i="2"/>
  <c r="K11" i="2"/>
  <c r="C11" i="2" l="1"/>
  <c r="C12" i="2" s="1"/>
  <c r="C7" i="2"/>
  <c r="C13" i="2" s="1"/>
  <c r="C36" i="2"/>
  <c r="C38" i="2" s="1"/>
  <c r="C43" i="2" s="1"/>
  <c r="I43" i="2" s="1"/>
  <c r="K43" i="2" s="1"/>
  <c r="I4" i="2"/>
  <c r="C14" i="2"/>
  <c r="C25" i="2"/>
  <c r="C26" i="2" s="1"/>
  <c r="C22" i="2"/>
  <c r="C27" i="2" s="1"/>
  <c r="I39" i="2"/>
  <c r="P38" i="2" s="1"/>
  <c r="P39" i="2" s="1"/>
  <c r="P41" i="2" s="1"/>
  <c r="P42" i="2" s="1"/>
  <c r="P44" i="2" s="1"/>
  <c r="P45" i="2" s="1"/>
  <c r="K39" i="2" s="1"/>
  <c r="I41" i="2"/>
  <c r="I42" i="2"/>
  <c r="K42" i="2" s="1"/>
  <c r="C41" i="2"/>
  <c r="C42" i="2" s="1"/>
  <c r="I7" i="2"/>
  <c r="I9" i="2"/>
  <c r="I5" i="2"/>
  <c r="I8" i="2"/>
  <c r="I38" i="2" l="1"/>
  <c r="I40" i="2"/>
  <c r="I44" i="2"/>
  <c r="K44" i="2" s="1"/>
  <c r="C50" i="2"/>
  <c r="I6" i="2"/>
  <c r="I10" i="2"/>
  <c r="J5" i="2"/>
  <c r="L5" i="2" s="1"/>
  <c r="J7" i="2"/>
  <c r="L7" i="2" s="1"/>
  <c r="J9" i="2"/>
  <c r="L9" i="2" s="1"/>
  <c r="J4" i="2"/>
  <c r="J6" i="2"/>
  <c r="L6" i="2" s="1"/>
  <c r="J8" i="2"/>
  <c r="L8" i="2" s="1"/>
  <c r="J10" i="2"/>
  <c r="L10" i="2" s="1"/>
  <c r="I28" i="2"/>
  <c r="I24" i="2"/>
  <c r="I27" i="2"/>
  <c r="I23" i="2"/>
  <c r="I26" i="2"/>
  <c r="I22" i="2"/>
  <c r="I25" i="2"/>
  <c r="O38" i="2"/>
  <c r="O39" i="2" s="1"/>
  <c r="O41" i="2" s="1"/>
  <c r="O42" i="2" s="1"/>
  <c r="O44" i="2" s="1"/>
  <c r="O45" i="2" s="1"/>
  <c r="K38" i="2" s="1"/>
  <c r="C52" i="2"/>
  <c r="C44" i="2"/>
  <c r="C51" i="2"/>
  <c r="C28" i="2"/>
  <c r="K45" i="2" l="1"/>
  <c r="C53" i="2"/>
  <c r="C62" i="2" s="1"/>
  <c r="I45" i="2"/>
  <c r="I11" i="2"/>
  <c r="J11" i="2"/>
  <c r="L4" i="2"/>
  <c r="L11" i="2" s="1"/>
  <c r="D50" i="2" s="1"/>
  <c r="J43" i="2"/>
  <c r="T38" i="2" s="1"/>
  <c r="J40" i="2"/>
  <c r="L40" i="2" s="1"/>
  <c r="J42" i="2"/>
  <c r="S38" i="2" s="1"/>
  <c r="J39" i="2"/>
  <c r="R38" i="2" s="1"/>
  <c r="J38" i="2"/>
  <c r="J41" i="2"/>
  <c r="L41" i="2" s="1"/>
  <c r="J44" i="2"/>
  <c r="U38" i="2" s="1"/>
  <c r="I29" i="2"/>
  <c r="J23" i="2"/>
  <c r="L23" i="2" s="1"/>
  <c r="J25" i="2"/>
  <c r="L25" i="2" s="1"/>
  <c r="J27" i="2"/>
  <c r="L27" i="2" s="1"/>
  <c r="J22" i="2"/>
  <c r="J24" i="2"/>
  <c r="L24" i="2" s="1"/>
  <c r="J26" i="2"/>
  <c r="L26" i="2" s="1"/>
  <c r="J28" i="2"/>
  <c r="L28" i="2" s="1"/>
  <c r="Q38" i="2" l="1"/>
  <c r="J45" i="2"/>
  <c r="T39" i="2"/>
  <c r="T40" i="2"/>
  <c r="T42" i="2" s="1"/>
  <c r="J29" i="2"/>
  <c r="L22" i="2"/>
  <c r="L29" i="2" s="1"/>
  <c r="D51" i="2" s="1"/>
  <c r="R39" i="2"/>
  <c r="R40" i="2"/>
  <c r="R41" i="2" s="1"/>
  <c r="R43" i="2" s="1"/>
  <c r="R44" i="2" s="1"/>
  <c r="R46" i="2" s="1"/>
  <c r="R47" i="2" s="1"/>
  <c r="R48" i="2" s="1"/>
  <c r="L39" i="2" s="1"/>
  <c r="U39" i="2"/>
  <c r="U40" i="2"/>
  <c r="U42" i="2" s="1"/>
  <c r="S39" i="2"/>
  <c r="T43" i="2" l="1"/>
  <c r="L43" i="2" s="1"/>
  <c r="S40" i="2"/>
  <c r="S42" i="2" s="1"/>
  <c r="S43" i="2" s="1"/>
  <c r="L42" i="2" s="1"/>
  <c r="U43" i="2"/>
  <c r="L44" i="2" s="1"/>
  <c r="Q39" i="2"/>
  <c r="Q40" i="2" s="1"/>
  <c r="Q41" i="2" s="1"/>
  <c r="Q43" i="2" s="1"/>
  <c r="Q44" i="2" s="1"/>
  <c r="Q46" i="2" s="1"/>
  <c r="Q47" i="2" s="1"/>
  <c r="Q48" i="2" s="1"/>
  <c r="L38" i="2" s="1"/>
  <c r="L45" i="2" s="1"/>
  <c r="D52" i="2" s="1"/>
  <c r="D53" i="2" s="1"/>
  <c r="D62" i="2" s="1"/>
</calcChain>
</file>

<file path=xl/sharedStrings.xml><?xml version="1.0" encoding="utf-8"?>
<sst xmlns="http://schemas.openxmlformats.org/spreadsheetml/2006/main" count="210" uniqueCount="83">
  <si>
    <t xml:space="preserve">1. </t>
  </si>
  <si>
    <t xml:space="preserve">Utilidad contable antes de impuestos </t>
  </si>
  <si>
    <t>Renta liquida gravable 2015</t>
  </si>
  <si>
    <t>Tarifa del impuesto para Renta 2015</t>
  </si>
  <si>
    <t>2.</t>
  </si>
  <si>
    <t>Renta liquida gravable 2016</t>
  </si>
  <si>
    <t>Tarifa del impuesto para Renta 2016</t>
  </si>
  <si>
    <t>3.</t>
  </si>
  <si>
    <t>Los accionistas de El Parcial S.A., son:</t>
  </si>
  <si>
    <t>Lina Marcela Acosta Alfonso</t>
  </si>
  <si>
    <t>Sociedad Palos y Micos SAS</t>
  </si>
  <si>
    <t>Steve Jobs</t>
  </si>
  <si>
    <t>Company Triunfo INC</t>
  </si>
  <si>
    <t>Company Pilas INC</t>
  </si>
  <si>
    <t>Sociedad Los Cocos SAS</t>
  </si>
  <si>
    <t>4.</t>
  </si>
  <si>
    <t>Lina María Mendoza Caro</t>
  </si>
  <si>
    <r>
      <t xml:space="preserve">La sociedad tuvo unos ingresos en el mes de septiembre, tarifa del autorrenta del </t>
    </r>
    <r>
      <rPr>
        <b/>
        <sz val="11"/>
        <color theme="1"/>
        <rFont val="Calibri"/>
        <family val="2"/>
        <scheme val="minor"/>
      </rPr>
      <t>0.8%</t>
    </r>
  </si>
  <si>
    <t>actividad económica 5229</t>
  </si>
  <si>
    <t>La sociedad El Parcial II S.A. Nit. 900.124.789-1 decreta dividendos y participaciones a sus accionistas así:</t>
  </si>
  <si>
    <t>Dividendos y participaciones decretados del año 2015 con la siguiente información:</t>
  </si>
  <si>
    <t>Dividendos y participaciones decretados del año 2016 con la siguiente información:</t>
  </si>
  <si>
    <t>Dividendos y participaciones decretados del año 2017 con la siguiente información:</t>
  </si>
  <si>
    <t xml:space="preserve">Solicitan aplicar las retenciones en la fuente en el mes de septiembre del 2018 de los dividendos </t>
  </si>
  <si>
    <t>entregados a los Accionistas y las demás retenciones , diligenciar el formulario 350.</t>
  </si>
  <si>
    <t>Ganancia Ocasional 2016</t>
  </si>
  <si>
    <t>Residente Declarante de Renta</t>
  </si>
  <si>
    <t>Residente No Declarante de Renta</t>
  </si>
  <si>
    <t>Residente</t>
  </si>
  <si>
    <t>No Residente</t>
  </si>
  <si>
    <t>Renta liquida gravable 2017</t>
  </si>
  <si>
    <t>Tarifa del impuesto para Renta 2017</t>
  </si>
  <si>
    <t>1.</t>
  </si>
  <si>
    <t>utilidad a distribuir</t>
  </si>
  <si>
    <t>gravado</t>
  </si>
  <si>
    <t>NO gravado</t>
  </si>
  <si>
    <t>No gravado</t>
  </si>
  <si>
    <t>Gravado</t>
  </si>
  <si>
    <t>PN residente</t>
  </si>
  <si>
    <t>PJ no Residente</t>
  </si>
  <si>
    <t>RESUMEN</t>
  </si>
  <si>
    <t>utilidad a distribuir 2015</t>
  </si>
  <si>
    <t>utilidad a distribuir 2016</t>
  </si>
  <si>
    <t>utilidad a distribuir 2017</t>
  </si>
  <si>
    <t>Ingresos</t>
  </si>
  <si>
    <t>total retenciones</t>
  </si>
  <si>
    <t>retención en la fuente</t>
  </si>
  <si>
    <t>Impuesto básico de renta</t>
  </si>
  <si>
    <t>Utilidad máxima susceptible distribuir como no gravado</t>
  </si>
  <si>
    <t>ganancia Ocasional</t>
  </si>
  <si>
    <t>PN NO resiente</t>
  </si>
  <si>
    <t>Dividendos 2016 y anteriores</t>
  </si>
  <si>
    <t>No gravados</t>
  </si>
  <si>
    <t>Gravados</t>
  </si>
  <si>
    <t>PN - Residente</t>
  </si>
  <si>
    <t>PJ - Residente</t>
  </si>
  <si>
    <t>PN - NO Residente</t>
  </si>
  <si>
    <t>PJ - No Residente</t>
  </si>
  <si>
    <t>Dividendos 2017 y 2018</t>
  </si>
  <si>
    <t>Tabla 242 0%, 5% y 10%</t>
  </si>
  <si>
    <t>35% mas tabla 242 0%, 5% y 10%</t>
  </si>
  <si>
    <t>35% mas  5%</t>
  </si>
  <si>
    <t>DUR 1.2.4.7.3</t>
  </si>
  <si>
    <t>Dividendos 2019</t>
  </si>
  <si>
    <t xml:space="preserve">Tabla 242 0% y 15% </t>
  </si>
  <si>
    <t>por 2019 33% mas 7,5%</t>
  </si>
  <si>
    <t>Articulo E.T</t>
  </si>
  <si>
    <t>242-1</t>
  </si>
  <si>
    <t xml:space="preserve">33% mas tabla 242 0% y 15% </t>
  </si>
  <si>
    <t>INCRNIGO</t>
  </si>
  <si>
    <t>Tabla 241 vieja 0-1090</t>
  </si>
  <si>
    <t>alquiler</t>
  </si>
  <si>
    <t>honorarios</t>
  </si>
  <si>
    <t>imprevisto</t>
  </si>
  <si>
    <t>Dividendos 2020</t>
  </si>
  <si>
    <t xml:space="preserve">Tabla 242 0% y 10% </t>
  </si>
  <si>
    <t xml:space="preserve">Renta año pagado Art 240 mas tabla 0% y 10% </t>
  </si>
  <si>
    <t>Renta año pagado mas 10%</t>
  </si>
  <si>
    <t>Renta año pagado mas 7,5%</t>
  </si>
  <si>
    <t>artículo</t>
  </si>
  <si>
    <t>RETENCIONES</t>
  </si>
  <si>
    <t xml:space="preserve">No declarante </t>
  </si>
  <si>
    <t>Declarante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</si>
</sst>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&quot;$&quot;\ 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41" fontId="0" fillId="0" borderId="0" xfId="1" applyFont="1"/>
    <xf numFmtId="9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41" fontId="0" fillId="0" borderId="3" xfId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1" applyNumberFormat="1" applyFont="1"/>
    <xf numFmtId="9" fontId="0" fillId="0" borderId="0" xfId="1" applyNumberFormat="1" applyFont="1"/>
    <xf numFmtId="9" fontId="2" fillId="0" borderId="0" xfId="1" applyNumberFormat="1" applyFont="1"/>
    <xf numFmtId="0" fontId="0" fillId="0" borderId="7" xfId="0" applyBorder="1"/>
    <xf numFmtId="0" fontId="0" fillId="0" borderId="8" xfId="0" applyBorder="1"/>
    <xf numFmtId="41" fontId="0" fillId="0" borderId="8" xfId="1" applyFont="1" applyBorder="1"/>
    <xf numFmtId="0" fontId="0" fillId="0" borderId="9" xfId="0" applyBorder="1"/>
    <xf numFmtId="41" fontId="0" fillId="0" borderId="1" xfId="1" applyFont="1" applyBorder="1"/>
    <xf numFmtId="41" fontId="2" fillId="0" borderId="0" xfId="1" applyFont="1"/>
    <xf numFmtId="41" fontId="2" fillId="0" borderId="0" xfId="1" applyFont="1" applyAlignment="1">
      <alignment wrapText="1"/>
    </xf>
    <xf numFmtId="41" fontId="0" fillId="0" borderId="10" xfId="1" applyFont="1" applyBorder="1"/>
    <xf numFmtId="0" fontId="0" fillId="0" borderId="10" xfId="0" applyBorder="1"/>
    <xf numFmtId="9" fontId="0" fillId="0" borderId="10" xfId="1" applyNumberFormat="1" applyFont="1" applyBorder="1"/>
    <xf numFmtId="41" fontId="2" fillId="0" borderId="12" xfId="1" applyFont="1" applyBorder="1"/>
    <xf numFmtId="41" fontId="0" fillId="0" borderId="11" xfId="1" applyFont="1" applyBorder="1"/>
    <xf numFmtId="9" fontId="0" fillId="0" borderId="12" xfId="1" applyNumberFormat="1" applyFont="1" applyBorder="1"/>
    <xf numFmtId="9" fontId="0" fillId="0" borderId="0" xfId="2" applyFont="1"/>
    <xf numFmtId="41" fontId="0" fillId="0" borderId="13" xfId="1" applyFont="1" applyBorder="1"/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9" fontId="4" fillId="0" borderId="0" xfId="0" applyNumberFormat="1" applyFont="1" applyAlignment="1">
      <alignment horizontal="justify" vertical="center" wrapText="1"/>
    </xf>
    <xf numFmtId="41" fontId="0" fillId="0" borderId="14" xfId="1" applyFont="1" applyBorder="1"/>
    <xf numFmtId="10" fontId="0" fillId="0" borderId="13" xfId="1" applyNumberFormat="1" applyFont="1" applyBorder="1"/>
    <xf numFmtId="9" fontId="0" fillId="0" borderId="17" xfId="0" applyNumberFormat="1" applyBorder="1" applyAlignment="1">
      <alignment horizontal="center" vertical="center"/>
    </xf>
    <xf numFmtId="0" fontId="0" fillId="0" borderId="22" xfId="0" applyBorder="1"/>
    <xf numFmtId="9" fontId="0" fillId="0" borderId="22" xfId="0" applyNumberForma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5" fontId="0" fillId="0" borderId="17" xfId="0" applyNumberFormat="1" applyBorder="1" applyAlignment="1">
      <alignment horizontal="center"/>
    </xf>
    <xf numFmtId="165" fontId="0" fillId="0" borderId="0" xfId="2" applyNumberFormat="1" applyFont="1"/>
    <xf numFmtId="41" fontId="0" fillId="0" borderId="0" xfId="0" applyNumberFormat="1"/>
    <xf numFmtId="41" fontId="2" fillId="2" borderId="0" xfId="1" applyFont="1" applyFill="1" applyAlignment="1">
      <alignment wrapText="1"/>
    </xf>
    <xf numFmtId="41" fontId="0" fillId="2" borderId="0" xfId="1" applyFont="1" applyFill="1"/>
    <xf numFmtId="0" fontId="0" fillId="3" borderId="15" xfId="0" applyFill="1" applyBorder="1" applyAlignment="1">
      <alignment horizontal="center" vertical="center"/>
    </xf>
    <xf numFmtId="9" fontId="0" fillId="3" borderId="17" xfId="0" applyNumberFormat="1" applyFill="1" applyBorder="1" applyAlignment="1">
      <alignment horizontal="center" vertical="center"/>
    </xf>
    <xf numFmtId="0" fontId="0" fillId="3" borderId="19" xfId="0" applyFill="1" applyBorder="1"/>
    <xf numFmtId="9" fontId="0" fillId="3" borderId="17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9" fontId="0" fillId="3" borderId="22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 wrapText="1"/>
    </xf>
    <xf numFmtId="0" fontId="0" fillId="4" borderId="22" xfId="0" applyFill="1" applyBorder="1"/>
    <xf numFmtId="9" fontId="0" fillId="4" borderId="17" xfId="0" applyNumberFormat="1" applyFill="1" applyBorder="1" applyAlignment="1">
      <alignment horizontal="center"/>
    </xf>
    <xf numFmtId="0" fontId="0" fillId="4" borderId="23" xfId="0" applyFill="1" applyBorder="1" applyAlignment="1">
      <alignment horizontal="center" vertical="center"/>
    </xf>
    <xf numFmtId="9" fontId="0" fillId="4" borderId="22" xfId="0" applyNumberFormat="1" applyFill="1" applyBorder="1" applyAlignment="1">
      <alignment horizontal="center"/>
    </xf>
    <xf numFmtId="41" fontId="2" fillId="0" borderId="0" xfId="0" applyNumberFormat="1" applyFont="1"/>
    <xf numFmtId="9" fontId="0" fillId="0" borderId="29" xfId="0" applyNumberFormat="1" applyBorder="1" applyAlignment="1">
      <alignment horizontal="center" vertical="center"/>
    </xf>
    <xf numFmtId="0" fontId="0" fillId="0" borderId="30" xfId="0" applyBorder="1"/>
    <xf numFmtId="165" fontId="0" fillId="0" borderId="29" xfId="0" applyNumberFormat="1" applyBorder="1" applyAlignment="1">
      <alignment horizontal="center"/>
    </xf>
    <xf numFmtId="9" fontId="0" fillId="0" borderId="30" xfId="0" applyNumberFormat="1" applyBorder="1" applyAlignment="1">
      <alignment horizontal="center"/>
    </xf>
    <xf numFmtId="9" fontId="0" fillId="0" borderId="0" xfId="0" applyNumberFormat="1"/>
    <xf numFmtId="0" fontId="3" fillId="0" borderId="0" xfId="0" applyFont="1" applyAlignment="1">
      <alignment horizontal="justify" vertical="center" wrapText="1"/>
    </xf>
    <xf numFmtId="41" fontId="2" fillId="0" borderId="10" xfId="1" applyFont="1" applyBorder="1" applyAlignment="1">
      <alignment horizontal="center"/>
    </xf>
    <xf numFmtId="0" fontId="2" fillId="3" borderId="26" xfId="0" applyFont="1" applyFill="1" applyBorder="1" applyAlignment="1">
      <alignment horizontal="center" wrapText="1"/>
    </xf>
    <xf numFmtId="0" fontId="2" fillId="3" borderId="27" xfId="0" applyFont="1" applyFill="1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wrapText="1"/>
    </xf>
    <xf numFmtId="0" fontId="2" fillId="4" borderId="26" xfId="0" applyFont="1" applyFill="1" applyBorder="1" applyAlignment="1">
      <alignment horizontal="center" wrapText="1"/>
    </xf>
    <xf numFmtId="0" fontId="2" fillId="4" borderId="27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616E-078F-4F4E-A0D8-21BC0B35B9E2}">
  <dimension ref="B1:H27"/>
  <sheetViews>
    <sheetView showGridLines="0" topLeftCell="A19" zoomScale="150" zoomScaleNormal="150" workbookViewId="0">
      <selection activeCell="C26" sqref="C26"/>
    </sheetView>
  </sheetViews>
  <sheetFormatPr baseColWidth="10" defaultRowHeight="15" x14ac:dyDescent="0.25"/>
  <cols>
    <col min="2" max="2" width="4.5703125" customWidth="1"/>
    <col min="3" max="3" width="40.28515625" customWidth="1"/>
    <col min="4" max="4" width="15.140625" style="1" bestFit="1" customWidth="1"/>
  </cols>
  <sheetData>
    <row r="1" spans="2:8" x14ac:dyDescent="0.25">
      <c r="B1" s="3" t="s">
        <v>19</v>
      </c>
      <c r="C1" s="4"/>
      <c r="D1" s="5"/>
      <c r="E1" s="4"/>
      <c r="F1" s="4"/>
      <c r="G1" s="4"/>
      <c r="H1" s="6"/>
    </row>
    <row r="2" spans="2:8" x14ac:dyDescent="0.25">
      <c r="B2" s="7" t="s">
        <v>0</v>
      </c>
      <c r="C2" t="s">
        <v>20</v>
      </c>
      <c r="H2" s="8"/>
    </row>
    <row r="3" spans="2:8" x14ac:dyDescent="0.25">
      <c r="B3" s="7"/>
      <c r="C3" t="s">
        <v>1</v>
      </c>
      <c r="D3" s="9">
        <v>5789922000</v>
      </c>
      <c r="H3" s="8"/>
    </row>
    <row r="4" spans="2:8" x14ac:dyDescent="0.25">
      <c r="B4" s="7"/>
      <c r="C4" t="s">
        <v>2</v>
      </c>
      <c r="D4" s="9">
        <v>3145890000</v>
      </c>
      <c r="H4" s="8"/>
    </row>
    <row r="5" spans="2:8" x14ac:dyDescent="0.25">
      <c r="B5" s="7"/>
      <c r="C5" t="s">
        <v>3</v>
      </c>
      <c r="D5" s="10">
        <v>0.33</v>
      </c>
      <c r="H5" s="8"/>
    </row>
    <row r="6" spans="2:8" x14ac:dyDescent="0.25">
      <c r="B6" s="7" t="s">
        <v>4</v>
      </c>
      <c r="C6" t="s">
        <v>21</v>
      </c>
      <c r="H6" s="8"/>
    </row>
    <row r="7" spans="2:8" x14ac:dyDescent="0.25">
      <c r="B7" s="7"/>
      <c r="C7" t="s">
        <v>1</v>
      </c>
      <c r="D7" s="9">
        <v>4455242000</v>
      </c>
      <c r="H7" s="8"/>
    </row>
    <row r="8" spans="2:8" x14ac:dyDescent="0.25">
      <c r="B8" s="7"/>
      <c r="C8" t="s">
        <v>5</v>
      </c>
      <c r="D8" s="9">
        <v>2553552000</v>
      </c>
      <c r="H8" s="8"/>
    </row>
    <row r="9" spans="2:8" x14ac:dyDescent="0.25">
      <c r="B9" s="7"/>
      <c r="C9" t="s">
        <v>25</v>
      </c>
      <c r="D9" s="9">
        <v>12679000</v>
      </c>
      <c r="H9" s="8"/>
    </row>
    <row r="10" spans="2:8" x14ac:dyDescent="0.25">
      <c r="B10" s="7"/>
      <c r="C10" t="s">
        <v>6</v>
      </c>
      <c r="D10" s="10">
        <v>0.4</v>
      </c>
      <c r="H10" s="8"/>
    </row>
    <row r="11" spans="2:8" x14ac:dyDescent="0.25">
      <c r="B11" s="7" t="s">
        <v>7</v>
      </c>
      <c r="C11" t="s">
        <v>22</v>
      </c>
      <c r="H11" s="8"/>
    </row>
    <row r="12" spans="2:8" x14ac:dyDescent="0.25">
      <c r="B12" s="7"/>
      <c r="C12" t="s">
        <v>1</v>
      </c>
      <c r="D12" s="9">
        <v>3467900000</v>
      </c>
      <c r="H12" s="8"/>
    </row>
    <row r="13" spans="2:8" x14ac:dyDescent="0.25">
      <c r="B13" s="7"/>
      <c r="C13" t="s">
        <v>30</v>
      </c>
      <c r="D13" s="9">
        <v>1455678000</v>
      </c>
      <c r="H13" s="8"/>
    </row>
    <row r="14" spans="2:8" x14ac:dyDescent="0.25">
      <c r="B14" s="7"/>
      <c r="C14" t="s">
        <v>31</v>
      </c>
      <c r="D14" s="10">
        <v>0.35</v>
      </c>
      <c r="H14" s="8"/>
    </row>
    <row r="15" spans="2:8" x14ac:dyDescent="0.25">
      <c r="B15" s="7" t="s">
        <v>8</v>
      </c>
      <c r="H15" s="8"/>
    </row>
    <row r="16" spans="2:8" x14ac:dyDescent="0.25">
      <c r="B16" s="7"/>
      <c r="C16" t="s">
        <v>16</v>
      </c>
      <c r="D16" s="10">
        <v>0.05</v>
      </c>
      <c r="E16" t="s">
        <v>26</v>
      </c>
      <c r="H16" s="8"/>
    </row>
    <row r="17" spans="2:8" x14ac:dyDescent="0.25">
      <c r="B17" s="7"/>
      <c r="C17" t="s">
        <v>9</v>
      </c>
      <c r="D17" s="10">
        <v>0.1</v>
      </c>
      <c r="E17" t="s">
        <v>27</v>
      </c>
      <c r="H17" s="8"/>
    </row>
    <row r="18" spans="2:8" x14ac:dyDescent="0.25">
      <c r="B18" s="7"/>
      <c r="C18" t="s">
        <v>14</v>
      </c>
      <c r="D18" s="10">
        <v>0.04</v>
      </c>
      <c r="E18" t="s">
        <v>28</v>
      </c>
      <c r="H18" s="8"/>
    </row>
    <row r="19" spans="2:8" x14ac:dyDescent="0.25">
      <c r="B19" s="7"/>
      <c r="C19" t="s">
        <v>10</v>
      </c>
      <c r="D19" s="10">
        <v>0.13</v>
      </c>
      <c r="E19" t="s">
        <v>28</v>
      </c>
      <c r="H19" s="8"/>
    </row>
    <row r="20" spans="2:8" x14ac:dyDescent="0.25">
      <c r="B20" s="7"/>
      <c r="C20" t="s">
        <v>11</v>
      </c>
      <c r="D20" s="10">
        <v>0.18</v>
      </c>
      <c r="E20" t="s">
        <v>29</v>
      </c>
      <c r="H20" s="8"/>
    </row>
    <row r="21" spans="2:8" x14ac:dyDescent="0.25">
      <c r="B21" s="7"/>
      <c r="C21" t="s">
        <v>12</v>
      </c>
      <c r="D21" s="10">
        <v>0.15</v>
      </c>
      <c r="E21" t="s">
        <v>29</v>
      </c>
      <c r="H21" s="8"/>
    </row>
    <row r="22" spans="2:8" x14ac:dyDescent="0.25">
      <c r="B22" s="7"/>
      <c r="C22" t="s">
        <v>13</v>
      </c>
      <c r="D22" s="2">
        <v>0.35</v>
      </c>
      <c r="E22" t="s">
        <v>29</v>
      </c>
      <c r="H22" s="8"/>
    </row>
    <row r="23" spans="2:8" x14ac:dyDescent="0.25">
      <c r="B23" s="7"/>
      <c r="D23" s="11">
        <f>SUM(D16:D22)</f>
        <v>1</v>
      </c>
      <c r="H23" s="8"/>
    </row>
    <row r="24" spans="2:8" x14ac:dyDescent="0.25">
      <c r="B24" s="7" t="s">
        <v>15</v>
      </c>
      <c r="C24" t="s">
        <v>17</v>
      </c>
      <c r="H24" s="8"/>
    </row>
    <row r="25" spans="2:8" x14ac:dyDescent="0.25">
      <c r="B25" s="7"/>
      <c r="C25" t="s">
        <v>18</v>
      </c>
      <c r="D25" s="1">
        <v>622273000</v>
      </c>
      <c r="H25" s="8"/>
    </row>
    <row r="26" spans="2:8" x14ac:dyDescent="0.25">
      <c r="B26" s="7"/>
      <c r="C26" t="s">
        <v>23</v>
      </c>
      <c r="H26" s="8"/>
    </row>
    <row r="27" spans="2:8" ht="15.75" thickBot="1" x14ac:dyDescent="0.3">
      <c r="B27" s="12"/>
      <c r="C27" s="13" t="s">
        <v>24</v>
      </c>
      <c r="D27" s="14"/>
      <c r="E27" s="13"/>
      <c r="F27" s="13"/>
      <c r="G27" s="13"/>
      <c r="H27" s="1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C27D-3AF2-4E1C-8DBF-3845F0AED6ED}">
  <dimension ref="A1:U62"/>
  <sheetViews>
    <sheetView showGridLines="0" zoomScale="120" zoomScaleNormal="120" workbookViewId="0">
      <selection activeCell="B5" sqref="B5"/>
    </sheetView>
  </sheetViews>
  <sheetFormatPr baseColWidth="10" defaultRowHeight="15" x14ac:dyDescent="0.25"/>
  <cols>
    <col min="1" max="1" width="4" style="1" bestFit="1" customWidth="1"/>
    <col min="2" max="2" width="34.85546875" style="1" bestFit="1" customWidth="1"/>
    <col min="3" max="3" width="16.42578125" style="1" bestFit="1" customWidth="1"/>
    <col min="4" max="4" width="15.28515625" style="1" bestFit="1" customWidth="1"/>
    <col min="5" max="5" width="15" style="1" bestFit="1" customWidth="1"/>
    <col min="6" max="6" width="25.85546875" style="1" bestFit="1" customWidth="1"/>
    <col min="7" max="7" width="5.5703125" style="1" bestFit="1" customWidth="1"/>
    <col min="8" max="8" width="30.7109375" style="1" customWidth="1"/>
    <col min="9" max="10" width="15" style="1" bestFit="1" customWidth="1"/>
    <col min="11" max="11" width="12.42578125" style="1" bestFit="1" customWidth="1"/>
    <col min="12" max="12" width="13.7109375" style="1" customWidth="1"/>
    <col min="13" max="14" width="11.42578125" style="1"/>
    <col min="15" max="15" width="20.140625" style="1" customWidth="1"/>
    <col min="16" max="16" width="11.42578125" style="1"/>
    <col min="17" max="17" width="12.5703125" style="1" bestFit="1" customWidth="1"/>
    <col min="18" max="18" width="14" style="1" bestFit="1" customWidth="1"/>
    <col min="19" max="19" width="16.28515625" style="1" bestFit="1" customWidth="1"/>
    <col min="20" max="21" width="12.5703125" style="1" bestFit="1" customWidth="1"/>
    <col min="22" max="16384" width="11.42578125" style="1"/>
  </cols>
  <sheetData>
    <row r="1" spans="1:12" x14ac:dyDescent="0.25">
      <c r="B1" s="1">
        <v>33156</v>
      </c>
    </row>
    <row r="2" spans="1:12" x14ac:dyDescent="0.25">
      <c r="K2" s="63" t="s">
        <v>46</v>
      </c>
      <c r="L2" s="63"/>
    </row>
    <row r="3" spans="1:12" x14ac:dyDescent="0.25">
      <c r="A3" s="1" t="s">
        <v>32</v>
      </c>
      <c r="B3" t="s">
        <v>2</v>
      </c>
      <c r="C3" s="9">
        <v>3145890000</v>
      </c>
      <c r="F3" s="19"/>
      <c r="G3" s="19"/>
      <c r="H3" s="19"/>
      <c r="I3" s="19" t="s">
        <v>35</v>
      </c>
      <c r="J3" s="19" t="s">
        <v>34</v>
      </c>
      <c r="K3" s="19" t="s">
        <v>36</v>
      </c>
      <c r="L3" s="19" t="s">
        <v>37</v>
      </c>
    </row>
    <row r="4" spans="1:12" x14ac:dyDescent="0.25">
      <c r="B4" t="s">
        <v>3</v>
      </c>
      <c r="C4" s="2">
        <v>0.33</v>
      </c>
      <c r="F4" s="20" t="s">
        <v>16</v>
      </c>
      <c r="G4" s="21">
        <v>0.05</v>
      </c>
      <c r="H4" s="20" t="s">
        <v>26</v>
      </c>
      <c r="I4" s="19">
        <f>+$C$13*G4</f>
        <v>105387315</v>
      </c>
      <c r="J4" s="19">
        <f>+$C$14*G4</f>
        <v>132201600</v>
      </c>
      <c r="K4" s="19">
        <v>0</v>
      </c>
      <c r="L4" s="19">
        <f>ROUND((+J4*20%),-3)</f>
        <v>26440000</v>
      </c>
    </row>
    <row r="5" spans="1:12" x14ac:dyDescent="0.25">
      <c r="B5" s="1" t="s">
        <v>47</v>
      </c>
      <c r="C5" s="1">
        <f>+C3*C4</f>
        <v>1038143700</v>
      </c>
      <c r="F5" s="20" t="s">
        <v>9</v>
      </c>
      <c r="G5" s="21">
        <v>0.1</v>
      </c>
      <c r="H5" s="20" t="s">
        <v>27</v>
      </c>
      <c r="I5" s="19">
        <f t="shared" ref="I5:I9" si="0">+$C$13*G5</f>
        <v>210774630</v>
      </c>
      <c r="J5" s="19">
        <f t="shared" ref="J5:J9" si="1">+$C$14*G5</f>
        <v>264403200</v>
      </c>
      <c r="K5" s="19">
        <v>0</v>
      </c>
      <c r="L5" s="19">
        <f>ROUND((+J5*33%),-3)</f>
        <v>87253000</v>
      </c>
    </row>
    <row r="6" spans="1:12" x14ac:dyDescent="0.25">
      <c r="F6" s="20" t="s">
        <v>14</v>
      </c>
      <c r="G6" s="21">
        <v>0.04</v>
      </c>
      <c r="H6" s="20" t="s">
        <v>28</v>
      </c>
      <c r="I6" s="19">
        <f t="shared" si="0"/>
        <v>84309852</v>
      </c>
      <c r="J6" s="19">
        <f t="shared" si="1"/>
        <v>105761280</v>
      </c>
      <c r="K6" s="19">
        <v>0</v>
      </c>
      <c r="L6" s="19">
        <f>ROUND((+J6*20%),-3)</f>
        <v>21152000</v>
      </c>
    </row>
    <row r="7" spans="1:12" ht="30" x14ac:dyDescent="0.25">
      <c r="B7" s="18" t="s">
        <v>48</v>
      </c>
      <c r="C7" s="17">
        <f>+C3-C5</f>
        <v>2107746300</v>
      </c>
      <c r="D7" s="42" t="s">
        <v>69</v>
      </c>
      <c r="F7" s="20" t="s">
        <v>10</v>
      </c>
      <c r="G7" s="21">
        <v>0.13</v>
      </c>
      <c r="H7" s="20" t="s">
        <v>28</v>
      </c>
      <c r="I7" s="19">
        <f t="shared" si="0"/>
        <v>274007019</v>
      </c>
      <c r="J7" s="19">
        <f t="shared" si="1"/>
        <v>343724160</v>
      </c>
      <c r="K7" s="19">
        <v>0</v>
      </c>
      <c r="L7" s="19">
        <f>ROUND((+J7*20%),-3)</f>
        <v>68745000</v>
      </c>
    </row>
    <row r="8" spans="1:12" x14ac:dyDescent="0.25">
      <c r="B8" s="18"/>
      <c r="C8" s="17"/>
      <c r="F8" s="20" t="s">
        <v>11</v>
      </c>
      <c r="G8" s="21">
        <v>0.18</v>
      </c>
      <c r="H8" s="20" t="s">
        <v>29</v>
      </c>
      <c r="I8" s="19">
        <f t="shared" si="0"/>
        <v>379394334</v>
      </c>
      <c r="J8" s="19">
        <f t="shared" si="1"/>
        <v>475925760</v>
      </c>
      <c r="K8" s="19">
        <v>0</v>
      </c>
      <c r="L8" s="19">
        <f t="shared" ref="L8:L10" si="2">ROUND((+J8*33%),-3)</f>
        <v>157056000</v>
      </c>
    </row>
    <row r="9" spans="1:12" x14ac:dyDescent="0.25">
      <c r="F9" s="20" t="s">
        <v>12</v>
      </c>
      <c r="G9" s="21">
        <v>0.15</v>
      </c>
      <c r="H9" s="20" t="s">
        <v>29</v>
      </c>
      <c r="I9" s="19">
        <f t="shared" si="0"/>
        <v>316161945</v>
      </c>
      <c r="J9" s="19">
        <f t="shared" si="1"/>
        <v>396604800</v>
      </c>
      <c r="K9" s="19">
        <v>0</v>
      </c>
      <c r="L9" s="19">
        <f t="shared" si="2"/>
        <v>130880000</v>
      </c>
    </row>
    <row r="10" spans="1:12" ht="15.75" thickBot="1" x14ac:dyDescent="0.3">
      <c r="B10" t="s">
        <v>1</v>
      </c>
      <c r="C10" s="9">
        <v>5789922000</v>
      </c>
      <c r="F10" s="20" t="s">
        <v>13</v>
      </c>
      <c r="G10" s="21">
        <v>0.35</v>
      </c>
      <c r="H10" s="20" t="s">
        <v>29</v>
      </c>
      <c r="I10" s="23">
        <f t="shared" ref="I10" si="3">+$C$13*G10</f>
        <v>737711205</v>
      </c>
      <c r="J10" s="23">
        <f t="shared" ref="J10" si="4">+$C$14*G10</f>
        <v>925411200</v>
      </c>
      <c r="K10" s="23">
        <v>0</v>
      </c>
      <c r="L10" s="23">
        <f t="shared" si="2"/>
        <v>305386000</v>
      </c>
    </row>
    <row r="11" spans="1:12" ht="15.75" thickTop="1" x14ac:dyDescent="0.25">
      <c r="B11" s="1" t="str">
        <f>+B5</f>
        <v>Impuesto básico de renta</v>
      </c>
      <c r="C11" s="16">
        <f>+C5</f>
        <v>1038143700</v>
      </c>
      <c r="F11" s="19"/>
      <c r="G11" s="21">
        <f>SUM(G4:G10)</f>
        <v>1</v>
      </c>
      <c r="H11" s="24"/>
      <c r="I11" s="22">
        <f>SUM(I4:I10)</f>
        <v>2107746300</v>
      </c>
      <c r="J11" s="22">
        <f>SUM(J4:J10)</f>
        <v>2644032000</v>
      </c>
      <c r="K11" s="22">
        <f>SUM(K4:K10)</f>
        <v>0</v>
      </c>
      <c r="L11" s="22">
        <f>SUM(L4:L10)</f>
        <v>796912000</v>
      </c>
    </row>
    <row r="12" spans="1:12" x14ac:dyDescent="0.25">
      <c r="B12" s="17" t="s">
        <v>33</v>
      </c>
      <c r="C12" s="17">
        <f>+C10-C11</f>
        <v>4751778300</v>
      </c>
    </row>
    <row r="13" spans="1:12" ht="30" x14ac:dyDescent="0.25">
      <c r="B13" s="41" t="str">
        <f>+B7</f>
        <v>Utilidad máxima susceptible distribuir como no gravado</v>
      </c>
      <c r="C13" s="17">
        <f>+C7</f>
        <v>2107746300</v>
      </c>
    </row>
    <row r="14" spans="1:12" x14ac:dyDescent="0.25">
      <c r="B14" s="17" t="s">
        <v>34</v>
      </c>
      <c r="C14" s="17">
        <f>+C12-C13</f>
        <v>2644032000</v>
      </c>
    </row>
    <row r="18" spans="1:18" x14ac:dyDescent="0.25">
      <c r="A18" s="17">
        <v>2</v>
      </c>
      <c r="B18" t="s">
        <v>5</v>
      </c>
      <c r="C18" s="9">
        <v>2553552000</v>
      </c>
      <c r="D18" s="25">
        <v>0.4</v>
      </c>
      <c r="E18" s="1">
        <f>+C18*D18</f>
        <v>1021420800</v>
      </c>
    </row>
    <row r="19" spans="1:18" x14ac:dyDescent="0.25">
      <c r="B19" t="s">
        <v>49</v>
      </c>
      <c r="C19" s="9">
        <v>12679000</v>
      </c>
      <c r="D19" s="25">
        <v>0.1</v>
      </c>
      <c r="E19" s="1">
        <f>+C19*D19</f>
        <v>1267900</v>
      </c>
    </row>
    <row r="20" spans="1:18" x14ac:dyDescent="0.25">
      <c r="B20" s="1" t="s">
        <v>47</v>
      </c>
      <c r="C20" s="1">
        <f>+E18+E19</f>
        <v>1022688700</v>
      </c>
      <c r="K20" s="63" t="s">
        <v>46</v>
      </c>
      <c r="L20" s="63"/>
    </row>
    <row r="21" spans="1:18" x14ac:dyDescent="0.25">
      <c r="F21" s="19"/>
      <c r="G21" s="19"/>
      <c r="H21" s="19"/>
      <c r="I21" s="19" t="s">
        <v>35</v>
      </c>
      <c r="J21" s="19" t="s">
        <v>34</v>
      </c>
      <c r="K21" s="19" t="s">
        <v>36</v>
      </c>
      <c r="L21" s="19" t="s">
        <v>37</v>
      </c>
    </row>
    <row r="22" spans="1:18" ht="30" x14ac:dyDescent="0.25">
      <c r="B22" s="18" t="s">
        <v>48</v>
      </c>
      <c r="C22" s="1">
        <f>+C18-C20+C19</f>
        <v>1543542300</v>
      </c>
      <c r="F22" s="20" t="s">
        <v>16</v>
      </c>
      <c r="G22" s="21">
        <v>0.05</v>
      </c>
      <c r="H22" s="20" t="s">
        <v>26</v>
      </c>
      <c r="I22" s="19">
        <f>+$C$27*G22</f>
        <v>77177115</v>
      </c>
      <c r="J22" s="19">
        <f>+$C$28*G22</f>
        <v>94450550</v>
      </c>
      <c r="K22" s="19">
        <v>0</v>
      </c>
      <c r="L22" s="19">
        <f>ROUND((+J22*20%),-3)</f>
        <v>18890000</v>
      </c>
      <c r="O22" s="62"/>
      <c r="P22" s="62"/>
      <c r="Q22" s="62"/>
      <c r="R22" s="62"/>
    </row>
    <row r="23" spans="1:18" ht="15.75" x14ac:dyDescent="0.25">
      <c r="B23" s="18"/>
      <c r="F23" s="20" t="s">
        <v>9</v>
      </c>
      <c r="G23" s="21">
        <v>0.1</v>
      </c>
      <c r="H23" s="20" t="s">
        <v>27</v>
      </c>
      <c r="I23" s="19">
        <f t="shared" ref="I23:I28" si="5">+$C$27*G23</f>
        <v>154354230</v>
      </c>
      <c r="J23" s="19">
        <f t="shared" ref="J23:J28" si="6">+$C$28*G23</f>
        <v>188901100</v>
      </c>
      <c r="K23" s="19">
        <v>0</v>
      </c>
      <c r="L23" s="19">
        <f>ROUND((+J23*33%),-3)</f>
        <v>62337000</v>
      </c>
      <c r="O23" s="27"/>
      <c r="P23" s="27"/>
      <c r="Q23" s="62"/>
      <c r="R23" s="62"/>
    </row>
    <row r="24" spans="1:18" x14ac:dyDescent="0.25">
      <c r="B24" t="s">
        <v>1</v>
      </c>
      <c r="C24" s="9">
        <v>4455242000</v>
      </c>
      <c r="F24" s="20" t="s">
        <v>14</v>
      </c>
      <c r="G24" s="21">
        <v>0.04</v>
      </c>
      <c r="H24" s="20" t="s">
        <v>28</v>
      </c>
      <c r="I24" s="19">
        <f t="shared" si="5"/>
        <v>61741692</v>
      </c>
      <c r="J24" s="19">
        <f t="shared" si="6"/>
        <v>75560440</v>
      </c>
      <c r="K24" s="19">
        <v>0</v>
      </c>
      <c r="L24" s="19">
        <f>ROUND((+J24*20%),-3)</f>
        <v>15112000</v>
      </c>
      <c r="O24" s="28"/>
      <c r="P24" s="28"/>
      <c r="Q24" s="29"/>
      <c r="R24" s="28"/>
    </row>
    <row r="25" spans="1:18" ht="15.75" thickBot="1" x14ac:dyDescent="0.3">
      <c r="B25" s="1" t="str">
        <f>+B20</f>
        <v>Impuesto básico de renta</v>
      </c>
      <c r="C25" s="26">
        <f>+C20</f>
        <v>1022688700</v>
      </c>
      <c r="F25" s="20" t="s">
        <v>10</v>
      </c>
      <c r="G25" s="21">
        <v>0.13</v>
      </c>
      <c r="H25" s="20" t="s">
        <v>28</v>
      </c>
      <c r="I25" s="19">
        <f t="shared" si="5"/>
        <v>200660499</v>
      </c>
      <c r="J25" s="19">
        <f t="shared" si="6"/>
        <v>245571430</v>
      </c>
      <c r="K25" s="19">
        <v>0</v>
      </c>
      <c r="L25" s="19">
        <f>ROUND((+J25*20%),-3)</f>
        <v>49114000</v>
      </c>
      <c r="O25" s="28"/>
      <c r="P25" s="28"/>
      <c r="Q25" s="29"/>
      <c r="R25" s="28"/>
    </row>
    <row r="26" spans="1:18" ht="15.75" thickTop="1" x14ac:dyDescent="0.25">
      <c r="B26" s="17" t="s">
        <v>33</v>
      </c>
      <c r="C26" s="1">
        <f>+C24-C25</f>
        <v>3432553300</v>
      </c>
      <c r="F26" s="20" t="s">
        <v>11</v>
      </c>
      <c r="G26" s="21">
        <v>0.18</v>
      </c>
      <c r="H26" s="20" t="s">
        <v>29</v>
      </c>
      <c r="I26" s="19">
        <f t="shared" si="5"/>
        <v>277837614</v>
      </c>
      <c r="J26" s="19">
        <f t="shared" si="6"/>
        <v>340021980</v>
      </c>
      <c r="K26" s="19">
        <v>0</v>
      </c>
      <c r="L26" s="19">
        <f t="shared" ref="L26:L28" si="7">ROUND((+J26*33%),-3)</f>
        <v>112207000</v>
      </c>
      <c r="O26" s="28"/>
      <c r="P26" s="28"/>
      <c r="Q26" s="29"/>
      <c r="R26" s="28"/>
    </row>
    <row r="27" spans="1:18" ht="30" x14ac:dyDescent="0.25">
      <c r="B27" s="18" t="str">
        <f>+B22</f>
        <v>Utilidad máxima susceptible distribuir como no gravado</v>
      </c>
      <c r="C27" s="17">
        <f>+C22</f>
        <v>1543542300</v>
      </c>
      <c r="F27" s="20" t="s">
        <v>12</v>
      </c>
      <c r="G27" s="21">
        <v>0.15</v>
      </c>
      <c r="H27" s="20" t="s">
        <v>29</v>
      </c>
      <c r="I27" s="19">
        <f t="shared" si="5"/>
        <v>231531345</v>
      </c>
      <c r="J27" s="19">
        <f t="shared" si="6"/>
        <v>283351650</v>
      </c>
      <c r="K27" s="19">
        <v>0</v>
      </c>
      <c r="L27" s="19">
        <f t="shared" si="7"/>
        <v>93506000</v>
      </c>
    </row>
    <row r="28" spans="1:18" ht="15.75" thickBot="1" x14ac:dyDescent="0.3">
      <c r="B28" s="17" t="s">
        <v>34</v>
      </c>
      <c r="C28" s="17">
        <f>+C26-C27</f>
        <v>1889011000</v>
      </c>
      <c r="F28" s="20" t="s">
        <v>13</v>
      </c>
      <c r="G28" s="21">
        <v>0.35</v>
      </c>
      <c r="H28" s="20" t="s">
        <v>29</v>
      </c>
      <c r="I28" s="23">
        <f t="shared" si="5"/>
        <v>540239805</v>
      </c>
      <c r="J28" s="23">
        <f t="shared" si="6"/>
        <v>661153850</v>
      </c>
      <c r="K28" s="23">
        <v>0</v>
      </c>
      <c r="L28" s="23">
        <f t="shared" si="7"/>
        <v>218181000</v>
      </c>
    </row>
    <row r="29" spans="1:18" ht="15.75" thickTop="1" x14ac:dyDescent="0.25">
      <c r="F29" s="19"/>
      <c r="G29" s="21">
        <f>SUM(G22:G28)</f>
        <v>1</v>
      </c>
      <c r="H29" s="24"/>
      <c r="I29" s="22">
        <f>SUM(I22:I28)</f>
        <v>1543542300</v>
      </c>
      <c r="J29" s="22">
        <f>SUM(J22:J28)</f>
        <v>1889011000</v>
      </c>
      <c r="K29" s="22">
        <f>SUM(K22:K28)</f>
        <v>0</v>
      </c>
      <c r="L29" s="22">
        <f>SUM(L22:L28)</f>
        <v>569347000</v>
      </c>
    </row>
    <row r="34" spans="1:21" x14ac:dyDescent="0.25">
      <c r="A34" s="1">
        <v>3</v>
      </c>
      <c r="B34" t="s">
        <v>30</v>
      </c>
      <c r="C34" s="9">
        <v>1455678000</v>
      </c>
      <c r="D34" s="25">
        <v>0.35</v>
      </c>
      <c r="E34" s="1">
        <f>+C34*D34</f>
        <v>509487299.99999994</v>
      </c>
    </row>
    <row r="35" spans="1:21" x14ac:dyDescent="0.25">
      <c r="B35" t="s">
        <v>49</v>
      </c>
      <c r="C35" s="9">
        <v>0</v>
      </c>
      <c r="D35" s="25">
        <v>0</v>
      </c>
      <c r="E35" s="1">
        <f>+C35*D35</f>
        <v>0</v>
      </c>
      <c r="O35" s="1">
        <v>33156</v>
      </c>
    </row>
    <row r="36" spans="1:21" x14ac:dyDescent="0.25">
      <c r="B36" s="1" t="s">
        <v>47</v>
      </c>
      <c r="C36" s="1">
        <f>+E34+E35</f>
        <v>509487299.99999994</v>
      </c>
      <c r="K36" s="63" t="s">
        <v>46</v>
      </c>
      <c r="L36" s="63"/>
    </row>
    <row r="37" spans="1:21" x14ac:dyDescent="0.25">
      <c r="F37" s="19"/>
      <c r="G37" s="19"/>
      <c r="H37" s="19"/>
      <c r="I37" s="19" t="s">
        <v>35</v>
      </c>
      <c r="J37" s="19" t="s">
        <v>34</v>
      </c>
      <c r="K37" s="19" t="s">
        <v>36</v>
      </c>
      <c r="L37" s="19" t="s">
        <v>37</v>
      </c>
      <c r="O37" s="19" t="s">
        <v>38</v>
      </c>
      <c r="P37" s="19" t="s">
        <v>38</v>
      </c>
      <c r="Q37" s="19" t="s">
        <v>38</v>
      </c>
      <c r="R37" s="19" t="s">
        <v>38</v>
      </c>
      <c r="S37" s="19" t="s">
        <v>50</v>
      </c>
      <c r="T37" s="19" t="s">
        <v>39</v>
      </c>
      <c r="U37" s="19"/>
    </row>
    <row r="38" spans="1:21" ht="30" x14ac:dyDescent="0.25">
      <c r="B38" s="18" t="s">
        <v>48</v>
      </c>
      <c r="C38" s="1">
        <f>+C34-C36+C35</f>
        <v>946190700</v>
      </c>
      <c r="F38" s="20" t="s">
        <v>16</v>
      </c>
      <c r="G38" s="21">
        <v>0.05</v>
      </c>
      <c r="H38" s="20" t="s">
        <v>26</v>
      </c>
      <c r="I38" s="19">
        <f>+$C$43*G38</f>
        <v>47309535</v>
      </c>
      <c r="J38" s="19">
        <f>+$C$44*G38</f>
        <v>100611100</v>
      </c>
      <c r="K38" s="19">
        <f>+ROUND((O45),-3)</f>
        <v>2078000</v>
      </c>
      <c r="L38" s="19">
        <f>+ROUND((Q48),-3)</f>
        <v>39101000</v>
      </c>
      <c r="O38" s="19">
        <f>+I38</f>
        <v>47309535</v>
      </c>
      <c r="P38" s="30">
        <f>+I39</f>
        <v>94619070</v>
      </c>
      <c r="Q38" s="19">
        <f>+J38</f>
        <v>100611100</v>
      </c>
      <c r="R38" s="19">
        <f>+J39</f>
        <v>201222200</v>
      </c>
      <c r="S38" s="19">
        <f>+J42</f>
        <v>362199960</v>
      </c>
      <c r="T38" s="19">
        <f>+J43</f>
        <v>301833300</v>
      </c>
      <c r="U38" s="19">
        <f>+J44</f>
        <v>704277700</v>
      </c>
    </row>
    <row r="39" spans="1:21" x14ac:dyDescent="0.25">
      <c r="B39" s="18"/>
      <c r="F39" s="20" t="s">
        <v>9</v>
      </c>
      <c r="G39" s="21">
        <v>0.1</v>
      </c>
      <c r="H39" s="20" t="s">
        <v>27</v>
      </c>
      <c r="I39" s="19">
        <f t="shared" ref="I39:I44" si="8">+$C$43*G39</f>
        <v>94619070</v>
      </c>
      <c r="J39" s="19">
        <f t="shared" ref="J39:J44" si="9">+$C$44*G39</f>
        <v>201222200</v>
      </c>
      <c r="K39" s="19">
        <f>+ROUND((P45),-3)</f>
        <v>6809000</v>
      </c>
      <c r="L39" s="19">
        <f>+ROUND((R48),-3)</f>
        <v>80855000</v>
      </c>
      <c r="O39" s="19">
        <f>+O38/$O$35</f>
        <v>1426.877035830619</v>
      </c>
      <c r="P39" s="30">
        <f>+P38/$O$35</f>
        <v>2853.754071661238</v>
      </c>
      <c r="Q39" s="19">
        <f>+Q38*35%</f>
        <v>35213885</v>
      </c>
      <c r="R39" s="19">
        <f>+R38*35%</f>
        <v>70427770</v>
      </c>
      <c r="S39" s="19">
        <f>+S38*35%</f>
        <v>126769985.99999999</v>
      </c>
      <c r="T39" s="19">
        <f t="shared" ref="T39:U39" si="10">+T38*35%</f>
        <v>105641655</v>
      </c>
      <c r="U39" s="19">
        <f t="shared" si="10"/>
        <v>246497194.99999997</v>
      </c>
    </row>
    <row r="40" spans="1:21" x14ac:dyDescent="0.25">
      <c r="B40" t="s">
        <v>1</v>
      </c>
      <c r="C40" s="9">
        <v>3467900000</v>
      </c>
      <c r="F40" s="20" t="s">
        <v>14</v>
      </c>
      <c r="G40" s="21">
        <v>0.04</v>
      </c>
      <c r="H40" s="20" t="s">
        <v>28</v>
      </c>
      <c r="I40" s="19">
        <f t="shared" si="8"/>
        <v>37847628</v>
      </c>
      <c r="J40" s="19">
        <f t="shared" si="9"/>
        <v>80488880</v>
      </c>
      <c r="K40" s="19">
        <v>0</v>
      </c>
      <c r="L40" s="19">
        <f t="shared" ref="L40:L41" si="11">ROUND((+J40*20%),-3)</f>
        <v>16098000</v>
      </c>
      <c r="O40" s="19">
        <v>-1000</v>
      </c>
      <c r="P40" s="30">
        <v>-1000</v>
      </c>
      <c r="Q40" s="19">
        <f>+Q38-Q39</f>
        <v>65397215</v>
      </c>
      <c r="R40" s="19">
        <f>+R38-R39</f>
        <v>130794430</v>
      </c>
      <c r="S40" s="19">
        <f>+S38-S39</f>
        <v>235429974</v>
      </c>
      <c r="T40" s="19">
        <f t="shared" ref="T40:U40" si="12">+T38-T39</f>
        <v>196191645</v>
      </c>
      <c r="U40" s="19">
        <f t="shared" si="12"/>
        <v>457780505</v>
      </c>
    </row>
    <row r="41" spans="1:21" ht="15.75" thickBot="1" x14ac:dyDescent="0.3">
      <c r="B41" s="1" t="str">
        <f>+B36</f>
        <v>Impuesto básico de renta</v>
      </c>
      <c r="C41" s="26">
        <f>+C36</f>
        <v>509487299.99999994</v>
      </c>
      <c r="F41" s="20" t="s">
        <v>10</v>
      </c>
      <c r="G41" s="21">
        <v>0.13</v>
      </c>
      <c r="H41" s="20" t="s">
        <v>28</v>
      </c>
      <c r="I41" s="19">
        <f t="shared" si="8"/>
        <v>123004791</v>
      </c>
      <c r="J41" s="19">
        <f t="shared" si="9"/>
        <v>261588860</v>
      </c>
      <c r="K41" s="19">
        <v>0</v>
      </c>
      <c r="L41" s="19">
        <f t="shared" si="11"/>
        <v>52318000</v>
      </c>
      <c r="O41" s="19">
        <f>+O39+O40</f>
        <v>426.87703583061898</v>
      </c>
      <c r="P41" s="30">
        <f>+P39+P40</f>
        <v>1853.754071661238</v>
      </c>
      <c r="Q41" s="19">
        <f>+Q40/O35</f>
        <v>1972.4096694414284</v>
      </c>
      <c r="R41" s="19">
        <f>+R40/O35</f>
        <v>3944.8193388828568</v>
      </c>
      <c r="S41" s="21">
        <v>0.05</v>
      </c>
      <c r="T41" s="21">
        <v>0.05</v>
      </c>
      <c r="U41" s="21">
        <v>0.05</v>
      </c>
    </row>
    <row r="42" spans="1:21" ht="15.75" thickTop="1" x14ac:dyDescent="0.25">
      <c r="B42" s="17" t="s">
        <v>33</v>
      </c>
      <c r="C42" s="1">
        <f>+C40-C41</f>
        <v>2958412700</v>
      </c>
      <c r="F42" s="20" t="s">
        <v>11</v>
      </c>
      <c r="G42" s="21">
        <v>0.18</v>
      </c>
      <c r="H42" s="20" t="s">
        <v>29</v>
      </c>
      <c r="I42" s="19">
        <f t="shared" si="8"/>
        <v>170314326</v>
      </c>
      <c r="J42" s="19">
        <f t="shared" si="9"/>
        <v>362199960</v>
      </c>
      <c r="K42" s="19">
        <f>ROUND((+I42*5%),-3)</f>
        <v>8516000</v>
      </c>
      <c r="L42" s="19">
        <f>ROUND((+S43),-3)</f>
        <v>138541000</v>
      </c>
      <c r="O42" s="19">
        <f>+O41*10%</f>
        <v>42.687703583061904</v>
      </c>
      <c r="P42" s="30">
        <f>+P41*10%</f>
        <v>185.37540716612381</v>
      </c>
      <c r="Q42" s="19">
        <v>-1000</v>
      </c>
      <c r="R42" s="19">
        <v>-1000</v>
      </c>
      <c r="S42" s="19">
        <f>+S40*S41</f>
        <v>11771498.700000001</v>
      </c>
      <c r="T42" s="19">
        <f t="shared" ref="T42:U42" si="13">+T40*T41</f>
        <v>9809582.25</v>
      </c>
      <c r="U42" s="19">
        <f t="shared" si="13"/>
        <v>22889025.25</v>
      </c>
    </row>
    <row r="43" spans="1:21" ht="30" x14ac:dyDescent="0.25">
      <c r="B43" s="18" t="str">
        <f>+B38</f>
        <v>Utilidad máxima susceptible distribuir como no gravado</v>
      </c>
      <c r="C43" s="17">
        <f>+C38</f>
        <v>946190700</v>
      </c>
      <c r="F43" s="20" t="s">
        <v>12</v>
      </c>
      <c r="G43" s="21">
        <v>0.15</v>
      </c>
      <c r="H43" s="20" t="s">
        <v>29</v>
      </c>
      <c r="I43" s="19">
        <f t="shared" si="8"/>
        <v>141928605</v>
      </c>
      <c r="J43" s="19">
        <f t="shared" si="9"/>
        <v>301833300</v>
      </c>
      <c r="K43" s="19">
        <f t="shared" ref="K43:K44" si="14">ROUND((+I43*5%),-3)</f>
        <v>7096000</v>
      </c>
      <c r="L43" s="19">
        <f>ROUND((+T43),-3)</f>
        <v>115451000</v>
      </c>
      <c r="O43" s="19">
        <v>20</v>
      </c>
      <c r="P43" s="30">
        <v>20</v>
      </c>
      <c r="Q43" s="19">
        <f>+Q41+Q42</f>
        <v>972.40966944142838</v>
      </c>
      <c r="R43" s="19">
        <f>+R41+R42</f>
        <v>2944.8193388828568</v>
      </c>
      <c r="S43" s="19">
        <f>+S39+S42</f>
        <v>138541484.69999999</v>
      </c>
      <c r="T43" s="19">
        <f t="shared" ref="T43:U43" si="15">+T39+T42</f>
        <v>115451237.25</v>
      </c>
      <c r="U43" s="19">
        <f t="shared" si="15"/>
        <v>269386220.25</v>
      </c>
    </row>
    <row r="44" spans="1:21" ht="15.75" thickBot="1" x14ac:dyDescent="0.3">
      <c r="B44" s="17" t="s">
        <v>34</v>
      </c>
      <c r="C44" s="17">
        <f>+C42-C43</f>
        <v>2012222000</v>
      </c>
      <c r="F44" s="20" t="s">
        <v>13</v>
      </c>
      <c r="G44" s="21">
        <v>0.35</v>
      </c>
      <c r="H44" s="20" t="s">
        <v>29</v>
      </c>
      <c r="I44" s="23">
        <f t="shared" si="8"/>
        <v>331166745</v>
      </c>
      <c r="J44" s="23">
        <f t="shared" si="9"/>
        <v>704277700</v>
      </c>
      <c r="K44" s="23">
        <f t="shared" si="14"/>
        <v>16558000</v>
      </c>
      <c r="L44" s="23">
        <f>ROUND((+U43),-3)</f>
        <v>269386000</v>
      </c>
      <c r="O44" s="19">
        <f>+O42+O43</f>
        <v>62.687703583061904</v>
      </c>
      <c r="P44" s="30">
        <f>+P42+P43</f>
        <v>205.37540716612381</v>
      </c>
      <c r="Q44" s="19">
        <f>+Q43*10%</f>
        <v>97.240966944142841</v>
      </c>
      <c r="R44" s="19">
        <f>+R43*10%</f>
        <v>294.48193388828571</v>
      </c>
    </row>
    <row r="45" spans="1:21" ht="15.75" thickTop="1" x14ac:dyDescent="0.25">
      <c r="F45" s="19"/>
      <c r="G45" s="21">
        <f>SUM(G38:G44)</f>
        <v>1</v>
      </c>
      <c r="H45" s="24"/>
      <c r="I45" s="22">
        <f>SUM(I38:I44)</f>
        <v>946190700</v>
      </c>
      <c r="J45" s="22">
        <f>SUM(J38:J44)</f>
        <v>2012222000</v>
      </c>
      <c r="K45" s="22">
        <f>SUM(K38:K44)</f>
        <v>41057000</v>
      </c>
      <c r="L45" s="22">
        <f>SUM(L38:L44)</f>
        <v>711750000</v>
      </c>
      <c r="O45" s="19">
        <f>+O44*$O$35</f>
        <v>2078473.5000000005</v>
      </c>
      <c r="P45" s="30">
        <f>+P44*$O$35</f>
        <v>6809427.0000000009</v>
      </c>
      <c r="Q45" s="19">
        <v>20</v>
      </c>
      <c r="R45" s="19">
        <v>20</v>
      </c>
    </row>
    <row r="46" spans="1:21" x14ac:dyDescent="0.25">
      <c r="Q46" s="19">
        <f>+Q44+Q45</f>
        <v>117.24096694414284</v>
      </c>
      <c r="R46" s="19">
        <f>+R44+R45</f>
        <v>314.48193388828571</v>
      </c>
    </row>
    <row r="47" spans="1:21" x14ac:dyDescent="0.25">
      <c r="Q47" s="19">
        <f>+Q46*O35</f>
        <v>3887241.5</v>
      </c>
      <c r="R47" s="19">
        <f>+R46*O35</f>
        <v>10426963.000000002</v>
      </c>
    </row>
    <row r="48" spans="1:21" x14ac:dyDescent="0.25">
      <c r="Q48" s="19">
        <f>+Q47+Q39</f>
        <v>39101126.5</v>
      </c>
      <c r="R48" s="19">
        <f>+R47+R39</f>
        <v>80854733</v>
      </c>
    </row>
    <row r="49" spans="1:4" x14ac:dyDescent="0.25">
      <c r="B49" s="1" t="s">
        <v>40</v>
      </c>
    </row>
    <row r="50" spans="1:4" x14ac:dyDescent="0.25">
      <c r="B50" s="1" t="s">
        <v>41</v>
      </c>
      <c r="C50" s="1">
        <f>+C12</f>
        <v>4751778300</v>
      </c>
      <c r="D50" s="1">
        <f>+L11</f>
        <v>796912000</v>
      </c>
    </row>
    <row r="51" spans="1:4" x14ac:dyDescent="0.25">
      <c r="B51" s="1" t="s">
        <v>42</v>
      </c>
      <c r="C51" s="1">
        <f>+C26</f>
        <v>3432553300</v>
      </c>
      <c r="D51" s="1">
        <f>+L29</f>
        <v>569347000</v>
      </c>
    </row>
    <row r="52" spans="1:4" ht="15.75" thickBot="1" x14ac:dyDescent="0.3">
      <c r="B52" s="1" t="s">
        <v>43</v>
      </c>
      <c r="C52" s="26">
        <f>+C42</f>
        <v>2958412700</v>
      </c>
      <c r="D52" s="26">
        <f>+K45+L45</f>
        <v>752807000</v>
      </c>
    </row>
    <row r="53" spans="1:4" ht="15.75" thickTop="1" x14ac:dyDescent="0.25">
      <c r="C53" s="17">
        <f>SUM(C50:C52)-300</f>
        <v>11142744000</v>
      </c>
      <c r="D53" s="17">
        <f>SUM(D50:D52)</f>
        <v>2119066000</v>
      </c>
    </row>
    <row r="57" spans="1:4" x14ac:dyDescent="0.25">
      <c r="A57" s="1">
        <v>4</v>
      </c>
      <c r="B57" s="1" t="s">
        <v>44</v>
      </c>
      <c r="C57" s="1">
        <v>622273000</v>
      </c>
    </row>
    <row r="58" spans="1:4" ht="15.75" thickBot="1" x14ac:dyDescent="0.3">
      <c r="C58" s="31">
        <v>8.0000000000000002E-3</v>
      </c>
    </row>
    <row r="59" spans="1:4" ht="15.75" thickTop="1" x14ac:dyDescent="0.25">
      <c r="C59" s="1">
        <f>ROUND((+C57*C58),-3)</f>
        <v>4978000</v>
      </c>
    </row>
    <row r="62" spans="1:4" x14ac:dyDescent="0.25">
      <c r="B62" s="17" t="s">
        <v>45</v>
      </c>
      <c r="C62" s="17">
        <f>+C57+C53</f>
        <v>11765017000</v>
      </c>
      <c r="D62" s="17">
        <f>+C59+D53</f>
        <v>2124044000</v>
      </c>
    </row>
  </sheetData>
  <mergeCells count="6">
    <mergeCell ref="R22:R23"/>
    <mergeCell ref="K2:L2"/>
    <mergeCell ref="K20:L20"/>
    <mergeCell ref="K36:L36"/>
    <mergeCell ref="O22:P22"/>
    <mergeCell ref="Q22:Q2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80DF-DD6C-4ABA-BF9D-E17BD0450AE6}">
  <dimension ref="B1:J43"/>
  <sheetViews>
    <sheetView showGridLines="0" tabSelected="1" topLeftCell="B1" zoomScale="170" zoomScaleNormal="170" workbookViewId="0">
      <selection activeCell="G5" sqref="G5"/>
    </sheetView>
  </sheetViews>
  <sheetFormatPr baseColWidth="10" defaultRowHeight="15" x14ac:dyDescent="0.25"/>
  <cols>
    <col min="1" max="1" width="7.85546875" customWidth="1"/>
    <col min="2" max="2" width="11.140625" customWidth="1"/>
    <col min="3" max="3" width="13.28515625" customWidth="1"/>
    <col min="4" max="4" width="42" customWidth="1"/>
    <col min="5" max="5" width="12.7109375" bestFit="1" customWidth="1"/>
    <col min="7" max="7" width="12.140625" bestFit="1" customWidth="1"/>
    <col min="8" max="8" width="12.140625" style="1" bestFit="1" customWidth="1"/>
    <col min="9" max="9" width="14.140625" style="1" bestFit="1" customWidth="1"/>
    <col min="10" max="10" width="12.140625" bestFit="1" customWidth="1"/>
  </cols>
  <sheetData>
    <row r="1" spans="2:7" ht="15.75" thickBot="1" x14ac:dyDescent="0.3">
      <c r="F1" t="s">
        <v>80</v>
      </c>
    </row>
    <row r="2" spans="2:7" ht="15.75" thickBot="1" x14ac:dyDescent="0.3">
      <c r="B2" s="64" t="s">
        <v>51</v>
      </c>
      <c r="C2" s="65"/>
      <c r="D2" s="70"/>
    </row>
    <row r="3" spans="2:7" x14ac:dyDescent="0.25">
      <c r="B3" s="80" t="s">
        <v>54</v>
      </c>
      <c r="C3" s="43" t="s">
        <v>52</v>
      </c>
      <c r="D3" s="44">
        <v>0</v>
      </c>
      <c r="F3" s="61">
        <v>0</v>
      </c>
    </row>
    <row r="4" spans="2:7" x14ac:dyDescent="0.25">
      <c r="B4" s="81"/>
      <c r="C4" s="78" t="s">
        <v>53</v>
      </c>
      <c r="D4" s="45" t="s">
        <v>70</v>
      </c>
      <c r="F4" s="61">
        <v>0.2</v>
      </c>
      <c r="G4" t="s">
        <v>82</v>
      </c>
    </row>
    <row r="5" spans="2:7" ht="15.75" thickBot="1" x14ac:dyDescent="0.3">
      <c r="B5" s="82"/>
      <c r="C5" s="79"/>
      <c r="D5" s="45" t="s">
        <v>70</v>
      </c>
      <c r="F5" s="61">
        <v>0.33</v>
      </c>
      <c r="G5" t="s">
        <v>81</v>
      </c>
    </row>
    <row r="6" spans="2:7" x14ac:dyDescent="0.25">
      <c r="B6" s="83" t="s">
        <v>55</v>
      </c>
      <c r="C6" s="43" t="s">
        <v>52</v>
      </c>
      <c r="D6" s="46">
        <v>0</v>
      </c>
    </row>
    <row r="7" spans="2:7" ht="15.75" thickBot="1" x14ac:dyDescent="0.3">
      <c r="B7" s="84"/>
      <c r="C7" s="47" t="s">
        <v>53</v>
      </c>
      <c r="D7" s="48">
        <v>0.2</v>
      </c>
    </row>
    <row r="8" spans="2:7" x14ac:dyDescent="0.25">
      <c r="B8" s="83" t="s">
        <v>56</v>
      </c>
      <c r="C8" s="43" t="s">
        <v>52</v>
      </c>
      <c r="D8" s="46">
        <v>0</v>
      </c>
    </row>
    <row r="9" spans="2:7" ht="15.75" thickBot="1" x14ac:dyDescent="0.3">
      <c r="B9" s="84"/>
      <c r="C9" s="47" t="s">
        <v>53</v>
      </c>
      <c r="D9" s="48">
        <v>0.33</v>
      </c>
    </row>
    <row r="10" spans="2:7" x14ac:dyDescent="0.25">
      <c r="B10" s="83" t="s">
        <v>57</v>
      </c>
      <c r="C10" s="43" t="s">
        <v>52</v>
      </c>
      <c r="D10" s="46">
        <v>0</v>
      </c>
    </row>
    <row r="11" spans="2:7" ht="15.75" thickBot="1" x14ac:dyDescent="0.3">
      <c r="B11" s="84"/>
      <c r="C11" s="47" t="s">
        <v>53</v>
      </c>
      <c r="D11" s="48">
        <v>0.33</v>
      </c>
    </row>
    <row r="12" spans="2:7" ht="15.75" thickBot="1" x14ac:dyDescent="0.3"/>
    <row r="13" spans="2:7" ht="15.75" thickBot="1" x14ac:dyDescent="0.3">
      <c r="B13" s="71" t="s">
        <v>58</v>
      </c>
      <c r="C13" s="72"/>
      <c r="D13" s="73"/>
      <c r="E13" t="s">
        <v>66</v>
      </c>
    </row>
    <row r="14" spans="2:7" x14ac:dyDescent="0.25">
      <c r="B14" s="74" t="s">
        <v>54</v>
      </c>
      <c r="C14" s="49" t="s">
        <v>52</v>
      </c>
      <c r="D14" s="50" t="s">
        <v>59</v>
      </c>
      <c r="E14">
        <v>242</v>
      </c>
    </row>
    <row r="15" spans="2:7" ht="15.75" thickBot="1" x14ac:dyDescent="0.3">
      <c r="B15" s="75"/>
      <c r="C15" s="51" t="s">
        <v>53</v>
      </c>
      <c r="D15" s="52" t="s">
        <v>60</v>
      </c>
      <c r="E15">
        <v>242</v>
      </c>
    </row>
    <row r="16" spans="2:7" x14ac:dyDescent="0.25">
      <c r="B16" s="76" t="s">
        <v>55</v>
      </c>
      <c r="C16" s="49" t="s">
        <v>52</v>
      </c>
      <c r="D16" s="53">
        <v>0</v>
      </c>
    </row>
    <row r="17" spans="2:10" ht="15.75" thickBot="1" x14ac:dyDescent="0.3">
      <c r="B17" s="77"/>
      <c r="C17" s="54" t="s">
        <v>53</v>
      </c>
      <c r="D17" s="55">
        <v>0.2</v>
      </c>
      <c r="E17" t="s">
        <v>62</v>
      </c>
    </row>
    <row r="18" spans="2:10" x14ac:dyDescent="0.25">
      <c r="B18" s="76" t="s">
        <v>56</v>
      </c>
      <c r="C18" s="49" t="s">
        <v>52</v>
      </c>
      <c r="D18" s="53">
        <v>0.05</v>
      </c>
      <c r="E18">
        <v>245</v>
      </c>
    </row>
    <row r="19" spans="2:10" ht="15.75" thickBot="1" x14ac:dyDescent="0.3">
      <c r="B19" s="77"/>
      <c r="C19" s="54" t="s">
        <v>53</v>
      </c>
      <c r="D19" s="55" t="s">
        <v>61</v>
      </c>
      <c r="E19">
        <v>245</v>
      </c>
    </row>
    <row r="20" spans="2:10" x14ac:dyDescent="0.25">
      <c r="B20" s="76" t="s">
        <v>57</v>
      </c>
      <c r="C20" s="49" t="s">
        <v>52</v>
      </c>
      <c r="D20" s="53">
        <v>0.05</v>
      </c>
      <c r="E20">
        <v>245</v>
      </c>
    </row>
    <row r="21" spans="2:10" ht="15.75" thickBot="1" x14ac:dyDescent="0.3">
      <c r="B21" s="77"/>
      <c r="C21" s="54" t="s">
        <v>53</v>
      </c>
      <c r="D21" s="55" t="s">
        <v>61</v>
      </c>
      <c r="E21">
        <v>245</v>
      </c>
    </row>
    <row r="22" spans="2:10" ht="15.75" thickBot="1" x14ac:dyDescent="0.3"/>
    <row r="23" spans="2:10" ht="15.75" thickBot="1" x14ac:dyDescent="0.3">
      <c r="B23" s="85" t="s">
        <v>63</v>
      </c>
      <c r="C23" s="86"/>
      <c r="D23" s="87"/>
      <c r="J23" s="1"/>
    </row>
    <row r="24" spans="2:10" x14ac:dyDescent="0.25">
      <c r="B24" s="66" t="s">
        <v>54</v>
      </c>
      <c r="C24" s="36" t="s">
        <v>52</v>
      </c>
      <c r="D24" s="32" t="s">
        <v>64</v>
      </c>
      <c r="E24">
        <v>242</v>
      </c>
    </row>
    <row r="25" spans="2:10" ht="15.75" thickBot="1" x14ac:dyDescent="0.3">
      <c r="B25" s="67"/>
      <c r="C25" s="35" t="s">
        <v>53</v>
      </c>
      <c r="D25" s="33" t="s">
        <v>68</v>
      </c>
      <c r="E25">
        <v>242</v>
      </c>
      <c r="I25" s="39"/>
      <c r="J25" s="40"/>
    </row>
    <row r="26" spans="2:10" x14ac:dyDescent="0.25">
      <c r="B26" s="68" t="s">
        <v>55</v>
      </c>
      <c r="C26" s="36" t="s">
        <v>52</v>
      </c>
      <c r="D26" s="38">
        <v>7.4999999999999997E-2</v>
      </c>
      <c r="E26" t="s">
        <v>67</v>
      </c>
    </row>
    <row r="27" spans="2:10" ht="15.75" thickBot="1" x14ac:dyDescent="0.3">
      <c r="B27" s="69"/>
      <c r="C27" s="37" t="s">
        <v>53</v>
      </c>
      <c r="D27" s="34" t="s">
        <v>65</v>
      </c>
      <c r="E27" t="s">
        <v>67</v>
      </c>
      <c r="J27" s="40"/>
    </row>
    <row r="28" spans="2:10" x14ac:dyDescent="0.25">
      <c r="B28" s="68" t="s">
        <v>56</v>
      </c>
      <c r="C28" s="36" t="s">
        <v>52</v>
      </c>
      <c r="D28" s="38">
        <v>7.4999999999999997E-2</v>
      </c>
      <c r="E28">
        <v>245</v>
      </c>
    </row>
    <row r="29" spans="2:10" ht="15.75" thickBot="1" x14ac:dyDescent="0.3">
      <c r="B29" s="69"/>
      <c r="C29" s="37" t="s">
        <v>53</v>
      </c>
      <c r="D29" s="34" t="s">
        <v>65</v>
      </c>
      <c r="E29">
        <v>245</v>
      </c>
    </row>
    <row r="30" spans="2:10" x14ac:dyDescent="0.25">
      <c r="B30" s="68" t="s">
        <v>57</v>
      </c>
      <c r="C30" s="36" t="s">
        <v>52</v>
      </c>
      <c r="D30" s="38">
        <v>7.4999999999999997E-2</v>
      </c>
      <c r="E30">
        <v>245</v>
      </c>
      <c r="G30" s="1"/>
      <c r="I30" s="1">
        <f>1500000*12</f>
        <v>18000000</v>
      </c>
      <c r="J30" t="s">
        <v>71</v>
      </c>
    </row>
    <row r="31" spans="2:10" ht="15.75" thickBot="1" x14ac:dyDescent="0.3">
      <c r="B31" s="69"/>
      <c r="C31" s="37" t="s">
        <v>53</v>
      </c>
      <c r="D31" s="34" t="s">
        <v>65</v>
      </c>
      <c r="E31">
        <v>245</v>
      </c>
      <c r="G31" s="1"/>
      <c r="I31" s="1">
        <f>84*140000</f>
        <v>11760000</v>
      </c>
      <c r="J31" t="s">
        <v>72</v>
      </c>
    </row>
    <row r="32" spans="2:10" x14ac:dyDescent="0.25">
      <c r="G32" s="40"/>
      <c r="I32" s="1">
        <v>7000000</v>
      </c>
      <c r="J32" t="s">
        <v>73</v>
      </c>
    </row>
    <row r="33" spans="2:9" x14ac:dyDescent="0.25">
      <c r="G33" s="56"/>
      <c r="I33" s="17">
        <f>SUM(I30:I32)</f>
        <v>36760000</v>
      </c>
    </row>
    <row r="34" spans="2:9" ht="15.75" thickBot="1" x14ac:dyDescent="0.3"/>
    <row r="35" spans="2:9" ht="15.75" thickBot="1" x14ac:dyDescent="0.3">
      <c r="B35" s="64" t="s">
        <v>74</v>
      </c>
      <c r="C35" s="65"/>
      <c r="D35" s="65"/>
      <c r="E35" s="20" t="s">
        <v>79</v>
      </c>
    </row>
    <row r="36" spans="2:9" x14ac:dyDescent="0.25">
      <c r="B36" s="66" t="s">
        <v>54</v>
      </c>
      <c r="C36" s="36" t="s">
        <v>52</v>
      </c>
      <c r="D36" s="57" t="s">
        <v>75</v>
      </c>
      <c r="E36" s="20">
        <v>242</v>
      </c>
    </row>
    <row r="37" spans="2:9" ht="15.75" thickBot="1" x14ac:dyDescent="0.3">
      <c r="B37" s="67"/>
      <c r="C37" s="35" t="s">
        <v>53</v>
      </c>
      <c r="D37" s="58" t="s">
        <v>76</v>
      </c>
      <c r="E37" s="20">
        <v>242</v>
      </c>
    </row>
    <row r="38" spans="2:9" x14ac:dyDescent="0.25">
      <c r="B38" s="68" t="s">
        <v>55</v>
      </c>
      <c r="C38" s="36" t="s">
        <v>52</v>
      </c>
      <c r="D38" s="59">
        <v>7.4999999999999997E-2</v>
      </c>
      <c r="E38" s="20" t="s">
        <v>67</v>
      </c>
    </row>
    <row r="39" spans="2:9" ht="15.75" thickBot="1" x14ac:dyDescent="0.3">
      <c r="B39" s="69"/>
      <c r="C39" s="37" t="s">
        <v>53</v>
      </c>
      <c r="D39" s="60" t="s">
        <v>78</v>
      </c>
      <c r="E39" s="20" t="s">
        <v>67</v>
      </c>
    </row>
    <row r="40" spans="2:9" x14ac:dyDescent="0.25">
      <c r="B40" s="68" t="s">
        <v>56</v>
      </c>
      <c r="C40" s="36" t="s">
        <v>52</v>
      </c>
      <c r="D40" s="59">
        <v>0.1</v>
      </c>
      <c r="E40" s="20">
        <v>245</v>
      </c>
    </row>
    <row r="41" spans="2:9" ht="15.75" thickBot="1" x14ac:dyDescent="0.3">
      <c r="B41" s="69"/>
      <c r="C41" s="37" t="s">
        <v>53</v>
      </c>
      <c r="D41" s="60" t="s">
        <v>77</v>
      </c>
      <c r="E41" s="20">
        <v>245</v>
      </c>
    </row>
    <row r="42" spans="2:9" x14ac:dyDescent="0.25">
      <c r="B42" s="68" t="s">
        <v>57</v>
      </c>
      <c r="C42" s="36" t="s">
        <v>52</v>
      </c>
      <c r="D42" s="59">
        <v>0.1</v>
      </c>
      <c r="E42" s="20">
        <v>245</v>
      </c>
    </row>
    <row r="43" spans="2:9" ht="15.75" thickBot="1" x14ac:dyDescent="0.3">
      <c r="B43" s="69"/>
      <c r="C43" s="37" t="s">
        <v>53</v>
      </c>
      <c r="D43" s="60" t="s">
        <v>77</v>
      </c>
      <c r="E43" s="20">
        <v>245</v>
      </c>
    </row>
  </sheetData>
  <mergeCells count="21">
    <mergeCell ref="B30:B31"/>
    <mergeCell ref="B2:D2"/>
    <mergeCell ref="B13:D13"/>
    <mergeCell ref="B14:B15"/>
    <mergeCell ref="B16:B17"/>
    <mergeCell ref="B18:B19"/>
    <mergeCell ref="C4:C5"/>
    <mergeCell ref="B3:B5"/>
    <mergeCell ref="B6:B7"/>
    <mergeCell ref="B8:B9"/>
    <mergeCell ref="B10:B11"/>
    <mergeCell ref="B20:B21"/>
    <mergeCell ref="B23:D23"/>
    <mergeCell ref="B24:B25"/>
    <mergeCell ref="B26:B27"/>
    <mergeCell ref="B28:B29"/>
    <mergeCell ref="B35:D35"/>
    <mergeCell ref="B36:B37"/>
    <mergeCell ref="B38:B39"/>
    <mergeCell ref="B40:B41"/>
    <mergeCell ref="B42:B4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GARZON</dc:creator>
  <cp:lastModifiedBy>Maira Claro</cp:lastModifiedBy>
  <dcterms:created xsi:type="dcterms:W3CDTF">2018-10-16T23:23:58Z</dcterms:created>
  <dcterms:modified xsi:type="dcterms:W3CDTF">2020-04-02T17:14:44Z</dcterms:modified>
</cp:coreProperties>
</file>