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D:\Usuarios\maira claro\Desktop\ICBF\5. Consolidado Nóminas Excel\"/>
    </mc:Choice>
  </mc:AlternateContent>
  <xr:revisionPtr revIDLastSave="0" documentId="13_ncr:1_{3F73FA57-2CD0-4898-8B15-6222EE514741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NOMIN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6" i="1" l="1"/>
  <c r="H39" i="1"/>
  <c r="H77" i="1"/>
  <c r="M101" i="1"/>
  <c r="J123" i="1" l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I123" i="1"/>
  <c r="H123" i="1"/>
  <c r="W122" i="1"/>
  <c r="V122" i="1"/>
  <c r="P122" i="1"/>
  <c r="O122" i="1"/>
  <c r="M122" i="1"/>
  <c r="M121" i="1"/>
  <c r="W121" i="1" s="1"/>
  <c r="V121" i="1"/>
  <c r="H122" i="1"/>
  <c r="H121" i="1"/>
  <c r="K116" i="1"/>
  <c r="J116" i="1"/>
  <c r="H15" i="1"/>
  <c r="H14" i="1"/>
  <c r="H52" i="1" l="1"/>
  <c r="V101" i="1" l="1"/>
  <c r="N104" i="1"/>
  <c r="H78" i="1"/>
  <c r="O78" i="1" s="1"/>
  <c r="M77" i="1" l="1"/>
  <c r="V77" i="1"/>
  <c r="M78" i="1"/>
  <c r="N78" i="1"/>
  <c r="V78" i="1" s="1"/>
  <c r="V111" i="1"/>
  <c r="H111" i="1"/>
  <c r="M111" i="1" s="1"/>
  <c r="P28" i="1"/>
  <c r="P54" i="1"/>
  <c r="P85" i="1"/>
  <c r="P94" i="1"/>
  <c r="P107" i="1"/>
  <c r="P87" i="1"/>
  <c r="P60" i="1"/>
  <c r="P99" i="1"/>
  <c r="P66" i="1"/>
  <c r="P56" i="1"/>
  <c r="P24" i="1"/>
  <c r="L68" i="1"/>
  <c r="R45" i="1"/>
  <c r="W111" i="1" l="1"/>
  <c r="W78" i="1"/>
  <c r="W77" i="1"/>
  <c r="H23" i="1" l="1"/>
  <c r="M23" i="1" s="1"/>
  <c r="H6" i="1"/>
  <c r="M6" i="1" s="1"/>
  <c r="H100" i="1"/>
  <c r="H98" i="1"/>
  <c r="M98" i="1" s="1"/>
  <c r="H89" i="1"/>
  <c r="L89" i="1" s="1"/>
  <c r="V51" i="1"/>
  <c r="M69" i="1"/>
  <c r="H102" i="1"/>
  <c r="M102" i="1" s="1"/>
  <c r="H115" i="1"/>
  <c r="O115" i="1" s="1"/>
  <c r="I115" i="1"/>
  <c r="I96" i="1"/>
  <c r="H96" i="1"/>
  <c r="N96" i="1" s="1"/>
  <c r="H55" i="1"/>
  <c r="O55" i="1" s="1"/>
  <c r="H54" i="1"/>
  <c r="O54" i="1" s="1"/>
  <c r="I76" i="1"/>
  <c r="H76" i="1"/>
  <c r="I62" i="1"/>
  <c r="H62" i="1"/>
  <c r="O62" i="1" s="1"/>
  <c r="H19" i="1"/>
  <c r="O19" i="1" s="1"/>
  <c r="H25" i="1"/>
  <c r="M25" i="1" s="1"/>
  <c r="H71" i="1"/>
  <c r="N71" i="1" s="1"/>
  <c r="H53" i="1"/>
  <c r="H4" i="1"/>
  <c r="O4" i="1" s="1"/>
  <c r="H86" i="1"/>
  <c r="O104" i="1"/>
  <c r="H92" i="1"/>
  <c r="O92" i="1" s="1"/>
  <c r="H91" i="1"/>
  <c r="M91" i="1" s="1"/>
  <c r="N91" i="1" s="1"/>
  <c r="H73" i="1"/>
  <c r="M73" i="1" s="1"/>
  <c r="O73" i="1" s="1"/>
  <c r="H70" i="1"/>
  <c r="O70" i="1" s="1"/>
  <c r="H42" i="1"/>
  <c r="M42" i="1" s="1"/>
  <c r="O42" i="1" s="1"/>
  <c r="H30" i="1"/>
  <c r="M30" i="1" s="1"/>
  <c r="O14" i="1"/>
  <c r="H10" i="1"/>
  <c r="M10" i="1" s="1"/>
  <c r="O10" i="1" s="1"/>
  <c r="H9" i="1"/>
  <c r="O9" i="1" s="1"/>
  <c r="H84" i="1"/>
  <c r="O84" i="1" s="1"/>
  <c r="I84" i="1"/>
  <c r="I83" i="1"/>
  <c r="H88" i="1"/>
  <c r="O88" i="1" s="1"/>
  <c r="H81" i="1"/>
  <c r="O81" i="1" s="1"/>
  <c r="H107" i="1"/>
  <c r="O107" i="1" s="1"/>
  <c r="H83" i="1"/>
  <c r="O83" i="1" s="1"/>
  <c r="H85" i="1"/>
  <c r="O85" i="1" s="1"/>
  <c r="N84" i="1"/>
  <c r="V84" i="1" s="1"/>
  <c r="V69" i="1"/>
  <c r="H26" i="1"/>
  <c r="M26" i="1" s="1"/>
  <c r="N92" i="1"/>
  <c r="V92" i="1" s="1"/>
  <c r="H64" i="1"/>
  <c r="M64" i="1" s="1"/>
  <c r="H65" i="1"/>
  <c r="M65" i="1" s="1"/>
  <c r="H66" i="1"/>
  <c r="O66" i="1" s="1"/>
  <c r="H67" i="1"/>
  <c r="M67" i="1" s="1"/>
  <c r="H68" i="1"/>
  <c r="M68" i="1" s="1"/>
  <c r="H72" i="1"/>
  <c r="H74" i="1"/>
  <c r="M74" i="1" s="1"/>
  <c r="H75" i="1"/>
  <c r="O75" i="1" s="1"/>
  <c r="H79" i="1"/>
  <c r="O79" i="1" s="1"/>
  <c r="H80" i="1"/>
  <c r="M80" i="1" s="1"/>
  <c r="H82" i="1"/>
  <c r="O82" i="1" s="1"/>
  <c r="H87" i="1"/>
  <c r="O87" i="1" s="1"/>
  <c r="H90" i="1"/>
  <c r="M90" i="1" s="1"/>
  <c r="H93" i="1"/>
  <c r="N93" i="1" s="1"/>
  <c r="H94" i="1"/>
  <c r="M94" i="1" s="1"/>
  <c r="H95" i="1"/>
  <c r="H97" i="1"/>
  <c r="M97" i="1" s="1"/>
  <c r="H99" i="1"/>
  <c r="M99" i="1" s="1"/>
  <c r="W101" i="1"/>
  <c r="H103" i="1"/>
  <c r="M103" i="1" s="1"/>
  <c r="H104" i="1"/>
  <c r="M104" i="1" s="1"/>
  <c r="H105" i="1"/>
  <c r="O105" i="1" s="1"/>
  <c r="H106" i="1"/>
  <c r="M106" i="1" s="1"/>
  <c r="H108" i="1"/>
  <c r="M108" i="1" s="1"/>
  <c r="N108" i="1" s="1"/>
  <c r="V108" i="1" s="1"/>
  <c r="W108" i="1" s="1"/>
  <c r="H109" i="1"/>
  <c r="H110" i="1"/>
  <c r="O110" i="1" s="1"/>
  <c r="H112" i="1"/>
  <c r="M112" i="1" s="1"/>
  <c r="H113" i="1"/>
  <c r="N113" i="1" s="1"/>
  <c r="H114" i="1"/>
  <c r="M114" i="1" s="1"/>
  <c r="H12" i="1"/>
  <c r="M12" i="1" s="1"/>
  <c r="N12" i="1" s="1"/>
  <c r="H59" i="1"/>
  <c r="M59" i="1" s="1"/>
  <c r="V114" i="1"/>
  <c r="V74" i="1"/>
  <c r="P116" i="1"/>
  <c r="Q116" i="1"/>
  <c r="R116" i="1"/>
  <c r="S116" i="1"/>
  <c r="T116" i="1"/>
  <c r="O106" i="1"/>
  <c r="N106" i="1"/>
  <c r="O68" i="1"/>
  <c r="N68" i="1"/>
  <c r="O58" i="1"/>
  <c r="N58" i="1"/>
  <c r="O34" i="1"/>
  <c r="N34" i="1"/>
  <c r="N25" i="1"/>
  <c r="I75" i="1"/>
  <c r="I66" i="1"/>
  <c r="H58" i="1"/>
  <c r="H34" i="1"/>
  <c r="M34" i="1" s="1"/>
  <c r="U10" i="1"/>
  <c r="H24" i="1"/>
  <c r="M24" i="1" s="1"/>
  <c r="H46" i="1"/>
  <c r="M46" i="1" s="1"/>
  <c r="H38" i="1"/>
  <c r="N38" i="1" s="1"/>
  <c r="O97" i="1"/>
  <c r="V97" i="1" s="1"/>
  <c r="H49" i="1"/>
  <c r="H47" i="1"/>
  <c r="M47" i="1" s="1"/>
  <c r="W47" i="1" s="1"/>
  <c r="H7" i="1"/>
  <c r="M7" i="1" s="1"/>
  <c r="H18" i="1"/>
  <c r="O18" i="1" s="1"/>
  <c r="I53" i="1"/>
  <c r="I51" i="1"/>
  <c r="I113" i="1"/>
  <c r="I109" i="1"/>
  <c r="I71" i="1"/>
  <c r="I60" i="1"/>
  <c r="I56" i="1"/>
  <c r="H56" i="1"/>
  <c r="O56" i="1" s="1"/>
  <c r="H50" i="1"/>
  <c r="M50" i="1" s="1"/>
  <c r="H44" i="1"/>
  <c r="H33" i="1"/>
  <c r="M33" i="1" s="1"/>
  <c r="O6" i="1"/>
  <c r="N6" i="1"/>
  <c r="N39" i="1"/>
  <c r="O11" i="1"/>
  <c r="N11" i="1"/>
  <c r="H11" i="1"/>
  <c r="M11" i="1" s="1"/>
  <c r="H41" i="1"/>
  <c r="O41" i="1" s="1"/>
  <c r="V48" i="1"/>
  <c r="M48" i="1"/>
  <c r="H22" i="1"/>
  <c r="M22" i="1" s="1"/>
  <c r="V22" i="1"/>
  <c r="H36" i="1"/>
  <c r="M36" i="1" s="1"/>
  <c r="H16" i="1"/>
  <c r="M16" i="1" s="1"/>
  <c r="H28" i="1"/>
  <c r="M28" i="1" s="1"/>
  <c r="V28" i="1"/>
  <c r="M15" i="1"/>
  <c r="V15" i="1"/>
  <c r="N80" i="1"/>
  <c r="O39" i="1"/>
  <c r="O80" i="1"/>
  <c r="O26" i="1"/>
  <c r="H27" i="1"/>
  <c r="M27" i="1" s="1"/>
  <c r="N27" i="1"/>
  <c r="O27" i="1"/>
  <c r="H32" i="1"/>
  <c r="M32" i="1" s="1"/>
  <c r="H35" i="1"/>
  <c r="M35" i="1" s="1"/>
  <c r="V35" i="1"/>
  <c r="H45" i="1"/>
  <c r="M45" i="1" s="1"/>
  <c r="V45" i="1"/>
  <c r="V65" i="1"/>
  <c r="V67" i="1"/>
  <c r="V89" i="1"/>
  <c r="V90" i="1"/>
  <c r="M92" i="1"/>
  <c r="V94" i="1"/>
  <c r="V98" i="1"/>
  <c r="M100" i="1"/>
  <c r="V100" i="1"/>
  <c r="V109" i="1"/>
  <c r="V112" i="1"/>
  <c r="H5" i="1"/>
  <c r="M5" i="1" s="1"/>
  <c r="N5" i="1"/>
  <c r="O5" i="1"/>
  <c r="H8" i="1"/>
  <c r="M8" i="1" s="1"/>
  <c r="N8" i="1" s="1"/>
  <c r="H13" i="1"/>
  <c r="M13" i="1" s="1"/>
  <c r="V13" i="1"/>
  <c r="H17" i="1"/>
  <c r="M17" i="1" s="1"/>
  <c r="H20" i="1"/>
  <c r="M20" i="1" s="1"/>
  <c r="H21" i="1"/>
  <c r="O21" i="1" s="1"/>
  <c r="U23" i="1"/>
  <c r="V23" i="1" s="1"/>
  <c r="H29" i="1"/>
  <c r="M29" i="1" s="1"/>
  <c r="H31" i="1"/>
  <c r="M31" i="1" s="1"/>
  <c r="N31" i="1" s="1"/>
  <c r="H37" i="1"/>
  <c r="M39" i="1"/>
  <c r="H40" i="1"/>
  <c r="M40" i="1" s="1"/>
  <c r="H43" i="1"/>
  <c r="O43" i="1" s="1"/>
  <c r="H51" i="1"/>
  <c r="M52" i="1"/>
  <c r="V52" i="1"/>
  <c r="H57" i="1"/>
  <c r="M57" i="1" s="1"/>
  <c r="V57" i="1"/>
  <c r="H60" i="1"/>
  <c r="V60" i="1"/>
  <c r="H61" i="1"/>
  <c r="M61" i="1" s="1"/>
  <c r="H63" i="1"/>
  <c r="M63" i="1" s="1"/>
  <c r="V24" i="1"/>
  <c r="O25" i="1"/>
  <c r="N33" i="1"/>
  <c r="O33" i="1"/>
  <c r="V46" i="1"/>
  <c r="M58" i="1"/>
  <c r="B207" i="1"/>
  <c r="B187" i="1"/>
  <c r="B180" i="1"/>
  <c r="B182" i="1" s="1"/>
  <c r="M89" i="1" l="1"/>
  <c r="L116" i="1"/>
  <c r="N26" i="1"/>
  <c r="M82" i="1"/>
  <c r="O16" i="1"/>
  <c r="N82" i="1"/>
  <c r="V82" i="1" s="1"/>
  <c r="N66" i="1"/>
  <c r="O99" i="1"/>
  <c r="M66" i="1"/>
  <c r="W15" i="1"/>
  <c r="M60" i="1"/>
  <c r="M51" i="1"/>
  <c r="W51" i="1" s="1"/>
  <c r="N110" i="1"/>
  <c r="V110" i="1" s="1"/>
  <c r="N99" i="1"/>
  <c r="N105" i="1"/>
  <c r="M110" i="1"/>
  <c r="M105" i="1"/>
  <c r="O93" i="1"/>
  <c r="V93" i="1" s="1"/>
  <c r="M93" i="1"/>
  <c r="M55" i="1"/>
  <c r="V5" i="1"/>
  <c r="V106" i="1"/>
  <c r="W106" i="1" s="1"/>
  <c r="N44" i="1"/>
  <c r="O44" i="1"/>
  <c r="W74" i="1"/>
  <c r="M44" i="1"/>
  <c r="W35" i="1"/>
  <c r="V80" i="1"/>
  <c r="W80" i="1" s="1"/>
  <c r="V39" i="1"/>
  <c r="W39" i="1" s="1"/>
  <c r="W22" i="1"/>
  <c r="V34" i="1"/>
  <c r="W34" i="1" s="1"/>
  <c r="V68" i="1"/>
  <c r="W68" i="1" s="1"/>
  <c r="N62" i="1"/>
  <c r="V62" i="1" s="1"/>
  <c r="V27" i="1"/>
  <c r="W27" i="1" s="1"/>
  <c r="N75" i="1"/>
  <c r="V75" i="1" s="1"/>
  <c r="M62" i="1"/>
  <c r="V25" i="1"/>
  <c r="W25" i="1" s="1"/>
  <c r="M19" i="1"/>
  <c r="M75" i="1"/>
  <c r="W75" i="1" s="1"/>
  <c r="N19" i="1"/>
  <c r="V19" i="1" s="1"/>
  <c r="W52" i="1"/>
  <c r="M109" i="1"/>
  <c r="W109" i="1" s="1"/>
  <c r="W100" i="1"/>
  <c r="N79" i="1"/>
  <c r="V79" i="1" s="1"/>
  <c r="M14" i="1"/>
  <c r="N55" i="1"/>
  <c r="V55" i="1" s="1"/>
  <c r="O72" i="1"/>
  <c r="N72" i="1"/>
  <c r="U116" i="1"/>
  <c r="V33" i="1"/>
  <c r="W33" i="1" s="1"/>
  <c r="W57" i="1"/>
  <c r="W13" i="1"/>
  <c r="N16" i="1"/>
  <c r="V16" i="1" s="1"/>
  <c r="W16" i="1" s="1"/>
  <c r="V66" i="1"/>
  <c r="W112" i="1"/>
  <c r="V58" i="1"/>
  <c r="W58" i="1" s="1"/>
  <c r="V104" i="1"/>
  <c r="W104" i="1" s="1"/>
  <c r="O36" i="1"/>
  <c r="W90" i="1"/>
  <c r="W65" i="1"/>
  <c r="M107" i="1"/>
  <c r="N63" i="1"/>
  <c r="V63" i="1" s="1"/>
  <c r="W63" i="1" s="1"/>
  <c r="M56" i="1"/>
  <c r="O40" i="1"/>
  <c r="N36" i="1"/>
  <c r="M41" i="1"/>
  <c r="N70" i="1"/>
  <c r="V70" i="1" s="1"/>
  <c r="N40" i="1"/>
  <c r="O17" i="1"/>
  <c r="M79" i="1"/>
  <c r="O32" i="1"/>
  <c r="O71" i="1"/>
  <c r="V71" i="1" s="1"/>
  <c r="M113" i="1"/>
  <c r="M70" i="1"/>
  <c r="N32" i="1"/>
  <c r="N56" i="1"/>
  <c r="V56" i="1" s="1"/>
  <c r="M71" i="1"/>
  <c r="W28" i="1"/>
  <c r="W67" i="1"/>
  <c r="W60" i="1"/>
  <c r="N42" i="1"/>
  <c r="V42" i="1" s="1"/>
  <c r="W42" i="1" s="1"/>
  <c r="N17" i="1"/>
  <c r="O102" i="1"/>
  <c r="M72" i="1"/>
  <c r="O103" i="1"/>
  <c r="M18" i="1"/>
  <c r="O38" i="1"/>
  <c r="V38" i="1" s="1"/>
  <c r="N85" i="1"/>
  <c r="V85" i="1" s="1"/>
  <c r="N83" i="1"/>
  <c r="V83" i="1" s="1"/>
  <c r="N107" i="1"/>
  <c r="V107" i="1" s="1"/>
  <c r="N88" i="1"/>
  <c r="V88" i="1" s="1"/>
  <c r="M84" i="1"/>
  <c r="W84" i="1" s="1"/>
  <c r="N14" i="1"/>
  <c r="V14" i="1" s="1"/>
  <c r="W89" i="1"/>
  <c r="M4" i="1"/>
  <c r="O61" i="1"/>
  <c r="O29" i="1"/>
  <c r="O8" i="1"/>
  <c r="V8" i="1" s="1"/>
  <c r="W8" i="1" s="1"/>
  <c r="N102" i="1"/>
  <c r="V6" i="1"/>
  <c r="W6" i="1" s="1"/>
  <c r="N103" i="1"/>
  <c r="O113" i="1"/>
  <c r="V113" i="1" s="1"/>
  <c r="N18" i="1"/>
  <c r="V18" i="1" s="1"/>
  <c r="M38" i="1"/>
  <c r="W114" i="1"/>
  <c r="M85" i="1"/>
  <c r="M83" i="1"/>
  <c r="M88" i="1"/>
  <c r="W46" i="1"/>
  <c r="N61" i="1"/>
  <c r="N29" i="1"/>
  <c r="V105" i="1"/>
  <c r="W105" i="1" s="1"/>
  <c r="W92" i="1"/>
  <c r="V26" i="1"/>
  <c r="W26" i="1" s="1"/>
  <c r="V11" i="1"/>
  <c r="W11" i="1" s="1"/>
  <c r="W94" i="1"/>
  <c r="N86" i="1"/>
  <c r="O86" i="1"/>
  <c r="M86" i="1"/>
  <c r="O31" i="1"/>
  <c r="V31" i="1" s="1"/>
  <c r="W31" i="1" s="1"/>
  <c r="N20" i="1"/>
  <c r="O20" i="1"/>
  <c r="I116" i="1"/>
  <c r="O7" i="1"/>
  <c r="N7" i="1"/>
  <c r="O64" i="1"/>
  <c r="N64" i="1"/>
  <c r="O12" i="1"/>
  <c r="V12" i="1" s="1"/>
  <c r="W12" i="1" s="1"/>
  <c r="N95" i="1"/>
  <c r="O95" i="1"/>
  <c r="M95" i="1"/>
  <c r="N87" i="1"/>
  <c r="V87" i="1" s="1"/>
  <c r="M87" i="1"/>
  <c r="O30" i="1"/>
  <c r="N30" i="1"/>
  <c r="O91" i="1"/>
  <c r="V91" i="1" s="1"/>
  <c r="W91" i="1" s="1"/>
  <c r="O76" i="1"/>
  <c r="N76" i="1"/>
  <c r="N115" i="1"/>
  <c r="V115" i="1" s="1"/>
  <c r="M115" i="1"/>
  <c r="N9" i="1"/>
  <c r="V9" i="1" s="1"/>
  <c r="M9" i="1"/>
  <c r="M21" i="1"/>
  <c r="N21" i="1"/>
  <c r="V21" i="1" s="1"/>
  <c r="W97" i="1"/>
  <c r="W48" i="1"/>
  <c r="M53" i="1"/>
  <c r="N53" i="1"/>
  <c r="V53" i="1" s="1"/>
  <c r="N37" i="1"/>
  <c r="O37" i="1"/>
  <c r="M43" i="1"/>
  <c r="N43" i="1"/>
  <c r="V43" i="1" s="1"/>
  <c r="M37" i="1"/>
  <c r="W5" i="1"/>
  <c r="N50" i="1"/>
  <c r="O50" i="1"/>
  <c r="N49" i="1"/>
  <c r="O49" i="1"/>
  <c r="M49" i="1"/>
  <c r="O59" i="1"/>
  <c r="N59" i="1"/>
  <c r="W24" i="1"/>
  <c r="N41" i="1"/>
  <c r="V41" i="1" s="1"/>
  <c r="N73" i="1"/>
  <c r="V73" i="1" s="1"/>
  <c r="W73" i="1" s="1"/>
  <c r="M81" i="1"/>
  <c r="N4" i="1"/>
  <c r="V4" i="1" s="1"/>
  <c r="N54" i="1"/>
  <c r="V54" i="1" s="1"/>
  <c r="N81" i="1"/>
  <c r="V81" i="1" s="1"/>
  <c r="M54" i="1"/>
  <c r="W69" i="1"/>
  <c r="W98" i="1"/>
  <c r="W45" i="1"/>
  <c r="M96" i="1"/>
  <c r="O96" i="1"/>
  <c r="V96" i="1" s="1"/>
  <c r="M76" i="1"/>
  <c r="W23" i="1"/>
  <c r="N10" i="1"/>
  <c r="V99" i="1" l="1"/>
  <c r="W99" i="1" s="1"/>
  <c r="W82" i="1"/>
  <c r="V72" i="1"/>
  <c r="W110" i="1"/>
  <c r="W66" i="1"/>
  <c r="W62" i="1"/>
  <c r="V44" i="1"/>
  <c r="W44" i="1" s="1"/>
  <c r="W88" i="1"/>
  <c r="W55" i="1"/>
  <c r="W93" i="1"/>
  <c r="W79" i="1"/>
  <c r="W4" i="1"/>
  <c r="V32" i="1"/>
  <c r="W32" i="1" s="1"/>
  <c r="W41" i="1"/>
  <c r="W19" i="1"/>
  <c r="W53" i="1"/>
  <c r="W14" i="1"/>
  <c r="V37" i="1"/>
  <c r="W37" i="1" s="1"/>
  <c r="V36" i="1"/>
  <c r="W36" i="1" s="1"/>
  <c r="V102" i="1"/>
  <c r="W102" i="1" s="1"/>
  <c r="W113" i="1"/>
  <c r="W107" i="1"/>
  <c r="V95" i="1"/>
  <c r="W95" i="1" s="1"/>
  <c r="V103" i="1"/>
  <c r="W103" i="1" s="1"/>
  <c r="V29" i="1"/>
  <c r="W29" i="1" s="1"/>
  <c r="W85" i="1"/>
  <c r="W56" i="1"/>
  <c r="W71" i="1"/>
  <c r="W70" i="1"/>
  <c r="V50" i="1"/>
  <c r="W50" i="1" s="1"/>
  <c r="V76" i="1"/>
  <c r="W76" i="1" s="1"/>
  <c r="V7" i="1"/>
  <c r="W7" i="1" s="1"/>
  <c r="V20" i="1"/>
  <c r="W20" i="1" s="1"/>
  <c r="V40" i="1"/>
  <c r="W40" i="1" s="1"/>
  <c r="W18" i="1"/>
  <c r="V17" i="1"/>
  <c r="W17" i="1" s="1"/>
  <c r="V86" i="1"/>
  <c r="W86" i="1" s="1"/>
  <c r="W38" i="1"/>
  <c r="W72" i="1"/>
  <c r="V61" i="1"/>
  <c r="W61" i="1" s="1"/>
  <c r="O116" i="1"/>
  <c r="W9" i="1"/>
  <c r="V64" i="1"/>
  <c r="W64" i="1" s="1"/>
  <c r="W83" i="1"/>
  <c r="V30" i="1"/>
  <c r="W30" i="1" s="1"/>
  <c r="W87" i="1"/>
  <c r="W54" i="1"/>
  <c r="W81" i="1"/>
  <c r="V59" i="1"/>
  <c r="W59" i="1" s="1"/>
  <c r="V49" i="1"/>
  <c r="W49" i="1" s="1"/>
  <c r="W115" i="1"/>
  <c r="W43" i="1"/>
  <c r="Y43" i="1" s="1"/>
  <c r="W21" i="1"/>
  <c r="W96" i="1"/>
  <c r="M116" i="1"/>
  <c r="V10" i="1"/>
  <c r="N116" i="1"/>
  <c r="V116" i="1" l="1"/>
  <c r="W10" i="1"/>
  <c r="W1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Maira Claro</author>
  </authors>
  <commentList>
    <comment ref="T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Maira Claro:</t>
        </r>
        <r>
          <rPr>
            <sz val="9"/>
            <color indexed="81"/>
            <rFont val="Tahoma"/>
            <family val="2"/>
          </rPr>
          <t xml:space="preserve">
PREPAGADA 2 MESES</t>
        </r>
      </text>
    </comment>
  </commentList>
</comments>
</file>

<file path=xl/sharedStrings.xml><?xml version="1.0" encoding="utf-8"?>
<sst xmlns="http://schemas.openxmlformats.org/spreadsheetml/2006/main" count="398" uniqueCount="152">
  <si>
    <t xml:space="preserve"> </t>
  </si>
  <si>
    <t>DEVENGOS</t>
  </si>
  <si>
    <t>DEDUCCIONES</t>
  </si>
  <si>
    <t>No.</t>
  </si>
  <si>
    <t>Nombre</t>
  </si>
  <si>
    <t>MODALIDAD</t>
  </si>
  <si>
    <t>TIPO DE CONTRATO</t>
  </si>
  <si>
    <t>IDENTIFICACION</t>
  </si>
  <si>
    <t>SUELDO MES</t>
  </si>
  <si>
    <t>No. Dìas</t>
  </si>
  <si>
    <t xml:space="preserve">SUELDO MES </t>
  </si>
  <si>
    <t>RETENCION</t>
  </si>
  <si>
    <t>CUENTA AFC</t>
  </si>
  <si>
    <t>Descuento por Prestamos</t>
  </si>
  <si>
    <t>Total Deducciones</t>
  </si>
  <si>
    <t>TOTAL A PAGAR</t>
  </si>
  <si>
    <t>ADRIANA CUELLAR JIMENEZ</t>
  </si>
  <si>
    <t>INDEFINIDO</t>
  </si>
  <si>
    <t>ALBERTO ALBEIRO ALMARIO VALBUENA</t>
  </si>
  <si>
    <t>ANA LUCIA ARBELAEZ BARBOSA</t>
  </si>
  <si>
    <t>ANDRES HERRERA MALDONADO</t>
  </si>
  <si>
    <t>ANGELA ENITH RODRGUEZ MORENO</t>
  </si>
  <si>
    <t>CARMEN ALEIDA QUINTERO REYES</t>
  </si>
  <si>
    <t>GUSTAVO IGNACIO MAGGI WULFF</t>
  </si>
  <si>
    <t>HECTOR GERMAN CHAPARRO RODRIGUEZ</t>
  </si>
  <si>
    <t>JAIME CARLOS SANMARTIN DAZA</t>
  </si>
  <si>
    <t>JIMMY ALEXANDER CIFUENTES</t>
  </si>
  <si>
    <t>JOHANA KARINA PELAEZ PUENTES</t>
  </si>
  <si>
    <t>JUAN CAMILO MENDIETA SILVA</t>
  </si>
  <si>
    <t>JUAN RAMON BELTRAN ALFARO</t>
  </si>
  <si>
    <t>JULIAN ANDRES RAMIREZ CELIS</t>
  </si>
  <si>
    <t>LEONEL SIERRA MARTINEZ</t>
  </si>
  <si>
    <t xml:space="preserve">LUIS DANIEL HERRERA MALDONADO </t>
  </si>
  <si>
    <t>ORLANDO SUAREZ LABOTON</t>
  </si>
  <si>
    <t>LUIS IVAN GONZALEZ SANTIAGO</t>
  </si>
  <si>
    <t>MANUELA RODRIGUEZ BENITEZ</t>
  </si>
  <si>
    <t>MANUEL EDUARDO HERNANDEZ RODRIGUEZ</t>
  </si>
  <si>
    <t>ROBERTO JOSE DUQUE DIASGRANADOS</t>
  </si>
  <si>
    <t>ROGER BARRIOS AMOROCHO</t>
  </si>
  <si>
    <t xml:space="preserve">NYDIA CASTILBLANCO MARIN </t>
  </si>
  <si>
    <t>SERGIO BAYARDO CORDOBA</t>
  </si>
  <si>
    <t>TICSIANA LORENA CARRILLO</t>
  </si>
  <si>
    <t>ARIANA VALENTINA JIMENEZ PEDRAZA</t>
  </si>
  <si>
    <t>ANDREA TATIANA ACEVEDO CASTAÑEDA</t>
  </si>
  <si>
    <t>CINDY VIVIANA MENDOZA VILLATE</t>
  </si>
  <si>
    <t>CRISTHIAN FELIPE GUERRERO PINEROS</t>
  </si>
  <si>
    <t>DAVID ENRIQUE MAHECHA SARMIENTO</t>
  </si>
  <si>
    <t>DAVID OBREGON SANCHEZ</t>
  </si>
  <si>
    <t>DIEGO MAURICIO ORTIZ PARADA</t>
  </si>
  <si>
    <t>DULIETH SANCHEZ PINTO</t>
  </si>
  <si>
    <t>EDWAR CAMILO LONDOÑO SANCHEZ</t>
  </si>
  <si>
    <t>JEAN JAVIER ORTIZ HENAO</t>
  </si>
  <si>
    <t>JONATHAN MEZA SANTOS</t>
  </si>
  <si>
    <t>JUAN CAMILO LARA LEON</t>
  </si>
  <si>
    <t>KATTYA ALEXANDRA PEÑA NIETO</t>
  </si>
  <si>
    <t>LUISA FERNANDA GALINDO HIGUERA</t>
  </si>
  <si>
    <t>MAIRA ALEJANDRA CLARO ROPERO</t>
  </si>
  <si>
    <t>MARIA TRANSITO PULIDO PARRA</t>
  </si>
  <si>
    <t>MIGUEL ANGEL JIMENEZ NUÑEZ</t>
  </si>
  <si>
    <t>MIGUEL SEBASTIAN JIMENEZ</t>
  </si>
  <si>
    <t>NELSON JAVIER PINZON LOPEZ</t>
  </si>
  <si>
    <t>NESTOR FABIAN CASTILLO ROZO</t>
  </si>
  <si>
    <t>SANTIAGO ALVAREZ PORRAS</t>
  </si>
  <si>
    <t xml:space="preserve">SANTIAGO JIMENEZ PEDRAZA </t>
  </si>
  <si>
    <t>TULIO ESTEBAN JIMENEZ VILLANUEVA</t>
  </si>
  <si>
    <t>ANTICIPOS/ PREPAGADA</t>
  </si>
  <si>
    <t>ALEJANDRO TOVAR ALVARADO</t>
  </si>
  <si>
    <t>WILLIAM JOSE VIVAS ESCALANTE</t>
  </si>
  <si>
    <t>RONALD ANTONY ROJAS FORIGUA</t>
  </si>
  <si>
    <t>RAFAEL LEONARDO GONZALEZ CELIS</t>
  </si>
  <si>
    <t>PENSION+ FONDO DE SOLIDARIDAD</t>
  </si>
  <si>
    <t>OSCAR ALFONSO FERNANDEZ OSPINA</t>
  </si>
  <si>
    <t>BRAYAN JULIAN CORREDOR PUENTES</t>
  </si>
  <si>
    <t>ANGEL JULIAN  GONZALEZ PINZON</t>
  </si>
  <si>
    <t>CLARA ISABEL PEDRAZA RUEDA</t>
  </si>
  <si>
    <t>LEONARDO ARMERO BARBOSA</t>
  </si>
  <si>
    <t>RICARDO JAVIER ESTRADA SANCHEZ</t>
  </si>
  <si>
    <t>CRISTHIAN CAMILO JIMENEZ VARON</t>
  </si>
  <si>
    <t>OTTO DARLING NIETO GUERRERO</t>
  </si>
  <si>
    <t>JAIRO ERNESTO MALAGON GAITAN</t>
  </si>
  <si>
    <t>EDGAR ALEXANDER ESPINOSA GONZALEZ</t>
  </si>
  <si>
    <t>DIEGO ANDRES MONCADA VEGA</t>
  </si>
  <si>
    <t>DANIELA MALDONADO CASTRO</t>
  </si>
  <si>
    <t>AURORA VARGAS MORENO</t>
  </si>
  <si>
    <t>JOSE ANDRES MENESES QUINTERO</t>
  </si>
  <si>
    <t>ELVER YESID MELO MONROY</t>
  </si>
  <si>
    <t>SERGIO ANDRES RODRIGUEZ RODRIGUEZ</t>
  </si>
  <si>
    <t>DAVID ALEXANDER OCAMPO</t>
  </si>
  <si>
    <t>MANUEL FERNANDO MUÑOZ GARCES</t>
  </si>
  <si>
    <t>JOSE JAVIER SASTOQUE SANCHEZ</t>
  </si>
  <si>
    <t>CHABELI GINETH SINISTERRA PUSSEY</t>
  </si>
  <si>
    <t>JULIAN SEBASTIAN PEÑA CASTELLANOS</t>
  </si>
  <si>
    <t>JOSE RAFAEL GOMEZ GONZALEZ</t>
  </si>
  <si>
    <t>JUAN DAVID MONROY</t>
  </si>
  <si>
    <t>EDISON DAVID TORRES RUIZ</t>
  </si>
  <si>
    <t>JUAN PABLO VIVAS REINOSO</t>
  </si>
  <si>
    <t>ELEONORA PEÑA RODRIGUEZ</t>
  </si>
  <si>
    <t>MONICA JULIETH SANCHEZ FUENTES</t>
  </si>
  <si>
    <t>JAVIER CRUZ RODRIGUEZ</t>
  </si>
  <si>
    <t>ALVARO JAVIER BARBOSA</t>
  </si>
  <si>
    <t>RAMON ANTONIO SUAREZ BUITRAGO</t>
  </si>
  <si>
    <t>CARLOS HERNAN CARDONA TABORA</t>
  </si>
  <si>
    <t xml:space="preserve">ERVID ALFRED MOLINA BARRIOS </t>
  </si>
  <si>
    <t>MARILY BAQUERO ACOSTA</t>
  </si>
  <si>
    <t>OSCAR JAVIER BELTRAN VILLAMIZAR</t>
  </si>
  <si>
    <t xml:space="preserve">WILLIAM ALEXANDER SIERRA GONZALEZ </t>
  </si>
  <si>
    <t>GUSTAVO SANABRIA ORTIZ</t>
  </si>
  <si>
    <t>ANA MARIA BARRIOS LEGIZAMON</t>
  </si>
  <si>
    <t>ADRIANA CAMILA LOAIZA</t>
  </si>
  <si>
    <t>OLIMARY GOMEZ CORONEL</t>
  </si>
  <si>
    <t>KAREN ELIZABETH MORA DIAZ</t>
  </si>
  <si>
    <t>ERIKA MIREYA INFANTE CERVANTES</t>
  </si>
  <si>
    <t>GINNA PAOLA CEPEDA LOMBANA</t>
  </si>
  <si>
    <t>NADIA CATALINA VELASQUEZ CENDALES</t>
  </si>
  <si>
    <t xml:space="preserve">YERALDINE BONILLA BARRERA </t>
  </si>
  <si>
    <t xml:space="preserve">  </t>
  </si>
  <si>
    <t>ERIK VON CABARCAS GPMEZ</t>
  </si>
  <si>
    <t>JULI ANDREA AVILA GUTIERREZ</t>
  </si>
  <si>
    <t>JUAN FELIPE ARAGON MANRIQUE</t>
  </si>
  <si>
    <t>SANDRA YULIETH GARCIA</t>
  </si>
  <si>
    <t>JUAN CARLOS RAMIREZ CASTRO</t>
  </si>
  <si>
    <t>KATERINE LUCIA VASQUEZ MORALES</t>
  </si>
  <si>
    <t>JUAN MANUEL CUESTAS BELTRAN</t>
  </si>
  <si>
    <t>FREDY MAURICIO NAVARRETE</t>
  </si>
  <si>
    <t xml:space="preserve">GERARDO ENRIQUE MENDEZ </t>
  </si>
  <si>
    <t>DAVID CELIANO HERRERA  GUTIERREZ</t>
  </si>
  <si>
    <t>JEFFERSON STIVENS RODRIGUEZ RODRI</t>
  </si>
  <si>
    <t>CHRYSTIAM DAVID MARTINEZ AVILA</t>
  </si>
  <si>
    <t>MERCEDES SALAMANCA CASTAÑEDA</t>
  </si>
  <si>
    <t xml:space="preserve">YULI ANDREA RIOS </t>
  </si>
  <si>
    <t>NOMINA MES DE AGOSTO DE 2017</t>
  </si>
  <si>
    <t>SOFIA LORENA FAJARDO ESTEBAN</t>
  </si>
  <si>
    <t>JONATHAN BARICOT HERNANDEZ</t>
  </si>
  <si>
    <t>BONIFICACIÓN</t>
  </si>
  <si>
    <t>AUXILIOS</t>
  </si>
  <si>
    <t>AUXILIO DE TRANSPORTE</t>
  </si>
  <si>
    <t>TOTAL DEVENGOS</t>
  </si>
  <si>
    <t>SALUD</t>
  </si>
  <si>
    <t>COOPERATIVA</t>
  </si>
  <si>
    <t>OTROS DESCUENTOS</t>
  </si>
  <si>
    <t>APRENDIZ</t>
  </si>
  <si>
    <t>ORDINARIO</t>
  </si>
  <si>
    <t>INTEGRAL</t>
  </si>
  <si>
    <t>VACACIONES DISFRUTADAS</t>
  </si>
  <si>
    <t>PAGO TOTAL DE NOMINA MES DE AGOSTO 2017</t>
  </si>
  <si>
    <t>MARTHA JANNETH JIMENEZ BARRETO</t>
  </si>
  <si>
    <t>VACACIONES PAGAS LIQUIDACIÓN</t>
  </si>
  <si>
    <t>CESANTIAS</t>
  </si>
  <si>
    <t>INT/CESANTIAS</t>
  </si>
  <si>
    <t>PRIMA</t>
  </si>
  <si>
    <t xml:space="preserve"> RETIROS AGOSTO DE 2017</t>
  </si>
  <si>
    <t>YOHANA GISELIDA SUAREZ CASTILLO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</si>
</sst>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_-[$$-240A]\ * #,##0_ ;_-[$$-240A]\ * \-#,##0\ ;_-[$$-240A]\ * &quot;-&quot;_ ;_-@_ "/>
    <numFmt numFmtId="166" formatCode="_(&quot;€&quot;* #,##0.00_);_(&quot;€&quot;* \(#,##0.00\);_(&quot;€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3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166" fontId="2" fillId="0" borderId="0" xfId="1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 wrapText="1"/>
    </xf>
    <xf numFmtId="3" fontId="2" fillId="0" borderId="0" xfId="2" applyNumberFormat="1" applyFont="1" applyAlignment="1">
      <alignment horizontal="center" vertical="center"/>
    </xf>
    <xf numFmtId="3" fontId="2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3" fontId="3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3" fontId="2" fillId="0" borderId="1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3" fontId="3" fillId="0" borderId="4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165" fontId="3" fillId="0" borderId="11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3" fontId="3" fillId="0" borderId="4" xfId="0" applyNumberFormat="1" applyFont="1" applyBorder="1" applyAlignment="1">
      <alignment horizontal="center" vertical="center" wrapText="1"/>
    </xf>
    <xf numFmtId="165" fontId="3" fillId="0" borderId="16" xfId="0" applyNumberFormat="1" applyFont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3" fontId="2" fillId="3" borderId="13" xfId="0" applyNumberFormat="1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3" fontId="3" fillId="0" borderId="3" xfId="0" applyNumberFormat="1" applyFont="1" applyBorder="1" applyAlignment="1">
      <alignment horizontal="center" vertical="center" wrapText="1"/>
    </xf>
    <xf numFmtId="165" fontId="3" fillId="0" borderId="19" xfId="0" applyNumberFormat="1" applyFont="1" applyBorder="1" applyAlignment="1">
      <alignment horizontal="center" vertical="center"/>
    </xf>
    <xf numFmtId="165" fontId="2" fillId="3" borderId="23" xfId="0" applyNumberFormat="1" applyFont="1" applyFill="1" applyBorder="1" applyAlignment="1">
      <alignment horizontal="center" vertical="center"/>
    </xf>
    <xf numFmtId="165" fontId="2" fillId="3" borderId="24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207"/>
  <sheetViews>
    <sheetView tabSelected="1" topLeftCell="H61" zoomScale="90" zoomScaleNormal="90" workbookViewId="0">
      <selection activeCell="Z69" sqref="Z68:Z69"/>
    </sheetView>
  </sheetViews>
  <sheetFormatPr baseColWidth="10" defaultRowHeight="12" x14ac:dyDescent="0.25"/>
  <cols>
    <col min="1" max="1" width="4.85546875" style="1" customWidth="1"/>
    <col min="2" max="2" width="36.42578125" style="3" customWidth="1"/>
    <col min="3" max="3" width="11.5703125" style="1" customWidth="1"/>
    <col min="4" max="4" width="11" style="1" customWidth="1"/>
    <col min="5" max="5" width="15" style="1" customWidth="1"/>
    <col min="6" max="6" width="10.85546875" style="4" customWidth="1"/>
    <col min="7" max="7" width="4.42578125" style="4" customWidth="1"/>
    <col min="8" max="8" width="13" style="4" customWidth="1"/>
    <col min="9" max="9" width="12.42578125" style="4" customWidth="1"/>
    <col min="10" max="10" width="12.28515625" style="4" bestFit="1" customWidth="1"/>
    <col min="11" max="11" width="13.85546875" style="4" customWidth="1"/>
    <col min="12" max="12" width="13.42578125" style="4" customWidth="1"/>
    <col min="13" max="13" width="13.28515625" style="4" bestFit="1" customWidth="1"/>
    <col min="14" max="15" width="12.28515625" style="4" bestFit="1" customWidth="1"/>
    <col min="16" max="16" width="13.7109375" style="4" customWidth="1"/>
    <col min="17" max="17" width="14.140625" style="4" customWidth="1"/>
    <col min="18" max="18" width="11.28515625" style="4" bestFit="1" customWidth="1"/>
    <col min="19" max="19" width="12.28515625" style="4" bestFit="1" customWidth="1"/>
    <col min="20" max="20" width="11.28515625" style="4" bestFit="1" customWidth="1"/>
    <col min="21" max="22" width="12.28515625" style="4" bestFit="1" customWidth="1"/>
    <col min="23" max="23" width="13.42578125" style="1" customWidth="1"/>
    <col min="24" max="245" width="11.42578125" style="1"/>
    <col min="246" max="246" width="10.5703125" style="1" customWidth="1"/>
    <col min="247" max="247" width="4.85546875" style="1" customWidth="1"/>
    <col min="248" max="248" width="32.42578125" style="1" customWidth="1"/>
    <col min="249" max="249" width="9.85546875" style="1" customWidth="1"/>
    <col min="250" max="250" width="10.140625" style="1" customWidth="1"/>
    <col min="251" max="251" width="12.28515625" style="1" customWidth="1"/>
    <col min="252" max="252" width="15.42578125" style="1" customWidth="1"/>
    <col min="253" max="253" width="11.85546875" style="1" customWidth="1"/>
    <col min="254" max="254" width="13.28515625" style="1" customWidth="1"/>
    <col min="255" max="255" width="15.28515625" style="1" customWidth="1"/>
    <col min="256" max="256" width="11.85546875" style="1" customWidth="1"/>
    <col min="257" max="257" width="6.140625" style="1" customWidth="1"/>
    <col min="258" max="258" width="11.85546875" style="1" customWidth="1"/>
    <col min="259" max="259" width="9.42578125" style="1" customWidth="1"/>
    <col min="260" max="260" width="14.7109375" style="1" customWidth="1"/>
    <col min="261" max="261" width="11.5703125" style="1" customWidth="1"/>
    <col min="262" max="262" width="0.42578125" style="1" customWidth="1"/>
    <col min="263" max="263" width="10.5703125" style="1" bestFit="1" customWidth="1"/>
    <col min="264" max="264" width="12.28515625" style="1" customWidth="1"/>
    <col min="265" max="265" width="12.5703125" style="1" customWidth="1"/>
    <col min="266" max="266" width="10.5703125" style="1" customWidth="1"/>
    <col min="267" max="267" width="10.140625" style="1" customWidth="1"/>
    <col min="268" max="268" width="8.42578125" style="1" customWidth="1"/>
    <col min="269" max="269" width="18.85546875" style="1" customWidth="1"/>
    <col min="270" max="270" width="10.28515625" style="1" customWidth="1"/>
    <col min="271" max="271" width="11.42578125" style="1" customWidth="1"/>
    <col min="272" max="272" width="12.140625" style="1" customWidth="1"/>
    <col min="273" max="273" width="10.5703125" style="1" customWidth="1"/>
    <col min="274" max="274" width="12.42578125" style="1" customWidth="1"/>
    <col min="275" max="275" width="15.140625" style="1" customWidth="1"/>
    <col min="276" max="276" width="13.5703125" style="1" customWidth="1"/>
    <col min="277" max="277" width="13.140625" style="1" customWidth="1"/>
    <col min="278" max="278" width="15.7109375" style="1" customWidth="1"/>
    <col min="279" max="279" width="37.5703125" style="1" customWidth="1"/>
    <col min="280" max="501" width="11.42578125" style="1"/>
    <col min="502" max="502" width="10.5703125" style="1" customWidth="1"/>
    <col min="503" max="503" width="4.85546875" style="1" customWidth="1"/>
    <col min="504" max="504" width="32.42578125" style="1" customWidth="1"/>
    <col min="505" max="505" width="9.85546875" style="1" customWidth="1"/>
    <col min="506" max="506" width="10.140625" style="1" customWidth="1"/>
    <col min="507" max="507" width="12.28515625" style="1" customWidth="1"/>
    <col min="508" max="508" width="15.42578125" style="1" customWidth="1"/>
    <col min="509" max="509" width="11.85546875" style="1" customWidth="1"/>
    <col min="510" max="510" width="13.28515625" style="1" customWidth="1"/>
    <col min="511" max="511" width="15.28515625" style="1" customWidth="1"/>
    <col min="512" max="512" width="11.85546875" style="1" customWidth="1"/>
    <col min="513" max="513" width="6.140625" style="1" customWidth="1"/>
    <col min="514" max="514" width="11.85546875" style="1" customWidth="1"/>
    <col min="515" max="515" width="9.42578125" style="1" customWidth="1"/>
    <col min="516" max="516" width="14.7109375" style="1" customWidth="1"/>
    <col min="517" max="517" width="11.5703125" style="1" customWidth="1"/>
    <col min="518" max="518" width="0.42578125" style="1" customWidth="1"/>
    <col min="519" max="519" width="10.5703125" style="1" bestFit="1" customWidth="1"/>
    <col min="520" max="520" width="12.28515625" style="1" customWidth="1"/>
    <col min="521" max="521" width="12.5703125" style="1" customWidth="1"/>
    <col min="522" max="522" width="10.5703125" style="1" customWidth="1"/>
    <col min="523" max="523" width="10.140625" style="1" customWidth="1"/>
    <col min="524" max="524" width="8.42578125" style="1" customWidth="1"/>
    <col min="525" max="525" width="18.85546875" style="1" customWidth="1"/>
    <col min="526" max="526" width="10.28515625" style="1" customWidth="1"/>
    <col min="527" max="527" width="11.42578125" style="1" customWidth="1"/>
    <col min="528" max="528" width="12.140625" style="1" customWidth="1"/>
    <col min="529" max="529" width="10.5703125" style="1" customWidth="1"/>
    <col min="530" max="530" width="12.42578125" style="1" customWidth="1"/>
    <col min="531" max="531" width="15.140625" style="1" customWidth="1"/>
    <col min="532" max="532" width="13.5703125" style="1" customWidth="1"/>
    <col min="533" max="533" width="13.140625" style="1" customWidth="1"/>
    <col min="534" max="534" width="15.7109375" style="1" customWidth="1"/>
    <col min="535" max="535" width="37.5703125" style="1" customWidth="1"/>
    <col min="536" max="757" width="11.42578125" style="1"/>
    <col min="758" max="758" width="10.5703125" style="1" customWidth="1"/>
    <col min="759" max="759" width="4.85546875" style="1" customWidth="1"/>
    <col min="760" max="760" width="32.42578125" style="1" customWidth="1"/>
    <col min="761" max="761" width="9.85546875" style="1" customWidth="1"/>
    <col min="762" max="762" width="10.140625" style="1" customWidth="1"/>
    <col min="763" max="763" width="12.28515625" style="1" customWidth="1"/>
    <col min="764" max="764" width="15.42578125" style="1" customWidth="1"/>
    <col min="765" max="765" width="11.85546875" style="1" customWidth="1"/>
    <col min="766" max="766" width="13.28515625" style="1" customWidth="1"/>
    <col min="767" max="767" width="15.28515625" style="1" customWidth="1"/>
    <col min="768" max="768" width="11.85546875" style="1" customWidth="1"/>
    <col min="769" max="769" width="6.140625" style="1" customWidth="1"/>
    <col min="770" max="770" width="11.85546875" style="1" customWidth="1"/>
    <col min="771" max="771" width="9.42578125" style="1" customWidth="1"/>
    <col min="772" max="772" width="14.7109375" style="1" customWidth="1"/>
    <col min="773" max="773" width="11.5703125" style="1" customWidth="1"/>
    <col min="774" max="774" width="0.42578125" style="1" customWidth="1"/>
    <col min="775" max="775" width="10.5703125" style="1" bestFit="1" customWidth="1"/>
    <col min="776" max="776" width="12.28515625" style="1" customWidth="1"/>
    <col min="777" max="777" width="12.5703125" style="1" customWidth="1"/>
    <col min="778" max="778" width="10.5703125" style="1" customWidth="1"/>
    <col min="779" max="779" width="10.140625" style="1" customWidth="1"/>
    <col min="780" max="780" width="8.42578125" style="1" customWidth="1"/>
    <col min="781" max="781" width="18.85546875" style="1" customWidth="1"/>
    <col min="782" max="782" width="10.28515625" style="1" customWidth="1"/>
    <col min="783" max="783" width="11.42578125" style="1" customWidth="1"/>
    <col min="784" max="784" width="12.140625" style="1" customWidth="1"/>
    <col min="785" max="785" width="10.5703125" style="1" customWidth="1"/>
    <col min="786" max="786" width="12.42578125" style="1" customWidth="1"/>
    <col min="787" max="787" width="15.140625" style="1" customWidth="1"/>
    <col min="788" max="788" width="13.5703125" style="1" customWidth="1"/>
    <col min="789" max="789" width="13.140625" style="1" customWidth="1"/>
    <col min="790" max="790" width="15.7109375" style="1" customWidth="1"/>
    <col min="791" max="791" width="37.5703125" style="1" customWidth="1"/>
    <col min="792" max="1013" width="11.42578125" style="1"/>
    <col min="1014" max="1014" width="10.5703125" style="1" customWidth="1"/>
    <col min="1015" max="1015" width="4.85546875" style="1" customWidth="1"/>
    <col min="1016" max="1016" width="32.42578125" style="1" customWidth="1"/>
    <col min="1017" max="1017" width="9.85546875" style="1" customWidth="1"/>
    <col min="1018" max="1018" width="10.140625" style="1" customWidth="1"/>
    <col min="1019" max="1019" width="12.28515625" style="1" customWidth="1"/>
    <col min="1020" max="1020" width="15.42578125" style="1" customWidth="1"/>
    <col min="1021" max="1021" width="11.85546875" style="1" customWidth="1"/>
    <col min="1022" max="1022" width="13.28515625" style="1" customWidth="1"/>
    <col min="1023" max="1023" width="15.28515625" style="1" customWidth="1"/>
    <col min="1024" max="1024" width="11.85546875" style="1" customWidth="1"/>
    <col min="1025" max="1025" width="6.140625" style="1" customWidth="1"/>
    <col min="1026" max="1026" width="11.85546875" style="1" customWidth="1"/>
    <col min="1027" max="1027" width="9.42578125" style="1" customWidth="1"/>
    <col min="1028" max="1028" width="14.7109375" style="1" customWidth="1"/>
    <col min="1029" max="1029" width="11.5703125" style="1" customWidth="1"/>
    <col min="1030" max="1030" width="0.42578125" style="1" customWidth="1"/>
    <col min="1031" max="1031" width="10.5703125" style="1" bestFit="1" customWidth="1"/>
    <col min="1032" max="1032" width="12.28515625" style="1" customWidth="1"/>
    <col min="1033" max="1033" width="12.5703125" style="1" customWidth="1"/>
    <col min="1034" max="1034" width="10.5703125" style="1" customWidth="1"/>
    <col min="1035" max="1035" width="10.140625" style="1" customWidth="1"/>
    <col min="1036" max="1036" width="8.42578125" style="1" customWidth="1"/>
    <col min="1037" max="1037" width="18.85546875" style="1" customWidth="1"/>
    <col min="1038" max="1038" width="10.28515625" style="1" customWidth="1"/>
    <col min="1039" max="1039" width="11.42578125" style="1" customWidth="1"/>
    <col min="1040" max="1040" width="12.140625" style="1" customWidth="1"/>
    <col min="1041" max="1041" width="10.5703125" style="1" customWidth="1"/>
    <col min="1042" max="1042" width="12.42578125" style="1" customWidth="1"/>
    <col min="1043" max="1043" width="15.140625" style="1" customWidth="1"/>
    <col min="1044" max="1044" width="13.5703125" style="1" customWidth="1"/>
    <col min="1045" max="1045" width="13.140625" style="1" customWidth="1"/>
    <col min="1046" max="1046" width="15.7109375" style="1" customWidth="1"/>
    <col min="1047" max="1047" width="37.5703125" style="1" customWidth="1"/>
    <col min="1048" max="1269" width="11.42578125" style="1"/>
    <col min="1270" max="1270" width="10.5703125" style="1" customWidth="1"/>
    <col min="1271" max="1271" width="4.85546875" style="1" customWidth="1"/>
    <col min="1272" max="1272" width="32.42578125" style="1" customWidth="1"/>
    <col min="1273" max="1273" width="9.85546875" style="1" customWidth="1"/>
    <col min="1274" max="1274" width="10.140625" style="1" customWidth="1"/>
    <col min="1275" max="1275" width="12.28515625" style="1" customWidth="1"/>
    <col min="1276" max="1276" width="15.42578125" style="1" customWidth="1"/>
    <col min="1277" max="1277" width="11.85546875" style="1" customWidth="1"/>
    <col min="1278" max="1278" width="13.28515625" style="1" customWidth="1"/>
    <col min="1279" max="1279" width="15.28515625" style="1" customWidth="1"/>
    <col min="1280" max="1280" width="11.85546875" style="1" customWidth="1"/>
    <col min="1281" max="1281" width="6.140625" style="1" customWidth="1"/>
    <col min="1282" max="1282" width="11.85546875" style="1" customWidth="1"/>
    <col min="1283" max="1283" width="9.42578125" style="1" customWidth="1"/>
    <col min="1284" max="1284" width="14.7109375" style="1" customWidth="1"/>
    <col min="1285" max="1285" width="11.5703125" style="1" customWidth="1"/>
    <col min="1286" max="1286" width="0.42578125" style="1" customWidth="1"/>
    <col min="1287" max="1287" width="10.5703125" style="1" bestFit="1" customWidth="1"/>
    <col min="1288" max="1288" width="12.28515625" style="1" customWidth="1"/>
    <col min="1289" max="1289" width="12.5703125" style="1" customWidth="1"/>
    <col min="1290" max="1290" width="10.5703125" style="1" customWidth="1"/>
    <col min="1291" max="1291" width="10.140625" style="1" customWidth="1"/>
    <col min="1292" max="1292" width="8.42578125" style="1" customWidth="1"/>
    <col min="1293" max="1293" width="18.85546875" style="1" customWidth="1"/>
    <col min="1294" max="1294" width="10.28515625" style="1" customWidth="1"/>
    <col min="1295" max="1295" width="11.42578125" style="1" customWidth="1"/>
    <col min="1296" max="1296" width="12.140625" style="1" customWidth="1"/>
    <col min="1297" max="1297" width="10.5703125" style="1" customWidth="1"/>
    <col min="1298" max="1298" width="12.42578125" style="1" customWidth="1"/>
    <col min="1299" max="1299" width="15.140625" style="1" customWidth="1"/>
    <col min="1300" max="1300" width="13.5703125" style="1" customWidth="1"/>
    <col min="1301" max="1301" width="13.140625" style="1" customWidth="1"/>
    <col min="1302" max="1302" width="15.7109375" style="1" customWidth="1"/>
    <col min="1303" max="1303" width="37.5703125" style="1" customWidth="1"/>
    <col min="1304" max="1525" width="11.42578125" style="1"/>
    <col min="1526" max="1526" width="10.5703125" style="1" customWidth="1"/>
    <col min="1527" max="1527" width="4.85546875" style="1" customWidth="1"/>
    <col min="1528" max="1528" width="32.42578125" style="1" customWidth="1"/>
    <col min="1529" max="1529" width="9.85546875" style="1" customWidth="1"/>
    <col min="1530" max="1530" width="10.140625" style="1" customWidth="1"/>
    <col min="1531" max="1531" width="12.28515625" style="1" customWidth="1"/>
    <col min="1532" max="1532" width="15.42578125" style="1" customWidth="1"/>
    <col min="1533" max="1533" width="11.85546875" style="1" customWidth="1"/>
    <col min="1534" max="1534" width="13.28515625" style="1" customWidth="1"/>
    <col min="1535" max="1535" width="15.28515625" style="1" customWidth="1"/>
    <col min="1536" max="1536" width="11.85546875" style="1" customWidth="1"/>
    <col min="1537" max="1537" width="6.140625" style="1" customWidth="1"/>
    <col min="1538" max="1538" width="11.85546875" style="1" customWidth="1"/>
    <col min="1539" max="1539" width="9.42578125" style="1" customWidth="1"/>
    <col min="1540" max="1540" width="14.7109375" style="1" customWidth="1"/>
    <col min="1541" max="1541" width="11.5703125" style="1" customWidth="1"/>
    <col min="1542" max="1542" width="0.42578125" style="1" customWidth="1"/>
    <col min="1543" max="1543" width="10.5703125" style="1" bestFit="1" customWidth="1"/>
    <col min="1544" max="1544" width="12.28515625" style="1" customWidth="1"/>
    <col min="1545" max="1545" width="12.5703125" style="1" customWidth="1"/>
    <col min="1546" max="1546" width="10.5703125" style="1" customWidth="1"/>
    <col min="1547" max="1547" width="10.140625" style="1" customWidth="1"/>
    <col min="1548" max="1548" width="8.42578125" style="1" customWidth="1"/>
    <col min="1549" max="1549" width="18.85546875" style="1" customWidth="1"/>
    <col min="1550" max="1550" width="10.28515625" style="1" customWidth="1"/>
    <col min="1551" max="1551" width="11.42578125" style="1" customWidth="1"/>
    <col min="1552" max="1552" width="12.140625" style="1" customWidth="1"/>
    <col min="1553" max="1553" width="10.5703125" style="1" customWidth="1"/>
    <col min="1554" max="1554" width="12.42578125" style="1" customWidth="1"/>
    <col min="1555" max="1555" width="15.140625" style="1" customWidth="1"/>
    <col min="1556" max="1556" width="13.5703125" style="1" customWidth="1"/>
    <col min="1557" max="1557" width="13.140625" style="1" customWidth="1"/>
    <col min="1558" max="1558" width="15.7109375" style="1" customWidth="1"/>
    <col min="1559" max="1559" width="37.5703125" style="1" customWidth="1"/>
    <col min="1560" max="1781" width="11.42578125" style="1"/>
    <col min="1782" max="1782" width="10.5703125" style="1" customWidth="1"/>
    <col min="1783" max="1783" width="4.85546875" style="1" customWidth="1"/>
    <col min="1784" max="1784" width="32.42578125" style="1" customWidth="1"/>
    <col min="1785" max="1785" width="9.85546875" style="1" customWidth="1"/>
    <col min="1786" max="1786" width="10.140625" style="1" customWidth="1"/>
    <col min="1787" max="1787" width="12.28515625" style="1" customWidth="1"/>
    <col min="1788" max="1788" width="15.42578125" style="1" customWidth="1"/>
    <col min="1789" max="1789" width="11.85546875" style="1" customWidth="1"/>
    <col min="1790" max="1790" width="13.28515625" style="1" customWidth="1"/>
    <col min="1791" max="1791" width="15.28515625" style="1" customWidth="1"/>
    <col min="1792" max="1792" width="11.85546875" style="1" customWidth="1"/>
    <col min="1793" max="1793" width="6.140625" style="1" customWidth="1"/>
    <col min="1794" max="1794" width="11.85546875" style="1" customWidth="1"/>
    <col min="1795" max="1795" width="9.42578125" style="1" customWidth="1"/>
    <col min="1796" max="1796" width="14.7109375" style="1" customWidth="1"/>
    <col min="1797" max="1797" width="11.5703125" style="1" customWidth="1"/>
    <col min="1798" max="1798" width="0.42578125" style="1" customWidth="1"/>
    <col min="1799" max="1799" width="10.5703125" style="1" bestFit="1" customWidth="1"/>
    <col min="1800" max="1800" width="12.28515625" style="1" customWidth="1"/>
    <col min="1801" max="1801" width="12.5703125" style="1" customWidth="1"/>
    <col min="1802" max="1802" width="10.5703125" style="1" customWidth="1"/>
    <col min="1803" max="1803" width="10.140625" style="1" customWidth="1"/>
    <col min="1804" max="1804" width="8.42578125" style="1" customWidth="1"/>
    <col min="1805" max="1805" width="18.85546875" style="1" customWidth="1"/>
    <col min="1806" max="1806" width="10.28515625" style="1" customWidth="1"/>
    <col min="1807" max="1807" width="11.42578125" style="1" customWidth="1"/>
    <col min="1808" max="1808" width="12.140625" style="1" customWidth="1"/>
    <col min="1809" max="1809" width="10.5703125" style="1" customWidth="1"/>
    <col min="1810" max="1810" width="12.42578125" style="1" customWidth="1"/>
    <col min="1811" max="1811" width="15.140625" style="1" customWidth="1"/>
    <col min="1812" max="1812" width="13.5703125" style="1" customWidth="1"/>
    <col min="1813" max="1813" width="13.140625" style="1" customWidth="1"/>
    <col min="1814" max="1814" width="15.7109375" style="1" customWidth="1"/>
    <col min="1815" max="1815" width="37.5703125" style="1" customWidth="1"/>
    <col min="1816" max="2037" width="11.42578125" style="1"/>
    <col min="2038" max="2038" width="10.5703125" style="1" customWidth="1"/>
    <col min="2039" max="2039" width="4.85546875" style="1" customWidth="1"/>
    <col min="2040" max="2040" width="32.42578125" style="1" customWidth="1"/>
    <col min="2041" max="2041" width="9.85546875" style="1" customWidth="1"/>
    <col min="2042" max="2042" width="10.140625" style="1" customWidth="1"/>
    <col min="2043" max="2043" width="12.28515625" style="1" customWidth="1"/>
    <col min="2044" max="2044" width="15.42578125" style="1" customWidth="1"/>
    <col min="2045" max="2045" width="11.85546875" style="1" customWidth="1"/>
    <col min="2046" max="2046" width="13.28515625" style="1" customWidth="1"/>
    <col min="2047" max="2047" width="15.28515625" style="1" customWidth="1"/>
    <col min="2048" max="2048" width="11.85546875" style="1" customWidth="1"/>
    <col min="2049" max="2049" width="6.140625" style="1" customWidth="1"/>
    <col min="2050" max="2050" width="11.85546875" style="1" customWidth="1"/>
    <col min="2051" max="2051" width="9.42578125" style="1" customWidth="1"/>
    <col min="2052" max="2052" width="14.7109375" style="1" customWidth="1"/>
    <col min="2053" max="2053" width="11.5703125" style="1" customWidth="1"/>
    <col min="2054" max="2054" width="0.42578125" style="1" customWidth="1"/>
    <col min="2055" max="2055" width="10.5703125" style="1" bestFit="1" customWidth="1"/>
    <col min="2056" max="2056" width="12.28515625" style="1" customWidth="1"/>
    <col min="2057" max="2057" width="12.5703125" style="1" customWidth="1"/>
    <col min="2058" max="2058" width="10.5703125" style="1" customWidth="1"/>
    <col min="2059" max="2059" width="10.140625" style="1" customWidth="1"/>
    <col min="2060" max="2060" width="8.42578125" style="1" customWidth="1"/>
    <col min="2061" max="2061" width="18.85546875" style="1" customWidth="1"/>
    <col min="2062" max="2062" width="10.28515625" style="1" customWidth="1"/>
    <col min="2063" max="2063" width="11.42578125" style="1" customWidth="1"/>
    <col min="2064" max="2064" width="12.140625" style="1" customWidth="1"/>
    <col min="2065" max="2065" width="10.5703125" style="1" customWidth="1"/>
    <col min="2066" max="2066" width="12.42578125" style="1" customWidth="1"/>
    <col min="2067" max="2067" width="15.140625" style="1" customWidth="1"/>
    <col min="2068" max="2068" width="13.5703125" style="1" customWidth="1"/>
    <col min="2069" max="2069" width="13.140625" style="1" customWidth="1"/>
    <col min="2070" max="2070" width="15.7109375" style="1" customWidth="1"/>
    <col min="2071" max="2071" width="37.5703125" style="1" customWidth="1"/>
    <col min="2072" max="2293" width="11.42578125" style="1"/>
    <col min="2294" max="2294" width="10.5703125" style="1" customWidth="1"/>
    <col min="2295" max="2295" width="4.85546875" style="1" customWidth="1"/>
    <col min="2296" max="2296" width="32.42578125" style="1" customWidth="1"/>
    <col min="2297" max="2297" width="9.85546875" style="1" customWidth="1"/>
    <col min="2298" max="2298" width="10.140625" style="1" customWidth="1"/>
    <col min="2299" max="2299" width="12.28515625" style="1" customWidth="1"/>
    <col min="2300" max="2300" width="15.42578125" style="1" customWidth="1"/>
    <col min="2301" max="2301" width="11.85546875" style="1" customWidth="1"/>
    <col min="2302" max="2302" width="13.28515625" style="1" customWidth="1"/>
    <col min="2303" max="2303" width="15.28515625" style="1" customWidth="1"/>
    <col min="2304" max="2304" width="11.85546875" style="1" customWidth="1"/>
    <col min="2305" max="2305" width="6.140625" style="1" customWidth="1"/>
    <col min="2306" max="2306" width="11.85546875" style="1" customWidth="1"/>
    <col min="2307" max="2307" width="9.42578125" style="1" customWidth="1"/>
    <col min="2308" max="2308" width="14.7109375" style="1" customWidth="1"/>
    <col min="2309" max="2309" width="11.5703125" style="1" customWidth="1"/>
    <col min="2310" max="2310" width="0.42578125" style="1" customWidth="1"/>
    <col min="2311" max="2311" width="10.5703125" style="1" bestFit="1" customWidth="1"/>
    <col min="2312" max="2312" width="12.28515625" style="1" customWidth="1"/>
    <col min="2313" max="2313" width="12.5703125" style="1" customWidth="1"/>
    <col min="2314" max="2314" width="10.5703125" style="1" customWidth="1"/>
    <col min="2315" max="2315" width="10.140625" style="1" customWidth="1"/>
    <col min="2316" max="2316" width="8.42578125" style="1" customWidth="1"/>
    <col min="2317" max="2317" width="18.85546875" style="1" customWidth="1"/>
    <col min="2318" max="2318" width="10.28515625" style="1" customWidth="1"/>
    <col min="2319" max="2319" width="11.42578125" style="1" customWidth="1"/>
    <col min="2320" max="2320" width="12.140625" style="1" customWidth="1"/>
    <col min="2321" max="2321" width="10.5703125" style="1" customWidth="1"/>
    <col min="2322" max="2322" width="12.42578125" style="1" customWidth="1"/>
    <col min="2323" max="2323" width="15.140625" style="1" customWidth="1"/>
    <col min="2324" max="2324" width="13.5703125" style="1" customWidth="1"/>
    <col min="2325" max="2325" width="13.140625" style="1" customWidth="1"/>
    <col min="2326" max="2326" width="15.7109375" style="1" customWidth="1"/>
    <col min="2327" max="2327" width="37.5703125" style="1" customWidth="1"/>
    <col min="2328" max="2549" width="11.42578125" style="1"/>
    <col min="2550" max="2550" width="10.5703125" style="1" customWidth="1"/>
    <col min="2551" max="2551" width="4.85546875" style="1" customWidth="1"/>
    <col min="2552" max="2552" width="32.42578125" style="1" customWidth="1"/>
    <col min="2553" max="2553" width="9.85546875" style="1" customWidth="1"/>
    <col min="2554" max="2554" width="10.140625" style="1" customWidth="1"/>
    <col min="2555" max="2555" width="12.28515625" style="1" customWidth="1"/>
    <col min="2556" max="2556" width="15.42578125" style="1" customWidth="1"/>
    <col min="2557" max="2557" width="11.85546875" style="1" customWidth="1"/>
    <col min="2558" max="2558" width="13.28515625" style="1" customWidth="1"/>
    <col min="2559" max="2559" width="15.28515625" style="1" customWidth="1"/>
    <col min="2560" max="2560" width="11.85546875" style="1" customWidth="1"/>
    <col min="2561" max="2561" width="6.140625" style="1" customWidth="1"/>
    <col min="2562" max="2562" width="11.85546875" style="1" customWidth="1"/>
    <col min="2563" max="2563" width="9.42578125" style="1" customWidth="1"/>
    <col min="2564" max="2564" width="14.7109375" style="1" customWidth="1"/>
    <col min="2565" max="2565" width="11.5703125" style="1" customWidth="1"/>
    <col min="2566" max="2566" width="0.42578125" style="1" customWidth="1"/>
    <col min="2567" max="2567" width="10.5703125" style="1" bestFit="1" customWidth="1"/>
    <col min="2568" max="2568" width="12.28515625" style="1" customWidth="1"/>
    <col min="2569" max="2569" width="12.5703125" style="1" customWidth="1"/>
    <col min="2570" max="2570" width="10.5703125" style="1" customWidth="1"/>
    <col min="2571" max="2571" width="10.140625" style="1" customWidth="1"/>
    <col min="2572" max="2572" width="8.42578125" style="1" customWidth="1"/>
    <col min="2573" max="2573" width="18.85546875" style="1" customWidth="1"/>
    <col min="2574" max="2574" width="10.28515625" style="1" customWidth="1"/>
    <col min="2575" max="2575" width="11.42578125" style="1" customWidth="1"/>
    <col min="2576" max="2576" width="12.140625" style="1" customWidth="1"/>
    <col min="2577" max="2577" width="10.5703125" style="1" customWidth="1"/>
    <col min="2578" max="2578" width="12.42578125" style="1" customWidth="1"/>
    <col min="2579" max="2579" width="15.140625" style="1" customWidth="1"/>
    <col min="2580" max="2580" width="13.5703125" style="1" customWidth="1"/>
    <col min="2581" max="2581" width="13.140625" style="1" customWidth="1"/>
    <col min="2582" max="2582" width="15.7109375" style="1" customWidth="1"/>
    <col min="2583" max="2583" width="37.5703125" style="1" customWidth="1"/>
    <col min="2584" max="2805" width="11.42578125" style="1"/>
    <col min="2806" max="2806" width="10.5703125" style="1" customWidth="1"/>
    <col min="2807" max="2807" width="4.85546875" style="1" customWidth="1"/>
    <col min="2808" max="2808" width="32.42578125" style="1" customWidth="1"/>
    <col min="2809" max="2809" width="9.85546875" style="1" customWidth="1"/>
    <col min="2810" max="2810" width="10.140625" style="1" customWidth="1"/>
    <col min="2811" max="2811" width="12.28515625" style="1" customWidth="1"/>
    <col min="2812" max="2812" width="15.42578125" style="1" customWidth="1"/>
    <col min="2813" max="2813" width="11.85546875" style="1" customWidth="1"/>
    <col min="2814" max="2814" width="13.28515625" style="1" customWidth="1"/>
    <col min="2815" max="2815" width="15.28515625" style="1" customWidth="1"/>
    <col min="2816" max="2816" width="11.85546875" style="1" customWidth="1"/>
    <col min="2817" max="2817" width="6.140625" style="1" customWidth="1"/>
    <col min="2818" max="2818" width="11.85546875" style="1" customWidth="1"/>
    <col min="2819" max="2819" width="9.42578125" style="1" customWidth="1"/>
    <col min="2820" max="2820" width="14.7109375" style="1" customWidth="1"/>
    <col min="2821" max="2821" width="11.5703125" style="1" customWidth="1"/>
    <col min="2822" max="2822" width="0.42578125" style="1" customWidth="1"/>
    <col min="2823" max="2823" width="10.5703125" style="1" bestFit="1" customWidth="1"/>
    <col min="2824" max="2824" width="12.28515625" style="1" customWidth="1"/>
    <col min="2825" max="2825" width="12.5703125" style="1" customWidth="1"/>
    <col min="2826" max="2826" width="10.5703125" style="1" customWidth="1"/>
    <col min="2827" max="2827" width="10.140625" style="1" customWidth="1"/>
    <col min="2828" max="2828" width="8.42578125" style="1" customWidth="1"/>
    <col min="2829" max="2829" width="18.85546875" style="1" customWidth="1"/>
    <col min="2830" max="2830" width="10.28515625" style="1" customWidth="1"/>
    <col min="2831" max="2831" width="11.42578125" style="1" customWidth="1"/>
    <col min="2832" max="2832" width="12.140625" style="1" customWidth="1"/>
    <col min="2833" max="2833" width="10.5703125" style="1" customWidth="1"/>
    <col min="2834" max="2834" width="12.42578125" style="1" customWidth="1"/>
    <col min="2835" max="2835" width="15.140625" style="1" customWidth="1"/>
    <col min="2836" max="2836" width="13.5703125" style="1" customWidth="1"/>
    <col min="2837" max="2837" width="13.140625" style="1" customWidth="1"/>
    <col min="2838" max="2838" width="15.7109375" style="1" customWidth="1"/>
    <col min="2839" max="2839" width="37.5703125" style="1" customWidth="1"/>
    <col min="2840" max="3061" width="11.42578125" style="1"/>
    <col min="3062" max="3062" width="10.5703125" style="1" customWidth="1"/>
    <col min="3063" max="3063" width="4.85546875" style="1" customWidth="1"/>
    <col min="3064" max="3064" width="32.42578125" style="1" customWidth="1"/>
    <col min="3065" max="3065" width="9.85546875" style="1" customWidth="1"/>
    <col min="3066" max="3066" width="10.140625" style="1" customWidth="1"/>
    <col min="3067" max="3067" width="12.28515625" style="1" customWidth="1"/>
    <col min="3068" max="3068" width="15.42578125" style="1" customWidth="1"/>
    <col min="3069" max="3069" width="11.85546875" style="1" customWidth="1"/>
    <col min="3070" max="3070" width="13.28515625" style="1" customWidth="1"/>
    <col min="3071" max="3071" width="15.28515625" style="1" customWidth="1"/>
    <col min="3072" max="3072" width="11.85546875" style="1" customWidth="1"/>
    <col min="3073" max="3073" width="6.140625" style="1" customWidth="1"/>
    <col min="3074" max="3074" width="11.85546875" style="1" customWidth="1"/>
    <col min="3075" max="3075" width="9.42578125" style="1" customWidth="1"/>
    <col min="3076" max="3076" width="14.7109375" style="1" customWidth="1"/>
    <col min="3077" max="3077" width="11.5703125" style="1" customWidth="1"/>
    <col min="3078" max="3078" width="0.42578125" style="1" customWidth="1"/>
    <col min="3079" max="3079" width="10.5703125" style="1" bestFit="1" customWidth="1"/>
    <col min="3080" max="3080" width="12.28515625" style="1" customWidth="1"/>
    <col min="3081" max="3081" width="12.5703125" style="1" customWidth="1"/>
    <col min="3082" max="3082" width="10.5703125" style="1" customWidth="1"/>
    <col min="3083" max="3083" width="10.140625" style="1" customWidth="1"/>
    <col min="3084" max="3084" width="8.42578125" style="1" customWidth="1"/>
    <col min="3085" max="3085" width="18.85546875" style="1" customWidth="1"/>
    <col min="3086" max="3086" width="10.28515625" style="1" customWidth="1"/>
    <col min="3087" max="3087" width="11.42578125" style="1" customWidth="1"/>
    <col min="3088" max="3088" width="12.140625" style="1" customWidth="1"/>
    <col min="3089" max="3089" width="10.5703125" style="1" customWidth="1"/>
    <col min="3090" max="3090" width="12.42578125" style="1" customWidth="1"/>
    <col min="3091" max="3091" width="15.140625" style="1" customWidth="1"/>
    <col min="3092" max="3092" width="13.5703125" style="1" customWidth="1"/>
    <col min="3093" max="3093" width="13.140625" style="1" customWidth="1"/>
    <col min="3094" max="3094" width="15.7109375" style="1" customWidth="1"/>
    <col min="3095" max="3095" width="37.5703125" style="1" customWidth="1"/>
    <col min="3096" max="3317" width="11.42578125" style="1"/>
    <col min="3318" max="3318" width="10.5703125" style="1" customWidth="1"/>
    <col min="3319" max="3319" width="4.85546875" style="1" customWidth="1"/>
    <col min="3320" max="3320" width="32.42578125" style="1" customWidth="1"/>
    <col min="3321" max="3321" width="9.85546875" style="1" customWidth="1"/>
    <col min="3322" max="3322" width="10.140625" style="1" customWidth="1"/>
    <col min="3323" max="3323" width="12.28515625" style="1" customWidth="1"/>
    <col min="3324" max="3324" width="15.42578125" style="1" customWidth="1"/>
    <col min="3325" max="3325" width="11.85546875" style="1" customWidth="1"/>
    <col min="3326" max="3326" width="13.28515625" style="1" customWidth="1"/>
    <col min="3327" max="3327" width="15.28515625" style="1" customWidth="1"/>
    <col min="3328" max="3328" width="11.85546875" style="1" customWidth="1"/>
    <col min="3329" max="3329" width="6.140625" style="1" customWidth="1"/>
    <col min="3330" max="3330" width="11.85546875" style="1" customWidth="1"/>
    <col min="3331" max="3331" width="9.42578125" style="1" customWidth="1"/>
    <col min="3332" max="3332" width="14.7109375" style="1" customWidth="1"/>
    <col min="3333" max="3333" width="11.5703125" style="1" customWidth="1"/>
    <col min="3334" max="3334" width="0.42578125" style="1" customWidth="1"/>
    <col min="3335" max="3335" width="10.5703125" style="1" bestFit="1" customWidth="1"/>
    <col min="3336" max="3336" width="12.28515625" style="1" customWidth="1"/>
    <col min="3337" max="3337" width="12.5703125" style="1" customWidth="1"/>
    <col min="3338" max="3338" width="10.5703125" style="1" customWidth="1"/>
    <col min="3339" max="3339" width="10.140625" style="1" customWidth="1"/>
    <col min="3340" max="3340" width="8.42578125" style="1" customWidth="1"/>
    <col min="3341" max="3341" width="18.85546875" style="1" customWidth="1"/>
    <col min="3342" max="3342" width="10.28515625" style="1" customWidth="1"/>
    <col min="3343" max="3343" width="11.42578125" style="1" customWidth="1"/>
    <col min="3344" max="3344" width="12.140625" style="1" customWidth="1"/>
    <col min="3345" max="3345" width="10.5703125" style="1" customWidth="1"/>
    <col min="3346" max="3346" width="12.42578125" style="1" customWidth="1"/>
    <col min="3347" max="3347" width="15.140625" style="1" customWidth="1"/>
    <col min="3348" max="3348" width="13.5703125" style="1" customWidth="1"/>
    <col min="3349" max="3349" width="13.140625" style="1" customWidth="1"/>
    <col min="3350" max="3350" width="15.7109375" style="1" customWidth="1"/>
    <col min="3351" max="3351" width="37.5703125" style="1" customWidth="1"/>
    <col min="3352" max="3573" width="11.42578125" style="1"/>
    <col min="3574" max="3574" width="10.5703125" style="1" customWidth="1"/>
    <col min="3575" max="3575" width="4.85546875" style="1" customWidth="1"/>
    <col min="3576" max="3576" width="32.42578125" style="1" customWidth="1"/>
    <col min="3577" max="3577" width="9.85546875" style="1" customWidth="1"/>
    <col min="3578" max="3578" width="10.140625" style="1" customWidth="1"/>
    <col min="3579" max="3579" width="12.28515625" style="1" customWidth="1"/>
    <col min="3580" max="3580" width="15.42578125" style="1" customWidth="1"/>
    <col min="3581" max="3581" width="11.85546875" style="1" customWidth="1"/>
    <col min="3582" max="3582" width="13.28515625" style="1" customWidth="1"/>
    <col min="3583" max="3583" width="15.28515625" style="1" customWidth="1"/>
    <col min="3584" max="3584" width="11.85546875" style="1" customWidth="1"/>
    <col min="3585" max="3585" width="6.140625" style="1" customWidth="1"/>
    <col min="3586" max="3586" width="11.85546875" style="1" customWidth="1"/>
    <col min="3587" max="3587" width="9.42578125" style="1" customWidth="1"/>
    <col min="3588" max="3588" width="14.7109375" style="1" customWidth="1"/>
    <col min="3589" max="3589" width="11.5703125" style="1" customWidth="1"/>
    <col min="3590" max="3590" width="0.42578125" style="1" customWidth="1"/>
    <col min="3591" max="3591" width="10.5703125" style="1" bestFit="1" customWidth="1"/>
    <col min="3592" max="3592" width="12.28515625" style="1" customWidth="1"/>
    <col min="3593" max="3593" width="12.5703125" style="1" customWidth="1"/>
    <col min="3594" max="3594" width="10.5703125" style="1" customWidth="1"/>
    <col min="3595" max="3595" width="10.140625" style="1" customWidth="1"/>
    <col min="3596" max="3596" width="8.42578125" style="1" customWidth="1"/>
    <col min="3597" max="3597" width="18.85546875" style="1" customWidth="1"/>
    <col min="3598" max="3598" width="10.28515625" style="1" customWidth="1"/>
    <col min="3599" max="3599" width="11.42578125" style="1" customWidth="1"/>
    <col min="3600" max="3600" width="12.140625" style="1" customWidth="1"/>
    <col min="3601" max="3601" width="10.5703125" style="1" customWidth="1"/>
    <col min="3602" max="3602" width="12.42578125" style="1" customWidth="1"/>
    <col min="3603" max="3603" width="15.140625" style="1" customWidth="1"/>
    <col min="3604" max="3604" width="13.5703125" style="1" customWidth="1"/>
    <col min="3605" max="3605" width="13.140625" style="1" customWidth="1"/>
    <col min="3606" max="3606" width="15.7109375" style="1" customWidth="1"/>
    <col min="3607" max="3607" width="37.5703125" style="1" customWidth="1"/>
    <col min="3608" max="3829" width="11.42578125" style="1"/>
    <col min="3830" max="3830" width="10.5703125" style="1" customWidth="1"/>
    <col min="3831" max="3831" width="4.85546875" style="1" customWidth="1"/>
    <col min="3832" max="3832" width="32.42578125" style="1" customWidth="1"/>
    <col min="3833" max="3833" width="9.85546875" style="1" customWidth="1"/>
    <col min="3834" max="3834" width="10.140625" style="1" customWidth="1"/>
    <col min="3835" max="3835" width="12.28515625" style="1" customWidth="1"/>
    <col min="3836" max="3836" width="15.42578125" style="1" customWidth="1"/>
    <col min="3837" max="3837" width="11.85546875" style="1" customWidth="1"/>
    <col min="3838" max="3838" width="13.28515625" style="1" customWidth="1"/>
    <col min="3839" max="3839" width="15.28515625" style="1" customWidth="1"/>
    <col min="3840" max="3840" width="11.85546875" style="1" customWidth="1"/>
    <col min="3841" max="3841" width="6.140625" style="1" customWidth="1"/>
    <col min="3842" max="3842" width="11.85546875" style="1" customWidth="1"/>
    <col min="3843" max="3843" width="9.42578125" style="1" customWidth="1"/>
    <col min="3844" max="3844" width="14.7109375" style="1" customWidth="1"/>
    <col min="3845" max="3845" width="11.5703125" style="1" customWidth="1"/>
    <col min="3846" max="3846" width="0.42578125" style="1" customWidth="1"/>
    <col min="3847" max="3847" width="10.5703125" style="1" bestFit="1" customWidth="1"/>
    <col min="3848" max="3848" width="12.28515625" style="1" customWidth="1"/>
    <col min="3849" max="3849" width="12.5703125" style="1" customWidth="1"/>
    <col min="3850" max="3850" width="10.5703125" style="1" customWidth="1"/>
    <col min="3851" max="3851" width="10.140625" style="1" customWidth="1"/>
    <col min="3852" max="3852" width="8.42578125" style="1" customWidth="1"/>
    <col min="3853" max="3853" width="18.85546875" style="1" customWidth="1"/>
    <col min="3854" max="3854" width="10.28515625" style="1" customWidth="1"/>
    <col min="3855" max="3855" width="11.42578125" style="1" customWidth="1"/>
    <col min="3856" max="3856" width="12.140625" style="1" customWidth="1"/>
    <col min="3857" max="3857" width="10.5703125" style="1" customWidth="1"/>
    <col min="3858" max="3858" width="12.42578125" style="1" customWidth="1"/>
    <col min="3859" max="3859" width="15.140625" style="1" customWidth="1"/>
    <col min="3860" max="3860" width="13.5703125" style="1" customWidth="1"/>
    <col min="3861" max="3861" width="13.140625" style="1" customWidth="1"/>
    <col min="3862" max="3862" width="15.7109375" style="1" customWidth="1"/>
    <col min="3863" max="3863" width="37.5703125" style="1" customWidth="1"/>
    <col min="3864" max="4085" width="11.42578125" style="1"/>
    <col min="4086" max="4086" width="10.5703125" style="1" customWidth="1"/>
    <col min="4087" max="4087" width="4.85546875" style="1" customWidth="1"/>
    <col min="4088" max="4088" width="32.42578125" style="1" customWidth="1"/>
    <col min="4089" max="4089" width="9.85546875" style="1" customWidth="1"/>
    <col min="4090" max="4090" width="10.140625" style="1" customWidth="1"/>
    <col min="4091" max="4091" width="12.28515625" style="1" customWidth="1"/>
    <col min="4092" max="4092" width="15.42578125" style="1" customWidth="1"/>
    <col min="4093" max="4093" width="11.85546875" style="1" customWidth="1"/>
    <col min="4094" max="4094" width="13.28515625" style="1" customWidth="1"/>
    <col min="4095" max="4095" width="15.28515625" style="1" customWidth="1"/>
    <col min="4096" max="4096" width="11.85546875" style="1" customWidth="1"/>
    <col min="4097" max="4097" width="6.140625" style="1" customWidth="1"/>
    <col min="4098" max="4098" width="11.85546875" style="1" customWidth="1"/>
    <col min="4099" max="4099" width="9.42578125" style="1" customWidth="1"/>
    <col min="4100" max="4100" width="14.7109375" style="1" customWidth="1"/>
    <col min="4101" max="4101" width="11.5703125" style="1" customWidth="1"/>
    <col min="4102" max="4102" width="0.42578125" style="1" customWidth="1"/>
    <col min="4103" max="4103" width="10.5703125" style="1" bestFit="1" customWidth="1"/>
    <col min="4104" max="4104" width="12.28515625" style="1" customWidth="1"/>
    <col min="4105" max="4105" width="12.5703125" style="1" customWidth="1"/>
    <col min="4106" max="4106" width="10.5703125" style="1" customWidth="1"/>
    <col min="4107" max="4107" width="10.140625" style="1" customWidth="1"/>
    <col min="4108" max="4108" width="8.42578125" style="1" customWidth="1"/>
    <col min="4109" max="4109" width="18.85546875" style="1" customWidth="1"/>
    <col min="4110" max="4110" width="10.28515625" style="1" customWidth="1"/>
    <col min="4111" max="4111" width="11.42578125" style="1" customWidth="1"/>
    <col min="4112" max="4112" width="12.140625" style="1" customWidth="1"/>
    <col min="4113" max="4113" width="10.5703125" style="1" customWidth="1"/>
    <col min="4114" max="4114" width="12.42578125" style="1" customWidth="1"/>
    <col min="4115" max="4115" width="15.140625" style="1" customWidth="1"/>
    <col min="4116" max="4116" width="13.5703125" style="1" customWidth="1"/>
    <col min="4117" max="4117" width="13.140625" style="1" customWidth="1"/>
    <col min="4118" max="4118" width="15.7109375" style="1" customWidth="1"/>
    <col min="4119" max="4119" width="37.5703125" style="1" customWidth="1"/>
    <col min="4120" max="4341" width="11.42578125" style="1"/>
    <col min="4342" max="4342" width="10.5703125" style="1" customWidth="1"/>
    <col min="4343" max="4343" width="4.85546875" style="1" customWidth="1"/>
    <col min="4344" max="4344" width="32.42578125" style="1" customWidth="1"/>
    <col min="4345" max="4345" width="9.85546875" style="1" customWidth="1"/>
    <col min="4346" max="4346" width="10.140625" style="1" customWidth="1"/>
    <col min="4347" max="4347" width="12.28515625" style="1" customWidth="1"/>
    <col min="4348" max="4348" width="15.42578125" style="1" customWidth="1"/>
    <col min="4349" max="4349" width="11.85546875" style="1" customWidth="1"/>
    <col min="4350" max="4350" width="13.28515625" style="1" customWidth="1"/>
    <col min="4351" max="4351" width="15.28515625" style="1" customWidth="1"/>
    <col min="4352" max="4352" width="11.85546875" style="1" customWidth="1"/>
    <col min="4353" max="4353" width="6.140625" style="1" customWidth="1"/>
    <col min="4354" max="4354" width="11.85546875" style="1" customWidth="1"/>
    <col min="4355" max="4355" width="9.42578125" style="1" customWidth="1"/>
    <col min="4356" max="4356" width="14.7109375" style="1" customWidth="1"/>
    <col min="4357" max="4357" width="11.5703125" style="1" customWidth="1"/>
    <col min="4358" max="4358" width="0.42578125" style="1" customWidth="1"/>
    <col min="4359" max="4359" width="10.5703125" style="1" bestFit="1" customWidth="1"/>
    <col min="4360" max="4360" width="12.28515625" style="1" customWidth="1"/>
    <col min="4361" max="4361" width="12.5703125" style="1" customWidth="1"/>
    <col min="4362" max="4362" width="10.5703125" style="1" customWidth="1"/>
    <col min="4363" max="4363" width="10.140625" style="1" customWidth="1"/>
    <col min="4364" max="4364" width="8.42578125" style="1" customWidth="1"/>
    <col min="4365" max="4365" width="18.85546875" style="1" customWidth="1"/>
    <col min="4366" max="4366" width="10.28515625" style="1" customWidth="1"/>
    <col min="4367" max="4367" width="11.42578125" style="1" customWidth="1"/>
    <col min="4368" max="4368" width="12.140625" style="1" customWidth="1"/>
    <col min="4369" max="4369" width="10.5703125" style="1" customWidth="1"/>
    <col min="4370" max="4370" width="12.42578125" style="1" customWidth="1"/>
    <col min="4371" max="4371" width="15.140625" style="1" customWidth="1"/>
    <col min="4372" max="4372" width="13.5703125" style="1" customWidth="1"/>
    <col min="4373" max="4373" width="13.140625" style="1" customWidth="1"/>
    <col min="4374" max="4374" width="15.7109375" style="1" customWidth="1"/>
    <col min="4375" max="4375" width="37.5703125" style="1" customWidth="1"/>
    <col min="4376" max="4597" width="11.42578125" style="1"/>
    <col min="4598" max="4598" width="10.5703125" style="1" customWidth="1"/>
    <col min="4599" max="4599" width="4.85546875" style="1" customWidth="1"/>
    <col min="4600" max="4600" width="32.42578125" style="1" customWidth="1"/>
    <col min="4601" max="4601" width="9.85546875" style="1" customWidth="1"/>
    <col min="4602" max="4602" width="10.140625" style="1" customWidth="1"/>
    <col min="4603" max="4603" width="12.28515625" style="1" customWidth="1"/>
    <col min="4604" max="4604" width="15.42578125" style="1" customWidth="1"/>
    <col min="4605" max="4605" width="11.85546875" style="1" customWidth="1"/>
    <col min="4606" max="4606" width="13.28515625" style="1" customWidth="1"/>
    <col min="4607" max="4607" width="15.28515625" style="1" customWidth="1"/>
    <col min="4608" max="4608" width="11.85546875" style="1" customWidth="1"/>
    <col min="4609" max="4609" width="6.140625" style="1" customWidth="1"/>
    <col min="4610" max="4610" width="11.85546875" style="1" customWidth="1"/>
    <col min="4611" max="4611" width="9.42578125" style="1" customWidth="1"/>
    <col min="4612" max="4612" width="14.7109375" style="1" customWidth="1"/>
    <col min="4613" max="4613" width="11.5703125" style="1" customWidth="1"/>
    <col min="4614" max="4614" width="0.42578125" style="1" customWidth="1"/>
    <col min="4615" max="4615" width="10.5703125" style="1" bestFit="1" customWidth="1"/>
    <col min="4616" max="4616" width="12.28515625" style="1" customWidth="1"/>
    <col min="4617" max="4617" width="12.5703125" style="1" customWidth="1"/>
    <col min="4618" max="4618" width="10.5703125" style="1" customWidth="1"/>
    <col min="4619" max="4619" width="10.140625" style="1" customWidth="1"/>
    <col min="4620" max="4620" width="8.42578125" style="1" customWidth="1"/>
    <col min="4621" max="4621" width="18.85546875" style="1" customWidth="1"/>
    <col min="4622" max="4622" width="10.28515625" style="1" customWidth="1"/>
    <col min="4623" max="4623" width="11.42578125" style="1" customWidth="1"/>
    <col min="4624" max="4624" width="12.140625" style="1" customWidth="1"/>
    <col min="4625" max="4625" width="10.5703125" style="1" customWidth="1"/>
    <col min="4626" max="4626" width="12.42578125" style="1" customWidth="1"/>
    <col min="4627" max="4627" width="15.140625" style="1" customWidth="1"/>
    <col min="4628" max="4628" width="13.5703125" style="1" customWidth="1"/>
    <col min="4629" max="4629" width="13.140625" style="1" customWidth="1"/>
    <col min="4630" max="4630" width="15.7109375" style="1" customWidth="1"/>
    <col min="4631" max="4631" width="37.5703125" style="1" customWidth="1"/>
    <col min="4632" max="4853" width="11.42578125" style="1"/>
    <col min="4854" max="4854" width="10.5703125" style="1" customWidth="1"/>
    <col min="4855" max="4855" width="4.85546875" style="1" customWidth="1"/>
    <col min="4856" max="4856" width="32.42578125" style="1" customWidth="1"/>
    <col min="4857" max="4857" width="9.85546875" style="1" customWidth="1"/>
    <col min="4858" max="4858" width="10.140625" style="1" customWidth="1"/>
    <col min="4859" max="4859" width="12.28515625" style="1" customWidth="1"/>
    <col min="4860" max="4860" width="15.42578125" style="1" customWidth="1"/>
    <col min="4861" max="4861" width="11.85546875" style="1" customWidth="1"/>
    <col min="4862" max="4862" width="13.28515625" style="1" customWidth="1"/>
    <col min="4863" max="4863" width="15.28515625" style="1" customWidth="1"/>
    <col min="4864" max="4864" width="11.85546875" style="1" customWidth="1"/>
    <col min="4865" max="4865" width="6.140625" style="1" customWidth="1"/>
    <col min="4866" max="4866" width="11.85546875" style="1" customWidth="1"/>
    <col min="4867" max="4867" width="9.42578125" style="1" customWidth="1"/>
    <col min="4868" max="4868" width="14.7109375" style="1" customWidth="1"/>
    <col min="4869" max="4869" width="11.5703125" style="1" customWidth="1"/>
    <col min="4870" max="4870" width="0.42578125" style="1" customWidth="1"/>
    <col min="4871" max="4871" width="10.5703125" style="1" bestFit="1" customWidth="1"/>
    <col min="4872" max="4872" width="12.28515625" style="1" customWidth="1"/>
    <col min="4873" max="4873" width="12.5703125" style="1" customWidth="1"/>
    <col min="4874" max="4874" width="10.5703125" style="1" customWidth="1"/>
    <col min="4875" max="4875" width="10.140625" style="1" customWidth="1"/>
    <col min="4876" max="4876" width="8.42578125" style="1" customWidth="1"/>
    <col min="4877" max="4877" width="18.85546875" style="1" customWidth="1"/>
    <col min="4878" max="4878" width="10.28515625" style="1" customWidth="1"/>
    <col min="4879" max="4879" width="11.42578125" style="1" customWidth="1"/>
    <col min="4880" max="4880" width="12.140625" style="1" customWidth="1"/>
    <col min="4881" max="4881" width="10.5703125" style="1" customWidth="1"/>
    <col min="4882" max="4882" width="12.42578125" style="1" customWidth="1"/>
    <col min="4883" max="4883" width="15.140625" style="1" customWidth="1"/>
    <col min="4884" max="4884" width="13.5703125" style="1" customWidth="1"/>
    <col min="4885" max="4885" width="13.140625" style="1" customWidth="1"/>
    <col min="4886" max="4886" width="15.7109375" style="1" customWidth="1"/>
    <col min="4887" max="4887" width="37.5703125" style="1" customWidth="1"/>
    <col min="4888" max="5109" width="11.42578125" style="1"/>
    <col min="5110" max="5110" width="10.5703125" style="1" customWidth="1"/>
    <col min="5111" max="5111" width="4.85546875" style="1" customWidth="1"/>
    <col min="5112" max="5112" width="32.42578125" style="1" customWidth="1"/>
    <col min="5113" max="5113" width="9.85546875" style="1" customWidth="1"/>
    <col min="5114" max="5114" width="10.140625" style="1" customWidth="1"/>
    <col min="5115" max="5115" width="12.28515625" style="1" customWidth="1"/>
    <col min="5116" max="5116" width="15.42578125" style="1" customWidth="1"/>
    <col min="5117" max="5117" width="11.85546875" style="1" customWidth="1"/>
    <col min="5118" max="5118" width="13.28515625" style="1" customWidth="1"/>
    <col min="5119" max="5119" width="15.28515625" style="1" customWidth="1"/>
    <col min="5120" max="5120" width="11.85546875" style="1" customWidth="1"/>
    <col min="5121" max="5121" width="6.140625" style="1" customWidth="1"/>
    <col min="5122" max="5122" width="11.85546875" style="1" customWidth="1"/>
    <col min="5123" max="5123" width="9.42578125" style="1" customWidth="1"/>
    <col min="5124" max="5124" width="14.7109375" style="1" customWidth="1"/>
    <col min="5125" max="5125" width="11.5703125" style="1" customWidth="1"/>
    <col min="5126" max="5126" width="0.42578125" style="1" customWidth="1"/>
    <col min="5127" max="5127" width="10.5703125" style="1" bestFit="1" customWidth="1"/>
    <col min="5128" max="5128" width="12.28515625" style="1" customWidth="1"/>
    <col min="5129" max="5129" width="12.5703125" style="1" customWidth="1"/>
    <col min="5130" max="5130" width="10.5703125" style="1" customWidth="1"/>
    <col min="5131" max="5131" width="10.140625" style="1" customWidth="1"/>
    <col min="5132" max="5132" width="8.42578125" style="1" customWidth="1"/>
    <col min="5133" max="5133" width="18.85546875" style="1" customWidth="1"/>
    <col min="5134" max="5134" width="10.28515625" style="1" customWidth="1"/>
    <col min="5135" max="5135" width="11.42578125" style="1" customWidth="1"/>
    <col min="5136" max="5136" width="12.140625" style="1" customWidth="1"/>
    <col min="5137" max="5137" width="10.5703125" style="1" customWidth="1"/>
    <col min="5138" max="5138" width="12.42578125" style="1" customWidth="1"/>
    <col min="5139" max="5139" width="15.140625" style="1" customWidth="1"/>
    <col min="5140" max="5140" width="13.5703125" style="1" customWidth="1"/>
    <col min="5141" max="5141" width="13.140625" style="1" customWidth="1"/>
    <col min="5142" max="5142" width="15.7109375" style="1" customWidth="1"/>
    <col min="5143" max="5143" width="37.5703125" style="1" customWidth="1"/>
    <col min="5144" max="5365" width="11.42578125" style="1"/>
    <col min="5366" max="5366" width="10.5703125" style="1" customWidth="1"/>
    <col min="5367" max="5367" width="4.85546875" style="1" customWidth="1"/>
    <col min="5368" max="5368" width="32.42578125" style="1" customWidth="1"/>
    <col min="5369" max="5369" width="9.85546875" style="1" customWidth="1"/>
    <col min="5370" max="5370" width="10.140625" style="1" customWidth="1"/>
    <col min="5371" max="5371" width="12.28515625" style="1" customWidth="1"/>
    <col min="5372" max="5372" width="15.42578125" style="1" customWidth="1"/>
    <col min="5373" max="5373" width="11.85546875" style="1" customWidth="1"/>
    <col min="5374" max="5374" width="13.28515625" style="1" customWidth="1"/>
    <col min="5375" max="5375" width="15.28515625" style="1" customWidth="1"/>
    <col min="5376" max="5376" width="11.85546875" style="1" customWidth="1"/>
    <col min="5377" max="5377" width="6.140625" style="1" customWidth="1"/>
    <col min="5378" max="5378" width="11.85546875" style="1" customWidth="1"/>
    <col min="5379" max="5379" width="9.42578125" style="1" customWidth="1"/>
    <col min="5380" max="5380" width="14.7109375" style="1" customWidth="1"/>
    <col min="5381" max="5381" width="11.5703125" style="1" customWidth="1"/>
    <col min="5382" max="5382" width="0.42578125" style="1" customWidth="1"/>
    <col min="5383" max="5383" width="10.5703125" style="1" bestFit="1" customWidth="1"/>
    <col min="5384" max="5384" width="12.28515625" style="1" customWidth="1"/>
    <col min="5385" max="5385" width="12.5703125" style="1" customWidth="1"/>
    <col min="5386" max="5386" width="10.5703125" style="1" customWidth="1"/>
    <col min="5387" max="5387" width="10.140625" style="1" customWidth="1"/>
    <col min="5388" max="5388" width="8.42578125" style="1" customWidth="1"/>
    <col min="5389" max="5389" width="18.85546875" style="1" customWidth="1"/>
    <col min="5390" max="5390" width="10.28515625" style="1" customWidth="1"/>
    <col min="5391" max="5391" width="11.42578125" style="1" customWidth="1"/>
    <col min="5392" max="5392" width="12.140625" style="1" customWidth="1"/>
    <col min="5393" max="5393" width="10.5703125" style="1" customWidth="1"/>
    <col min="5394" max="5394" width="12.42578125" style="1" customWidth="1"/>
    <col min="5395" max="5395" width="15.140625" style="1" customWidth="1"/>
    <col min="5396" max="5396" width="13.5703125" style="1" customWidth="1"/>
    <col min="5397" max="5397" width="13.140625" style="1" customWidth="1"/>
    <col min="5398" max="5398" width="15.7109375" style="1" customWidth="1"/>
    <col min="5399" max="5399" width="37.5703125" style="1" customWidth="1"/>
    <col min="5400" max="5621" width="11.42578125" style="1"/>
    <col min="5622" max="5622" width="10.5703125" style="1" customWidth="1"/>
    <col min="5623" max="5623" width="4.85546875" style="1" customWidth="1"/>
    <col min="5624" max="5624" width="32.42578125" style="1" customWidth="1"/>
    <col min="5625" max="5625" width="9.85546875" style="1" customWidth="1"/>
    <col min="5626" max="5626" width="10.140625" style="1" customWidth="1"/>
    <col min="5627" max="5627" width="12.28515625" style="1" customWidth="1"/>
    <col min="5628" max="5628" width="15.42578125" style="1" customWidth="1"/>
    <col min="5629" max="5629" width="11.85546875" style="1" customWidth="1"/>
    <col min="5630" max="5630" width="13.28515625" style="1" customWidth="1"/>
    <col min="5631" max="5631" width="15.28515625" style="1" customWidth="1"/>
    <col min="5632" max="5632" width="11.85546875" style="1" customWidth="1"/>
    <col min="5633" max="5633" width="6.140625" style="1" customWidth="1"/>
    <col min="5634" max="5634" width="11.85546875" style="1" customWidth="1"/>
    <col min="5635" max="5635" width="9.42578125" style="1" customWidth="1"/>
    <col min="5636" max="5636" width="14.7109375" style="1" customWidth="1"/>
    <col min="5637" max="5637" width="11.5703125" style="1" customWidth="1"/>
    <col min="5638" max="5638" width="0.42578125" style="1" customWidth="1"/>
    <col min="5639" max="5639" width="10.5703125" style="1" bestFit="1" customWidth="1"/>
    <col min="5640" max="5640" width="12.28515625" style="1" customWidth="1"/>
    <col min="5641" max="5641" width="12.5703125" style="1" customWidth="1"/>
    <col min="5642" max="5642" width="10.5703125" style="1" customWidth="1"/>
    <col min="5643" max="5643" width="10.140625" style="1" customWidth="1"/>
    <col min="5644" max="5644" width="8.42578125" style="1" customWidth="1"/>
    <col min="5645" max="5645" width="18.85546875" style="1" customWidth="1"/>
    <col min="5646" max="5646" width="10.28515625" style="1" customWidth="1"/>
    <col min="5647" max="5647" width="11.42578125" style="1" customWidth="1"/>
    <col min="5648" max="5648" width="12.140625" style="1" customWidth="1"/>
    <col min="5649" max="5649" width="10.5703125" style="1" customWidth="1"/>
    <col min="5650" max="5650" width="12.42578125" style="1" customWidth="1"/>
    <col min="5651" max="5651" width="15.140625" style="1" customWidth="1"/>
    <col min="5652" max="5652" width="13.5703125" style="1" customWidth="1"/>
    <col min="5653" max="5653" width="13.140625" style="1" customWidth="1"/>
    <col min="5654" max="5654" width="15.7109375" style="1" customWidth="1"/>
    <col min="5655" max="5655" width="37.5703125" style="1" customWidth="1"/>
    <col min="5656" max="5877" width="11.42578125" style="1"/>
    <col min="5878" max="5878" width="10.5703125" style="1" customWidth="1"/>
    <col min="5879" max="5879" width="4.85546875" style="1" customWidth="1"/>
    <col min="5880" max="5880" width="32.42578125" style="1" customWidth="1"/>
    <col min="5881" max="5881" width="9.85546875" style="1" customWidth="1"/>
    <col min="5882" max="5882" width="10.140625" style="1" customWidth="1"/>
    <col min="5883" max="5883" width="12.28515625" style="1" customWidth="1"/>
    <col min="5884" max="5884" width="15.42578125" style="1" customWidth="1"/>
    <col min="5885" max="5885" width="11.85546875" style="1" customWidth="1"/>
    <col min="5886" max="5886" width="13.28515625" style="1" customWidth="1"/>
    <col min="5887" max="5887" width="15.28515625" style="1" customWidth="1"/>
    <col min="5888" max="5888" width="11.85546875" style="1" customWidth="1"/>
    <col min="5889" max="5889" width="6.140625" style="1" customWidth="1"/>
    <col min="5890" max="5890" width="11.85546875" style="1" customWidth="1"/>
    <col min="5891" max="5891" width="9.42578125" style="1" customWidth="1"/>
    <col min="5892" max="5892" width="14.7109375" style="1" customWidth="1"/>
    <col min="5893" max="5893" width="11.5703125" style="1" customWidth="1"/>
    <col min="5894" max="5894" width="0.42578125" style="1" customWidth="1"/>
    <col min="5895" max="5895" width="10.5703125" style="1" bestFit="1" customWidth="1"/>
    <col min="5896" max="5896" width="12.28515625" style="1" customWidth="1"/>
    <col min="5897" max="5897" width="12.5703125" style="1" customWidth="1"/>
    <col min="5898" max="5898" width="10.5703125" style="1" customWidth="1"/>
    <col min="5899" max="5899" width="10.140625" style="1" customWidth="1"/>
    <col min="5900" max="5900" width="8.42578125" style="1" customWidth="1"/>
    <col min="5901" max="5901" width="18.85546875" style="1" customWidth="1"/>
    <col min="5902" max="5902" width="10.28515625" style="1" customWidth="1"/>
    <col min="5903" max="5903" width="11.42578125" style="1" customWidth="1"/>
    <col min="5904" max="5904" width="12.140625" style="1" customWidth="1"/>
    <col min="5905" max="5905" width="10.5703125" style="1" customWidth="1"/>
    <col min="5906" max="5906" width="12.42578125" style="1" customWidth="1"/>
    <col min="5907" max="5907" width="15.140625" style="1" customWidth="1"/>
    <col min="5908" max="5908" width="13.5703125" style="1" customWidth="1"/>
    <col min="5909" max="5909" width="13.140625" style="1" customWidth="1"/>
    <col min="5910" max="5910" width="15.7109375" style="1" customWidth="1"/>
    <col min="5911" max="5911" width="37.5703125" style="1" customWidth="1"/>
    <col min="5912" max="6133" width="11.42578125" style="1"/>
    <col min="6134" max="6134" width="10.5703125" style="1" customWidth="1"/>
    <col min="6135" max="6135" width="4.85546875" style="1" customWidth="1"/>
    <col min="6136" max="6136" width="32.42578125" style="1" customWidth="1"/>
    <col min="6137" max="6137" width="9.85546875" style="1" customWidth="1"/>
    <col min="6138" max="6138" width="10.140625" style="1" customWidth="1"/>
    <col min="6139" max="6139" width="12.28515625" style="1" customWidth="1"/>
    <col min="6140" max="6140" width="15.42578125" style="1" customWidth="1"/>
    <col min="6141" max="6141" width="11.85546875" style="1" customWidth="1"/>
    <col min="6142" max="6142" width="13.28515625" style="1" customWidth="1"/>
    <col min="6143" max="6143" width="15.28515625" style="1" customWidth="1"/>
    <col min="6144" max="6144" width="11.85546875" style="1" customWidth="1"/>
    <col min="6145" max="6145" width="6.140625" style="1" customWidth="1"/>
    <col min="6146" max="6146" width="11.85546875" style="1" customWidth="1"/>
    <col min="6147" max="6147" width="9.42578125" style="1" customWidth="1"/>
    <col min="6148" max="6148" width="14.7109375" style="1" customWidth="1"/>
    <col min="6149" max="6149" width="11.5703125" style="1" customWidth="1"/>
    <col min="6150" max="6150" width="0.42578125" style="1" customWidth="1"/>
    <col min="6151" max="6151" width="10.5703125" style="1" bestFit="1" customWidth="1"/>
    <col min="6152" max="6152" width="12.28515625" style="1" customWidth="1"/>
    <col min="6153" max="6153" width="12.5703125" style="1" customWidth="1"/>
    <col min="6154" max="6154" width="10.5703125" style="1" customWidth="1"/>
    <col min="6155" max="6155" width="10.140625" style="1" customWidth="1"/>
    <col min="6156" max="6156" width="8.42578125" style="1" customWidth="1"/>
    <col min="6157" max="6157" width="18.85546875" style="1" customWidth="1"/>
    <col min="6158" max="6158" width="10.28515625" style="1" customWidth="1"/>
    <col min="6159" max="6159" width="11.42578125" style="1" customWidth="1"/>
    <col min="6160" max="6160" width="12.140625" style="1" customWidth="1"/>
    <col min="6161" max="6161" width="10.5703125" style="1" customWidth="1"/>
    <col min="6162" max="6162" width="12.42578125" style="1" customWidth="1"/>
    <col min="6163" max="6163" width="15.140625" style="1" customWidth="1"/>
    <col min="6164" max="6164" width="13.5703125" style="1" customWidth="1"/>
    <col min="6165" max="6165" width="13.140625" style="1" customWidth="1"/>
    <col min="6166" max="6166" width="15.7109375" style="1" customWidth="1"/>
    <col min="6167" max="6167" width="37.5703125" style="1" customWidth="1"/>
    <col min="6168" max="6389" width="11.42578125" style="1"/>
    <col min="6390" max="6390" width="10.5703125" style="1" customWidth="1"/>
    <col min="6391" max="6391" width="4.85546875" style="1" customWidth="1"/>
    <col min="6392" max="6392" width="32.42578125" style="1" customWidth="1"/>
    <col min="6393" max="6393" width="9.85546875" style="1" customWidth="1"/>
    <col min="6394" max="6394" width="10.140625" style="1" customWidth="1"/>
    <col min="6395" max="6395" width="12.28515625" style="1" customWidth="1"/>
    <col min="6396" max="6396" width="15.42578125" style="1" customWidth="1"/>
    <col min="6397" max="6397" width="11.85546875" style="1" customWidth="1"/>
    <col min="6398" max="6398" width="13.28515625" style="1" customWidth="1"/>
    <col min="6399" max="6399" width="15.28515625" style="1" customWidth="1"/>
    <col min="6400" max="6400" width="11.85546875" style="1" customWidth="1"/>
    <col min="6401" max="6401" width="6.140625" style="1" customWidth="1"/>
    <col min="6402" max="6402" width="11.85546875" style="1" customWidth="1"/>
    <col min="6403" max="6403" width="9.42578125" style="1" customWidth="1"/>
    <col min="6404" max="6404" width="14.7109375" style="1" customWidth="1"/>
    <col min="6405" max="6405" width="11.5703125" style="1" customWidth="1"/>
    <col min="6406" max="6406" width="0.42578125" style="1" customWidth="1"/>
    <col min="6407" max="6407" width="10.5703125" style="1" bestFit="1" customWidth="1"/>
    <col min="6408" max="6408" width="12.28515625" style="1" customWidth="1"/>
    <col min="6409" max="6409" width="12.5703125" style="1" customWidth="1"/>
    <col min="6410" max="6410" width="10.5703125" style="1" customWidth="1"/>
    <col min="6411" max="6411" width="10.140625" style="1" customWidth="1"/>
    <col min="6412" max="6412" width="8.42578125" style="1" customWidth="1"/>
    <col min="6413" max="6413" width="18.85546875" style="1" customWidth="1"/>
    <col min="6414" max="6414" width="10.28515625" style="1" customWidth="1"/>
    <col min="6415" max="6415" width="11.42578125" style="1" customWidth="1"/>
    <col min="6416" max="6416" width="12.140625" style="1" customWidth="1"/>
    <col min="6417" max="6417" width="10.5703125" style="1" customWidth="1"/>
    <col min="6418" max="6418" width="12.42578125" style="1" customWidth="1"/>
    <col min="6419" max="6419" width="15.140625" style="1" customWidth="1"/>
    <col min="6420" max="6420" width="13.5703125" style="1" customWidth="1"/>
    <col min="6421" max="6421" width="13.140625" style="1" customWidth="1"/>
    <col min="6422" max="6422" width="15.7109375" style="1" customWidth="1"/>
    <col min="6423" max="6423" width="37.5703125" style="1" customWidth="1"/>
    <col min="6424" max="6645" width="11.42578125" style="1"/>
    <col min="6646" max="6646" width="10.5703125" style="1" customWidth="1"/>
    <col min="6647" max="6647" width="4.85546875" style="1" customWidth="1"/>
    <col min="6648" max="6648" width="32.42578125" style="1" customWidth="1"/>
    <col min="6649" max="6649" width="9.85546875" style="1" customWidth="1"/>
    <col min="6650" max="6650" width="10.140625" style="1" customWidth="1"/>
    <col min="6651" max="6651" width="12.28515625" style="1" customWidth="1"/>
    <col min="6652" max="6652" width="15.42578125" style="1" customWidth="1"/>
    <col min="6653" max="6653" width="11.85546875" style="1" customWidth="1"/>
    <col min="6654" max="6654" width="13.28515625" style="1" customWidth="1"/>
    <col min="6655" max="6655" width="15.28515625" style="1" customWidth="1"/>
    <col min="6656" max="6656" width="11.85546875" style="1" customWidth="1"/>
    <col min="6657" max="6657" width="6.140625" style="1" customWidth="1"/>
    <col min="6658" max="6658" width="11.85546875" style="1" customWidth="1"/>
    <col min="6659" max="6659" width="9.42578125" style="1" customWidth="1"/>
    <col min="6660" max="6660" width="14.7109375" style="1" customWidth="1"/>
    <col min="6661" max="6661" width="11.5703125" style="1" customWidth="1"/>
    <col min="6662" max="6662" width="0.42578125" style="1" customWidth="1"/>
    <col min="6663" max="6663" width="10.5703125" style="1" bestFit="1" customWidth="1"/>
    <col min="6664" max="6664" width="12.28515625" style="1" customWidth="1"/>
    <col min="6665" max="6665" width="12.5703125" style="1" customWidth="1"/>
    <col min="6666" max="6666" width="10.5703125" style="1" customWidth="1"/>
    <col min="6667" max="6667" width="10.140625" style="1" customWidth="1"/>
    <col min="6668" max="6668" width="8.42578125" style="1" customWidth="1"/>
    <col min="6669" max="6669" width="18.85546875" style="1" customWidth="1"/>
    <col min="6670" max="6670" width="10.28515625" style="1" customWidth="1"/>
    <col min="6671" max="6671" width="11.42578125" style="1" customWidth="1"/>
    <col min="6672" max="6672" width="12.140625" style="1" customWidth="1"/>
    <col min="6673" max="6673" width="10.5703125" style="1" customWidth="1"/>
    <col min="6674" max="6674" width="12.42578125" style="1" customWidth="1"/>
    <col min="6675" max="6675" width="15.140625" style="1" customWidth="1"/>
    <col min="6676" max="6676" width="13.5703125" style="1" customWidth="1"/>
    <col min="6677" max="6677" width="13.140625" style="1" customWidth="1"/>
    <col min="6678" max="6678" width="15.7109375" style="1" customWidth="1"/>
    <col min="6679" max="6679" width="37.5703125" style="1" customWidth="1"/>
    <col min="6680" max="6901" width="11.42578125" style="1"/>
    <col min="6902" max="6902" width="10.5703125" style="1" customWidth="1"/>
    <col min="6903" max="6903" width="4.85546875" style="1" customWidth="1"/>
    <col min="6904" max="6904" width="32.42578125" style="1" customWidth="1"/>
    <col min="6905" max="6905" width="9.85546875" style="1" customWidth="1"/>
    <col min="6906" max="6906" width="10.140625" style="1" customWidth="1"/>
    <col min="6907" max="6907" width="12.28515625" style="1" customWidth="1"/>
    <col min="6908" max="6908" width="15.42578125" style="1" customWidth="1"/>
    <col min="6909" max="6909" width="11.85546875" style="1" customWidth="1"/>
    <col min="6910" max="6910" width="13.28515625" style="1" customWidth="1"/>
    <col min="6911" max="6911" width="15.28515625" style="1" customWidth="1"/>
    <col min="6912" max="6912" width="11.85546875" style="1" customWidth="1"/>
    <col min="6913" max="6913" width="6.140625" style="1" customWidth="1"/>
    <col min="6914" max="6914" width="11.85546875" style="1" customWidth="1"/>
    <col min="6915" max="6915" width="9.42578125" style="1" customWidth="1"/>
    <col min="6916" max="6916" width="14.7109375" style="1" customWidth="1"/>
    <col min="6917" max="6917" width="11.5703125" style="1" customWidth="1"/>
    <col min="6918" max="6918" width="0.42578125" style="1" customWidth="1"/>
    <col min="6919" max="6919" width="10.5703125" style="1" bestFit="1" customWidth="1"/>
    <col min="6920" max="6920" width="12.28515625" style="1" customWidth="1"/>
    <col min="6921" max="6921" width="12.5703125" style="1" customWidth="1"/>
    <col min="6922" max="6922" width="10.5703125" style="1" customWidth="1"/>
    <col min="6923" max="6923" width="10.140625" style="1" customWidth="1"/>
    <col min="6924" max="6924" width="8.42578125" style="1" customWidth="1"/>
    <col min="6925" max="6925" width="18.85546875" style="1" customWidth="1"/>
    <col min="6926" max="6926" width="10.28515625" style="1" customWidth="1"/>
    <col min="6927" max="6927" width="11.42578125" style="1" customWidth="1"/>
    <col min="6928" max="6928" width="12.140625" style="1" customWidth="1"/>
    <col min="6929" max="6929" width="10.5703125" style="1" customWidth="1"/>
    <col min="6930" max="6930" width="12.42578125" style="1" customWidth="1"/>
    <col min="6931" max="6931" width="15.140625" style="1" customWidth="1"/>
    <col min="6932" max="6932" width="13.5703125" style="1" customWidth="1"/>
    <col min="6933" max="6933" width="13.140625" style="1" customWidth="1"/>
    <col min="6934" max="6934" width="15.7109375" style="1" customWidth="1"/>
    <col min="6935" max="6935" width="37.5703125" style="1" customWidth="1"/>
    <col min="6936" max="7157" width="11.42578125" style="1"/>
    <col min="7158" max="7158" width="10.5703125" style="1" customWidth="1"/>
    <col min="7159" max="7159" width="4.85546875" style="1" customWidth="1"/>
    <col min="7160" max="7160" width="32.42578125" style="1" customWidth="1"/>
    <col min="7161" max="7161" width="9.85546875" style="1" customWidth="1"/>
    <col min="7162" max="7162" width="10.140625" style="1" customWidth="1"/>
    <col min="7163" max="7163" width="12.28515625" style="1" customWidth="1"/>
    <col min="7164" max="7164" width="15.42578125" style="1" customWidth="1"/>
    <col min="7165" max="7165" width="11.85546875" style="1" customWidth="1"/>
    <col min="7166" max="7166" width="13.28515625" style="1" customWidth="1"/>
    <col min="7167" max="7167" width="15.28515625" style="1" customWidth="1"/>
    <col min="7168" max="7168" width="11.85546875" style="1" customWidth="1"/>
    <col min="7169" max="7169" width="6.140625" style="1" customWidth="1"/>
    <col min="7170" max="7170" width="11.85546875" style="1" customWidth="1"/>
    <col min="7171" max="7171" width="9.42578125" style="1" customWidth="1"/>
    <col min="7172" max="7172" width="14.7109375" style="1" customWidth="1"/>
    <col min="7173" max="7173" width="11.5703125" style="1" customWidth="1"/>
    <col min="7174" max="7174" width="0.42578125" style="1" customWidth="1"/>
    <col min="7175" max="7175" width="10.5703125" style="1" bestFit="1" customWidth="1"/>
    <col min="7176" max="7176" width="12.28515625" style="1" customWidth="1"/>
    <col min="7177" max="7177" width="12.5703125" style="1" customWidth="1"/>
    <col min="7178" max="7178" width="10.5703125" style="1" customWidth="1"/>
    <col min="7179" max="7179" width="10.140625" style="1" customWidth="1"/>
    <col min="7180" max="7180" width="8.42578125" style="1" customWidth="1"/>
    <col min="7181" max="7181" width="18.85546875" style="1" customWidth="1"/>
    <col min="7182" max="7182" width="10.28515625" style="1" customWidth="1"/>
    <col min="7183" max="7183" width="11.42578125" style="1" customWidth="1"/>
    <col min="7184" max="7184" width="12.140625" style="1" customWidth="1"/>
    <col min="7185" max="7185" width="10.5703125" style="1" customWidth="1"/>
    <col min="7186" max="7186" width="12.42578125" style="1" customWidth="1"/>
    <col min="7187" max="7187" width="15.140625" style="1" customWidth="1"/>
    <col min="7188" max="7188" width="13.5703125" style="1" customWidth="1"/>
    <col min="7189" max="7189" width="13.140625" style="1" customWidth="1"/>
    <col min="7190" max="7190" width="15.7109375" style="1" customWidth="1"/>
    <col min="7191" max="7191" width="37.5703125" style="1" customWidth="1"/>
    <col min="7192" max="7413" width="11.42578125" style="1"/>
    <col min="7414" max="7414" width="10.5703125" style="1" customWidth="1"/>
    <col min="7415" max="7415" width="4.85546875" style="1" customWidth="1"/>
    <col min="7416" max="7416" width="32.42578125" style="1" customWidth="1"/>
    <col min="7417" max="7417" width="9.85546875" style="1" customWidth="1"/>
    <col min="7418" max="7418" width="10.140625" style="1" customWidth="1"/>
    <col min="7419" max="7419" width="12.28515625" style="1" customWidth="1"/>
    <col min="7420" max="7420" width="15.42578125" style="1" customWidth="1"/>
    <col min="7421" max="7421" width="11.85546875" style="1" customWidth="1"/>
    <col min="7422" max="7422" width="13.28515625" style="1" customWidth="1"/>
    <col min="7423" max="7423" width="15.28515625" style="1" customWidth="1"/>
    <col min="7424" max="7424" width="11.85546875" style="1" customWidth="1"/>
    <col min="7425" max="7425" width="6.140625" style="1" customWidth="1"/>
    <col min="7426" max="7426" width="11.85546875" style="1" customWidth="1"/>
    <col min="7427" max="7427" width="9.42578125" style="1" customWidth="1"/>
    <col min="7428" max="7428" width="14.7109375" style="1" customWidth="1"/>
    <col min="7429" max="7429" width="11.5703125" style="1" customWidth="1"/>
    <col min="7430" max="7430" width="0.42578125" style="1" customWidth="1"/>
    <col min="7431" max="7431" width="10.5703125" style="1" bestFit="1" customWidth="1"/>
    <col min="7432" max="7432" width="12.28515625" style="1" customWidth="1"/>
    <col min="7433" max="7433" width="12.5703125" style="1" customWidth="1"/>
    <col min="7434" max="7434" width="10.5703125" style="1" customWidth="1"/>
    <col min="7435" max="7435" width="10.140625" style="1" customWidth="1"/>
    <col min="7436" max="7436" width="8.42578125" style="1" customWidth="1"/>
    <col min="7437" max="7437" width="18.85546875" style="1" customWidth="1"/>
    <col min="7438" max="7438" width="10.28515625" style="1" customWidth="1"/>
    <col min="7439" max="7439" width="11.42578125" style="1" customWidth="1"/>
    <col min="7440" max="7440" width="12.140625" style="1" customWidth="1"/>
    <col min="7441" max="7441" width="10.5703125" style="1" customWidth="1"/>
    <col min="7442" max="7442" width="12.42578125" style="1" customWidth="1"/>
    <col min="7443" max="7443" width="15.140625" style="1" customWidth="1"/>
    <col min="7444" max="7444" width="13.5703125" style="1" customWidth="1"/>
    <col min="7445" max="7445" width="13.140625" style="1" customWidth="1"/>
    <col min="7446" max="7446" width="15.7109375" style="1" customWidth="1"/>
    <col min="7447" max="7447" width="37.5703125" style="1" customWidth="1"/>
    <col min="7448" max="7669" width="11.42578125" style="1"/>
    <col min="7670" max="7670" width="10.5703125" style="1" customWidth="1"/>
    <col min="7671" max="7671" width="4.85546875" style="1" customWidth="1"/>
    <col min="7672" max="7672" width="32.42578125" style="1" customWidth="1"/>
    <col min="7673" max="7673" width="9.85546875" style="1" customWidth="1"/>
    <col min="7674" max="7674" width="10.140625" style="1" customWidth="1"/>
    <col min="7675" max="7675" width="12.28515625" style="1" customWidth="1"/>
    <col min="7676" max="7676" width="15.42578125" style="1" customWidth="1"/>
    <col min="7677" max="7677" width="11.85546875" style="1" customWidth="1"/>
    <col min="7678" max="7678" width="13.28515625" style="1" customWidth="1"/>
    <col min="7679" max="7679" width="15.28515625" style="1" customWidth="1"/>
    <col min="7680" max="7680" width="11.85546875" style="1" customWidth="1"/>
    <col min="7681" max="7681" width="6.140625" style="1" customWidth="1"/>
    <col min="7682" max="7682" width="11.85546875" style="1" customWidth="1"/>
    <col min="7683" max="7683" width="9.42578125" style="1" customWidth="1"/>
    <col min="7684" max="7684" width="14.7109375" style="1" customWidth="1"/>
    <col min="7685" max="7685" width="11.5703125" style="1" customWidth="1"/>
    <col min="7686" max="7686" width="0.42578125" style="1" customWidth="1"/>
    <col min="7687" max="7687" width="10.5703125" style="1" bestFit="1" customWidth="1"/>
    <col min="7688" max="7688" width="12.28515625" style="1" customWidth="1"/>
    <col min="7689" max="7689" width="12.5703125" style="1" customWidth="1"/>
    <col min="7690" max="7690" width="10.5703125" style="1" customWidth="1"/>
    <col min="7691" max="7691" width="10.140625" style="1" customWidth="1"/>
    <col min="7692" max="7692" width="8.42578125" style="1" customWidth="1"/>
    <col min="7693" max="7693" width="18.85546875" style="1" customWidth="1"/>
    <col min="7694" max="7694" width="10.28515625" style="1" customWidth="1"/>
    <col min="7695" max="7695" width="11.42578125" style="1" customWidth="1"/>
    <col min="7696" max="7696" width="12.140625" style="1" customWidth="1"/>
    <col min="7697" max="7697" width="10.5703125" style="1" customWidth="1"/>
    <col min="7698" max="7698" width="12.42578125" style="1" customWidth="1"/>
    <col min="7699" max="7699" width="15.140625" style="1" customWidth="1"/>
    <col min="7700" max="7700" width="13.5703125" style="1" customWidth="1"/>
    <col min="7701" max="7701" width="13.140625" style="1" customWidth="1"/>
    <col min="7702" max="7702" width="15.7109375" style="1" customWidth="1"/>
    <col min="7703" max="7703" width="37.5703125" style="1" customWidth="1"/>
    <col min="7704" max="7925" width="11.42578125" style="1"/>
    <col min="7926" max="7926" width="10.5703125" style="1" customWidth="1"/>
    <col min="7927" max="7927" width="4.85546875" style="1" customWidth="1"/>
    <col min="7928" max="7928" width="32.42578125" style="1" customWidth="1"/>
    <col min="7929" max="7929" width="9.85546875" style="1" customWidth="1"/>
    <col min="7930" max="7930" width="10.140625" style="1" customWidth="1"/>
    <col min="7931" max="7931" width="12.28515625" style="1" customWidth="1"/>
    <col min="7932" max="7932" width="15.42578125" style="1" customWidth="1"/>
    <col min="7933" max="7933" width="11.85546875" style="1" customWidth="1"/>
    <col min="7934" max="7934" width="13.28515625" style="1" customWidth="1"/>
    <col min="7935" max="7935" width="15.28515625" style="1" customWidth="1"/>
    <col min="7936" max="7936" width="11.85546875" style="1" customWidth="1"/>
    <col min="7937" max="7937" width="6.140625" style="1" customWidth="1"/>
    <col min="7938" max="7938" width="11.85546875" style="1" customWidth="1"/>
    <col min="7939" max="7939" width="9.42578125" style="1" customWidth="1"/>
    <col min="7940" max="7940" width="14.7109375" style="1" customWidth="1"/>
    <col min="7941" max="7941" width="11.5703125" style="1" customWidth="1"/>
    <col min="7942" max="7942" width="0.42578125" style="1" customWidth="1"/>
    <col min="7943" max="7943" width="10.5703125" style="1" bestFit="1" customWidth="1"/>
    <col min="7944" max="7944" width="12.28515625" style="1" customWidth="1"/>
    <col min="7945" max="7945" width="12.5703125" style="1" customWidth="1"/>
    <col min="7946" max="7946" width="10.5703125" style="1" customWidth="1"/>
    <col min="7947" max="7947" width="10.140625" style="1" customWidth="1"/>
    <col min="7948" max="7948" width="8.42578125" style="1" customWidth="1"/>
    <col min="7949" max="7949" width="18.85546875" style="1" customWidth="1"/>
    <col min="7950" max="7950" width="10.28515625" style="1" customWidth="1"/>
    <col min="7951" max="7951" width="11.42578125" style="1" customWidth="1"/>
    <col min="7952" max="7952" width="12.140625" style="1" customWidth="1"/>
    <col min="7953" max="7953" width="10.5703125" style="1" customWidth="1"/>
    <col min="7954" max="7954" width="12.42578125" style="1" customWidth="1"/>
    <col min="7955" max="7955" width="15.140625" style="1" customWidth="1"/>
    <col min="7956" max="7956" width="13.5703125" style="1" customWidth="1"/>
    <col min="7957" max="7957" width="13.140625" style="1" customWidth="1"/>
    <col min="7958" max="7958" width="15.7109375" style="1" customWidth="1"/>
    <col min="7959" max="7959" width="37.5703125" style="1" customWidth="1"/>
    <col min="7960" max="8181" width="11.42578125" style="1"/>
    <col min="8182" max="8182" width="10.5703125" style="1" customWidth="1"/>
    <col min="8183" max="8183" width="4.85546875" style="1" customWidth="1"/>
    <col min="8184" max="8184" width="32.42578125" style="1" customWidth="1"/>
    <col min="8185" max="8185" width="9.85546875" style="1" customWidth="1"/>
    <col min="8186" max="8186" width="10.140625" style="1" customWidth="1"/>
    <col min="8187" max="8187" width="12.28515625" style="1" customWidth="1"/>
    <col min="8188" max="8188" width="15.42578125" style="1" customWidth="1"/>
    <col min="8189" max="8189" width="11.85546875" style="1" customWidth="1"/>
    <col min="8190" max="8190" width="13.28515625" style="1" customWidth="1"/>
    <col min="8191" max="8191" width="15.28515625" style="1" customWidth="1"/>
    <col min="8192" max="8192" width="11.85546875" style="1" customWidth="1"/>
    <col min="8193" max="8193" width="6.140625" style="1" customWidth="1"/>
    <col min="8194" max="8194" width="11.85546875" style="1" customWidth="1"/>
    <col min="8195" max="8195" width="9.42578125" style="1" customWidth="1"/>
    <col min="8196" max="8196" width="14.7109375" style="1" customWidth="1"/>
    <col min="8197" max="8197" width="11.5703125" style="1" customWidth="1"/>
    <col min="8198" max="8198" width="0.42578125" style="1" customWidth="1"/>
    <col min="8199" max="8199" width="10.5703125" style="1" bestFit="1" customWidth="1"/>
    <col min="8200" max="8200" width="12.28515625" style="1" customWidth="1"/>
    <col min="8201" max="8201" width="12.5703125" style="1" customWidth="1"/>
    <col min="8202" max="8202" width="10.5703125" style="1" customWidth="1"/>
    <col min="8203" max="8203" width="10.140625" style="1" customWidth="1"/>
    <col min="8204" max="8204" width="8.42578125" style="1" customWidth="1"/>
    <col min="8205" max="8205" width="18.85546875" style="1" customWidth="1"/>
    <col min="8206" max="8206" width="10.28515625" style="1" customWidth="1"/>
    <col min="8207" max="8207" width="11.42578125" style="1" customWidth="1"/>
    <col min="8208" max="8208" width="12.140625" style="1" customWidth="1"/>
    <col min="8209" max="8209" width="10.5703125" style="1" customWidth="1"/>
    <col min="8210" max="8210" width="12.42578125" style="1" customWidth="1"/>
    <col min="8211" max="8211" width="15.140625" style="1" customWidth="1"/>
    <col min="8212" max="8212" width="13.5703125" style="1" customWidth="1"/>
    <col min="8213" max="8213" width="13.140625" style="1" customWidth="1"/>
    <col min="8214" max="8214" width="15.7109375" style="1" customWidth="1"/>
    <col min="8215" max="8215" width="37.5703125" style="1" customWidth="1"/>
    <col min="8216" max="8437" width="11.42578125" style="1"/>
    <col min="8438" max="8438" width="10.5703125" style="1" customWidth="1"/>
    <col min="8439" max="8439" width="4.85546875" style="1" customWidth="1"/>
    <col min="8440" max="8440" width="32.42578125" style="1" customWidth="1"/>
    <col min="8441" max="8441" width="9.85546875" style="1" customWidth="1"/>
    <col min="8442" max="8442" width="10.140625" style="1" customWidth="1"/>
    <col min="8443" max="8443" width="12.28515625" style="1" customWidth="1"/>
    <col min="8444" max="8444" width="15.42578125" style="1" customWidth="1"/>
    <col min="8445" max="8445" width="11.85546875" style="1" customWidth="1"/>
    <col min="8446" max="8446" width="13.28515625" style="1" customWidth="1"/>
    <col min="8447" max="8447" width="15.28515625" style="1" customWidth="1"/>
    <col min="8448" max="8448" width="11.85546875" style="1" customWidth="1"/>
    <col min="8449" max="8449" width="6.140625" style="1" customWidth="1"/>
    <col min="8450" max="8450" width="11.85546875" style="1" customWidth="1"/>
    <col min="8451" max="8451" width="9.42578125" style="1" customWidth="1"/>
    <col min="8452" max="8452" width="14.7109375" style="1" customWidth="1"/>
    <col min="8453" max="8453" width="11.5703125" style="1" customWidth="1"/>
    <col min="8454" max="8454" width="0.42578125" style="1" customWidth="1"/>
    <col min="8455" max="8455" width="10.5703125" style="1" bestFit="1" customWidth="1"/>
    <col min="8456" max="8456" width="12.28515625" style="1" customWidth="1"/>
    <col min="8457" max="8457" width="12.5703125" style="1" customWidth="1"/>
    <col min="8458" max="8458" width="10.5703125" style="1" customWidth="1"/>
    <col min="8459" max="8459" width="10.140625" style="1" customWidth="1"/>
    <col min="8460" max="8460" width="8.42578125" style="1" customWidth="1"/>
    <col min="8461" max="8461" width="18.85546875" style="1" customWidth="1"/>
    <col min="8462" max="8462" width="10.28515625" style="1" customWidth="1"/>
    <col min="8463" max="8463" width="11.42578125" style="1" customWidth="1"/>
    <col min="8464" max="8464" width="12.140625" style="1" customWidth="1"/>
    <col min="8465" max="8465" width="10.5703125" style="1" customWidth="1"/>
    <col min="8466" max="8466" width="12.42578125" style="1" customWidth="1"/>
    <col min="8467" max="8467" width="15.140625" style="1" customWidth="1"/>
    <col min="8468" max="8468" width="13.5703125" style="1" customWidth="1"/>
    <col min="8469" max="8469" width="13.140625" style="1" customWidth="1"/>
    <col min="8470" max="8470" width="15.7109375" style="1" customWidth="1"/>
    <col min="8471" max="8471" width="37.5703125" style="1" customWidth="1"/>
    <col min="8472" max="8693" width="11.42578125" style="1"/>
    <col min="8694" max="8694" width="10.5703125" style="1" customWidth="1"/>
    <col min="8695" max="8695" width="4.85546875" style="1" customWidth="1"/>
    <col min="8696" max="8696" width="32.42578125" style="1" customWidth="1"/>
    <col min="8697" max="8697" width="9.85546875" style="1" customWidth="1"/>
    <col min="8698" max="8698" width="10.140625" style="1" customWidth="1"/>
    <col min="8699" max="8699" width="12.28515625" style="1" customWidth="1"/>
    <col min="8700" max="8700" width="15.42578125" style="1" customWidth="1"/>
    <col min="8701" max="8701" width="11.85546875" style="1" customWidth="1"/>
    <col min="8702" max="8702" width="13.28515625" style="1" customWidth="1"/>
    <col min="8703" max="8703" width="15.28515625" style="1" customWidth="1"/>
    <col min="8704" max="8704" width="11.85546875" style="1" customWidth="1"/>
    <col min="8705" max="8705" width="6.140625" style="1" customWidth="1"/>
    <col min="8706" max="8706" width="11.85546875" style="1" customWidth="1"/>
    <col min="8707" max="8707" width="9.42578125" style="1" customWidth="1"/>
    <col min="8708" max="8708" width="14.7109375" style="1" customWidth="1"/>
    <col min="8709" max="8709" width="11.5703125" style="1" customWidth="1"/>
    <col min="8710" max="8710" width="0.42578125" style="1" customWidth="1"/>
    <col min="8711" max="8711" width="10.5703125" style="1" bestFit="1" customWidth="1"/>
    <col min="8712" max="8712" width="12.28515625" style="1" customWidth="1"/>
    <col min="8713" max="8713" width="12.5703125" style="1" customWidth="1"/>
    <col min="8714" max="8714" width="10.5703125" style="1" customWidth="1"/>
    <col min="8715" max="8715" width="10.140625" style="1" customWidth="1"/>
    <col min="8716" max="8716" width="8.42578125" style="1" customWidth="1"/>
    <col min="8717" max="8717" width="18.85546875" style="1" customWidth="1"/>
    <col min="8718" max="8718" width="10.28515625" style="1" customWidth="1"/>
    <col min="8719" max="8719" width="11.42578125" style="1" customWidth="1"/>
    <col min="8720" max="8720" width="12.140625" style="1" customWidth="1"/>
    <col min="8721" max="8721" width="10.5703125" style="1" customWidth="1"/>
    <col min="8722" max="8722" width="12.42578125" style="1" customWidth="1"/>
    <col min="8723" max="8723" width="15.140625" style="1" customWidth="1"/>
    <col min="8724" max="8724" width="13.5703125" style="1" customWidth="1"/>
    <col min="8725" max="8725" width="13.140625" style="1" customWidth="1"/>
    <col min="8726" max="8726" width="15.7109375" style="1" customWidth="1"/>
    <col min="8727" max="8727" width="37.5703125" style="1" customWidth="1"/>
    <col min="8728" max="8949" width="11.42578125" style="1"/>
    <col min="8950" max="8950" width="10.5703125" style="1" customWidth="1"/>
    <col min="8951" max="8951" width="4.85546875" style="1" customWidth="1"/>
    <col min="8952" max="8952" width="32.42578125" style="1" customWidth="1"/>
    <col min="8953" max="8953" width="9.85546875" style="1" customWidth="1"/>
    <col min="8954" max="8954" width="10.140625" style="1" customWidth="1"/>
    <col min="8955" max="8955" width="12.28515625" style="1" customWidth="1"/>
    <col min="8956" max="8956" width="15.42578125" style="1" customWidth="1"/>
    <col min="8957" max="8957" width="11.85546875" style="1" customWidth="1"/>
    <col min="8958" max="8958" width="13.28515625" style="1" customWidth="1"/>
    <col min="8959" max="8959" width="15.28515625" style="1" customWidth="1"/>
    <col min="8960" max="8960" width="11.85546875" style="1" customWidth="1"/>
    <col min="8961" max="8961" width="6.140625" style="1" customWidth="1"/>
    <col min="8962" max="8962" width="11.85546875" style="1" customWidth="1"/>
    <col min="8963" max="8963" width="9.42578125" style="1" customWidth="1"/>
    <col min="8964" max="8964" width="14.7109375" style="1" customWidth="1"/>
    <col min="8965" max="8965" width="11.5703125" style="1" customWidth="1"/>
    <col min="8966" max="8966" width="0.42578125" style="1" customWidth="1"/>
    <col min="8967" max="8967" width="10.5703125" style="1" bestFit="1" customWidth="1"/>
    <col min="8968" max="8968" width="12.28515625" style="1" customWidth="1"/>
    <col min="8969" max="8969" width="12.5703125" style="1" customWidth="1"/>
    <col min="8970" max="8970" width="10.5703125" style="1" customWidth="1"/>
    <col min="8971" max="8971" width="10.140625" style="1" customWidth="1"/>
    <col min="8972" max="8972" width="8.42578125" style="1" customWidth="1"/>
    <col min="8973" max="8973" width="18.85546875" style="1" customWidth="1"/>
    <col min="8974" max="8974" width="10.28515625" style="1" customWidth="1"/>
    <col min="8975" max="8975" width="11.42578125" style="1" customWidth="1"/>
    <col min="8976" max="8976" width="12.140625" style="1" customWidth="1"/>
    <col min="8977" max="8977" width="10.5703125" style="1" customWidth="1"/>
    <col min="8978" max="8978" width="12.42578125" style="1" customWidth="1"/>
    <col min="8979" max="8979" width="15.140625" style="1" customWidth="1"/>
    <col min="8980" max="8980" width="13.5703125" style="1" customWidth="1"/>
    <col min="8981" max="8981" width="13.140625" style="1" customWidth="1"/>
    <col min="8982" max="8982" width="15.7109375" style="1" customWidth="1"/>
    <col min="8983" max="8983" width="37.5703125" style="1" customWidth="1"/>
    <col min="8984" max="9205" width="11.42578125" style="1"/>
    <col min="9206" max="9206" width="10.5703125" style="1" customWidth="1"/>
    <col min="9207" max="9207" width="4.85546875" style="1" customWidth="1"/>
    <col min="9208" max="9208" width="32.42578125" style="1" customWidth="1"/>
    <col min="9209" max="9209" width="9.85546875" style="1" customWidth="1"/>
    <col min="9210" max="9210" width="10.140625" style="1" customWidth="1"/>
    <col min="9211" max="9211" width="12.28515625" style="1" customWidth="1"/>
    <col min="9212" max="9212" width="15.42578125" style="1" customWidth="1"/>
    <col min="9213" max="9213" width="11.85546875" style="1" customWidth="1"/>
    <col min="9214" max="9214" width="13.28515625" style="1" customWidth="1"/>
    <col min="9215" max="9215" width="15.28515625" style="1" customWidth="1"/>
    <col min="9216" max="9216" width="11.85546875" style="1" customWidth="1"/>
    <col min="9217" max="9217" width="6.140625" style="1" customWidth="1"/>
    <col min="9218" max="9218" width="11.85546875" style="1" customWidth="1"/>
    <col min="9219" max="9219" width="9.42578125" style="1" customWidth="1"/>
    <col min="9220" max="9220" width="14.7109375" style="1" customWidth="1"/>
    <col min="9221" max="9221" width="11.5703125" style="1" customWidth="1"/>
    <col min="9222" max="9222" width="0.42578125" style="1" customWidth="1"/>
    <col min="9223" max="9223" width="10.5703125" style="1" bestFit="1" customWidth="1"/>
    <col min="9224" max="9224" width="12.28515625" style="1" customWidth="1"/>
    <col min="9225" max="9225" width="12.5703125" style="1" customWidth="1"/>
    <col min="9226" max="9226" width="10.5703125" style="1" customWidth="1"/>
    <col min="9227" max="9227" width="10.140625" style="1" customWidth="1"/>
    <col min="9228" max="9228" width="8.42578125" style="1" customWidth="1"/>
    <col min="9229" max="9229" width="18.85546875" style="1" customWidth="1"/>
    <col min="9230" max="9230" width="10.28515625" style="1" customWidth="1"/>
    <col min="9231" max="9231" width="11.42578125" style="1" customWidth="1"/>
    <col min="9232" max="9232" width="12.140625" style="1" customWidth="1"/>
    <col min="9233" max="9233" width="10.5703125" style="1" customWidth="1"/>
    <col min="9234" max="9234" width="12.42578125" style="1" customWidth="1"/>
    <col min="9235" max="9235" width="15.140625" style="1" customWidth="1"/>
    <col min="9236" max="9236" width="13.5703125" style="1" customWidth="1"/>
    <col min="9237" max="9237" width="13.140625" style="1" customWidth="1"/>
    <col min="9238" max="9238" width="15.7109375" style="1" customWidth="1"/>
    <col min="9239" max="9239" width="37.5703125" style="1" customWidth="1"/>
    <col min="9240" max="9461" width="11.42578125" style="1"/>
    <col min="9462" max="9462" width="10.5703125" style="1" customWidth="1"/>
    <col min="9463" max="9463" width="4.85546875" style="1" customWidth="1"/>
    <col min="9464" max="9464" width="32.42578125" style="1" customWidth="1"/>
    <col min="9465" max="9465" width="9.85546875" style="1" customWidth="1"/>
    <col min="9466" max="9466" width="10.140625" style="1" customWidth="1"/>
    <col min="9467" max="9467" width="12.28515625" style="1" customWidth="1"/>
    <col min="9468" max="9468" width="15.42578125" style="1" customWidth="1"/>
    <col min="9469" max="9469" width="11.85546875" style="1" customWidth="1"/>
    <col min="9470" max="9470" width="13.28515625" style="1" customWidth="1"/>
    <col min="9471" max="9471" width="15.28515625" style="1" customWidth="1"/>
    <col min="9472" max="9472" width="11.85546875" style="1" customWidth="1"/>
    <col min="9473" max="9473" width="6.140625" style="1" customWidth="1"/>
    <col min="9474" max="9474" width="11.85546875" style="1" customWidth="1"/>
    <col min="9475" max="9475" width="9.42578125" style="1" customWidth="1"/>
    <col min="9476" max="9476" width="14.7109375" style="1" customWidth="1"/>
    <col min="9477" max="9477" width="11.5703125" style="1" customWidth="1"/>
    <col min="9478" max="9478" width="0.42578125" style="1" customWidth="1"/>
    <col min="9479" max="9479" width="10.5703125" style="1" bestFit="1" customWidth="1"/>
    <col min="9480" max="9480" width="12.28515625" style="1" customWidth="1"/>
    <col min="9481" max="9481" width="12.5703125" style="1" customWidth="1"/>
    <col min="9482" max="9482" width="10.5703125" style="1" customWidth="1"/>
    <col min="9483" max="9483" width="10.140625" style="1" customWidth="1"/>
    <col min="9484" max="9484" width="8.42578125" style="1" customWidth="1"/>
    <col min="9485" max="9485" width="18.85546875" style="1" customWidth="1"/>
    <col min="9486" max="9486" width="10.28515625" style="1" customWidth="1"/>
    <col min="9487" max="9487" width="11.42578125" style="1" customWidth="1"/>
    <col min="9488" max="9488" width="12.140625" style="1" customWidth="1"/>
    <col min="9489" max="9489" width="10.5703125" style="1" customWidth="1"/>
    <col min="9490" max="9490" width="12.42578125" style="1" customWidth="1"/>
    <col min="9491" max="9491" width="15.140625" style="1" customWidth="1"/>
    <col min="9492" max="9492" width="13.5703125" style="1" customWidth="1"/>
    <col min="9493" max="9493" width="13.140625" style="1" customWidth="1"/>
    <col min="9494" max="9494" width="15.7109375" style="1" customWidth="1"/>
    <col min="9495" max="9495" width="37.5703125" style="1" customWidth="1"/>
    <col min="9496" max="9717" width="11.42578125" style="1"/>
    <col min="9718" max="9718" width="10.5703125" style="1" customWidth="1"/>
    <col min="9719" max="9719" width="4.85546875" style="1" customWidth="1"/>
    <col min="9720" max="9720" width="32.42578125" style="1" customWidth="1"/>
    <col min="9721" max="9721" width="9.85546875" style="1" customWidth="1"/>
    <col min="9722" max="9722" width="10.140625" style="1" customWidth="1"/>
    <col min="9723" max="9723" width="12.28515625" style="1" customWidth="1"/>
    <col min="9724" max="9724" width="15.42578125" style="1" customWidth="1"/>
    <col min="9725" max="9725" width="11.85546875" style="1" customWidth="1"/>
    <col min="9726" max="9726" width="13.28515625" style="1" customWidth="1"/>
    <col min="9727" max="9727" width="15.28515625" style="1" customWidth="1"/>
    <col min="9728" max="9728" width="11.85546875" style="1" customWidth="1"/>
    <col min="9729" max="9729" width="6.140625" style="1" customWidth="1"/>
    <col min="9730" max="9730" width="11.85546875" style="1" customWidth="1"/>
    <col min="9731" max="9731" width="9.42578125" style="1" customWidth="1"/>
    <col min="9732" max="9732" width="14.7109375" style="1" customWidth="1"/>
    <col min="9733" max="9733" width="11.5703125" style="1" customWidth="1"/>
    <col min="9734" max="9734" width="0.42578125" style="1" customWidth="1"/>
    <col min="9735" max="9735" width="10.5703125" style="1" bestFit="1" customWidth="1"/>
    <col min="9736" max="9736" width="12.28515625" style="1" customWidth="1"/>
    <col min="9737" max="9737" width="12.5703125" style="1" customWidth="1"/>
    <col min="9738" max="9738" width="10.5703125" style="1" customWidth="1"/>
    <col min="9739" max="9739" width="10.140625" style="1" customWidth="1"/>
    <col min="9740" max="9740" width="8.42578125" style="1" customWidth="1"/>
    <col min="9741" max="9741" width="18.85546875" style="1" customWidth="1"/>
    <col min="9742" max="9742" width="10.28515625" style="1" customWidth="1"/>
    <col min="9743" max="9743" width="11.42578125" style="1" customWidth="1"/>
    <col min="9744" max="9744" width="12.140625" style="1" customWidth="1"/>
    <col min="9745" max="9745" width="10.5703125" style="1" customWidth="1"/>
    <col min="9746" max="9746" width="12.42578125" style="1" customWidth="1"/>
    <col min="9747" max="9747" width="15.140625" style="1" customWidth="1"/>
    <col min="9748" max="9748" width="13.5703125" style="1" customWidth="1"/>
    <col min="9749" max="9749" width="13.140625" style="1" customWidth="1"/>
    <col min="9750" max="9750" width="15.7109375" style="1" customWidth="1"/>
    <col min="9751" max="9751" width="37.5703125" style="1" customWidth="1"/>
    <col min="9752" max="9973" width="11.42578125" style="1"/>
    <col min="9974" max="9974" width="10.5703125" style="1" customWidth="1"/>
    <col min="9975" max="9975" width="4.85546875" style="1" customWidth="1"/>
    <col min="9976" max="9976" width="32.42578125" style="1" customWidth="1"/>
    <col min="9977" max="9977" width="9.85546875" style="1" customWidth="1"/>
    <col min="9978" max="9978" width="10.140625" style="1" customWidth="1"/>
    <col min="9979" max="9979" width="12.28515625" style="1" customWidth="1"/>
    <col min="9980" max="9980" width="15.42578125" style="1" customWidth="1"/>
    <col min="9981" max="9981" width="11.85546875" style="1" customWidth="1"/>
    <col min="9982" max="9982" width="13.28515625" style="1" customWidth="1"/>
    <col min="9983" max="9983" width="15.28515625" style="1" customWidth="1"/>
    <col min="9984" max="9984" width="11.85546875" style="1" customWidth="1"/>
    <col min="9985" max="9985" width="6.140625" style="1" customWidth="1"/>
    <col min="9986" max="9986" width="11.85546875" style="1" customWidth="1"/>
    <col min="9987" max="9987" width="9.42578125" style="1" customWidth="1"/>
    <col min="9988" max="9988" width="14.7109375" style="1" customWidth="1"/>
    <col min="9989" max="9989" width="11.5703125" style="1" customWidth="1"/>
    <col min="9990" max="9990" width="0.42578125" style="1" customWidth="1"/>
    <col min="9991" max="9991" width="10.5703125" style="1" bestFit="1" customWidth="1"/>
    <col min="9992" max="9992" width="12.28515625" style="1" customWidth="1"/>
    <col min="9993" max="9993" width="12.5703125" style="1" customWidth="1"/>
    <col min="9994" max="9994" width="10.5703125" style="1" customWidth="1"/>
    <col min="9995" max="9995" width="10.140625" style="1" customWidth="1"/>
    <col min="9996" max="9996" width="8.42578125" style="1" customWidth="1"/>
    <col min="9997" max="9997" width="18.85546875" style="1" customWidth="1"/>
    <col min="9998" max="9998" width="10.28515625" style="1" customWidth="1"/>
    <col min="9999" max="9999" width="11.42578125" style="1" customWidth="1"/>
    <col min="10000" max="10000" width="12.140625" style="1" customWidth="1"/>
    <col min="10001" max="10001" width="10.5703125" style="1" customWidth="1"/>
    <col min="10002" max="10002" width="12.42578125" style="1" customWidth="1"/>
    <col min="10003" max="10003" width="15.140625" style="1" customWidth="1"/>
    <col min="10004" max="10004" width="13.5703125" style="1" customWidth="1"/>
    <col min="10005" max="10005" width="13.140625" style="1" customWidth="1"/>
    <col min="10006" max="10006" width="15.7109375" style="1" customWidth="1"/>
    <col min="10007" max="10007" width="37.5703125" style="1" customWidth="1"/>
    <col min="10008" max="10229" width="11.42578125" style="1"/>
    <col min="10230" max="10230" width="10.5703125" style="1" customWidth="1"/>
    <col min="10231" max="10231" width="4.85546875" style="1" customWidth="1"/>
    <col min="10232" max="10232" width="32.42578125" style="1" customWidth="1"/>
    <col min="10233" max="10233" width="9.85546875" style="1" customWidth="1"/>
    <col min="10234" max="10234" width="10.140625" style="1" customWidth="1"/>
    <col min="10235" max="10235" width="12.28515625" style="1" customWidth="1"/>
    <col min="10236" max="10236" width="15.42578125" style="1" customWidth="1"/>
    <col min="10237" max="10237" width="11.85546875" style="1" customWidth="1"/>
    <col min="10238" max="10238" width="13.28515625" style="1" customWidth="1"/>
    <col min="10239" max="10239" width="15.28515625" style="1" customWidth="1"/>
    <col min="10240" max="10240" width="11.85546875" style="1" customWidth="1"/>
    <col min="10241" max="10241" width="6.140625" style="1" customWidth="1"/>
    <col min="10242" max="10242" width="11.85546875" style="1" customWidth="1"/>
    <col min="10243" max="10243" width="9.42578125" style="1" customWidth="1"/>
    <col min="10244" max="10244" width="14.7109375" style="1" customWidth="1"/>
    <col min="10245" max="10245" width="11.5703125" style="1" customWidth="1"/>
    <col min="10246" max="10246" width="0.42578125" style="1" customWidth="1"/>
    <col min="10247" max="10247" width="10.5703125" style="1" bestFit="1" customWidth="1"/>
    <col min="10248" max="10248" width="12.28515625" style="1" customWidth="1"/>
    <col min="10249" max="10249" width="12.5703125" style="1" customWidth="1"/>
    <col min="10250" max="10250" width="10.5703125" style="1" customWidth="1"/>
    <col min="10251" max="10251" width="10.140625" style="1" customWidth="1"/>
    <col min="10252" max="10252" width="8.42578125" style="1" customWidth="1"/>
    <col min="10253" max="10253" width="18.85546875" style="1" customWidth="1"/>
    <col min="10254" max="10254" width="10.28515625" style="1" customWidth="1"/>
    <col min="10255" max="10255" width="11.42578125" style="1" customWidth="1"/>
    <col min="10256" max="10256" width="12.140625" style="1" customWidth="1"/>
    <col min="10257" max="10257" width="10.5703125" style="1" customWidth="1"/>
    <col min="10258" max="10258" width="12.42578125" style="1" customWidth="1"/>
    <col min="10259" max="10259" width="15.140625" style="1" customWidth="1"/>
    <col min="10260" max="10260" width="13.5703125" style="1" customWidth="1"/>
    <col min="10261" max="10261" width="13.140625" style="1" customWidth="1"/>
    <col min="10262" max="10262" width="15.7109375" style="1" customWidth="1"/>
    <col min="10263" max="10263" width="37.5703125" style="1" customWidth="1"/>
    <col min="10264" max="10485" width="11.42578125" style="1"/>
    <col min="10486" max="10486" width="10.5703125" style="1" customWidth="1"/>
    <col min="10487" max="10487" width="4.85546875" style="1" customWidth="1"/>
    <col min="10488" max="10488" width="32.42578125" style="1" customWidth="1"/>
    <col min="10489" max="10489" width="9.85546875" style="1" customWidth="1"/>
    <col min="10490" max="10490" width="10.140625" style="1" customWidth="1"/>
    <col min="10491" max="10491" width="12.28515625" style="1" customWidth="1"/>
    <col min="10492" max="10492" width="15.42578125" style="1" customWidth="1"/>
    <col min="10493" max="10493" width="11.85546875" style="1" customWidth="1"/>
    <col min="10494" max="10494" width="13.28515625" style="1" customWidth="1"/>
    <col min="10495" max="10495" width="15.28515625" style="1" customWidth="1"/>
    <col min="10496" max="10496" width="11.85546875" style="1" customWidth="1"/>
    <col min="10497" max="10497" width="6.140625" style="1" customWidth="1"/>
    <col min="10498" max="10498" width="11.85546875" style="1" customWidth="1"/>
    <col min="10499" max="10499" width="9.42578125" style="1" customWidth="1"/>
    <col min="10500" max="10500" width="14.7109375" style="1" customWidth="1"/>
    <col min="10501" max="10501" width="11.5703125" style="1" customWidth="1"/>
    <col min="10502" max="10502" width="0.42578125" style="1" customWidth="1"/>
    <col min="10503" max="10503" width="10.5703125" style="1" bestFit="1" customWidth="1"/>
    <col min="10504" max="10504" width="12.28515625" style="1" customWidth="1"/>
    <col min="10505" max="10505" width="12.5703125" style="1" customWidth="1"/>
    <col min="10506" max="10506" width="10.5703125" style="1" customWidth="1"/>
    <col min="10507" max="10507" width="10.140625" style="1" customWidth="1"/>
    <col min="10508" max="10508" width="8.42578125" style="1" customWidth="1"/>
    <col min="10509" max="10509" width="18.85546875" style="1" customWidth="1"/>
    <col min="10510" max="10510" width="10.28515625" style="1" customWidth="1"/>
    <col min="10511" max="10511" width="11.42578125" style="1" customWidth="1"/>
    <col min="10512" max="10512" width="12.140625" style="1" customWidth="1"/>
    <col min="10513" max="10513" width="10.5703125" style="1" customWidth="1"/>
    <col min="10514" max="10514" width="12.42578125" style="1" customWidth="1"/>
    <col min="10515" max="10515" width="15.140625" style="1" customWidth="1"/>
    <col min="10516" max="10516" width="13.5703125" style="1" customWidth="1"/>
    <col min="10517" max="10517" width="13.140625" style="1" customWidth="1"/>
    <col min="10518" max="10518" width="15.7109375" style="1" customWidth="1"/>
    <col min="10519" max="10519" width="37.5703125" style="1" customWidth="1"/>
    <col min="10520" max="10741" width="11.42578125" style="1"/>
    <col min="10742" max="10742" width="10.5703125" style="1" customWidth="1"/>
    <col min="10743" max="10743" width="4.85546875" style="1" customWidth="1"/>
    <col min="10744" max="10744" width="32.42578125" style="1" customWidth="1"/>
    <col min="10745" max="10745" width="9.85546875" style="1" customWidth="1"/>
    <col min="10746" max="10746" width="10.140625" style="1" customWidth="1"/>
    <col min="10747" max="10747" width="12.28515625" style="1" customWidth="1"/>
    <col min="10748" max="10748" width="15.42578125" style="1" customWidth="1"/>
    <col min="10749" max="10749" width="11.85546875" style="1" customWidth="1"/>
    <col min="10750" max="10750" width="13.28515625" style="1" customWidth="1"/>
    <col min="10751" max="10751" width="15.28515625" style="1" customWidth="1"/>
    <col min="10752" max="10752" width="11.85546875" style="1" customWidth="1"/>
    <col min="10753" max="10753" width="6.140625" style="1" customWidth="1"/>
    <col min="10754" max="10754" width="11.85546875" style="1" customWidth="1"/>
    <col min="10755" max="10755" width="9.42578125" style="1" customWidth="1"/>
    <col min="10756" max="10756" width="14.7109375" style="1" customWidth="1"/>
    <col min="10757" max="10757" width="11.5703125" style="1" customWidth="1"/>
    <col min="10758" max="10758" width="0.42578125" style="1" customWidth="1"/>
    <col min="10759" max="10759" width="10.5703125" style="1" bestFit="1" customWidth="1"/>
    <col min="10760" max="10760" width="12.28515625" style="1" customWidth="1"/>
    <col min="10761" max="10761" width="12.5703125" style="1" customWidth="1"/>
    <col min="10762" max="10762" width="10.5703125" style="1" customWidth="1"/>
    <col min="10763" max="10763" width="10.140625" style="1" customWidth="1"/>
    <col min="10764" max="10764" width="8.42578125" style="1" customWidth="1"/>
    <col min="10765" max="10765" width="18.85546875" style="1" customWidth="1"/>
    <col min="10766" max="10766" width="10.28515625" style="1" customWidth="1"/>
    <col min="10767" max="10767" width="11.42578125" style="1" customWidth="1"/>
    <col min="10768" max="10768" width="12.140625" style="1" customWidth="1"/>
    <col min="10769" max="10769" width="10.5703125" style="1" customWidth="1"/>
    <col min="10770" max="10770" width="12.42578125" style="1" customWidth="1"/>
    <col min="10771" max="10771" width="15.140625" style="1" customWidth="1"/>
    <col min="10772" max="10772" width="13.5703125" style="1" customWidth="1"/>
    <col min="10773" max="10773" width="13.140625" style="1" customWidth="1"/>
    <col min="10774" max="10774" width="15.7109375" style="1" customWidth="1"/>
    <col min="10775" max="10775" width="37.5703125" style="1" customWidth="1"/>
    <col min="10776" max="10997" width="11.42578125" style="1"/>
    <col min="10998" max="10998" width="10.5703125" style="1" customWidth="1"/>
    <col min="10999" max="10999" width="4.85546875" style="1" customWidth="1"/>
    <col min="11000" max="11000" width="32.42578125" style="1" customWidth="1"/>
    <col min="11001" max="11001" width="9.85546875" style="1" customWidth="1"/>
    <col min="11002" max="11002" width="10.140625" style="1" customWidth="1"/>
    <col min="11003" max="11003" width="12.28515625" style="1" customWidth="1"/>
    <col min="11004" max="11004" width="15.42578125" style="1" customWidth="1"/>
    <col min="11005" max="11005" width="11.85546875" style="1" customWidth="1"/>
    <col min="11006" max="11006" width="13.28515625" style="1" customWidth="1"/>
    <col min="11007" max="11007" width="15.28515625" style="1" customWidth="1"/>
    <col min="11008" max="11008" width="11.85546875" style="1" customWidth="1"/>
    <col min="11009" max="11009" width="6.140625" style="1" customWidth="1"/>
    <col min="11010" max="11010" width="11.85546875" style="1" customWidth="1"/>
    <col min="11011" max="11011" width="9.42578125" style="1" customWidth="1"/>
    <col min="11012" max="11012" width="14.7109375" style="1" customWidth="1"/>
    <col min="11013" max="11013" width="11.5703125" style="1" customWidth="1"/>
    <col min="11014" max="11014" width="0.42578125" style="1" customWidth="1"/>
    <col min="11015" max="11015" width="10.5703125" style="1" bestFit="1" customWidth="1"/>
    <col min="11016" max="11016" width="12.28515625" style="1" customWidth="1"/>
    <col min="11017" max="11017" width="12.5703125" style="1" customWidth="1"/>
    <col min="11018" max="11018" width="10.5703125" style="1" customWidth="1"/>
    <col min="11019" max="11019" width="10.140625" style="1" customWidth="1"/>
    <col min="11020" max="11020" width="8.42578125" style="1" customWidth="1"/>
    <col min="11021" max="11021" width="18.85546875" style="1" customWidth="1"/>
    <col min="11022" max="11022" width="10.28515625" style="1" customWidth="1"/>
    <col min="11023" max="11023" width="11.42578125" style="1" customWidth="1"/>
    <col min="11024" max="11024" width="12.140625" style="1" customWidth="1"/>
    <col min="11025" max="11025" width="10.5703125" style="1" customWidth="1"/>
    <col min="11026" max="11026" width="12.42578125" style="1" customWidth="1"/>
    <col min="11027" max="11027" width="15.140625" style="1" customWidth="1"/>
    <col min="11028" max="11028" width="13.5703125" style="1" customWidth="1"/>
    <col min="11029" max="11029" width="13.140625" style="1" customWidth="1"/>
    <col min="11030" max="11030" width="15.7109375" style="1" customWidth="1"/>
    <col min="11031" max="11031" width="37.5703125" style="1" customWidth="1"/>
    <col min="11032" max="11253" width="11.42578125" style="1"/>
    <col min="11254" max="11254" width="10.5703125" style="1" customWidth="1"/>
    <col min="11255" max="11255" width="4.85546875" style="1" customWidth="1"/>
    <col min="11256" max="11256" width="32.42578125" style="1" customWidth="1"/>
    <col min="11257" max="11257" width="9.85546875" style="1" customWidth="1"/>
    <col min="11258" max="11258" width="10.140625" style="1" customWidth="1"/>
    <col min="11259" max="11259" width="12.28515625" style="1" customWidth="1"/>
    <col min="11260" max="11260" width="15.42578125" style="1" customWidth="1"/>
    <col min="11261" max="11261" width="11.85546875" style="1" customWidth="1"/>
    <col min="11262" max="11262" width="13.28515625" style="1" customWidth="1"/>
    <col min="11263" max="11263" width="15.28515625" style="1" customWidth="1"/>
    <col min="11264" max="11264" width="11.85546875" style="1" customWidth="1"/>
    <col min="11265" max="11265" width="6.140625" style="1" customWidth="1"/>
    <col min="11266" max="11266" width="11.85546875" style="1" customWidth="1"/>
    <col min="11267" max="11267" width="9.42578125" style="1" customWidth="1"/>
    <col min="11268" max="11268" width="14.7109375" style="1" customWidth="1"/>
    <col min="11269" max="11269" width="11.5703125" style="1" customWidth="1"/>
    <col min="11270" max="11270" width="0.42578125" style="1" customWidth="1"/>
    <col min="11271" max="11271" width="10.5703125" style="1" bestFit="1" customWidth="1"/>
    <col min="11272" max="11272" width="12.28515625" style="1" customWidth="1"/>
    <col min="11273" max="11273" width="12.5703125" style="1" customWidth="1"/>
    <col min="11274" max="11274" width="10.5703125" style="1" customWidth="1"/>
    <col min="11275" max="11275" width="10.140625" style="1" customWidth="1"/>
    <col min="11276" max="11276" width="8.42578125" style="1" customWidth="1"/>
    <col min="11277" max="11277" width="18.85546875" style="1" customWidth="1"/>
    <col min="11278" max="11278" width="10.28515625" style="1" customWidth="1"/>
    <col min="11279" max="11279" width="11.42578125" style="1" customWidth="1"/>
    <col min="11280" max="11280" width="12.140625" style="1" customWidth="1"/>
    <col min="11281" max="11281" width="10.5703125" style="1" customWidth="1"/>
    <col min="11282" max="11282" width="12.42578125" style="1" customWidth="1"/>
    <col min="11283" max="11283" width="15.140625" style="1" customWidth="1"/>
    <col min="11284" max="11284" width="13.5703125" style="1" customWidth="1"/>
    <col min="11285" max="11285" width="13.140625" style="1" customWidth="1"/>
    <col min="11286" max="11286" width="15.7109375" style="1" customWidth="1"/>
    <col min="11287" max="11287" width="37.5703125" style="1" customWidth="1"/>
    <col min="11288" max="11509" width="11.42578125" style="1"/>
    <col min="11510" max="11510" width="10.5703125" style="1" customWidth="1"/>
    <col min="11511" max="11511" width="4.85546875" style="1" customWidth="1"/>
    <col min="11512" max="11512" width="32.42578125" style="1" customWidth="1"/>
    <col min="11513" max="11513" width="9.85546875" style="1" customWidth="1"/>
    <col min="11514" max="11514" width="10.140625" style="1" customWidth="1"/>
    <col min="11515" max="11515" width="12.28515625" style="1" customWidth="1"/>
    <col min="11516" max="11516" width="15.42578125" style="1" customWidth="1"/>
    <col min="11517" max="11517" width="11.85546875" style="1" customWidth="1"/>
    <col min="11518" max="11518" width="13.28515625" style="1" customWidth="1"/>
    <col min="11519" max="11519" width="15.28515625" style="1" customWidth="1"/>
    <col min="11520" max="11520" width="11.85546875" style="1" customWidth="1"/>
    <col min="11521" max="11521" width="6.140625" style="1" customWidth="1"/>
    <col min="11522" max="11522" width="11.85546875" style="1" customWidth="1"/>
    <col min="11523" max="11523" width="9.42578125" style="1" customWidth="1"/>
    <col min="11524" max="11524" width="14.7109375" style="1" customWidth="1"/>
    <col min="11525" max="11525" width="11.5703125" style="1" customWidth="1"/>
    <col min="11526" max="11526" width="0.42578125" style="1" customWidth="1"/>
    <col min="11527" max="11527" width="10.5703125" style="1" bestFit="1" customWidth="1"/>
    <col min="11528" max="11528" width="12.28515625" style="1" customWidth="1"/>
    <col min="11529" max="11529" width="12.5703125" style="1" customWidth="1"/>
    <col min="11530" max="11530" width="10.5703125" style="1" customWidth="1"/>
    <col min="11531" max="11531" width="10.140625" style="1" customWidth="1"/>
    <col min="11532" max="11532" width="8.42578125" style="1" customWidth="1"/>
    <col min="11533" max="11533" width="18.85546875" style="1" customWidth="1"/>
    <col min="11534" max="11534" width="10.28515625" style="1" customWidth="1"/>
    <col min="11535" max="11535" width="11.42578125" style="1" customWidth="1"/>
    <col min="11536" max="11536" width="12.140625" style="1" customWidth="1"/>
    <col min="11537" max="11537" width="10.5703125" style="1" customWidth="1"/>
    <col min="11538" max="11538" width="12.42578125" style="1" customWidth="1"/>
    <col min="11539" max="11539" width="15.140625" style="1" customWidth="1"/>
    <col min="11540" max="11540" width="13.5703125" style="1" customWidth="1"/>
    <col min="11541" max="11541" width="13.140625" style="1" customWidth="1"/>
    <col min="11542" max="11542" width="15.7109375" style="1" customWidth="1"/>
    <col min="11543" max="11543" width="37.5703125" style="1" customWidth="1"/>
    <col min="11544" max="11765" width="11.42578125" style="1"/>
    <col min="11766" max="11766" width="10.5703125" style="1" customWidth="1"/>
    <col min="11767" max="11767" width="4.85546875" style="1" customWidth="1"/>
    <col min="11768" max="11768" width="32.42578125" style="1" customWidth="1"/>
    <col min="11769" max="11769" width="9.85546875" style="1" customWidth="1"/>
    <col min="11770" max="11770" width="10.140625" style="1" customWidth="1"/>
    <col min="11771" max="11771" width="12.28515625" style="1" customWidth="1"/>
    <col min="11772" max="11772" width="15.42578125" style="1" customWidth="1"/>
    <col min="11773" max="11773" width="11.85546875" style="1" customWidth="1"/>
    <col min="11774" max="11774" width="13.28515625" style="1" customWidth="1"/>
    <col min="11775" max="11775" width="15.28515625" style="1" customWidth="1"/>
    <col min="11776" max="11776" width="11.85546875" style="1" customWidth="1"/>
    <col min="11777" max="11777" width="6.140625" style="1" customWidth="1"/>
    <col min="11778" max="11778" width="11.85546875" style="1" customWidth="1"/>
    <col min="11779" max="11779" width="9.42578125" style="1" customWidth="1"/>
    <col min="11780" max="11780" width="14.7109375" style="1" customWidth="1"/>
    <col min="11781" max="11781" width="11.5703125" style="1" customWidth="1"/>
    <col min="11782" max="11782" width="0.42578125" style="1" customWidth="1"/>
    <col min="11783" max="11783" width="10.5703125" style="1" bestFit="1" customWidth="1"/>
    <col min="11784" max="11784" width="12.28515625" style="1" customWidth="1"/>
    <col min="11785" max="11785" width="12.5703125" style="1" customWidth="1"/>
    <col min="11786" max="11786" width="10.5703125" style="1" customWidth="1"/>
    <col min="11787" max="11787" width="10.140625" style="1" customWidth="1"/>
    <col min="11788" max="11788" width="8.42578125" style="1" customWidth="1"/>
    <col min="11789" max="11789" width="18.85546875" style="1" customWidth="1"/>
    <col min="11790" max="11790" width="10.28515625" style="1" customWidth="1"/>
    <col min="11791" max="11791" width="11.42578125" style="1" customWidth="1"/>
    <col min="11792" max="11792" width="12.140625" style="1" customWidth="1"/>
    <col min="11793" max="11793" width="10.5703125" style="1" customWidth="1"/>
    <col min="11794" max="11794" width="12.42578125" style="1" customWidth="1"/>
    <col min="11795" max="11795" width="15.140625" style="1" customWidth="1"/>
    <col min="11796" max="11796" width="13.5703125" style="1" customWidth="1"/>
    <col min="11797" max="11797" width="13.140625" style="1" customWidth="1"/>
    <col min="11798" max="11798" width="15.7109375" style="1" customWidth="1"/>
    <col min="11799" max="11799" width="37.5703125" style="1" customWidth="1"/>
    <col min="11800" max="12021" width="11.42578125" style="1"/>
    <col min="12022" max="12022" width="10.5703125" style="1" customWidth="1"/>
    <col min="12023" max="12023" width="4.85546875" style="1" customWidth="1"/>
    <col min="12024" max="12024" width="32.42578125" style="1" customWidth="1"/>
    <col min="12025" max="12025" width="9.85546875" style="1" customWidth="1"/>
    <col min="12026" max="12026" width="10.140625" style="1" customWidth="1"/>
    <col min="12027" max="12027" width="12.28515625" style="1" customWidth="1"/>
    <col min="12028" max="12028" width="15.42578125" style="1" customWidth="1"/>
    <col min="12029" max="12029" width="11.85546875" style="1" customWidth="1"/>
    <col min="12030" max="12030" width="13.28515625" style="1" customWidth="1"/>
    <col min="12031" max="12031" width="15.28515625" style="1" customWidth="1"/>
    <col min="12032" max="12032" width="11.85546875" style="1" customWidth="1"/>
    <col min="12033" max="12033" width="6.140625" style="1" customWidth="1"/>
    <col min="12034" max="12034" width="11.85546875" style="1" customWidth="1"/>
    <col min="12035" max="12035" width="9.42578125" style="1" customWidth="1"/>
    <col min="12036" max="12036" width="14.7109375" style="1" customWidth="1"/>
    <col min="12037" max="12037" width="11.5703125" style="1" customWidth="1"/>
    <col min="12038" max="12038" width="0.42578125" style="1" customWidth="1"/>
    <col min="12039" max="12039" width="10.5703125" style="1" bestFit="1" customWidth="1"/>
    <col min="12040" max="12040" width="12.28515625" style="1" customWidth="1"/>
    <col min="12041" max="12041" width="12.5703125" style="1" customWidth="1"/>
    <col min="12042" max="12042" width="10.5703125" style="1" customWidth="1"/>
    <col min="12043" max="12043" width="10.140625" style="1" customWidth="1"/>
    <col min="12044" max="12044" width="8.42578125" style="1" customWidth="1"/>
    <col min="12045" max="12045" width="18.85546875" style="1" customWidth="1"/>
    <col min="12046" max="12046" width="10.28515625" style="1" customWidth="1"/>
    <col min="12047" max="12047" width="11.42578125" style="1" customWidth="1"/>
    <col min="12048" max="12048" width="12.140625" style="1" customWidth="1"/>
    <col min="12049" max="12049" width="10.5703125" style="1" customWidth="1"/>
    <col min="12050" max="12050" width="12.42578125" style="1" customWidth="1"/>
    <col min="12051" max="12051" width="15.140625" style="1" customWidth="1"/>
    <col min="12052" max="12052" width="13.5703125" style="1" customWidth="1"/>
    <col min="12053" max="12053" width="13.140625" style="1" customWidth="1"/>
    <col min="12054" max="12054" width="15.7109375" style="1" customWidth="1"/>
    <col min="12055" max="12055" width="37.5703125" style="1" customWidth="1"/>
    <col min="12056" max="12277" width="11.42578125" style="1"/>
    <col min="12278" max="12278" width="10.5703125" style="1" customWidth="1"/>
    <col min="12279" max="12279" width="4.85546875" style="1" customWidth="1"/>
    <col min="12280" max="12280" width="32.42578125" style="1" customWidth="1"/>
    <col min="12281" max="12281" width="9.85546875" style="1" customWidth="1"/>
    <col min="12282" max="12282" width="10.140625" style="1" customWidth="1"/>
    <col min="12283" max="12283" width="12.28515625" style="1" customWidth="1"/>
    <col min="12284" max="12284" width="15.42578125" style="1" customWidth="1"/>
    <col min="12285" max="12285" width="11.85546875" style="1" customWidth="1"/>
    <col min="12286" max="12286" width="13.28515625" style="1" customWidth="1"/>
    <col min="12287" max="12287" width="15.28515625" style="1" customWidth="1"/>
    <col min="12288" max="12288" width="11.85546875" style="1" customWidth="1"/>
    <col min="12289" max="12289" width="6.140625" style="1" customWidth="1"/>
    <col min="12290" max="12290" width="11.85546875" style="1" customWidth="1"/>
    <col min="12291" max="12291" width="9.42578125" style="1" customWidth="1"/>
    <col min="12292" max="12292" width="14.7109375" style="1" customWidth="1"/>
    <col min="12293" max="12293" width="11.5703125" style="1" customWidth="1"/>
    <col min="12294" max="12294" width="0.42578125" style="1" customWidth="1"/>
    <col min="12295" max="12295" width="10.5703125" style="1" bestFit="1" customWidth="1"/>
    <col min="12296" max="12296" width="12.28515625" style="1" customWidth="1"/>
    <col min="12297" max="12297" width="12.5703125" style="1" customWidth="1"/>
    <col min="12298" max="12298" width="10.5703125" style="1" customWidth="1"/>
    <col min="12299" max="12299" width="10.140625" style="1" customWidth="1"/>
    <col min="12300" max="12300" width="8.42578125" style="1" customWidth="1"/>
    <col min="12301" max="12301" width="18.85546875" style="1" customWidth="1"/>
    <col min="12302" max="12302" width="10.28515625" style="1" customWidth="1"/>
    <col min="12303" max="12303" width="11.42578125" style="1" customWidth="1"/>
    <col min="12304" max="12304" width="12.140625" style="1" customWidth="1"/>
    <col min="12305" max="12305" width="10.5703125" style="1" customWidth="1"/>
    <col min="12306" max="12306" width="12.42578125" style="1" customWidth="1"/>
    <col min="12307" max="12307" width="15.140625" style="1" customWidth="1"/>
    <col min="12308" max="12308" width="13.5703125" style="1" customWidth="1"/>
    <col min="12309" max="12309" width="13.140625" style="1" customWidth="1"/>
    <col min="12310" max="12310" width="15.7109375" style="1" customWidth="1"/>
    <col min="12311" max="12311" width="37.5703125" style="1" customWidth="1"/>
    <col min="12312" max="12533" width="11.42578125" style="1"/>
    <col min="12534" max="12534" width="10.5703125" style="1" customWidth="1"/>
    <col min="12535" max="12535" width="4.85546875" style="1" customWidth="1"/>
    <col min="12536" max="12536" width="32.42578125" style="1" customWidth="1"/>
    <col min="12537" max="12537" width="9.85546875" style="1" customWidth="1"/>
    <col min="12538" max="12538" width="10.140625" style="1" customWidth="1"/>
    <col min="12539" max="12539" width="12.28515625" style="1" customWidth="1"/>
    <col min="12540" max="12540" width="15.42578125" style="1" customWidth="1"/>
    <col min="12541" max="12541" width="11.85546875" style="1" customWidth="1"/>
    <col min="12542" max="12542" width="13.28515625" style="1" customWidth="1"/>
    <col min="12543" max="12543" width="15.28515625" style="1" customWidth="1"/>
    <col min="12544" max="12544" width="11.85546875" style="1" customWidth="1"/>
    <col min="12545" max="12545" width="6.140625" style="1" customWidth="1"/>
    <col min="12546" max="12546" width="11.85546875" style="1" customWidth="1"/>
    <col min="12547" max="12547" width="9.42578125" style="1" customWidth="1"/>
    <col min="12548" max="12548" width="14.7109375" style="1" customWidth="1"/>
    <col min="12549" max="12549" width="11.5703125" style="1" customWidth="1"/>
    <col min="12550" max="12550" width="0.42578125" style="1" customWidth="1"/>
    <col min="12551" max="12551" width="10.5703125" style="1" bestFit="1" customWidth="1"/>
    <col min="12552" max="12552" width="12.28515625" style="1" customWidth="1"/>
    <col min="12553" max="12553" width="12.5703125" style="1" customWidth="1"/>
    <col min="12554" max="12554" width="10.5703125" style="1" customWidth="1"/>
    <col min="12555" max="12555" width="10.140625" style="1" customWidth="1"/>
    <col min="12556" max="12556" width="8.42578125" style="1" customWidth="1"/>
    <col min="12557" max="12557" width="18.85546875" style="1" customWidth="1"/>
    <col min="12558" max="12558" width="10.28515625" style="1" customWidth="1"/>
    <col min="12559" max="12559" width="11.42578125" style="1" customWidth="1"/>
    <col min="12560" max="12560" width="12.140625" style="1" customWidth="1"/>
    <col min="12561" max="12561" width="10.5703125" style="1" customWidth="1"/>
    <col min="12562" max="12562" width="12.42578125" style="1" customWidth="1"/>
    <col min="12563" max="12563" width="15.140625" style="1" customWidth="1"/>
    <col min="12564" max="12564" width="13.5703125" style="1" customWidth="1"/>
    <col min="12565" max="12565" width="13.140625" style="1" customWidth="1"/>
    <col min="12566" max="12566" width="15.7109375" style="1" customWidth="1"/>
    <col min="12567" max="12567" width="37.5703125" style="1" customWidth="1"/>
    <col min="12568" max="12789" width="11.42578125" style="1"/>
    <col min="12790" max="12790" width="10.5703125" style="1" customWidth="1"/>
    <col min="12791" max="12791" width="4.85546875" style="1" customWidth="1"/>
    <col min="12792" max="12792" width="32.42578125" style="1" customWidth="1"/>
    <col min="12793" max="12793" width="9.85546875" style="1" customWidth="1"/>
    <col min="12794" max="12794" width="10.140625" style="1" customWidth="1"/>
    <col min="12795" max="12795" width="12.28515625" style="1" customWidth="1"/>
    <col min="12796" max="12796" width="15.42578125" style="1" customWidth="1"/>
    <col min="12797" max="12797" width="11.85546875" style="1" customWidth="1"/>
    <col min="12798" max="12798" width="13.28515625" style="1" customWidth="1"/>
    <col min="12799" max="12799" width="15.28515625" style="1" customWidth="1"/>
    <col min="12800" max="12800" width="11.85546875" style="1" customWidth="1"/>
    <col min="12801" max="12801" width="6.140625" style="1" customWidth="1"/>
    <col min="12802" max="12802" width="11.85546875" style="1" customWidth="1"/>
    <col min="12803" max="12803" width="9.42578125" style="1" customWidth="1"/>
    <col min="12804" max="12804" width="14.7109375" style="1" customWidth="1"/>
    <col min="12805" max="12805" width="11.5703125" style="1" customWidth="1"/>
    <col min="12806" max="12806" width="0.42578125" style="1" customWidth="1"/>
    <col min="12807" max="12807" width="10.5703125" style="1" bestFit="1" customWidth="1"/>
    <col min="12808" max="12808" width="12.28515625" style="1" customWidth="1"/>
    <col min="12809" max="12809" width="12.5703125" style="1" customWidth="1"/>
    <col min="12810" max="12810" width="10.5703125" style="1" customWidth="1"/>
    <col min="12811" max="12811" width="10.140625" style="1" customWidth="1"/>
    <col min="12812" max="12812" width="8.42578125" style="1" customWidth="1"/>
    <col min="12813" max="12813" width="18.85546875" style="1" customWidth="1"/>
    <col min="12814" max="12814" width="10.28515625" style="1" customWidth="1"/>
    <col min="12815" max="12815" width="11.42578125" style="1" customWidth="1"/>
    <col min="12816" max="12816" width="12.140625" style="1" customWidth="1"/>
    <col min="12817" max="12817" width="10.5703125" style="1" customWidth="1"/>
    <col min="12818" max="12818" width="12.42578125" style="1" customWidth="1"/>
    <col min="12819" max="12819" width="15.140625" style="1" customWidth="1"/>
    <col min="12820" max="12820" width="13.5703125" style="1" customWidth="1"/>
    <col min="12821" max="12821" width="13.140625" style="1" customWidth="1"/>
    <col min="12822" max="12822" width="15.7109375" style="1" customWidth="1"/>
    <col min="12823" max="12823" width="37.5703125" style="1" customWidth="1"/>
    <col min="12824" max="13045" width="11.42578125" style="1"/>
    <col min="13046" max="13046" width="10.5703125" style="1" customWidth="1"/>
    <col min="13047" max="13047" width="4.85546875" style="1" customWidth="1"/>
    <col min="13048" max="13048" width="32.42578125" style="1" customWidth="1"/>
    <col min="13049" max="13049" width="9.85546875" style="1" customWidth="1"/>
    <col min="13050" max="13050" width="10.140625" style="1" customWidth="1"/>
    <col min="13051" max="13051" width="12.28515625" style="1" customWidth="1"/>
    <col min="13052" max="13052" width="15.42578125" style="1" customWidth="1"/>
    <col min="13053" max="13053" width="11.85546875" style="1" customWidth="1"/>
    <col min="13054" max="13054" width="13.28515625" style="1" customWidth="1"/>
    <col min="13055" max="13055" width="15.28515625" style="1" customWidth="1"/>
    <col min="13056" max="13056" width="11.85546875" style="1" customWidth="1"/>
    <col min="13057" max="13057" width="6.140625" style="1" customWidth="1"/>
    <col min="13058" max="13058" width="11.85546875" style="1" customWidth="1"/>
    <col min="13059" max="13059" width="9.42578125" style="1" customWidth="1"/>
    <col min="13060" max="13060" width="14.7109375" style="1" customWidth="1"/>
    <col min="13061" max="13061" width="11.5703125" style="1" customWidth="1"/>
    <col min="13062" max="13062" width="0.42578125" style="1" customWidth="1"/>
    <col min="13063" max="13063" width="10.5703125" style="1" bestFit="1" customWidth="1"/>
    <col min="13064" max="13064" width="12.28515625" style="1" customWidth="1"/>
    <col min="13065" max="13065" width="12.5703125" style="1" customWidth="1"/>
    <col min="13066" max="13066" width="10.5703125" style="1" customWidth="1"/>
    <col min="13067" max="13067" width="10.140625" style="1" customWidth="1"/>
    <col min="13068" max="13068" width="8.42578125" style="1" customWidth="1"/>
    <col min="13069" max="13069" width="18.85546875" style="1" customWidth="1"/>
    <col min="13070" max="13070" width="10.28515625" style="1" customWidth="1"/>
    <col min="13071" max="13071" width="11.42578125" style="1" customWidth="1"/>
    <col min="13072" max="13072" width="12.140625" style="1" customWidth="1"/>
    <col min="13073" max="13073" width="10.5703125" style="1" customWidth="1"/>
    <col min="13074" max="13074" width="12.42578125" style="1" customWidth="1"/>
    <col min="13075" max="13075" width="15.140625" style="1" customWidth="1"/>
    <col min="13076" max="13076" width="13.5703125" style="1" customWidth="1"/>
    <col min="13077" max="13077" width="13.140625" style="1" customWidth="1"/>
    <col min="13078" max="13078" width="15.7109375" style="1" customWidth="1"/>
    <col min="13079" max="13079" width="37.5703125" style="1" customWidth="1"/>
    <col min="13080" max="13301" width="11.42578125" style="1"/>
    <col min="13302" max="13302" width="10.5703125" style="1" customWidth="1"/>
    <col min="13303" max="13303" width="4.85546875" style="1" customWidth="1"/>
    <col min="13304" max="13304" width="32.42578125" style="1" customWidth="1"/>
    <col min="13305" max="13305" width="9.85546875" style="1" customWidth="1"/>
    <col min="13306" max="13306" width="10.140625" style="1" customWidth="1"/>
    <col min="13307" max="13307" width="12.28515625" style="1" customWidth="1"/>
    <col min="13308" max="13308" width="15.42578125" style="1" customWidth="1"/>
    <col min="13309" max="13309" width="11.85546875" style="1" customWidth="1"/>
    <col min="13310" max="13310" width="13.28515625" style="1" customWidth="1"/>
    <col min="13311" max="13311" width="15.28515625" style="1" customWidth="1"/>
    <col min="13312" max="13312" width="11.85546875" style="1" customWidth="1"/>
    <col min="13313" max="13313" width="6.140625" style="1" customWidth="1"/>
    <col min="13314" max="13314" width="11.85546875" style="1" customWidth="1"/>
    <col min="13315" max="13315" width="9.42578125" style="1" customWidth="1"/>
    <col min="13316" max="13316" width="14.7109375" style="1" customWidth="1"/>
    <col min="13317" max="13317" width="11.5703125" style="1" customWidth="1"/>
    <col min="13318" max="13318" width="0.42578125" style="1" customWidth="1"/>
    <col min="13319" max="13319" width="10.5703125" style="1" bestFit="1" customWidth="1"/>
    <col min="13320" max="13320" width="12.28515625" style="1" customWidth="1"/>
    <col min="13321" max="13321" width="12.5703125" style="1" customWidth="1"/>
    <col min="13322" max="13322" width="10.5703125" style="1" customWidth="1"/>
    <col min="13323" max="13323" width="10.140625" style="1" customWidth="1"/>
    <col min="13324" max="13324" width="8.42578125" style="1" customWidth="1"/>
    <col min="13325" max="13325" width="18.85546875" style="1" customWidth="1"/>
    <col min="13326" max="13326" width="10.28515625" style="1" customWidth="1"/>
    <col min="13327" max="13327" width="11.42578125" style="1" customWidth="1"/>
    <col min="13328" max="13328" width="12.140625" style="1" customWidth="1"/>
    <col min="13329" max="13329" width="10.5703125" style="1" customWidth="1"/>
    <col min="13330" max="13330" width="12.42578125" style="1" customWidth="1"/>
    <col min="13331" max="13331" width="15.140625" style="1" customWidth="1"/>
    <col min="13332" max="13332" width="13.5703125" style="1" customWidth="1"/>
    <col min="13333" max="13333" width="13.140625" style="1" customWidth="1"/>
    <col min="13334" max="13334" width="15.7109375" style="1" customWidth="1"/>
    <col min="13335" max="13335" width="37.5703125" style="1" customWidth="1"/>
    <col min="13336" max="13557" width="11.42578125" style="1"/>
    <col min="13558" max="13558" width="10.5703125" style="1" customWidth="1"/>
    <col min="13559" max="13559" width="4.85546875" style="1" customWidth="1"/>
    <col min="13560" max="13560" width="32.42578125" style="1" customWidth="1"/>
    <col min="13561" max="13561" width="9.85546875" style="1" customWidth="1"/>
    <col min="13562" max="13562" width="10.140625" style="1" customWidth="1"/>
    <col min="13563" max="13563" width="12.28515625" style="1" customWidth="1"/>
    <col min="13564" max="13564" width="15.42578125" style="1" customWidth="1"/>
    <col min="13565" max="13565" width="11.85546875" style="1" customWidth="1"/>
    <col min="13566" max="13566" width="13.28515625" style="1" customWidth="1"/>
    <col min="13567" max="13567" width="15.28515625" style="1" customWidth="1"/>
    <col min="13568" max="13568" width="11.85546875" style="1" customWidth="1"/>
    <col min="13569" max="13569" width="6.140625" style="1" customWidth="1"/>
    <col min="13570" max="13570" width="11.85546875" style="1" customWidth="1"/>
    <col min="13571" max="13571" width="9.42578125" style="1" customWidth="1"/>
    <col min="13572" max="13572" width="14.7109375" style="1" customWidth="1"/>
    <col min="13573" max="13573" width="11.5703125" style="1" customWidth="1"/>
    <col min="13574" max="13574" width="0.42578125" style="1" customWidth="1"/>
    <col min="13575" max="13575" width="10.5703125" style="1" bestFit="1" customWidth="1"/>
    <col min="13576" max="13576" width="12.28515625" style="1" customWidth="1"/>
    <col min="13577" max="13577" width="12.5703125" style="1" customWidth="1"/>
    <col min="13578" max="13578" width="10.5703125" style="1" customWidth="1"/>
    <col min="13579" max="13579" width="10.140625" style="1" customWidth="1"/>
    <col min="13580" max="13580" width="8.42578125" style="1" customWidth="1"/>
    <col min="13581" max="13581" width="18.85546875" style="1" customWidth="1"/>
    <col min="13582" max="13582" width="10.28515625" style="1" customWidth="1"/>
    <col min="13583" max="13583" width="11.42578125" style="1" customWidth="1"/>
    <col min="13584" max="13584" width="12.140625" style="1" customWidth="1"/>
    <col min="13585" max="13585" width="10.5703125" style="1" customWidth="1"/>
    <col min="13586" max="13586" width="12.42578125" style="1" customWidth="1"/>
    <col min="13587" max="13587" width="15.140625" style="1" customWidth="1"/>
    <col min="13588" max="13588" width="13.5703125" style="1" customWidth="1"/>
    <col min="13589" max="13589" width="13.140625" style="1" customWidth="1"/>
    <col min="13590" max="13590" width="15.7109375" style="1" customWidth="1"/>
    <col min="13591" max="13591" width="37.5703125" style="1" customWidth="1"/>
    <col min="13592" max="13813" width="11.42578125" style="1"/>
    <col min="13814" max="13814" width="10.5703125" style="1" customWidth="1"/>
    <col min="13815" max="13815" width="4.85546875" style="1" customWidth="1"/>
    <col min="13816" max="13816" width="32.42578125" style="1" customWidth="1"/>
    <col min="13817" max="13817" width="9.85546875" style="1" customWidth="1"/>
    <col min="13818" max="13818" width="10.140625" style="1" customWidth="1"/>
    <col min="13819" max="13819" width="12.28515625" style="1" customWidth="1"/>
    <col min="13820" max="13820" width="15.42578125" style="1" customWidth="1"/>
    <col min="13821" max="13821" width="11.85546875" style="1" customWidth="1"/>
    <col min="13822" max="13822" width="13.28515625" style="1" customWidth="1"/>
    <col min="13823" max="13823" width="15.28515625" style="1" customWidth="1"/>
    <col min="13824" max="13824" width="11.85546875" style="1" customWidth="1"/>
    <col min="13825" max="13825" width="6.140625" style="1" customWidth="1"/>
    <col min="13826" max="13826" width="11.85546875" style="1" customWidth="1"/>
    <col min="13827" max="13827" width="9.42578125" style="1" customWidth="1"/>
    <col min="13828" max="13828" width="14.7109375" style="1" customWidth="1"/>
    <col min="13829" max="13829" width="11.5703125" style="1" customWidth="1"/>
    <col min="13830" max="13830" width="0.42578125" style="1" customWidth="1"/>
    <col min="13831" max="13831" width="10.5703125" style="1" bestFit="1" customWidth="1"/>
    <col min="13832" max="13832" width="12.28515625" style="1" customWidth="1"/>
    <col min="13833" max="13833" width="12.5703125" style="1" customWidth="1"/>
    <col min="13834" max="13834" width="10.5703125" style="1" customWidth="1"/>
    <col min="13835" max="13835" width="10.140625" style="1" customWidth="1"/>
    <col min="13836" max="13836" width="8.42578125" style="1" customWidth="1"/>
    <col min="13837" max="13837" width="18.85546875" style="1" customWidth="1"/>
    <col min="13838" max="13838" width="10.28515625" style="1" customWidth="1"/>
    <col min="13839" max="13839" width="11.42578125" style="1" customWidth="1"/>
    <col min="13840" max="13840" width="12.140625" style="1" customWidth="1"/>
    <col min="13841" max="13841" width="10.5703125" style="1" customWidth="1"/>
    <col min="13842" max="13842" width="12.42578125" style="1" customWidth="1"/>
    <col min="13843" max="13843" width="15.140625" style="1" customWidth="1"/>
    <col min="13844" max="13844" width="13.5703125" style="1" customWidth="1"/>
    <col min="13845" max="13845" width="13.140625" style="1" customWidth="1"/>
    <col min="13846" max="13846" width="15.7109375" style="1" customWidth="1"/>
    <col min="13847" max="13847" width="37.5703125" style="1" customWidth="1"/>
    <col min="13848" max="14069" width="11.42578125" style="1"/>
    <col min="14070" max="14070" width="10.5703125" style="1" customWidth="1"/>
    <col min="14071" max="14071" width="4.85546875" style="1" customWidth="1"/>
    <col min="14072" max="14072" width="32.42578125" style="1" customWidth="1"/>
    <col min="14073" max="14073" width="9.85546875" style="1" customWidth="1"/>
    <col min="14074" max="14074" width="10.140625" style="1" customWidth="1"/>
    <col min="14075" max="14075" width="12.28515625" style="1" customWidth="1"/>
    <col min="14076" max="14076" width="15.42578125" style="1" customWidth="1"/>
    <col min="14077" max="14077" width="11.85546875" style="1" customWidth="1"/>
    <col min="14078" max="14078" width="13.28515625" style="1" customWidth="1"/>
    <col min="14079" max="14079" width="15.28515625" style="1" customWidth="1"/>
    <col min="14080" max="14080" width="11.85546875" style="1" customWidth="1"/>
    <col min="14081" max="14081" width="6.140625" style="1" customWidth="1"/>
    <col min="14082" max="14082" width="11.85546875" style="1" customWidth="1"/>
    <col min="14083" max="14083" width="9.42578125" style="1" customWidth="1"/>
    <col min="14084" max="14084" width="14.7109375" style="1" customWidth="1"/>
    <col min="14085" max="14085" width="11.5703125" style="1" customWidth="1"/>
    <col min="14086" max="14086" width="0.42578125" style="1" customWidth="1"/>
    <col min="14087" max="14087" width="10.5703125" style="1" bestFit="1" customWidth="1"/>
    <col min="14088" max="14088" width="12.28515625" style="1" customWidth="1"/>
    <col min="14089" max="14089" width="12.5703125" style="1" customWidth="1"/>
    <col min="14090" max="14090" width="10.5703125" style="1" customWidth="1"/>
    <col min="14091" max="14091" width="10.140625" style="1" customWidth="1"/>
    <col min="14092" max="14092" width="8.42578125" style="1" customWidth="1"/>
    <col min="14093" max="14093" width="18.85546875" style="1" customWidth="1"/>
    <col min="14094" max="14094" width="10.28515625" style="1" customWidth="1"/>
    <col min="14095" max="14095" width="11.42578125" style="1" customWidth="1"/>
    <col min="14096" max="14096" width="12.140625" style="1" customWidth="1"/>
    <col min="14097" max="14097" width="10.5703125" style="1" customWidth="1"/>
    <col min="14098" max="14098" width="12.42578125" style="1" customWidth="1"/>
    <col min="14099" max="14099" width="15.140625" style="1" customWidth="1"/>
    <col min="14100" max="14100" width="13.5703125" style="1" customWidth="1"/>
    <col min="14101" max="14101" width="13.140625" style="1" customWidth="1"/>
    <col min="14102" max="14102" width="15.7109375" style="1" customWidth="1"/>
    <col min="14103" max="14103" width="37.5703125" style="1" customWidth="1"/>
    <col min="14104" max="14325" width="11.42578125" style="1"/>
    <col min="14326" max="14326" width="10.5703125" style="1" customWidth="1"/>
    <col min="14327" max="14327" width="4.85546875" style="1" customWidth="1"/>
    <col min="14328" max="14328" width="32.42578125" style="1" customWidth="1"/>
    <col min="14329" max="14329" width="9.85546875" style="1" customWidth="1"/>
    <col min="14330" max="14330" width="10.140625" style="1" customWidth="1"/>
    <col min="14331" max="14331" width="12.28515625" style="1" customWidth="1"/>
    <col min="14332" max="14332" width="15.42578125" style="1" customWidth="1"/>
    <col min="14333" max="14333" width="11.85546875" style="1" customWidth="1"/>
    <col min="14334" max="14334" width="13.28515625" style="1" customWidth="1"/>
    <col min="14335" max="14335" width="15.28515625" style="1" customWidth="1"/>
    <col min="14336" max="14336" width="11.85546875" style="1" customWidth="1"/>
    <col min="14337" max="14337" width="6.140625" style="1" customWidth="1"/>
    <col min="14338" max="14338" width="11.85546875" style="1" customWidth="1"/>
    <col min="14339" max="14339" width="9.42578125" style="1" customWidth="1"/>
    <col min="14340" max="14340" width="14.7109375" style="1" customWidth="1"/>
    <col min="14341" max="14341" width="11.5703125" style="1" customWidth="1"/>
    <col min="14342" max="14342" width="0.42578125" style="1" customWidth="1"/>
    <col min="14343" max="14343" width="10.5703125" style="1" bestFit="1" customWidth="1"/>
    <col min="14344" max="14344" width="12.28515625" style="1" customWidth="1"/>
    <col min="14345" max="14345" width="12.5703125" style="1" customWidth="1"/>
    <col min="14346" max="14346" width="10.5703125" style="1" customWidth="1"/>
    <col min="14347" max="14347" width="10.140625" style="1" customWidth="1"/>
    <col min="14348" max="14348" width="8.42578125" style="1" customWidth="1"/>
    <col min="14349" max="14349" width="18.85546875" style="1" customWidth="1"/>
    <col min="14350" max="14350" width="10.28515625" style="1" customWidth="1"/>
    <col min="14351" max="14351" width="11.42578125" style="1" customWidth="1"/>
    <col min="14352" max="14352" width="12.140625" style="1" customWidth="1"/>
    <col min="14353" max="14353" width="10.5703125" style="1" customWidth="1"/>
    <col min="14354" max="14354" width="12.42578125" style="1" customWidth="1"/>
    <col min="14355" max="14355" width="15.140625" style="1" customWidth="1"/>
    <col min="14356" max="14356" width="13.5703125" style="1" customWidth="1"/>
    <col min="14357" max="14357" width="13.140625" style="1" customWidth="1"/>
    <col min="14358" max="14358" width="15.7109375" style="1" customWidth="1"/>
    <col min="14359" max="14359" width="37.5703125" style="1" customWidth="1"/>
    <col min="14360" max="14581" width="11.42578125" style="1"/>
    <col min="14582" max="14582" width="10.5703125" style="1" customWidth="1"/>
    <col min="14583" max="14583" width="4.85546875" style="1" customWidth="1"/>
    <col min="14584" max="14584" width="32.42578125" style="1" customWidth="1"/>
    <col min="14585" max="14585" width="9.85546875" style="1" customWidth="1"/>
    <col min="14586" max="14586" width="10.140625" style="1" customWidth="1"/>
    <col min="14587" max="14587" width="12.28515625" style="1" customWidth="1"/>
    <col min="14588" max="14588" width="15.42578125" style="1" customWidth="1"/>
    <col min="14589" max="14589" width="11.85546875" style="1" customWidth="1"/>
    <col min="14590" max="14590" width="13.28515625" style="1" customWidth="1"/>
    <col min="14591" max="14591" width="15.28515625" style="1" customWidth="1"/>
    <col min="14592" max="14592" width="11.85546875" style="1" customWidth="1"/>
    <col min="14593" max="14593" width="6.140625" style="1" customWidth="1"/>
    <col min="14594" max="14594" width="11.85546875" style="1" customWidth="1"/>
    <col min="14595" max="14595" width="9.42578125" style="1" customWidth="1"/>
    <col min="14596" max="14596" width="14.7109375" style="1" customWidth="1"/>
    <col min="14597" max="14597" width="11.5703125" style="1" customWidth="1"/>
    <col min="14598" max="14598" width="0.42578125" style="1" customWidth="1"/>
    <col min="14599" max="14599" width="10.5703125" style="1" bestFit="1" customWidth="1"/>
    <col min="14600" max="14600" width="12.28515625" style="1" customWidth="1"/>
    <col min="14601" max="14601" width="12.5703125" style="1" customWidth="1"/>
    <col min="14602" max="14602" width="10.5703125" style="1" customWidth="1"/>
    <col min="14603" max="14603" width="10.140625" style="1" customWidth="1"/>
    <col min="14604" max="14604" width="8.42578125" style="1" customWidth="1"/>
    <col min="14605" max="14605" width="18.85546875" style="1" customWidth="1"/>
    <col min="14606" max="14606" width="10.28515625" style="1" customWidth="1"/>
    <col min="14607" max="14607" width="11.42578125" style="1" customWidth="1"/>
    <col min="14608" max="14608" width="12.140625" style="1" customWidth="1"/>
    <col min="14609" max="14609" width="10.5703125" style="1" customWidth="1"/>
    <col min="14610" max="14610" width="12.42578125" style="1" customWidth="1"/>
    <col min="14611" max="14611" width="15.140625" style="1" customWidth="1"/>
    <col min="14612" max="14612" width="13.5703125" style="1" customWidth="1"/>
    <col min="14613" max="14613" width="13.140625" style="1" customWidth="1"/>
    <col min="14614" max="14614" width="15.7109375" style="1" customWidth="1"/>
    <col min="14615" max="14615" width="37.5703125" style="1" customWidth="1"/>
    <col min="14616" max="14837" width="11.42578125" style="1"/>
    <col min="14838" max="14838" width="10.5703125" style="1" customWidth="1"/>
    <col min="14839" max="14839" width="4.85546875" style="1" customWidth="1"/>
    <col min="14840" max="14840" width="32.42578125" style="1" customWidth="1"/>
    <col min="14841" max="14841" width="9.85546875" style="1" customWidth="1"/>
    <col min="14842" max="14842" width="10.140625" style="1" customWidth="1"/>
    <col min="14843" max="14843" width="12.28515625" style="1" customWidth="1"/>
    <col min="14844" max="14844" width="15.42578125" style="1" customWidth="1"/>
    <col min="14845" max="14845" width="11.85546875" style="1" customWidth="1"/>
    <col min="14846" max="14846" width="13.28515625" style="1" customWidth="1"/>
    <col min="14847" max="14847" width="15.28515625" style="1" customWidth="1"/>
    <col min="14848" max="14848" width="11.85546875" style="1" customWidth="1"/>
    <col min="14849" max="14849" width="6.140625" style="1" customWidth="1"/>
    <col min="14850" max="14850" width="11.85546875" style="1" customWidth="1"/>
    <col min="14851" max="14851" width="9.42578125" style="1" customWidth="1"/>
    <col min="14852" max="14852" width="14.7109375" style="1" customWidth="1"/>
    <col min="14853" max="14853" width="11.5703125" style="1" customWidth="1"/>
    <col min="14854" max="14854" width="0.42578125" style="1" customWidth="1"/>
    <col min="14855" max="14855" width="10.5703125" style="1" bestFit="1" customWidth="1"/>
    <col min="14856" max="14856" width="12.28515625" style="1" customWidth="1"/>
    <col min="14857" max="14857" width="12.5703125" style="1" customWidth="1"/>
    <col min="14858" max="14858" width="10.5703125" style="1" customWidth="1"/>
    <col min="14859" max="14859" width="10.140625" style="1" customWidth="1"/>
    <col min="14860" max="14860" width="8.42578125" style="1" customWidth="1"/>
    <col min="14861" max="14861" width="18.85546875" style="1" customWidth="1"/>
    <col min="14862" max="14862" width="10.28515625" style="1" customWidth="1"/>
    <col min="14863" max="14863" width="11.42578125" style="1" customWidth="1"/>
    <col min="14864" max="14864" width="12.140625" style="1" customWidth="1"/>
    <col min="14865" max="14865" width="10.5703125" style="1" customWidth="1"/>
    <col min="14866" max="14866" width="12.42578125" style="1" customWidth="1"/>
    <col min="14867" max="14867" width="15.140625" style="1" customWidth="1"/>
    <col min="14868" max="14868" width="13.5703125" style="1" customWidth="1"/>
    <col min="14869" max="14869" width="13.140625" style="1" customWidth="1"/>
    <col min="14870" max="14870" width="15.7109375" style="1" customWidth="1"/>
    <col min="14871" max="14871" width="37.5703125" style="1" customWidth="1"/>
    <col min="14872" max="15093" width="11.42578125" style="1"/>
    <col min="15094" max="15094" width="10.5703125" style="1" customWidth="1"/>
    <col min="15095" max="15095" width="4.85546875" style="1" customWidth="1"/>
    <col min="15096" max="15096" width="32.42578125" style="1" customWidth="1"/>
    <col min="15097" max="15097" width="9.85546875" style="1" customWidth="1"/>
    <col min="15098" max="15098" width="10.140625" style="1" customWidth="1"/>
    <col min="15099" max="15099" width="12.28515625" style="1" customWidth="1"/>
    <col min="15100" max="15100" width="15.42578125" style="1" customWidth="1"/>
    <col min="15101" max="15101" width="11.85546875" style="1" customWidth="1"/>
    <col min="15102" max="15102" width="13.28515625" style="1" customWidth="1"/>
    <col min="15103" max="15103" width="15.28515625" style="1" customWidth="1"/>
    <col min="15104" max="15104" width="11.85546875" style="1" customWidth="1"/>
    <col min="15105" max="15105" width="6.140625" style="1" customWidth="1"/>
    <col min="15106" max="15106" width="11.85546875" style="1" customWidth="1"/>
    <col min="15107" max="15107" width="9.42578125" style="1" customWidth="1"/>
    <col min="15108" max="15108" width="14.7109375" style="1" customWidth="1"/>
    <col min="15109" max="15109" width="11.5703125" style="1" customWidth="1"/>
    <col min="15110" max="15110" width="0.42578125" style="1" customWidth="1"/>
    <col min="15111" max="15111" width="10.5703125" style="1" bestFit="1" customWidth="1"/>
    <col min="15112" max="15112" width="12.28515625" style="1" customWidth="1"/>
    <col min="15113" max="15113" width="12.5703125" style="1" customWidth="1"/>
    <col min="15114" max="15114" width="10.5703125" style="1" customWidth="1"/>
    <col min="15115" max="15115" width="10.140625" style="1" customWidth="1"/>
    <col min="15116" max="15116" width="8.42578125" style="1" customWidth="1"/>
    <col min="15117" max="15117" width="18.85546875" style="1" customWidth="1"/>
    <col min="15118" max="15118" width="10.28515625" style="1" customWidth="1"/>
    <col min="15119" max="15119" width="11.42578125" style="1" customWidth="1"/>
    <col min="15120" max="15120" width="12.140625" style="1" customWidth="1"/>
    <col min="15121" max="15121" width="10.5703125" style="1" customWidth="1"/>
    <col min="15122" max="15122" width="12.42578125" style="1" customWidth="1"/>
    <col min="15123" max="15123" width="15.140625" style="1" customWidth="1"/>
    <col min="15124" max="15124" width="13.5703125" style="1" customWidth="1"/>
    <col min="15125" max="15125" width="13.140625" style="1" customWidth="1"/>
    <col min="15126" max="15126" width="15.7109375" style="1" customWidth="1"/>
    <col min="15127" max="15127" width="37.5703125" style="1" customWidth="1"/>
    <col min="15128" max="15349" width="11.42578125" style="1"/>
    <col min="15350" max="15350" width="10.5703125" style="1" customWidth="1"/>
    <col min="15351" max="15351" width="4.85546875" style="1" customWidth="1"/>
    <col min="15352" max="15352" width="32.42578125" style="1" customWidth="1"/>
    <col min="15353" max="15353" width="9.85546875" style="1" customWidth="1"/>
    <col min="15354" max="15354" width="10.140625" style="1" customWidth="1"/>
    <col min="15355" max="15355" width="12.28515625" style="1" customWidth="1"/>
    <col min="15356" max="15356" width="15.42578125" style="1" customWidth="1"/>
    <col min="15357" max="15357" width="11.85546875" style="1" customWidth="1"/>
    <col min="15358" max="15358" width="13.28515625" style="1" customWidth="1"/>
    <col min="15359" max="15359" width="15.28515625" style="1" customWidth="1"/>
    <col min="15360" max="15360" width="11.85546875" style="1" customWidth="1"/>
    <col min="15361" max="15361" width="6.140625" style="1" customWidth="1"/>
    <col min="15362" max="15362" width="11.85546875" style="1" customWidth="1"/>
    <col min="15363" max="15363" width="9.42578125" style="1" customWidth="1"/>
    <col min="15364" max="15364" width="14.7109375" style="1" customWidth="1"/>
    <col min="15365" max="15365" width="11.5703125" style="1" customWidth="1"/>
    <col min="15366" max="15366" width="0.42578125" style="1" customWidth="1"/>
    <col min="15367" max="15367" width="10.5703125" style="1" bestFit="1" customWidth="1"/>
    <col min="15368" max="15368" width="12.28515625" style="1" customWidth="1"/>
    <col min="15369" max="15369" width="12.5703125" style="1" customWidth="1"/>
    <col min="15370" max="15370" width="10.5703125" style="1" customWidth="1"/>
    <col min="15371" max="15371" width="10.140625" style="1" customWidth="1"/>
    <col min="15372" max="15372" width="8.42578125" style="1" customWidth="1"/>
    <col min="15373" max="15373" width="18.85546875" style="1" customWidth="1"/>
    <col min="15374" max="15374" width="10.28515625" style="1" customWidth="1"/>
    <col min="15375" max="15375" width="11.42578125" style="1" customWidth="1"/>
    <col min="15376" max="15376" width="12.140625" style="1" customWidth="1"/>
    <col min="15377" max="15377" width="10.5703125" style="1" customWidth="1"/>
    <col min="15378" max="15378" width="12.42578125" style="1" customWidth="1"/>
    <col min="15379" max="15379" width="15.140625" style="1" customWidth="1"/>
    <col min="15380" max="15380" width="13.5703125" style="1" customWidth="1"/>
    <col min="15381" max="15381" width="13.140625" style="1" customWidth="1"/>
    <col min="15382" max="15382" width="15.7109375" style="1" customWidth="1"/>
    <col min="15383" max="15383" width="37.5703125" style="1" customWidth="1"/>
    <col min="15384" max="15605" width="11.42578125" style="1"/>
    <col min="15606" max="15606" width="10.5703125" style="1" customWidth="1"/>
    <col min="15607" max="15607" width="4.85546875" style="1" customWidth="1"/>
    <col min="15608" max="15608" width="32.42578125" style="1" customWidth="1"/>
    <col min="15609" max="15609" width="9.85546875" style="1" customWidth="1"/>
    <col min="15610" max="15610" width="10.140625" style="1" customWidth="1"/>
    <col min="15611" max="15611" width="12.28515625" style="1" customWidth="1"/>
    <col min="15612" max="15612" width="15.42578125" style="1" customWidth="1"/>
    <col min="15613" max="15613" width="11.85546875" style="1" customWidth="1"/>
    <col min="15614" max="15614" width="13.28515625" style="1" customWidth="1"/>
    <col min="15615" max="15615" width="15.28515625" style="1" customWidth="1"/>
    <col min="15616" max="15616" width="11.85546875" style="1" customWidth="1"/>
    <col min="15617" max="15617" width="6.140625" style="1" customWidth="1"/>
    <col min="15618" max="15618" width="11.85546875" style="1" customWidth="1"/>
    <col min="15619" max="15619" width="9.42578125" style="1" customWidth="1"/>
    <col min="15620" max="15620" width="14.7109375" style="1" customWidth="1"/>
    <col min="15621" max="15621" width="11.5703125" style="1" customWidth="1"/>
    <col min="15622" max="15622" width="0.42578125" style="1" customWidth="1"/>
    <col min="15623" max="15623" width="10.5703125" style="1" bestFit="1" customWidth="1"/>
    <col min="15624" max="15624" width="12.28515625" style="1" customWidth="1"/>
    <col min="15625" max="15625" width="12.5703125" style="1" customWidth="1"/>
    <col min="15626" max="15626" width="10.5703125" style="1" customWidth="1"/>
    <col min="15627" max="15627" width="10.140625" style="1" customWidth="1"/>
    <col min="15628" max="15628" width="8.42578125" style="1" customWidth="1"/>
    <col min="15629" max="15629" width="18.85546875" style="1" customWidth="1"/>
    <col min="15630" max="15630" width="10.28515625" style="1" customWidth="1"/>
    <col min="15631" max="15631" width="11.42578125" style="1" customWidth="1"/>
    <col min="15632" max="15632" width="12.140625" style="1" customWidth="1"/>
    <col min="15633" max="15633" width="10.5703125" style="1" customWidth="1"/>
    <col min="15634" max="15634" width="12.42578125" style="1" customWidth="1"/>
    <col min="15635" max="15635" width="15.140625" style="1" customWidth="1"/>
    <col min="15636" max="15636" width="13.5703125" style="1" customWidth="1"/>
    <col min="15637" max="15637" width="13.140625" style="1" customWidth="1"/>
    <col min="15638" max="15638" width="15.7109375" style="1" customWidth="1"/>
    <col min="15639" max="15639" width="37.5703125" style="1" customWidth="1"/>
    <col min="15640" max="15861" width="11.42578125" style="1"/>
    <col min="15862" max="15862" width="10.5703125" style="1" customWidth="1"/>
    <col min="15863" max="15863" width="4.85546875" style="1" customWidth="1"/>
    <col min="15864" max="15864" width="32.42578125" style="1" customWidth="1"/>
    <col min="15865" max="15865" width="9.85546875" style="1" customWidth="1"/>
    <col min="15866" max="15866" width="10.140625" style="1" customWidth="1"/>
    <col min="15867" max="15867" width="12.28515625" style="1" customWidth="1"/>
    <col min="15868" max="15868" width="15.42578125" style="1" customWidth="1"/>
    <col min="15869" max="15869" width="11.85546875" style="1" customWidth="1"/>
    <col min="15870" max="15870" width="13.28515625" style="1" customWidth="1"/>
    <col min="15871" max="15871" width="15.28515625" style="1" customWidth="1"/>
    <col min="15872" max="15872" width="11.85546875" style="1" customWidth="1"/>
    <col min="15873" max="15873" width="6.140625" style="1" customWidth="1"/>
    <col min="15874" max="15874" width="11.85546875" style="1" customWidth="1"/>
    <col min="15875" max="15875" width="9.42578125" style="1" customWidth="1"/>
    <col min="15876" max="15876" width="14.7109375" style="1" customWidth="1"/>
    <col min="15877" max="15877" width="11.5703125" style="1" customWidth="1"/>
    <col min="15878" max="15878" width="0.42578125" style="1" customWidth="1"/>
    <col min="15879" max="15879" width="10.5703125" style="1" bestFit="1" customWidth="1"/>
    <col min="15880" max="15880" width="12.28515625" style="1" customWidth="1"/>
    <col min="15881" max="15881" width="12.5703125" style="1" customWidth="1"/>
    <col min="15882" max="15882" width="10.5703125" style="1" customWidth="1"/>
    <col min="15883" max="15883" width="10.140625" style="1" customWidth="1"/>
    <col min="15884" max="15884" width="8.42578125" style="1" customWidth="1"/>
    <col min="15885" max="15885" width="18.85546875" style="1" customWidth="1"/>
    <col min="15886" max="15886" width="10.28515625" style="1" customWidth="1"/>
    <col min="15887" max="15887" width="11.42578125" style="1" customWidth="1"/>
    <col min="15888" max="15888" width="12.140625" style="1" customWidth="1"/>
    <col min="15889" max="15889" width="10.5703125" style="1" customWidth="1"/>
    <col min="15890" max="15890" width="12.42578125" style="1" customWidth="1"/>
    <col min="15891" max="15891" width="15.140625" style="1" customWidth="1"/>
    <col min="15892" max="15892" width="13.5703125" style="1" customWidth="1"/>
    <col min="15893" max="15893" width="13.140625" style="1" customWidth="1"/>
    <col min="15894" max="15894" width="15.7109375" style="1" customWidth="1"/>
    <col min="15895" max="15895" width="37.5703125" style="1" customWidth="1"/>
    <col min="15896" max="16117" width="11.42578125" style="1"/>
    <col min="16118" max="16118" width="10.5703125" style="1" customWidth="1"/>
    <col min="16119" max="16119" width="4.85546875" style="1" customWidth="1"/>
    <col min="16120" max="16120" width="32.42578125" style="1" customWidth="1"/>
    <col min="16121" max="16121" width="9.85546875" style="1" customWidth="1"/>
    <col min="16122" max="16122" width="10.140625" style="1" customWidth="1"/>
    <col min="16123" max="16123" width="12.28515625" style="1" customWidth="1"/>
    <col min="16124" max="16124" width="15.42578125" style="1" customWidth="1"/>
    <col min="16125" max="16125" width="11.85546875" style="1" customWidth="1"/>
    <col min="16126" max="16126" width="13.28515625" style="1" customWidth="1"/>
    <col min="16127" max="16127" width="15.28515625" style="1" customWidth="1"/>
    <col min="16128" max="16128" width="11.85546875" style="1" customWidth="1"/>
    <col min="16129" max="16129" width="6.140625" style="1" customWidth="1"/>
    <col min="16130" max="16130" width="11.85546875" style="1" customWidth="1"/>
    <col min="16131" max="16131" width="9.42578125" style="1" customWidth="1"/>
    <col min="16132" max="16132" width="14.7109375" style="1" customWidth="1"/>
    <col min="16133" max="16133" width="11.5703125" style="1" customWidth="1"/>
    <col min="16134" max="16134" width="0.42578125" style="1" customWidth="1"/>
    <col min="16135" max="16135" width="10.5703125" style="1" bestFit="1" customWidth="1"/>
    <col min="16136" max="16136" width="12.28515625" style="1" customWidth="1"/>
    <col min="16137" max="16137" width="12.5703125" style="1" customWidth="1"/>
    <col min="16138" max="16138" width="10.5703125" style="1" customWidth="1"/>
    <col min="16139" max="16139" width="10.140625" style="1" customWidth="1"/>
    <col min="16140" max="16140" width="8.42578125" style="1" customWidth="1"/>
    <col min="16141" max="16141" width="18.85546875" style="1" customWidth="1"/>
    <col min="16142" max="16142" width="10.28515625" style="1" customWidth="1"/>
    <col min="16143" max="16143" width="11.42578125" style="1" customWidth="1"/>
    <col min="16144" max="16144" width="12.140625" style="1" customWidth="1"/>
    <col min="16145" max="16145" width="10.5703125" style="1" customWidth="1"/>
    <col min="16146" max="16146" width="12.42578125" style="1" customWidth="1"/>
    <col min="16147" max="16147" width="15.140625" style="1" customWidth="1"/>
    <col min="16148" max="16148" width="13.5703125" style="1" customWidth="1"/>
    <col min="16149" max="16149" width="13.140625" style="1" customWidth="1"/>
    <col min="16150" max="16150" width="15.7109375" style="1" customWidth="1"/>
    <col min="16151" max="16151" width="37.5703125" style="1" customWidth="1"/>
    <col min="16152" max="16384" width="11.42578125" style="1"/>
  </cols>
  <sheetData>
    <row r="1" spans="1:23" s="14" customFormat="1" ht="15" customHeight="1" x14ac:dyDescent="0.25">
      <c r="A1" s="50" t="s">
        <v>130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2"/>
    </row>
    <row r="2" spans="1:23" s="14" customFormat="1" ht="15" customHeight="1" x14ac:dyDescent="0.25">
      <c r="A2" s="53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5"/>
      <c r="N2" s="48" t="s">
        <v>2</v>
      </c>
      <c r="O2" s="48"/>
      <c r="P2" s="48"/>
      <c r="Q2" s="48"/>
      <c r="R2" s="48"/>
      <c r="S2" s="48"/>
      <c r="T2" s="48"/>
      <c r="U2" s="48"/>
      <c r="V2" s="48"/>
      <c r="W2" s="28"/>
    </row>
    <row r="3" spans="1:23" s="14" customFormat="1" ht="36.75" thickBot="1" x14ac:dyDescent="0.3">
      <c r="A3" s="36" t="s">
        <v>3</v>
      </c>
      <c r="B3" s="37" t="s">
        <v>4</v>
      </c>
      <c r="C3" s="37" t="s">
        <v>5</v>
      </c>
      <c r="D3" s="37" t="s">
        <v>6</v>
      </c>
      <c r="E3" s="37" t="s">
        <v>7</v>
      </c>
      <c r="F3" s="38" t="s">
        <v>8</v>
      </c>
      <c r="G3" s="38" t="s">
        <v>9</v>
      </c>
      <c r="H3" s="38" t="s">
        <v>10</v>
      </c>
      <c r="I3" s="38" t="s">
        <v>135</v>
      </c>
      <c r="J3" s="38" t="s">
        <v>134</v>
      </c>
      <c r="K3" s="38" t="s">
        <v>143</v>
      </c>
      <c r="L3" s="38" t="s">
        <v>133</v>
      </c>
      <c r="M3" s="38" t="s">
        <v>136</v>
      </c>
      <c r="N3" s="38" t="s">
        <v>137</v>
      </c>
      <c r="O3" s="38" t="s">
        <v>70</v>
      </c>
      <c r="P3" s="38" t="s">
        <v>139</v>
      </c>
      <c r="Q3" s="38" t="s">
        <v>138</v>
      </c>
      <c r="R3" s="38" t="s">
        <v>11</v>
      </c>
      <c r="S3" s="38" t="s">
        <v>12</v>
      </c>
      <c r="T3" s="38" t="s">
        <v>65</v>
      </c>
      <c r="U3" s="38" t="s">
        <v>13</v>
      </c>
      <c r="V3" s="38" t="s">
        <v>14</v>
      </c>
      <c r="W3" s="39" t="s">
        <v>15</v>
      </c>
    </row>
    <row r="4" spans="1:23" ht="20.25" customHeight="1" x14ac:dyDescent="0.25">
      <c r="A4" s="31">
        <v>1</v>
      </c>
      <c r="B4" s="32" t="s">
        <v>16</v>
      </c>
      <c r="C4" s="33" t="s">
        <v>141</v>
      </c>
      <c r="D4" s="33" t="s">
        <v>17</v>
      </c>
      <c r="E4" s="34">
        <v>52515567</v>
      </c>
      <c r="F4" s="25">
        <v>5250000</v>
      </c>
      <c r="G4" s="34">
        <v>30</v>
      </c>
      <c r="H4" s="25">
        <f t="shared" ref="H4:H9" si="0">+F4/30*G4</f>
        <v>5250000</v>
      </c>
      <c r="I4" s="25"/>
      <c r="J4" s="25"/>
      <c r="K4" s="25"/>
      <c r="L4" s="25"/>
      <c r="M4" s="25">
        <f t="shared" ref="M4:M33" si="1">SUM(H4:J4)+L4</f>
        <v>5250000</v>
      </c>
      <c r="N4" s="25">
        <f>+H4*4%</f>
        <v>210000</v>
      </c>
      <c r="O4" s="25">
        <f>+H4*5%</f>
        <v>262500</v>
      </c>
      <c r="P4" s="25">
        <v>73000</v>
      </c>
      <c r="Q4" s="25"/>
      <c r="R4" s="25">
        <v>32000</v>
      </c>
      <c r="S4" s="25"/>
      <c r="T4" s="25"/>
      <c r="U4" s="25"/>
      <c r="V4" s="25">
        <f t="shared" ref="V4:V50" si="2">SUM(N4:U4)</f>
        <v>577500</v>
      </c>
      <c r="W4" s="35">
        <f t="shared" ref="W4:W9" si="3">+M4-V4</f>
        <v>4672500</v>
      </c>
    </row>
    <row r="5" spans="1:23" ht="20.25" customHeight="1" x14ac:dyDescent="0.25">
      <c r="A5" s="29">
        <v>2</v>
      </c>
      <c r="B5" s="15" t="s">
        <v>18</v>
      </c>
      <c r="C5" s="16" t="s">
        <v>141</v>
      </c>
      <c r="D5" s="16" t="s">
        <v>17</v>
      </c>
      <c r="E5" s="17">
        <v>80810931</v>
      </c>
      <c r="F5" s="18">
        <v>4000000</v>
      </c>
      <c r="G5" s="17">
        <v>30</v>
      </c>
      <c r="H5" s="18">
        <f t="shared" si="0"/>
        <v>4000000.0000000005</v>
      </c>
      <c r="I5" s="18"/>
      <c r="J5" s="18">
        <v>800000</v>
      </c>
      <c r="K5" s="18"/>
      <c r="L5" s="18"/>
      <c r="M5" s="18">
        <f t="shared" si="1"/>
        <v>4800000</v>
      </c>
      <c r="N5" s="18">
        <f>+F5*4%</f>
        <v>160000</v>
      </c>
      <c r="O5" s="18">
        <f>+F5*5%</f>
        <v>200000</v>
      </c>
      <c r="P5" s="18"/>
      <c r="Q5" s="18"/>
      <c r="R5" s="18">
        <v>31064</v>
      </c>
      <c r="S5" s="18"/>
      <c r="T5" s="18"/>
      <c r="U5" s="18"/>
      <c r="V5" s="18">
        <f t="shared" si="2"/>
        <v>391064</v>
      </c>
      <c r="W5" s="30">
        <f t="shared" si="3"/>
        <v>4408936</v>
      </c>
    </row>
    <row r="6" spans="1:23" ht="20.25" customHeight="1" x14ac:dyDescent="0.25">
      <c r="A6" s="29">
        <v>3</v>
      </c>
      <c r="B6" s="15" t="s">
        <v>66</v>
      </c>
      <c r="C6" s="16" t="s">
        <v>141</v>
      </c>
      <c r="D6" s="16" t="s">
        <v>17</v>
      </c>
      <c r="E6" s="17">
        <v>79516585</v>
      </c>
      <c r="F6" s="18">
        <v>5500000</v>
      </c>
      <c r="G6" s="17">
        <v>30</v>
      </c>
      <c r="H6" s="18">
        <f>+F6-L6</f>
        <v>5500000</v>
      </c>
      <c r="I6" s="18"/>
      <c r="J6" s="18"/>
      <c r="K6" s="18"/>
      <c r="L6" s="18">
        <v>0</v>
      </c>
      <c r="M6" s="18">
        <f t="shared" si="1"/>
        <v>5500000</v>
      </c>
      <c r="N6" s="18">
        <f>5500000*4%</f>
        <v>220000</v>
      </c>
      <c r="O6" s="18">
        <f>5500000*5%</f>
        <v>275000</v>
      </c>
      <c r="P6" s="18"/>
      <c r="Q6" s="18"/>
      <c r="R6" s="18">
        <v>102000</v>
      </c>
      <c r="S6" s="18"/>
      <c r="T6" s="18"/>
      <c r="U6" s="18"/>
      <c r="V6" s="18">
        <f t="shared" si="2"/>
        <v>597000</v>
      </c>
      <c r="W6" s="30">
        <f t="shared" si="3"/>
        <v>4903000</v>
      </c>
    </row>
    <row r="7" spans="1:23" ht="20.25" customHeight="1" x14ac:dyDescent="0.25">
      <c r="A7" s="29">
        <v>4</v>
      </c>
      <c r="B7" s="15" t="s">
        <v>19</v>
      </c>
      <c r="C7" s="16" t="s">
        <v>141</v>
      </c>
      <c r="D7" s="16" t="s">
        <v>17</v>
      </c>
      <c r="E7" s="17">
        <v>51720027</v>
      </c>
      <c r="F7" s="18">
        <v>5492319</v>
      </c>
      <c r="G7" s="17">
        <v>30</v>
      </c>
      <c r="H7" s="18">
        <f t="shared" ref="H7" si="4">+F7/30*G7</f>
        <v>5492319</v>
      </c>
      <c r="I7" s="18"/>
      <c r="J7" s="18"/>
      <c r="K7" s="18"/>
      <c r="L7" s="18"/>
      <c r="M7" s="18">
        <f t="shared" ref="M7" si="5">SUM(H7:J7)+L7</f>
        <v>5492319</v>
      </c>
      <c r="N7" s="18">
        <f>+M7*4%</f>
        <v>219692.76</v>
      </c>
      <c r="O7" s="18">
        <f>+M7*5%</f>
        <v>274615.95</v>
      </c>
      <c r="P7" s="18">
        <v>109500</v>
      </c>
      <c r="Q7" s="18"/>
      <c r="R7" s="19">
        <v>98000</v>
      </c>
      <c r="S7" s="18"/>
      <c r="T7" s="18"/>
      <c r="U7" s="18">
        <v>726520</v>
      </c>
      <c r="V7" s="18">
        <f t="shared" ref="V7" si="6">SUM(N7:U7)</f>
        <v>1428328.71</v>
      </c>
      <c r="W7" s="30">
        <f t="shared" ref="W7" si="7">+M7-V7</f>
        <v>4063990.29</v>
      </c>
    </row>
    <row r="8" spans="1:23" ht="20.25" customHeight="1" x14ac:dyDescent="0.25">
      <c r="A8" s="29">
        <v>5</v>
      </c>
      <c r="B8" s="15" t="s">
        <v>107</v>
      </c>
      <c r="C8" s="16" t="s">
        <v>141</v>
      </c>
      <c r="D8" s="16" t="s">
        <v>17</v>
      </c>
      <c r="E8" s="17">
        <v>51720027</v>
      </c>
      <c r="F8" s="18">
        <v>5000000</v>
      </c>
      <c r="G8" s="17">
        <v>30</v>
      </c>
      <c r="H8" s="18">
        <f t="shared" si="0"/>
        <v>5000000</v>
      </c>
      <c r="I8" s="18"/>
      <c r="J8" s="18"/>
      <c r="K8" s="18"/>
      <c r="L8" s="18"/>
      <c r="M8" s="18">
        <f t="shared" si="1"/>
        <v>5000000</v>
      </c>
      <c r="N8" s="18">
        <f>+M8*4%</f>
        <v>200000</v>
      </c>
      <c r="O8" s="18">
        <f>+M8*5%</f>
        <v>250000</v>
      </c>
      <c r="P8" s="18"/>
      <c r="Q8" s="18"/>
      <c r="R8" s="19">
        <v>15000</v>
      </c>
      <c r="S8" s="18"/>
      <c r="T8" s="18">
        <v>111000</v>
      </c>
      <c r="U8" s="18"/>
      <c r="V8" s="18">
        <f t="shared" si="2"/>
        <v>576000</v>
      </c>
      <c r="W8" s="30">
        <f t="shared" si="3"/>
        <v>4424000</v>
      </c>
    </row>
    <row r="9" spans="1:23" ht="20.25" customHeight="1" x14ac:dyDescent="0.25">
      <c r="A9" s="29">
        <v>6</v>
      </c>
      <c r="B9" s="15" t="s">
        <v>20</v>
      </c>
      <c r="C9" s="16" t="s">
        <v>141</v>
      </c>
      <c r="D9" s="16" t="s">
        <v>17</v>
      </c>
      <c r="E9" s="17">
        <v>80100078</v>
      </c>
      <c r="F9" s="18">
        <v>5000000</v>
      </c>
      <c r="G9" s="17">
        <v>30</v>
      </c>
      <c r="H9" s="18">
        <f t="shared" si="0"/>
        <v>5000000</v>
      </c>
      <c r="I9" s="18"/>
      <c r="J9" s="18">
        <v>2012670</v>
      </c>
      <c r="K9" s="18"/>
      <c r="L9" s="18"/>
      <c r="M9" s="18">
        <f t="shared" si="1"/>
        <v>7012670</v>
      </c>
      <c r="N9" s="18">
        <f>+H9*4%</f>
        <v>200000</v>
      </c>
      <c r="O9" s="18">
        <f t="shared" ref="O9:O32" si="8">+H9*5%</f>
        <v>250000</v>
      </c>
      <c r="P9" s="18"/>
      <c r="Q9" s="18"/>
      <c r="R9" s="18">
        <v>50000</v>
      </c>
      <c r="S9" s="18">
        <v>700000</v>
      </c>
      <c r="T9" s="18"/>
      <c r="U9" s="18"/>
      <c r="V9" s="18">
        <f t="shared" si="2"/>
        <v>1200000</v>
      </c>
      <c r="W9" s="30">
        <f t="shared" si="3"/>
        <v>5812670</v>
      </c>
    </row>
    <row r="10" spans="1:23" ht="20.25" customHeight="1" x14ac:dyDescent="0.25">
      <c r="A10" s="29">
        <v>7</v>
      </c>
      <c r="B10" s="15" t="s">
        <v>21</v>
      </c>
      <c r="C10" s="16" t="s">
        <v>141</v>
      </c>
      <c r="D10" s="16" t="s">
        <v>17</v>
      </c>
      <c r="E10" s="17">
        <v>1030525090</v>
      </c>
      <c r="F10" s="18">
        <v>4500000</v>
      </c>
      <c r="G10" s="17">
        <v>30</v>
      </c>
      <c r="H10" s="18">
        <f>F10/30*G10</f>
        <v>4500000</v>
      </c>
      <c r="I10" s="18"/>
      <c r="J10" s="18"/>
      <c r="K10" s="18"/>
      <c r="L10" s="18">
        <v>0</v>
      </c>
      <c r="M10" s="18">
        <f t="shared" si="1"/>
        <v>4500000</v>
      </c>
      <c r="N10" s="18">
        <f>+M10*4%</f>
        <v>180000</v>
      </c>
      <c r="O10" s="18">
        <f>+M10*5%</f>
        <v>225000</v>
      </c>
      <c r="P10" s="18">
        <v>140000</v>
      </c>
      <c r="Q10" s="18"/>
      <c r="R10" s="18">
        <v>2545</v>
      </c>
      <c r="S10" s="18"/>
      <c r="T10" s="18"/>
      <c r="U10" s="18">
        <f>945750+420786</f>
        <v>1366536</v>
      </c>
      <c r="V10" s="18">
        <f t="shared" si="2"/>
        <v>1914081</v>
      </c>
      <c r="W10" s="30">
        <f>M10-V10</f>
        <v>2585919</v>
      </c>
    </row>
    <row r="11" spans="1:23" ht="20.25" customHeight="1" x14ac:dyDescent="0.25">
      <c r="A11" s="29">
        <v>8</v>
      </c>
      <c r="B11" s="15" t="s">
        <v>83</v>
      </c>
      <c r="C11" s="16" t="s">
        <v>141</v>
      </c>
      <c r="D11" s="16" t="s">
        <v>17</v>
      </c>
      <c r="E11" s="17">
        <v>1030525090</v>
      </c>
      <c r="F11" s="18">
        <v>4500000</v>
      </c>
      <c r="G11" s="17">
        <v>30</v>
      </c>
      <c r="H11" s="18">
        <f>F11/30*G11</f>
        <v>4500000</v>
      </c>
      <c r="I11" s="18"/>
      <c r="J11" s="18"/>
      <c r="K11" s="18"/>
      <c r="L11" s="18"/>
      <c r="M11" s="18">
        <f t="shared" ref="M11" si="9">SUM(H11:J11)+L11</f>
        <v>4500000</v>
      </c>
      <c r="N11" s="18">
        <f>+F11*4%</f>
        <v>180000</v>
      </c>
      <c r="O11" s="18">
        <f>+F11*5%</f>
        <v>225000</v>
      </c>
      <c r="P11" s="18"/>
      <c r="Q11" s="18"/>
      <c r="R11" s="18">
        <v>10000</v>
      </c>
      <c r="S11" s="18"/>
      <c r="T11" s="18"/>
      <c r="U11" s="18"/>
      <c r="V11" s="18">
        <f t="shared" ref="V11" si="10">SUM(N11:U11)</f>
        <v>415000</v>
      </c>
      <c r="W11" s="30">
        <f>M11-V11</f>
        <v>4085000</v>
      </c>
    </row>
    <row r="12" spans="1:23" ht="20.25" customHeight="1" x14ac:dyDescent="0.25">
      <c r="A12" s="29">
        <v>9</v>
      </c>
      <c r="B12" s="15" t="s">
        <v>22</v>
      </c>
      <c r="C12" s="16" t="s">
        <v>141</v>
      </c>
      <c r="D12" s="16" t="s">
        <v>17</v>
      </c>
      <c r="E12" s="17">
        <v>51638875</v>
      </c>
      <c r="F12" s="18">
        <v>5400000</v>
      </c>
      <c r="G12" s="17">
        <v>30</v>
      </c>
      <c r="H12" s="18">
        <f>F12/30*G12</f>
        <v>5400000</v>
      </c>
      <c r="I12" s="18"/>
      <c r="J12" s="18"/>
      <c r="K12" s="18"/>
      <c r="L12" s="18"/>
      <c r="M12" s="18">
        <f>SUM(H12:J12)+L12</f>
        <v>5400000</v>
      </c>
      <c r="N12" s="18">
        <f>+M12*4%</f>
        <v>216000</v>
      </c>
      <c r="O12" s="18">
        <f>+M12*5%</f>
        <v>270000</v>
      </c>
      <c r="P12" s="18"/>
      <c r="Q12" s="18"/>
      <c r="R12" s="18">
        <v>6500</v>
      </c>
      <c r="S12" s="18"/>
      <c r="T12" s="18"/>
      <c r="U12" s="18"/>
      <c r="V12" s="18">
        <f t="shared" si="2"/>
        <v>492500</v>
      </c>
      <c r="W12" s="30">
        <f t="shared" ref="W12:W17" si="11">+M12-V12</f>
        <v>4907500</v>
      </c>
    </row>
    <row r="13" spans="1:23" ht="20.25" customHeight="1" x14ac:dyDescent="0.25">
      <c r="A13" s="29">
        <v>10</v>
      </c>
      <c r="B13" s="20" t="s">
        <v>81</v>
      </c>
      <c r="C13" s="16" t="s">
        <v>141</v>
      </c>
      <c r="D13" s="16" t="s">
        <v>17</v>
      </c>
      <c r="E13" s="18">
        <v>80777868</v>
      </c>
      <c r="F13" s="18">
        <v>4500000</v>
      </c>
      <c r="G13" s="17">
        <v>30</v>
      </c>
      <c r="H13" s="18">
        <f t="shared" ref="H13:H17" si="12">+F13/30*G13</f>
        <v>4500000</v>
      </c>
      <c r="I13" s="18"/>
      <c r="J13" s="18"/>
      <c r="K13" s="18"/>
      <c r="L13" s="18"/>
      <c r="M13" s="18">
        <f t="shared" si="1"/>
        <v>4500000</v>
      </c>
      <c r="N13" s="18">
        <v>180000</v>
      </c>
      <c r="O13" s="18">
        <v>225000</v>
      </c>
      <c r="P13" s="18"/>
      <c r="Q13" s="18"/>
      <c r="R13" s="18">
        <v>3000</v>
      </c>
      <c r="S13" s="18"/>
      <c r="T13" s="18"/>
      <c r="U13" s="18"/>
      <c r="V13" s="18">
        <f t="shared" si="2"/>
        <v>408000</v>
      </c>
      <c r="W13" s="30">
        <f t="shared" si="11"/>
        <v>4092000</v>
      </c>
    </row>
    <row r="14" spans="1:23" ht="20.25" customHeight="1" x14ac:dyDescent="0.25">
      <c r="A14" s="29">
        <v>11</v>
      </c>
      <c r="B14" s="20" t="s">
        <v>80</v>
      </c>
      <c r="C14" s="16" t="s">
        <v>141</v>
      </c>
      <c r="D14" s="16" t="s">
        <v>17</v>
      </c>
      <c r="E14" s="18">
        <v>514908</v>
      </c>
      <c r="F14" s="18">
        <v>4200000</v>
      </c>
      <c r="G14" s="17">
        <v>30</v>
      </c>
      <c r="H14" s="18">
        <f>+F14/30*G14</f>
        <v>4200000</v>
      </c>
      <c r="I14" s="18"/>
      <c r="J14" s="18"/>
      <c r="K14" s="18"/>
      <c r="L14" s="18"/>
      <c r="M14" s="18">
        <f t="shared" ref="M14" si="13">SUM(H14:J14)+L14</f>
        <v>4200000</v>
      </c>
      <c r="N14" s="18">
        <f>+H14*4%</f>
        <v>168000</v>
      </c>
      <c r="O14" s="18">
        <f>+H14*5%</f>
        <v>210000</v>
      </c>
      <c r="P14" s="18"/>
      <c r="Q14" s="18"/>
      <c r="R14" s="18">
        <v>32000</v>
      </c>
      <c r="S14" s="18"/>
      <c r="T14" s="18"/>
      <c r="U14" s="18">
        <v>838529</v>
      </c>
      <c r="V14" s="18">
        <f t="shared" ref="V14" si="14">SUM(N14:U14)</f>
        <v>1248529</v>
      </c>
      <c r="W14" s="30">
        <f t="shared" ref="W14" si="15">+M14-V14</f>
        <v>2951471</v>
      </c>
    </row>
    <row r="15" spans="1:23" ht="20.25" customHeight="1" x14ac:dyDescent="0.25">
      <c r="A15" s="29">
        <v>12</v>
      </c>
      <c r="B15" s="20" t="s">
        <v>94</v>
      </c>
      <c r="C15" s="16" t="s">
        <v>141</v>
      </c>
      <c r="D15" s="16" t="s">
        <v>17</v>
      </c>
      <c r="E15" s="18">
        <v>1014179857</v>
      </c>
      <c r="F15" s="18">
        <v>4000000</v>
      </c>
      <c r="G15" s="17">
        <v>30</v>
      </c>
      <c r="H15" s="18">
        <f>+F15/30*G15</f>
        <v>4000000.0000000005</v>
      </c>
      <c r="I15" s="18"/>
      <c r="J15" s="18"/>
      <c r="K15" s="18"/>
      <c r="L15" s="18"/>
      <c r="M15" s="18">
        <f t="shared" ref="M15" si="16">SUM(H15:J15)+L15</f>
        <v>4000000.0000000005</v>
      </c>
      <c r="N15" s="18">
        <v>160000</v>
      </c>
      <c r="O15" s="18">
        <v>200000</v>
      </c>
      <c r="P15" s="18"/>
      <c r="Q15" s="18"/>
      <c r="R15" s="18">
        <v>4500</v>
      </c>
      <c r="S15" s="18"/>
      <c r="T15" s="18"/>
      <c r="U15" s="18"/>
      <c r="V15" s="18">
        <f t="shared" ref="V15" si="17">SUM(N15:U15)</f>
        <v>364500</v>
      </c>
      <c r="W15" s="30">
        <f t="shared" ref="W15" si="18">+M15-V15</f>
        <v>3635500.0000000005</v>
      </c>
    </row>
    <row r="16" spans="1:23" ht="20.25" customHeight="1" x14ac:dyDescent="0.25">
      <c r="A16" s="29">
        <v>13</v>
      </c>
      <c r="B16" s="20" t="s">
        <v>96</v>
      </c>
      <c r="C16" s="16" t="s">
        <v>141</v>
      </c>
      <c r="D16" s="16" t="s">
        <v>17</v>
      </c>
      <c r="E16" s="18">
        <v>63506959</v>
      </c>
      <c r="F16" s="18">
        <v>4500000</v>
      </c>
      <c r="G16" s="17">
        <v>30</v>
      </c>
      <c r="H16" s="18">
        <f t="shared" ref="H16" si="19">+F16/30*G16</f>
        <v>4500000</v>
      </c>
      <c r="I16" s="18"/>
      <c r="J16" s="18"/>
      <c r="K16" s="18"/>
      <c r="L16" s="18"/>
      <c r="M16" s="18">
        <f t="shared" ref="M16" si="20">SUM(H16:J16)+L16</f>
        <v>4500000</v>
      </c>
      <c r="N16" s="18">
        <f>+H16*4%</f>
        <v>180000</v>
      </c>
      <c r="O16" s="18">
        <f>+H16*5%</f>
        <v>225000</v>
      </c>
      <c r="P16" s="18">
        <v>36500</v>
      </c>
      <c r="Q16" s="18"/>
      <c r="R16" s="18">
        <v>72000</v>
      </c>
      <c r="S16" s="18"/>
      <c r="T16" s="18"/>
      <c r="U16" s="18"/>
      <c r="V16" s="18">
        <f t="shared" ref="V16" si="21">SUM(N16:U16)</f>
        <v>513500</v>
      </c>
      <c r="W16" s="30">
        <f t="shared" ref="W16" si="22">+M16-V16</f>
        <v>3986500</v>
      </c>
    </row>
    <row r="17" spans="1:23" ht="20.25" customHeight="1" x14ac:dyDescent="0.25">
      <c r="A17" s="29">
        <v>14</v>
      </c>
      <c r="B17" s="15" t="s">
        <v>23</v>
      </c>
      <c r="C17" s="16" t="s">
        <v>141</v>
      </c>
      <c r="D17" s="16" t="s">
        <v>17</v>
      </c>
      <c r="E17" s="17">
        <v>410002</v>
      </c>
      <c r="F17" s="18">
        <v>5500000</v>
      </c>
      <c r="G17" s="17">
        <v>30</v>
      </c>
      <c r="H17" s="18">
        <f t="shared" si="12"/>
        <v>5500000</v>
      </c>
      <c r="I17" s="18"/>
      <c r="J17" s="18">
        <v>450000</v>
      </c>
      <c r="K17" s="18"/>
      <c r="L17" s="18"/>
      <c r="M17" s="18">
        <f t="shared" si="1"/>
        <v>5950000</v>
      </c>
      <c r="N17" s="18">
        <f>+H17*4%</f>
        <v>220000</v>
      </c>
      <c r="O17" s="18">
        <f>+H17*5%</f>
        <v>275000</v>
      </c>
      <c r="P17" s="18"/>
      <c r="Q17" s="18"/>
      <c r="R17" s="19">
        <v>150521</v>
      </c>
      <c r="S17" s="18">
        <v>1365000</v>
      </c>
      <c r="T17" s="18"/>
      <c r="U17" s="18"/>
      <c r="V17" s="18">
        <f t="shared" si="2"/>
        <v>2010521</v>
      </c>
      <c r="W17" s="30">
        <f t="shared" si="11"/>
        <v>3939479</v>
      </c>
    </row>
    <row r="18" spans="1:23" ht="20.25" customHeight="1" x14ac:dyDescent="0.25">
      <c r="A18" s="29">
        <v>15</v>
      </c>
      <c r="B18" s="15" t="s">
        <v>106</v>
      </c>
      <c r="C18" s="16" t="s">
        <v>141</v>
      </c>
      <c r="D18" s="16" t="s">
        <v>17</v>
      </c>
      <c r="E18" s="17">
        <v>410002</v>
      </c>
      <c r="F18" s="18">
        <v>5000000</v>
      </c>
      <c r="G18" s="17">
        <v>30</v>
      </c>
      <c r="H18" s="18">
        <f t="shared" ref="H18" si="23">+F18/30*G18</f>
        <v>5000000</v>
      </c>
      <c r="I18" s="18"/>
      <c r="J18" s="18"/>
      <c r="K18" s="18"/>
      <c r="L18" s="18"/>
      <c r="M18" s="18">
        <f t="shared" ref="M18" si="24">SUM(H18:J18)+L18</f>
        <v>5000000</v>
      </c>
      <c r="N18" s="18">
        <f>+H18*4%</f>
        <v>200000</v>
      </c>
      <c r="O18" s="18">
        <f>+H18*5%</f>
        <v>250000</v>
      </c>
      <c r="P18" s="18"/>
      <c r="Q18" s="18"/>
      <c r="R18" s="19">
        <v>102000</v>
      </c>
      <c r="S18" s="18"/>
      <c r="T18" s="18"/>
      <c r="U18" s="18"/>
      <c r="V18" s="18">
        <f t="shared" ref="V18" si="25">SUM(N18:U18)</f>
        <v>552000</v>
      </c>
      <c r="W18" s="30">
        <f t="shared" ref="W18" si="26">+M18-V18</f>
        <v>4448000</v>
      </c>
    </row>
    <row r="19" spans="1:23" ht="20.25" customHeight="1" x14ac:dyDescent="0.25">
      <c r="A19" s="29">
        <v>16</v>
      </c>
      <c r="B19" s="15" t="s">
        <v>24</v>
      </c>
      <c r="C19" s="16" t="s">
        <v>141</v>
      </c>
      <c r="D19" s="16" t="s">
        <v>17</v>
      </c>
      <c r="E19" s="17">
        <v>9529836</v>
      </c>
      <c r="F19" s="18">
        <v>5350000</v>
      </c>
      <c r="G19" s="17">
        <v>30</v>
      </c>
      <c r="H19" s="18">
        <f>+F19-L19</f>
        <v>5350000</v>
      </c>
      <c r="I19" s="18"/>
      <c r="J19" s="18">
        <v>1000000</v>
      </c>
      <c r="K19" s="18"/>
      <c r="L19" s="18"/>
      <c r="M19" s="18">
        <f t="shared" si="1"/>
        <v>6350000</v>
      </c>
      <c r="N19" s="18">
        <f>+H19*4%</f>
        <v>214000</v>
      </c>
      <c r="O19" s="18">
        <f>+H19*5%</f>
        <v>267500</v>
      </c>
      <c r="P19" s="18"/>
      <c r="Q19" s="18"/>
      <c r="R19" s="19">
        <v>121000</v>
      </c>
      <c r="S19" s="18"/>
      <c r="T19" s="18"/>
      <c r="U19" s="18">
        <v>810005</v>
      </c>
      <c r="V19" s="18">
        <f t="shared" si="2"/>
        <v>1412505</v>
      </c>
      <c r="W19" s="30">
        <f>M19-V19</f>
        <v>4937495</v>
      </c>
    </row>
    <row r="20" spans="1:23" ht="20.25" customHeight="1" x14ac:dyDescent="0.25">
      <c r="A20" s="29">
        <v>17</v>
      </c>
      <c r="B20" s="15" t="s">
        <v>25</v>
      </c>
      <c r="C20" s="16" t="s">
        <v>141</v>
      </c>
      <c r="D20" s="16" t="s">
        <v>17</v>
      </c>
      <c r="E20" s="17">
        <v>1016064398</v>
      </c>
      <c r="F20" s="18">
        <v>6600000</v>
      </c>
      <c r="G20" s="17">
        <v>30</v>
      </c>
      <c r="H20" s="18">
        <f t="shared" ref="H20:H27" si="27">F20/30*G20</f>
        <v>6600000</v>
      </c>
      <c r="I20" s="18"/>
      <c r="J20" s="18"/>
      <c r="K20" s="18"/>
      <c r="L20" s="18"/>
      <c r="M20" s="18">
        <f t="shared" si="1"/>
        <v>6600000</v>
      </c>
      <c r="N20" s="18">
        <f>+H20*4%</f>
        <v>264000</v>
      </c>
      <c r="O20" s="18">
        <f>+H20*5%</f>
        <v>330000</v>
      </c>
      <c r="P20" s="18"/>
      <c r="Q20" s="18"/>
      <c r="R20" s="19">
        <v>180000</v>
      </c>
      <c r="S20" s="18"/>
      <c r="T20" s="18"/>
      <c r="U20" s="21"/>
      <c r="V20" s="18">
        <f t="shared" si="2"/>
        <v>774000</v>
      </c>
      <c r="W20" s="30">
        <f>M20-V20</f>
        <v>5826000</v>
      </c>
    </row>
    <row r="21" spans="1:23" ht="20.25" customHeight="1" x14ac:dyDescent="0.25">
      <c r="A21" s="29">
        <v>18</v>
      </c>
      <c r="B21" s="15" t="s">
        <v>79</v>
      </c>
      <c r="C21" s="16" t="s">
        <v>141</v>
      </c>
      <c r="D21" s="16" t="s">
        <v>17</v>
      </c>
      <c r="E21" s="17">
        <v>79352066</v>
      </c>
      <c r="F21" s="18">
        <v>6900000</v>
      </c>
      <c r="G21" s="17">
        <v>30</v>
      </c>
      <c r="H21" s="18">
        <f t="shared" ref="H21" si="28">F21/30*G21</f>
        <v>6900000</v>
      </c>
      <c r="I21" s="18"/>
      <c r="J21" s="18">
        <v>1400000</v>
      </c>
      <c r="K21" s="18"/>
      <c r="L21" s="18"/>
      <c r="M21" s="18">
        <f t="shared" ref="M21" si="29">SUM(H21:J21)+L21</f>
        <v>8300000</v>
      </c>
      <c r="N21" s="18">
        <f t="shared" ref="N21" si="30">+H21*4%</f>
        <v>276000</v>
      </c>
      <c r="O21" s="18">
        <f t="shared" ref="O21" si="31">+H21*5%</f>
        <v>345000</v>
      </c>
      <c r="P21" s="18"/>
      <c r="Q21" s="18"/>
      <c r="R21" s="19">
        <v>113000</v>
      </c>
      <c r="S21" s="18">
        <v>1300000</v>
      </c>
      <c r="T21" s="18"/>
      <c r="U21" s="21"/>
      <c r="V21" s="18">
        <f t="shared" ref="V21" si="32">SUM(N21:U21)</f>
        <v>2034000</v>
      </c>
      <c r="W21" s="30">
        <f>M21-V21</f>
        <v>6266000</v>
      </c>
    </row>
    <row r="22" spans="1:23" ht="20.25" customHeight="1" x14ac:dyDescent="0.25">
      <c r="A22" s="29">
        <v>19</v>
      </c>
      <c r="B22" s="15" t="s">
        <v>98</v>
      </c>
      <c r="C22" s="16" t="s">
        <v>141</v>
      </c>
      <c r="D22" s="16" t="s">
        <v>17</v>
      </c>
      <c r="E22" s="17">
        <v>80177000</v>
      </c>
      <c r="F22" s="18">
        <v>3500000</v>
      </c>
      <c r="G22" s="17">
        <v>30</v>
      </c>
      <c r="H22" s="18">
        <f t="shared" ref="H22" si="33">+F22/30*G22</f>
        <v>3500000</v>
      </c>
      <c r="I22" s="18"/>
      <c r="J22" s="18"/>
      <c r="K22" s="18"/>
      <c r="L22" s="18"/>
      <c r="M22" s="18">
        <f t="shared" ref="M22" si="34">SUM(H22:J22)+L22</f>
        <v>3500000</v>
      </c>
      <c r="N22" s="18">
        <v>140000</v>
      </c>
      <c r="O22" s="18">
        <v>175000</v>
      </c>
      <c r="P22" s="18"/>
      <c r="Q22" s="18"/>
      <c r="R22" s="18"/>
      <c r="S22" s="18"/>
      <c r="T22" s="18"/>
      <c r="U22" s="18"/>
      <c r="V22" s="18">
        <f t="shared" ref="V22" si="35">SUM(N22:U22)</f>
        <v>315000</v>
      </c>
      <c r="W22" s="30">
        <f t="shared" ref="W22" si="36">+M22-V22</f>
        <v>3185000</v>
      </c>
    </row>
    <row r="23" spans="1:23" ht="20.25" customHeight="1" x14ac:dyDescent="0.25">
      <c r="A23" s="29">
        <v>20</v>
      </c>
      <c r="B23" s="15" t="s">
        <v>26</v>
      </c>
      <c r="C23" s="16" t="s">
        <v>141</v>
      </c>
      <c r="D23" s="16" t="s">
        <v>17</v>
      </c>
      <c r="E23" s="17">
        <v>80007522</v>
      </c>
      <c r="F23" s="18">
        <v>5000000</v>
      </c>
      <c r="G23" s="17">
        <v>30</v>
      </c>
      <c r="H23" s="18">
        <f>+F23-L23</f>
        <v>5000000</v>
      </c>
      <c r="I23" s="18"/>
      <c r="J23" s="18">
        <v>1621317</v>
      </c>
      <c r="K23" s="18"/>
      <c r="L23" s="18">
        <v>0</v>
      </c>
      <c r="M23" s="18">
        <f t="shared" si="1"/>
        <v>6621317</v>
      </c>
      <c r="N23" s="18">
        <v>200000</v>
      </c>
      <c r="O23" s="18">
        <v>250000</v>
      </c>
      <c r="P23" s="18"/>
      <c r="Q23" s="18"/>
      <c r="R23" s="19">
        <v>50000</v>
      </c>
      <c r="S23" s="18">
        <v>3000000</v>
      </c>
      <c r="T23" s="18"/>
      <c r="U23" s="18">
        <f>884747</f>
        <v>884747</v>
      </c>
      <c r="V23" s="18">
        <f t="shared" si="2"/>
        <v>4384747</v>
      </c>
      <c r="W23" s="30">
        <f>+M23-V23</f>
        <v>2236570</v>
      </c>
    </row>
    <row r="24" spans="1:23" ht="20.25" customHeight="1" x14ac:dyDescent="0.25">
      <c r="A24" s="29">
        <v>21</v>
      </c>
      <c r="B24" s="15" t="s">
        <v>27</v>
      </c>
      <c r="C24" s="16" t="s">
        <v>141</v>
      </c>
      <c r="D24" s="16" t="s">
        <v>17</v>
      </c>
      <c r="E24" s="17">
        <v>1075227879</v>
      </c>
      <c r="F24" s="18">
        <v>4500000</v>
      </c>
      <c r="G24" s="17">
        <v>30</v>
      </c>
      <c r="H24" s="18">
        <f>+F24-L24</f>
        <v>4500000</v>
      </c>
      <c r="I24" s="18"/>
      <c r="J24" s="18"/>
      <c r="K24" s="18"/>
      <c r="L24" s="18">
        <v>0</v>
      </c>
      <c r="M24" s="18">
        <f t="shared" si="1"/>
        <v>4500000</v>
      </c>
      <c r="N24" s="18">
        <v>180000</v>
      </c>
      <c r="O24" s="18">
        <v>225000</v>
      </c>
      <c r="P24" s="18">
        <f>70000+36500</f>
        <v>106500</v>
      </c>
      <c r="Q24" s="18"/>
      <c r="R24" s="19">
        <v>31000</v>
      </c>
      <c r="S24" s="18"/>
      <c r="T24" s="18"/>
      <c r="U24" s="18"/>
      <c r="V24" s="18">
        <f t="shared" si="2"/>
        <v>542500</v>
      </c>
      <c r="W24" s="30">
        <f>+M24-V24</f>
        <v>3957500</v>
      </c>
    </row>
    <row r="25" spans="1:23" ht="20.25" customHeight="1" x14ac:dyDescent="0.25">
      <c r="A25" s="29">
        <v>22</v>
      </c>
      <c r="B25" s="15" t="s">
        <v>84</v>
      </c>
      <c r="C25" s="16" t="s">
        <v>141</v>
      </c>
      <c r="D25" s="16" t="s">
        <v>17</v>
      </c>
      <c r="E25" s="17">
        <v>80738958</v>
      </c>
      <c r="F25" s="18">
        <v>5500000</v>
      </c>
      <c r="G25" s="17">
        <v>30</v>
      </c>
      <c r="H25" s="18">
        <f t="shared" si="27"/>
        <v>5500000</v>
      </c>
      <c r="I25" s="18"/>
      <c r="J25" s="18"/>
      <c r="K25" s="18"/>
      <c r="L25" s="18"/>
      <c r="M25" s="18">
        <f t="shared" ref="M25" si="37">SUM(H25:J25)+L25</f>
        <v>5500000</v>
      </c>
      <c r="N25" s="18">
        <f>+F25*4%</f>
        <v>220000</v>
      </c>
      <c r="O25" s="18">
        <f>+F25*5%</f>
        <v>275000</v>
      </c>
      <c r="P25" s="18"/>
      <c r="Q25" s="18"/>
      <c r="R25" s="19">
        <v>141000</v>
      </c>
      <c r="S25" s="18"/>
      <c r="T25" s="18"/>
      <c r="U25" s="18"/>
      <c r="V25" s="18">
        <f t="shared" ref="V25" si="38">SUM(N25:U25)</f>
        <v>636000</v>
      </c>
      <c r="W25" s="30">
        <f>+M25-V25</f>
        <v>4864000</v>
      </c>
    </row>
    <row r="26" spans="1:23" ht="20.25" customHeight="1" x14ac:dyDescent="0.25">
      <c r="A26" s="29">
        <v>23</v>
      </c>
      <c r="B26" s="15" t="s">
        <v>92</v>
      </c>
      <c r="C26" s="16" t="s">
        <v>141</v>
      </c>
      <c r="D26" s="16" t="s">
        <v>17</v>
      </c>
      <c r="E26" s="17">
        <v>79507075</v>
      </c>
      <c r="F26" s="18">
        <v>4500000</v>
      </c>
      <c r="G26" s="17">
        <v>30</v>
      </c>
      <c r="H26" s="18">
        <f>F26/30*G26</f>
        <v>4500000</v>
      </c>
      <c r="I26" s="18" t="s">
        <v>115</v>
      </c>
      <c r="J26" s="18"/>
      <c r="K26" s="18"/>
      <c r="L26" s="18"/>
      <c r="M26" s="18">
        <f t="shared" ref="M26" si="39">SUM(H26:J26)+L26</f>
        <v>4500000</v>
      </c>
      <c r="N26" s="18">
        <f>+H26*4%</f>
        <v>180000</v>
      </c>
      <c r="O26" s="18">
        <f>+H26*5%</f>
        <v>225000</v>
      </c>
      <c r="P26" s="18"/>
      <c r="Q26" s="18"/>
      <c r="R26" s="19">
        <v>72000</v>
      </c>
      <c r="S26" s="18"/>
      <c r="T26" s="18"/>
      <c r="U26" s="18"/>
      <c r="V26" s="18">
        <f t="shared" ref="V26" si="40">SUM(N26:U26)</f>
        <v>477000</v>
      </c>
      <c r="W26" s="30">
        <f>+M26-V26</f>
        <v>4023000</v>
      </c>
    </row>
    <row r="27" spans="1:23" ht="20.25" customHeight="1" x14ac:dyDescent="0.25">
      <c r="A27" s="29">
        <v>24</v>
      </c>
      <c r="B27" s="15" t="s">
        <v>28</v>
      </c>
      <c r="C27" s="16" t="s">
        <v>141</v>
      </c>
      <c r="D27" s="16" t="s">
        <v>17</v>
      </c>
      <c r="E27" s="17">
        <v>1032370759</v>
      </c>
      <c r="F27" s="18">
        <v>6000000</v>
      </c>
      <c r="G27" s="17">
        <v>30</v>
      </c>
      <c r="H27" s="18">
        <f t="shared" si="27"/>
        <v>6000000</v>
      </c>
      <c r="I27" s="18"/>
      <c r="J27" s="22"/>
      <c r="K27" s="22"/>
      <c r="L27" s="22"/>
      <c r="M27" s="18">
        <f t="shared" si="1"/>
        <v>6000000</v>
      </c>
      <c r="N27" s="18">
        <f>+F27*4%</f>
        <v>240000</v>
      </c>
      <c r="O27" s="18">
        <f>F27*5%</f>
        <v>300000</v>
      </c>
      <c r="P27" s="18"/>
      <c r="Q27" s="18"/>
      <c r="R27" s="19">
        <v>79000</v>
      </c>
      <c r="S27" s="18"/>
      <c r="T27" s="18"/>
      <c r="U27" s="18"/>
      <c r="V27" s="18">
        <f t="shared" si="2"/>
        <v>619000</v>
      </c>
      <c r="W27" s="30">
        <f>M27-V27</f>
        <v>5381000</v>
      </c>
    </row>
    <row r="28" spans="1:23" ht="20.25" customHeight="1" x14ac:dyDescent="0.25">
      <c r="A28" s="29">
        <v>25</v>
      </c>
      <c r="B28" s="15" t="s">
        <v>95</v>
      </c>
      <c r="C28" s="16" t="s">
        <v>141</v>
      </c>
      <c r="D28" s="16" t="s">
        <v>17</v>
      </c>
      <c r="E28" s="17">
        <v>5820885</v>
      </c>
      <c r="F28" s="18">
        <v>3500000</v>
      </c>
      <c r="G28" s="17">
        <v>30</v>
      </c>
      <c r="H28" s="18">
        <f t="shared" ref="H28" si="41">F28/30*G28</f>
        <v>3500000</v>
      </c>
      <c r="I28" s="18"/>
      <c r="J28" s="18"/>
      <c r="K28" s="18"/>
      <c r="L28" s="18"/>
      <c r="M28" s="18">
        <f>SUM(H28:J28)+L28</f>
        <v>3500000</v>
      </c>
      <c r="N28" s="18">
        <v>140000</v>
      </c>
      <c r="O28" s="18">
        <v>175000</v>
      </c>
      <c r="P28" s="18">
        <f>36900+340000</f>
        <v>376900</v>
      </c>
      <c r="Q28" s="18"/>
      <c r="R28" s="19">
        <v>0</v>
      </c>
      <c r="S28" s="18"/>
      <c r="T28" s="18">
        <v>111000</v>
      </c>
      <c r="U28" s="18"/>
      <c r="V28" s="18">
        <f t="shared" ref="V28" si="42">SUM(N28:U28)</f>
        <v>802900</v>
      </c>
      <c r="W28" s="30">
        <f>M28-V28</f>
        <v>2697100</v>
      </c>
    </row>
    <row r="29" spans="1:23" ht="20.25" customHeight="1" x14ac:dyDescent="0.25">
      <c r="A29" s="29">
        <v>26</v>
      </c>
      <c r="B29" s="15" t="s">
        <v>29</v>
      </c>
      <c r="C29" s="16" t="s">
        <v>141</v>
      </c>
      <c r="D29" s="16" t="s">
        <v>17</v>
      </c>
      <c r="E29" s="17">
        <v>80271442</v>
      </c>
      <c r="F29" s="18">
        <v>4800000</v>
      </c>
      <c r="G29" s="17">
        <v>30</v>
      </c>
      <c r="H29" s="18">
        <f t="shared" ref="H29:H55" si="43">+F29/30*G29</f>
        <v>4800000</v>
      </c>
      <c r="I29" s="18"/>
      <c r="J29" s="18"/>
      <c r="K29" s="18"/>
      <c r="L29" s="18"/>
      <c r="M29" s="18">
        <f t="shared" si="1"/>
        <v>4800000</v>
      </c>
      <c r="N29" s="18">
        <f>+H29*4%</f>
        <v>192000</v>
      </c>
      <c r="O29" s="18">
        <f>+H29*5%</f>
        <v>240000</v>
      </c>
      <c r="P29" s="18"/>
      <c r="Q29" s="18"/>
      <c r="R29" s="18">
        <v>0</v>
      </c>
      <c r="S29" s="18">
        <v>1300000</v>
      </c>
      <c r="T29" s="18"/>
      <c r="U29" s="18">
        <v>209579</v>
      </c>
      <c r="V29" s="18">
        <f t="shared" si="2"/>
        <v>1941579</v>
      </c>
      <c r="W29" s="30">
        <f>M29-V29</f>
        <v>2858421</v>
      </c>
    </row>
    <row r="30" spans="1:23" ht="20.25" customHeight="1" x14ac:dyDescent="0.25">
      <c r="A30" s="29">
        <v>27</v>
      </c>
      <c r="B30" s="15" t="s">
        <v>30</v>
      </c>
      <c r="C30" s="16" t="s">
        <v>141</v>
      </c>
      <c r="D30" s="16" t="s">
        <v>17</v>
      </c>
      <c r="E30" s="17">
        <v>79995836</v>
      </c>
      <c r="F30" s="18">
        <v>4280000</v>
      </c>
      <c r="G30" s="17">
        <v>30</v>
      </c>
      <c r="H30" s="18">
        <f>F30/30*G30</f>
        <v>4280000</v>
      </c>
      <c r="I30" s="18"/>
      <c r="J30" s="18"/>
      <c r="K30" s="18"/>
      <c r="L30" s="18"/>
      <c r="M30" s="18">
        <f t="shared" si="1"/>
        <v>4280000</v>
      </c>
      <c r="N30" s="18">
        <f>+M30*4%</f>
        <v>171200</v>
      </c>
      <c r="O30" s="18">
        <f>+M30*5%</f>
        <v>214000</v>
      </c>
      <c r="P30" s="18"/>
      <c r="Q30" s="18"/>
      <c r="R30" s="19">
        <v>31064</v>
      </c>
      <c r="S30" s="18"/>
      <c r="T30" s="18"/>
      <c r="U30" s="18"/>
      <c r="V30" s="18">
        <f t="shared" si="2"/>
        <v>416264</v>
      </c>
      <c r="W30" s="30">
        <f>M30-V30</f>
        <v>3863736</v>
      </c>
    </row>
    <row r="31" spans="1:23" ht="20.25" customHeight="1" x14ac:dyDescent="0.25">
      <c r="A31" s="29">
        <v>28</v>
      </c>
      <c r="B31" s="15" t="s">
        <v>31</v>
      </c>
      <c r="C31" s="16" t="s">
        <v>141</v>
      </c>
      <c r="D31" s="16" t="s">
        <v>17</v>
      </c>
      <c r="E31" s="17">
        <v>79712744</v>
      </c>
      <c r="F31" s="18">
        <v>6000000</v>
      </c>
      <c r="G31" s="17">
        <v>30</v>
      </c>
      <c r="H31" s="18">
        <f t="shared" si="43"/>
        <v>6000000</v>
      </c>
      <c r="I31" s="18"/>
      <c r="J31" s="18"/>
      <c r="K31" s="18"/>
      <c r="L31" s="18"/>
      <c r="M31" s="18">
        <f t="shared" si="1"/>
        <v>6000000</v>
      </c>
      <c r="N31" s="18">
        <f>+M31*4%</f>
        <v>240000</v>
      </c>
      <c r="O31" s="18">
        <f>+M31*5%</f>
        <v>300000</v>
      </c>
      <c r="P31" s="18"/>
      <c r="Q31" s="18"/>
      <c r="R31" s="18">
        <v>208000</v>
      </c>
      <c r="S31" s="18"/>
      <c r="T31" s="18">
        <v>122614</v>
      </c>
      <c r="U31" s="18"/>
      <c r="V31" s="18">
        <f t="shared" si="2"/>
        <v>870614</v>
      </c>
      <c r="W31" s="30">
        <f t="shared" ref="W31:W32" si="44">+M31-V31</f>
        <v>5129386</v>
      </c>
    </row>
    <row r="32" spans="1:23" ht="20.25" customHeight="1" x14ac:dyDescent="0.25">
      <c r="A32" s="29">
        <v>29</v>
      </c>
      <c r="B32" s="15" t="s">
        <v>32</v>
      </c>
      <c r="C32" s="16" t="s">
        <v>141</v>
      </c>
      <c r="D32" s="16" t="s">
        <v>17</v>
      </c>
      <c r="E32" s="17">
        <v>1032418081</v>
      </c>
      <c r="F32" s="18">
        <v>4500000</v>
      </c>
      <c r="G32" s="17">
        <v>30</v>
      </c>
      <c r="H32" s="18">
        <f t="shared" si="43"/>
        <v>4500000</v>
      </c>
      <c r="I32" s="18"/>
      <c r="J32" s="18">
        <v>500000</v>
      </c>
      <c r="K32" s="18"/>
      <c r="L32" s="18">
        <v>281250</v>
      </c>
      <c r="M32" s="18">
        <f t="shared" si="1"/>
        <v>5281250</v>
      </c>
      <c r="N32" s="18">
        <f t="shared" ref="N32" si="45">+H32*4%</f>
        <v>180000</v>
      </c>
      <c r="O32" s="18">
        <f t="shared" si="8"/>
        <v>225000</v>
      </c>
      <c r="P32" s="18"/>
      <c r="Q32" s="18"/>
      <c r="R32" s="18">
        <v>11000</v>
      </c>
      <c r="S32" s="18"/>
      <c r="T32" s="18"/>
      <c r="U32" s="18">
        <v>551399</v>
      </c>
      <c r="V32" s="18">
        <f t="shared" si="2"/>
        <v>967399</v>
      </c>
      <c r="W32" s="30">
        <f t="shared" si="44"/>
        <v>4313851</v>
      </c>
    </row>
    <row r="33" spans="1:25" ht="20.25" customHeight="1" x14ac:dyDescent="0.25">
      <c r="A33" s="29">
        <v>30</v>
      </c>
      <c r="B33" s="20" t="s">
        <v>34</v>
      </c>
      <c r="C33" s="16" t="s">
        <v>141</v>
      </c>
      <c r="D33" s="16" t="s">
        <v>17</v>
      </c>
      <c r="E33" s="18">
        <v>79312565</v>
      </c>
      <c r="F33" s="18">
        <v>4815000</v>
      </c>
      <c r="G33" s="17">
        <v>30</v>
      </c>
      <c r="H33" s="18">
        <f>+F33-L33</f>
        <v>4815000</v>
      </c>
      <c r="I33" s="18"/>
      <c r="J33" s="18"/>
      <c r="K33" s="18"/>
      <c r="L33" s="18"/>
      <c r="M33" s="18">
        <f t="shared" si="1"/>
        <v>4815000</v>
      </c>
      <c r="N33" s="18">
        <f>+F33*4%</f>
        <v>192600</v>
      </c>
      <c r="O33" s="18">
        <f>+F33*5%</f>
        <v>240750</v>
      </c>
      <c r="P33" s="18"/>
      <c r="Q33" s="18"/>
      <c r="R33" s="18">
        <v>34627</v>
      </c>
      <c r="S33" s="18"/>
      <c r="T33" s="18"/>
      <c r="U33" s="18">
        <v>541379</v>
      </c>
      <c r="V33" s="18">
        <f t="shared" si="2"/>
        <v>1009356</v>
      </c>
      <c r="W33" s="30">
        <f>M33-V33</f>
        <v>3805644</v>
      </c>
    </row>
    <row r="34" spans="1:25" ht="20.25" customHeight="1" x14ac:dyDescent="0.25">
      <c r="A34" s="29">
        <v>31</v>
      </c>
      <c r="B34" s="15" t="s">
        <v>36</v>
      </c>
      <c r="C34" s="16" t="s">
        <v>141</v>
      </c>
      <c r="D34" s="16" t="s">
        <v>17</v>
      </c>
      <c r="E34" s="17">
        <v>79853277</v>
      </c>
      <c r="F34" s="18">
        <v>6420000</v>
      </c>
      <c r="G34" s="17">
        <v>30</v>
      </c>
      <c r="H34" s="18">
        <f>+F34-L34</f>
        <v>6420000</v>
      </c>
      <c r="I34" s="18"/>
      <c r="J34" s="18"/>
      <c r="K34" s="18"/>
      <c r="L34" s="18"/>
      <c r="M34" s="18">
        <f t="shared" ref="M34:M80" si="46">SUM(H34:J34)+L34</f>
        <v>6420000</v>
      </c>
      <c r="N34" s="18">
        <f>+F34*4%</f>
        <v>256800</v>
      </c>
      <c r="O34" s="18">
        <f>+F34*5%</f>
        <v>321000</v>
      </c>
      <c r="P34" s="18"/>
      <c r="Q34" s="18"/>
      <c r="R34" s="18">
        <v>231000</v>
      </c>
      <c r="S34" s="18"/>
      <c r="T34" s="18"/>
      <c r="U34" s="18"/>
      <c r="V34" s="18">
        <f t="shared" si="2"/>
        <v>808800</v>
      </c>
      <c r="W34" s="30">
        <f>+M34-V34</f>
        <v>5611200</v>
      </c>
    </row>
    <row r="35" spans="1:25" ht="20.25" customHeight="1" x14ac:dyDescent="0.25">
      <c r="A35" s="29">
        <v>32</v>
      </c>
      <c r="B35" s="20" t="s">
        <v>35</v>
      </c>
      <c r="C35" s="16" t="s">
        <v>141</v>
      </c>
      <c r="D35" s="16" t="s">
        <v>17</v>
      </c>
      <c r="E35" s="18">
        <v>1017136558</v>
      </c>
      <c r="F35" s="18">
        <v>6900000</v>
      </c>
      <c r="G35" s="17">
        <v>30</v>
      </c>
      <c r="H35" s="18">
        <f t="shared" si="43"/>
        <v>6900000</v>
      </c>
      <c r="I35" s="18"/>
      <c r="J35" s="18">
        <v>1500000</v>
      </c>
      <c r="K35" s="18"/>
      <c r="L35" s="23"/>
      <c r="M35" s="18">
        <f t="shared" si="46"/>
        <v>8400000</v>
      </c>
      <c r="N35" s="18">
        <v>276000</v>
      </c>
      <c r="O35" s="18">
        <v>345000</v>
      </c>
      <c r="P35" s="18"/>
      <c r="Q35" s="18"/>
      <c r="R35" s="18">
        <v>345000</v>
      </c>
      <c r="S35" s="18"/>
      <c r="T35" s="18"/>
      <c r="U35" s="18"/>
      <c r="V35" s="18">
        <f t="shared" si="2"/>
        <v>966000</v>
      </c>
      <c r="W35" s="30">
        <f>M35-V35</f>
        <v>7434000</v>
      </c>
    </row>
    <row r="36" spans="1:25" ht="20.25" customHeight="1" x14ac:dyDescent="0.25">
      <c r="A36" s="29">
        <v>33</v>
      </c>
      <c r="B36" s="20" t="s">
        <v>97</v>
      </c>
      <c r="C36" s="16" t="s">
        <v>141</v>
      </c>
      <c r="D36" s="16" t="s">
        <v>17</v>
      </c>
      <c r="E36" s="18">
        <v>63558249</v>
      </c>
      <c r="F36" s="18">
        <v>5500000</v>
      </c>
      <c r="G36" s="17">
        <v>30</v>
      </c>
      <c r="H36" s="18">
        <f t="shared" ref="H36" si="47">+F36/30*G36</f>
        <v>5500000</v>
      </c>
      <c r="I36" s="18"/>
      <c r="J36" s="18">
        <v>500000</v>
      </c>
      <c r="K36" s="18"/>
      <c r="L36" s="18"/>
      <c r="M36" s="18">
        <f t="shared" ref="M36" si="48">SUM(H36:J36)+L36</f>
        <v>6000000</v>
      </c>
      <c r="N36" s="18">
        <f>+H36*4%</f>
        <v>220000</v>
      </c>
      <c r="O36" s="18">
        <f>+H36*5%</f>
        <v>275000</v>
      </c>
      <c r="P36" s="18"/>
      <c r="Q36" s="18"/>
      <c r="R36" s="18">
        <v>144000</v>
      </c>
      <c r="S36" s="18"/>
      <c r="T36" s="18"/>
      <c r="U36" s="18"/>
      <c r="V36" s="18">
        <f t="shared" ref="V36" si="49">SUM(N36:U36)</f>
        <v>639000</v>
      </c>
      <c r="W36" s="30">
        <f t="shared" ref="W36" si="50">M36-V36</f>
        <v>5361000</v>
      </c>
    </row>
    <row r="37" spans="1:25" ht="20.25" customHeight="1" x14ac:dyDescent="0.25">
      <c r="A37" s="29">
        <v>34</v>
      </c>
      <c r="B37" s="15" t="s">
        <v>39</v>
      </c>
      <c r="C37" s="16" t="s">
        <v>141</v>
      </c>
      <c r="D37" s="16" t="s">
        <v>17</v>
      </c>
      <c r="E37" s="17">
        <v>39544414</v>
      </c>
      <c r="F37" s="18">
        <v>5350000</v>
      </c>
      <c r="G37" s="17">
        <v>30</v>
      </c>
      <c r="H37" s="18">
        <f t="shared" ref="H37:H38" si="51">+F37/30*G37</f>
        <v>5350000</v>
      </c>
      <c r="I37" s="18"/>
      <c r="J37" s="18"/>
      <c r="K37" s="18"/>
      <c r="L37" s="18"/>
      <c r="M37" s="18">
        <f t="shared" si="46"/>
        <v>5350000</v>
      </c>
      <c r="N37" s="18">
        <f>+H37*4%</f>
        <v>214000</v>
      </c>
      <c r="O37" s="18">
        <f>+H37*5%</f>
        <v>267500</v>
      </c>
      <c r="P37" s="18"/>
      <c r="Q37" s="18"/>
      <c r="R37" s="18">
        <v>121000</v>
      </c>
      <c r="S37" s="18"/>
      <c r="T37" s="18"/>
      <c r="U37" s="18"/>
      <c r="V37" s="18">
        <f>SUM(N37:U37)</f>
        <v>602500</v>
      </c>
      <c r="W37" s="30">
        <f t="shared" ref="W37:W43" si="52">+M37-V37</f>
        <v>4747500</v>
      </c>
    </row>
    <row r="38" spans="1:25" ht="20.25" customHeight="1" x14ac:dyDescent="0.25">
      <c r="A38" s="29">
        <v>35</v>
      </c>
      <c r="B38" s="15" t="s">
        <v>109</v>
      </c>
      <c r="C38" s="16" t="s">
        <v>141</v>
      </c>
      <c r="D38" s="16" t="s">
        <v>17</v>
      </c>
      <c r="E38" s="17">
        <v>22518172</v>
      </c>
      <c r="F38" s="18">
        <v>4000000</v>
      </c>
      <c r="G38" s="17">
        <v>30</v>
      </c>
      <c r="H38" s="18">
        <f t="shared" si="51"/>
        <v>4000000.0000000005</v>
      </c>
      <c r="I38" s="18"/>
      <c r="J38" s="18"/>
      <c r="K38" s="18"/>
      <c r="L38" s="18"/>
      <c r="M38" s="18">
        <f t="shared" ref="M38" si="53">SUM(H38:J38)+L38</f>
        <v>4000000.0000000005</v>
      </c>
      <c r="N38" s="18">
        <f>+H38*4%</f>
        <v>160000.00000000003</v>
      </c>
      <c r="O38" s="18">
        <f>+H38*5%</f>
        <v>200000.00000000003</v>
      </c>
      <c r="P38" s="18"/>
      <c r="Q38" s="18"/>
      <c r="R38" s="18">
        <v>0</v>
      </c>
      <c r="S38" s="18"/>
      <c r="T38" s="18"/>
      <c r="U38" s="18"/>
      <c r="V38" s="18">
        <f>SUM(N38:U38)</f>
        <v>360000.00000000006</v>
      </c>
      <c r="W38" s="30">
        <f t="shared" ref="W38" si="54">+M38-V38</f>
        <v>3640000.0000000005</v>
      </c>
    </row>
    <row r="39" spans="1:25" ht="20.25" customHeight="1" x14ac:dyDescent="0.25">
      <c r="A39" s="29">
        <v>36</v>
      </c>
      <c r="B39" s="15" t="s">
        <v>33</v>
      </c>
      <c r="C39" s="16" t="s">
        <v>141</v>
      </c>
      <c r="D39" s="16" t="s">
        <v>17</v>
      </c>
      <c r="E39" s="17">
        <v>79342363</v>
      </c>
      <c r="F39" s="18">
        <v>4500000</v>
      </c>
      <c r="G39" s="17">
        <v>29</v>
      </c>
      <c r="H39" s="18">
        <f>+F39/30*G39+100005</f>
        <v>4450005</v>
      </c>
      <c r="I39" s="18"/>
      <c r="J39" s="18"/>
      <c r="K39" s="18"/>
      <c r="L39" s="18"/>
      <c r="M39" s="18">
        <f t="shared" si="46"/>
        <v>4450005</v>
      </c>
      <c r="N39" s="18">
        <f>+F39*4%</f>
        <v>180000</v>
      </c>
      <c r="O39" s="18">
        <f>+F39*5%</f>
        <v>225000</v>
      </c>
      <c r="P39" s="18"/>
      <c r="Q39" s="18"/>
      <c r="R39" s="18">
        <v>10000</v>
      </c>
      <c r="S39" s="18"/>
      <c r="T39" s="18"/>
      <c r="U39" s="18">
        <v>317224</v>
      </c>
      <c r="V39" s="18">
        <f>SUM(N39:U39)</f>
        <v>732224</v>
      </c>
      <c r="W39" s="30">
        <f t="shared" si="52"/>
        <v>3717781</v>
      </c>
    </row>
    <row r="40" spans="1:25" ht="20.25" customHeight="1" x14ac:dyDescent="0.25">
      <c r="A40" s="29">
        <v>37</v>
      </c>
      <c r="B40" s="15" t="s">
        <v>78</v>
      </c>
      <c r="C40" s="16" t="s">
        <v>141</v>
      </c>
      <c r="D40" s="16" t="s">
        <v>17</v>
      </c>
      <c r="E40" s="17">
        <v>569462</v>
      </c>
      <c r="F40" s="18">
        <v>4800000</v>
      </c>
      <c r="G40" s="17">
        <v>30</v>
      </c>
      <c r="H40" s="18">
        <f t="shared" ref="H40:H41" si="55">+F40/30*G40</f>
        <v>4800000</v>
      </c>
      <c r="I40" s="18"/>
      <c r="J40" s="18"/>
      <c r="K40" s="18"/>
      <c r="L40" s="18"/>
      <c r="M40" s="18">
        <f t="shared" ref="M40" si="56">SUM(H40:J40)+L40</f>
        <v>4800000</v>
      </c>
      <c r="N40" s="18">
        <f>+H40*4%</f>
        <v>192000</v>
      </c>
      <c r="O40" s="18">
        <f>+H40*5%</f>
        <v>240000</v>
      </c>
      <c r="P40" s="18"/>
      <c r="Q40" s="18"/>
      <c r="R40" s="18">
        <v>51000</v>
      </c>
      <c r="S40" s="18"/>
      <c r="T40" s="18"/>
      <c r="U40" s="18">
        <v>206720</v>
      </c>
      <c r="V40" s="18">
        <f t="shared" ref="V40" si="57">SUM(N40:U40)</f>
        <v>689720</v>
      </c>
      <c r="W40" s="30">
        <f t="shared" si="52"/>
        <v>4110280</v>
      </c>
    </row>
    <row r="41" spans="1:25" ht="20.25" customHeight="1" x14ac:dyDescent="0.25">
      <c r="A41" s="29">
        <v>38</v>
      </c>
      <c r="B41" s="15" t="s">
        <v>100</v>
      </c>
      <c r="C41" s="16" t="s">
        <v>141</v>
      </c>
      <c r="D41" s="16" t="s">
        <v>17</v>
      </c>
      <c r="E41" s="17">
        <v>1127611356</v>
      </c>
      <c r="F41" s="18">
        <v>4000000</v>
      </c>
      <c r="G41" s="17">
        <v>30</v>
      </c>
      <c r="H41" s="18">
        <f t="shared" si="55"/>
        <v>4000000.0000000005</v>
      </c>
      <c r="I41" s="18"/>
      <c r="J41" s="18"/>
      <c r="K41" s="18"/>
      <c r="L41" s="18"/>
      <c r="M41" s="18">
        <f t="shared" ref="M41" si="58">SUM(H41:J41)+L41</f>
        <v>4000000.0000000005</v>
      </c>
      <c r="N41" s="18">
        <f>+H41*4%</f>
        <v>160000.00000000003</v>
      </c>
      <c r="O41" s="18">
        <f>+H41*5%</f>
        <v>200000.00000000003</v>
      </c>
      <c r="P41" s="18"/>
      <c r="Q41" s="18"/>
      <c r="R41" s="18">
        <v>4500</v>
      </c>
      <c r="S41" s="18"/>
      <c r="T41" s="18"/>
      <c r="U41" s="18"/>
      <c r="V41" s="18">
        <f t="shared" ref="V41" si="59">SUM(N41:U41)</f>
        <v>364500.00000000006</v>
      </c>
      <c r="W41" s="30">
        <f t="shared" ref="W41" si="60">+M41-V41</f>
        <v>3635500.0000000005</v>
      </c>
    </row>
    <row r="42" spans="1:25" ht="20.25" customHeight="1" x14ac:dyDescent="0.25">
      <c r="A42" s="29">
        <v>39</v>
      </c>
      <c r="B42" s="15" t="s">
        <v>37</v>
      </c>
      <c r="C42" s="16" t="s">
        <v>141</v>
      </c>
      <c r="D42" s="16" t="s">
        <v>17</v>
      </c>
      <c r="E42" s="17">
        <v>1020736546</v>
      </c>
      <c r="F42" s="18">
        <v>3500000</v>
      </c>
      <c r="G42" s="17">
        <v>30</v>
      </c>
      <c r="H42" s="18">
        <f>+F42-L42</f>
        <v>3500000</v>
      </c>
      <c r="I42" s="18"/>
      <c r="J42" s="18" t="s">
        <v>0</v>
      </c>
      <c r="K42" s="18"/>
      <c r="L42" s="18"/>
      <c r="M42" s="18">
        <f t="shared" si="46"/>
        <v>3500000</v>
      </c>
      <c r="N42" s="18">
        <f>+M42*4%</f>
        <v>140000</v>
      </c>
      <c r="O42" s="18">
        <f>+M42*5%</f>
        <v>175000</v>
      </c>
      <c r="P42" s="18"/>
      <c r="Q42" s="18"/>
      <c r="R42" s="18"/>
      <c r="S42" s="18"/>
      <c r="T42" s="18"/>
      <c r="U42" s="18"/>
      <c r="V42" s="18">
        <f t="shared" si="2"/>
        <v>315000</v>
      </c>
      <c r="W42" s="30">
        <f t="shared" si="52"/>
        <v>3185000</v>
      </c>
    </row>
    <row r="43" spans="1:25" ht="20.25" customHeight="1" x14ac:dyDescent="0.25">
      <c r="A43" s="29">
        <v>40</v>
      </c>
      <c r="B43" s="15" t="s">
        <v>38</v>
      </c>
      <c r="C43" s="16" t="s">
        <v>141</v>
      </c>
      <c r="D43" s="16" t="s">
        <v>17</v>
      </c>
      <c r="E43" s="17">
        <v>80182894</v>
      </c>
      <c r="F43" s="18">
        <v>5000000</v>
      </c>
      <c r="G43" s="17">
        <v>30</v>
      </c>
      <c r="H43" s="18">
        <f t="shared" si="43"/>
        <v>5000000</v>
      </c>
      <c r="I43" s="18"/>
      <c r="J43" s="18">
        <v>800000</v>
      </c>
      <c r="K43" s="18"/>
      <c r="L43" s="18"/>
      <c r="M43" s="18">
        <f t="shared" si="46"/>
        <v>5800000</v>
      </c>
      <c r="N43" s="18">
        <f>+H43*4%</f>
        <v>200000</v>
      </c>
      <c r="O43" s="18">
        <f>+H43*5%</f>
        <v>250000</v>
      </c>
      <c r="P43" s="18"/>
      <c r="Q43" s="18"/>
      <c r="R43" s="18">
        <v>50000</v>
      </c>
      <c r="S43" s="18"/>
      <c r="T43" s="18"/>
      <c r="U43" s="18"/>
      <c r="V43" s="18">
        <f t="shared" si="2"/>
        <v>500000</v>
      </c>
      <c r="W43" s="30">
        <f t="shared" si="52"/>
        <v>5300000</v>
      </c>
      <c r="X43" s="27">
        <v>4886979</v>
      </c>
      <c r="Y43" s="2" t="e">
        <f>+#REF!-X43</f>
        <v>#REF!</v>
      </c>
    </row>
    <row r="44" spans="1:25" ht="20.25" customHeight="1" x14ac:dyDescent="0.25">
      <c r="A44" s="29">
        <v>41</v>
      </c>
      <c r="B44" s="15" t="s">
        <v>40</v>
      </c>
      <c r="C44" s="16" t="s">
        <v>141</v>
      </c>
      <c r="D44" s="16" t="s">
        <v>17</v>
      </c>
      <c r="E44" s="17">
        <v>79344940</v>
      </c>
      <c r="F44" s="18">
        <v>5152050</v>
      </c>
      <c r="G44" s="17">
        <v>30</v>
      </c>
      <c r="H44" s="18">
        <f>+F44-L44</f>
        <v>5152050</v>
      </c>
      <c r="I44" s="18"/>
      <c r="J44" s="18">
        <v>350000</v>
      </c>
      <c r="K44" s="18"/>
      <c r="L44" s="18"/>
      <c r="M44" s="18">
        <f t="shared" si="46"/>
        <v>5502050</v>
      </c>
      <c r="N44" s="18">
        <f>+H44*4%</f>
        <v>206082</v>
      </c>
      <c r="O44" s="18">
        <f>+H44*5%</f>
        <v>257602.5</v>
      </c>
      <c r="P44" s="18"/>
      <c r="Q44" s="18"/>
      <c r="R44" s="18">
        <v>93000</v>
      </c>
      <c r="S44" s="18"/>
      <c r="T44" s="18"/>
      <c r="U44" s="18"/>
      <c r="V44" s="18">
        <f t="shared" si="2"/>
        <v>556684.5</v>
      </c>
      <c r="W44" s="30">
        <f>M44-V44</f>
        <v>4945365.5</v>
      </c>
    </row>
    <row r="45" spans="1:25" ht="20.25" customHeight="1" x14ac:dyDescent="0.25">
      <c r="A45" s="29">
        <v>42</v>
      </c>
      <c r="B45" s="15" t="s">
        <v>41</v>
      </c>
      <c r="C45" s="16" t="s">
        <v>142</v>
      </c>
      <c r="D45" s="16" t="s">
        <v>17</v>
      </c>
      <c r="E45" s="17">
        <v>44161192</v>
      </c>
      <c r="F45" s="18">
        <v>9590321</v>
      </c>
      <c r="G45" s="17">
        <v>30</v>
      </c>
      <c r="H45" s="18">
        <f t="shared" si="43"/>
        <v>9590321</v>
      </c>
      <c r="I45" s="18"/>
      <c r="J45" s="18"/>
      <c r="K45" s="18"/>
      <c r="L45" s="18">
        <v>8241612</v>
      </c>
      <c r="M45" s="18">
        <f t="shared" si="46"/>
        <v>17831933</v>
      </c>
      <c r="N45" s="18">
        <v>598193</v>
      </c>
      <c r="O45" s="18">
        <v>747742</v>
      </c>
      <c r="P45" s="18"/>
      <c r="Q45" s="18"/>
      <c r="R45" s="18">
        <f>205000+205000</f>
        <v>410000</v>
      </c>
      <c r="S45" s="18">
        <v>2500000</v>
      </c>
      <c r="T45" s="18"/>
      <c r="U45" s="18"/>
      <c r="V45" s="18">
        <f t="shared" si="2"/>
        <v>4255935</v>
      </c>
      <c r="W45" s="30">
        <f>M45-V45</f>
        <v>13575998</v>
      </c>
    </row>
    <row r="46" spans="1:25" ht="20.25" customHeight="1" x14ac:dyDescent="0.25">
      <c r="A46" s="29">
        <v>43</v>
      </c>
      <c r="B46" s="15" t="s">
        <v>67</v>
      </c>
      <c r="C46" s="16" t="s">
        <v>141</v>
      </c>
      <c r="D46" s="16" t="s">
        <v>17</v>
      </c>
      <c r="E46" s="17">
        <v>518375</v>
      </c>
      <c r="F46" s="18">
        <v>4500000</v>
      </c>
      <c r="G46" s="17">
        <v>30</v>
      </c>
      <c r="H46" s="18">
        <f>+F46-L46</f>
        <v>4500000</v>
      </c>
      <c r="I46" s="18"/>
      <c r="J46" s="18"/>
      <c r="K46" s="18"/>
      <c r="L46" s="18"/>
      <c r="M46" s="18">
        <f t="shared" si="46"/>
        <v>4500000</v>
      </c>
      <c r="N46" s="18">
        <v>180000</v>
      </c>
      <c r="O46" s="18">
        <v>225000</v>
      </c>
      <c r="P46" s="18">
        <v>36500</v>
      </c>
      <c r="Q46" s="18"/>
      <c r="R46" s="18">
        <v>31000</v>
      </c>
      <c r="S46" s="18"/>
      <c r="T46" s="18"/>
      <c r="U46" s="18"/>
      <c r="V46" s="18">
        <f t="shared" si="2"/>
        <v>472500</v>
      </c>
      <c r="W46" s="30">
        <f>M46-V46</f>
        <v>4027500</v>
      </c>
    </row>
    <row r="47" spans="1:25" ht="20.25" customHeight="1" x14ac:dyDescent="0.25">
      <c r="A47" s="29">
        <v>1</v>
      </c>
      <c r="B47" s="15" t="s">
        <v>108</v>
      </c>
      <c r="C47" s="16" t="s">
        <v>141</v>
      </c>
      <c r="D47" s="16" t="s">
        <v>140</v>
      </c>
      <c r="E47" s="17">
        <v>1033796576</v>
      </c>
      <c r="F47" s="18">
        <v>737717</v>
      </c>
      <c r="G47" s="17">
        <v>30</v>
      </c>
      <c r="H47" s="18">
        <f t="shared" si="43"/>
        <v>737717</v>
      </c>
      <c r="I47" s="18"/>
      <c r="J47" s="18"/>
      <c r="K47" s="18"/>
      <c r="L47" s="18"/>
      <c r="M47" s="18">
        <f t="shared" si="46"/>
        <v>737717</v>
      </c>
      <c r="N47" s="18"/>
      <c r="O47" s="18"/>
      <c r="P47" s="18"/>
      <c r="Q47" s="18"/>
      <c r="R47" s="18"/>
      <c r="S47" s="18"/>
      <c r="T47" s="18"/>
      <c r="U47" s="18"/>
      <c r="V47" s="18"/>
      <c r="W47" s="30">
        <f>M47-V47</f>
        <v>737717</v>
      </c>
    </row>
    <row r="48" spans="1:25" ht="20.25" customHeight="1" x14ac:dyDescent="0.25">
      <c r="A48" s="29">
        <v>2</v>
      </c>
      <c r="B48" s="15" t="s">
        <v>99</v>
      </c>
      <c r="C48" s="16" t="s">
        <v>141</v>
      </c>
      <c r="D48" s="16" t="s">
        <v>17</v>
      </c>
      <c r="E48" s="17">
        <v>1016019937</v>
      </c>
      <c r="F48" s="18">
        <v>3000000</v>
      </c>
      <c r="G48" s="17">
        <v>30</v>
      </c>
      <c r="H48" s="18">
        <v>2200000</v>
      </c>
      <c r="I48" s="18"/>
      <c r="J48" s="18"/>
      <c r="K48" s="18">
        <v>800000</v>
      </c>
      <c r="L48" s="18"/>
      <c r="M48" s="18">
        <f t="shared" si="46"/>
        <v>2200000</v>
      </c>
      <c r="N48" s="18">
        <v>120000</v>
      </c>
      <c r="O48" s="18">
        <v>150000</v>
      </c>
      <c r="P48" s="18">
        <v>108333</v>
      </c>
      <c r="Q48" s="18"/>
      <c r="R48" s="18"/>
      <c r="S48" s="18"/>
      <c r="T48" s="18"/>
      <c r="U48" s="18"/>
      <c r="V48" s="18">
        <f t="shared" si="2"/>
        <v>378333</v>
      </c>
      <c r="W48" s="30">
        <f>M48-V48</f>
        <v>1821667</v>
      </c>
    </row>
    <row r="49" spans="1:23" ht="20.25" customHeight="1" x14ac:dyDescent="0.25">
      <c r="A49" s="29">
        <v>3</v>
      </c>
      <c r="B49" s="15" t="s">
        <v>43</v>
      </c>
      <c r="C49" s="16" t="s">
        <v>141</v>
      </c>
      <c r="D49" s="16" t="s">
        <v>17</v>
      </c>
      <c r="E49" s="17">
        <v>1023962160</v>
      </c>
      <c r="F49" s="18">
        <v>800000</v>
      </c>
      <c r="G49" s="17">
        <v>30</v>
      </c>
      <c r="H49" s="18">
        <f t="shared" si="43"/>
        <v>800000</v>
      </c>
      <c r="I49" s="18">
        <v>77597</v>
      </c>
      <c r="J49" s="18"/>
      <c r="K49" s="18"/>
      <c r="L49" s="18"/>
      <c r="M49" s="18">
        <f t="shared" si="46"/>
        <v>877597</v>
      </c>
      <c r="N49" s="18">
        <f>+H49*4%</f>
        <v>32000</v>
      </c>
      <c r="O49" s="18">
        <f>+H49*4%</f>
        <v>32000</v>
      </c>
      <c r="P49" s="18">
        <v>36500</v>
      </c>
      <c r="Q49" s="18"/>
      <c r="R49" s="19"/>
      <c r="S49" s="18"/>
      <c r="T49" s="18"/>
      <c r="U49" s="18"/>
      <c r="V49" s="18">
        <f t="shared" ref="V49" si="61">SUM(N49:U49)</f>
        <v>100500</v>
      </c>
      <c r="W49" s="30">
        <f>+M49-V49</f>
        <v>777097</v>
      </c>
    </row>
    <row r="50" spans="1:23" ht="20.25" customHeight="1" x14ac:dyDescent="0.25">
      <c r="A50" s="29">
        <v>4</v>
      </c>
      <c r="B50" s="20" t="s">
        <v>73</v>
      </c>
      <c r="C50" s="16" t="s">
        <v>141</v>
      </c>
      <c r="D50" s="16" t="s">
        <v>17</v>
      </c>
      <c r="E50" s="18">
        <v>1020770039</v>
      </c>
      <c r="F50" s="18">
        <v>2500000</v>
      </c>
      <c r="G50" s="17">
        <v>30</v>
      </c>
      <c r="H50" s="18">
        <f t="shared" si="43"/>
        <v>2500000</v>
      </c>
      <c r="I50" s="18"/>
      <c r="J50" s="18">
        <v>312500</v>
      </c>
      <c r="K50" s="24"/>
      <c r="L50" s="1"/>
      <c r="M50" s="18">
        <f>SUM(H50:J50)+J50</f>
        <v>3125000</v>
      </c>
      <c r="N50" s="18">
        <f>+H50*4%</f>
        <v>100000</v>
      </c>
      <c r="O50" s="18">
        <f>+H50*4%</f>
        <v>100000</v>
      </c>
      <c r="P50" s="18"/>
      <c r="Q50" s="18"/>
      <c r="R50" s="18"/>
      <c r="S50" s="18"/>
      <c r="T50" s="18"/>
      <c r="U50" s="18"/>
      <c r="V50" s="18">
        <f t="shared" si="2"/>
        <v>200000</v>
      </c>
      <c r="W50" s="30">
        <f>M50-V50</f>
        <v>2925000</v>
      </c>
    </row>
    <row r="51" spans="1:23" ht="20.25" customHeight="1" x14ac:dyDescent="0.25">
      <c r="A51" s="29">
        <v>5</v>
      </c>
      <c r="B51" s="15" t="s">
        <v>42</v>
      </c>
      <c r="C51" s="16" t="s">
        <v>141</v>
      </c>
      <c r="D51" s="16" t="s">
        <v>17</v>
      </c>
      <c r="E51" s="17">
        <v>1019131071</v>
      </c>
      <c r="F51" s="18">
        <v>737717</v>
      </c>
      <c r="G51" s="17">
        <v>30</v>
      </c>
      <c r="H51" s="18">
        <f t="shared" si="43"/>
        <v>737717</v>
      </c>
      <c r="I51" s="18">
        <f t="shared" ref="I51:I53" si="62">+(83140/30)*G51</f>
        <v>83140</v>
      </c>
      <c r="J51" s="18"/>
      <c r="K51" s="18"/>
      <c r="L51" s="18"/>
      <c r="M51" s="18">
        <f>SUM(H51:J51)+L51</f>
        <v>820857</v>
      </c>
      <c r="N51" s="18">
        <v>29509</v>
      </c>
      <c r="O51" s="18">
        <v>29509</v>
      </c>
      <c r="P51" s="18"/>
      <c r="Q51" s="18"/>
      <c r="R51" s="19"/>
      <c r="S51" s="18"/>
      <c r="T51" s="18"/>
      <c r="U51" s="18">
        <v>660000</v>
      </c>
      <c r="V51" s="18">
        <f>+N51+O51+U51</f>
        <v>719018</v>
      </c>
      <c r="W51" s="30">
        <f>+M51-V51</f>
        <v>101839</v>
      </c>
    </row>
    <row r="52" spans="1:23" ht="20.25" customHeight="1" x14ac:dyDescent="0.25">
      <c r="A52" s="29">
        <v>6</v>
      </c>
      <c r="B52" s="20" t="s">
        <v>72</v>
      </c>
      <c r="C52" s="16" t="s">
        <v>141</v>
      </c>
      <c r="D52" s="16" t="s">
        <v>17</v>
      </c>
      <c r="E52" s="18">
        <v>1018464162</v>
      </c>
      <c r="F52" s="18">
        <v>1500000</v>
      </c>
      <c r="G52" s="17">
        <v>30</v>
      </c>
      <c r="H52" s="18">
        <f>+F52*66.67%</f>
        <v>1000050.0000000001</v>
      </c>
      <c r="I52" s="18"/>
      <c r="J52" s="18"/>
      <c r="K52" s="18"/>
      <c r="L52" s="18"/>
      <c r="M52" s="18">
        <f t="shared" ref="M52" si="63">SUM(H52:J52)+L52</f>
        <v>1000050.0000000001</v>
      </c>
      <c r="N52" s="18">
        <v>60000</v>
      </c>
      <c r="O52" s="18">
        <v>60000</v>
      </c>
      <c r="P52" s="18"/>
      <c r="Q52" s="18"/>
      <c r="R52" s="18"/>
      <c r="S52" s="18"/>
      <c r="T52" s="18"/>
      <c r="U52" s="18"/>
      <c r="V52" s="18">
        <f t="shared" ref="V52:V112" si="64">SUM(N52:U52)</f>
        <v>120000</v>
      </c>
      <c r="W52" s="30">
        <f>M52-V52</f>
        <v>880050.00000000012</v>
      </c>
    </row>
    <row r="53" spans="1:23" ht="20.25" customHeight="1" x14ac:dyDescent="0.25">
      <c r="A53" s="29">
        <v>7</v>
      </c>
      <c r="B53" s="15" t="s">
        <v>101</v>
      </c>
      <c r="C53" s="16" t="s">
        <v>141</v>
      </c>
      <c r="D53" s="16" t="s">
        <v>17</v>
      </c>
      <c r="E53" s="17">
        <v>1023926436</v>
      </c>
      <c r="F53" s="18">
        <v>1200000</v>
      </c>
      <c r="G53" s="17">
        <v>30</v>
      </c>
      <c r="H53" s="18">
        <f t="shared" si="43"/>
        <v>1200000</v>
      </c>
      <c r="I53" s="18">
        <f t="shared" si="62"/>
        <v>83140</v>
      </c>
      <c r="J53" s="18"/>
      <c r="K53" s="18"/>
      <c r="L53" s="18"/>
      <c r="M53" s="18">
        <f t="shared" ref="M53" si="65">SUM(H53:J53)+L53</f>
        <v>1283140</v>
      </c>
      <c r="N53" s="18">
        <f>+H53*4%</f>
        <v>48000</v>
      </c>
      <c r="O53" s="18">
        <v>48000</v>
      </c>
      <c r="P53" s="18"/>
      <c r="Q53" s="18"/>
      <c r="R53" s="19"/>
      <c r="S53" s="18"/>
      <c r="T53" s="18"/>
      <c r="U53" s="18"/>
      <c r="V53" s="18">
        <f t="shared" ref="V53" si="66">SUM(N53:U53)</f>
        <v>96000</v>
      </c>
      <c r="W53" s="30">
        <f t="shared" ref="W53:W54" si="67">+M53-V53</f>
        <v>1187140</v>
      </c>
    </row>
    <row r="54" spans="1:23" ht="20.25" customHeight="1" x14ac:dyDescent="0.25">
      <c r="A54" s="29">
        <v>8</v>
      </c>
      <c r="B54" s="15" t="s">
        <v>90</v>
      </c>
      <c r="C54" s="16" t="s">
        <v>141</v>
      </c>
      <c r="D54" s="16" t="s">
        <v>17</v>
      </c>
      <c r="E54" s="17">
        <v>1023926436</v>
      </c>
      <c r="F54" s="18">
        <v>1500000</v>
      </c>
      <c r="G54" s="17">
        <v>30</v>
      </c>
      <c r="H54" s="18">
        <f t="shared" si="43"/>
        <v>1500000</v>
      </c>
      <c r="I54" s="18"/>
      <c r="J54" s="18"/>
      <c r="K54" s="18"/>
      <c r="L54" s="18"/>
      <c r="M54" s="18">
        <f t="shared" ref="M54" si="68">SUM(H54:J54)+L54</f>
        <v>1500000</v>
      </c>
      <c r="N54" s="18">
        <f>+H54*4%</f>
        <v>60000</v>
      </c>
      <c r="O54" s="18">
        <f>+H54*4%</f>
        <v>60000</v>
      </c>
      <c r="P54" s="18">
        <f>42600+130000</f>
        <v>172600</v>
      </c>
      <c r="Q54" s="18"/>
      <c r="R54" s="19"/>
      <c r="S54" s="18"/>
      <c r="T54" s="18"/>
      <c r="U54" s="18"/>
      <c r="V54" s="18">
        <f t="shared" ref="V54" si="69">SUM(N54:U54)</f>
        <v>292600</v>
      </c>
      <c r="W54" s="30">
        <f t="shared" si="67"/>
        <v>1207400</v>
      </c>
    </row>
    <row r="55" spans="1:23" ht="20.25" customHeight="1" x14ac:dyDescent="0.25">
      <c r="A55" s="29">
        <v>9</v>
      </c>
      <c r="B55" s="15" t="s">
        <v>127</v>
      </c>
      <c r="C55" s="16" t="s">
        <v>141</v>
      </c>
      <c r="D55" s="16" t="s">
        <v>17</v>
      </c>
      <c r="E55" s="17">
        <v>1023926436</v>
      </c>
      <c r="F55" s="18">
        <v>4500000</v>
      </c>
      <c r="G55" s="17">
        <v>30</v>
      </c>
      <c r="H55" s="18">
        <f t="shared" si="43"/>
        <v>4500000</v>
      </c>
      <c r="I55" s="18"/>
      <c r="J55" s="18"/>
      <c r="K55" s="18"/>
      <c r="L55" s="18"/>
      <c r="M55" s="18">
        <f t="shared" ref="M55" si="70">SUM(H55:J55)+L55</f>
        <v>4500000</v>
      </c>
      <c r="N55" s="18">
        <f>+H55*4%</f>
        <v>180000</v>
      </c>
      <c r="O55" s="18">
        <f>+H55*5%</f>
        <v>225000</v>
      </c>
      <c r="P55" s="18"/>
      <c r="Q55" s="18"/>
      <c r="R55" s="19">
        <v>2800</v>
      </c>
      <c r="S55" s="18"/>
      <c r="T55" s="18"/>
      <c r="U55" s="18"/>
      <c r="V55" s="18">
        <f t="shared" ref="V55" si="71">SUM(N55:U55)</f>
        <v>407800</v>
      </c>
      <c r="W55" s="30">
        <f t="shared" ref="W55" si="72">+M55-V55</f>
        <v>4092200</v>
      </c>
    </row>
    <row r="56" spans="1:23" ht="20.25" customHeight="1" x14ac:dyDescent="0.25">
      <c r="A56" s="29">
        <v>10</v>
      </c>
      <c r="B56" s="15" t="s">
        <v>44</v>
      </c>
      <c r="C56" s="16" t="s">
        <v>141</v>
      </c>
      <c r="D56" s="16" t="s">
        <v>17</v>
      </c>
      <c r="E56" s="17">
        <v>1013637271</v>
      </c>
      <c r="F56" s="18">
        <v>1450000</v>
      </c>
      <c r="G56" s="17">
        <v>30</v>
      </c>
      <c r="H56" s="18">
        <f t="shared" ref="H56" si="73">+F56/30*G56</f>
        <v>1450000</v>
      </c>
      <c r="I56" s="18">
        <f>+(83140/30)*G56</f>
        <v>83140</v>
      </c>
      <c r="J56" s="18"/>
      <c r="K56" s="18"/>
      <c r="L56" s="18"/>
      <c r="M56" s="18">
        <f t="shared" si="46"/>
        <v>1533140</v>
      </c>
      <c r="N56" s="18">
        <f>+H56*4%</f>
        <v>58000</v>
      </c>
      <c r="O56" s="18">
        <f>+H56*4%</f>
        <v>58000</v>
      </c>
      <c r="P56" s="18">
        <f>124550+36500+47500</f>
        <v>208550</v>
      </c>
      <c r="Q56" s="18"/>
      <c r="R56" s="18">
        <v>0</v>
      </c>
      <c r="S56" s="18"/>
      <c r="T56" s="18"/>
      <c r="U56" s="18"/>
      <c r="V56" s="18">
        <f t="shared" si="64"/>
        <v>324550</v>
      </c>
      <c r="W56" s="30">
        <f t="shared" ref="W56:W63" si="74">+M56-V56</f>
        <v>1208590</v>
      </c>
    </row>
    <row r="57" spans="1:23" ht="20.25" customHeight="1" x14ac:dyDescent="0.25">
      <c r="A57" s="29">
        <v>11</v>
      </c>
      <c r="B57" s="15" t="s">
        <v>74</v>
      </c>
      <c r="C57" s="16" t="s">
        <v>141</v>
      </c>
      <c r="D57" s="16" t="s">
        <v>17</v>
      </c>
      <c r="E57" s="17">
        <v>51738391</v>
      </c>
      <c r="F57" s="18">
        <v>737717</v>
      </c>
      <c r="G57" s="17">
        <v>30</v>
      </c>
      <c r="H57" s="18">
        <f t="shared" ref="H57:H59" si="75">+F57/30*G57</f>
        <v>737717</v>
      </c>
      <c r="I57" s="18">
        <v>83140</v>
      </c>
      <c r="J57" s="18"/>
      <c r="K57" s="18"/>
      <c r="L57" s="18"/>
      <c r="M57" s="18">
        <f t="shared" ref="M57" si="76">SUM(H57:J57)+L57</f>
        <v>820857</v>
      </c>
      <c r="N57" s="18">
        <v>29509</v>
      </c>
      <c r="O57" s="18">
        <v>29509</v>
      </c>
      <c r="P57" s="18"/>
      <c r="Q57" s="18"/>
      <c r="R57" s="19"/>
      <c r="S57" s="18"/>
      <c r="T57" s="18"/>
      <c r="U57" s="18"/>
      <c r="V57" s="18">
        <f t="shared" si="64"/>
        <v>59018</v>
      </c>
      <c r="W57" s="30">
        <f t="shared" si="74"/>
        <v>761839</v>
      </c>
    </row>
    <row r="58" spans="1:23" ht="20.25" customHeight="1" x14ac:dyDescent="0.25">
      <c r="A58" s="29">
        <v>12</v>
      </c>
      <c r="B58" s="15" t="s">
        <v>77</v>
      </c>
      <c r="C58" s="16" t="s">
        <v>141</v>
      </c>
      <c r="D58" s="16" t="s">
        <v>17</v>
      </c>
      <c r="E58" s="17">
        <v>1012317828</v>
      </c>
      <c r="F58" s="18">
        <v>3500000</v>
      </c>
      <c r="G58" s="17">
        <v>30</v>
      </c>
      <c r="H58" s="18">
        <f>+F58-L58</f>
        <v>3500000</v>
      </c>
      <c r="I58" s="18"/>
      <c r="J58" s="18"/>
      <c r="K58" s="18"/>
      <c r="L58" s="18"/>
      <c r="M58" s="18">
        <f t="shared" ref="M58" si="77">SUM(H58:J58)+L58</f>
        <v>3500000</v>
      </c>
      <c r="N58" s="18">
        <f>+F58*4%</f>
        <v>140000</v>
      </c>
      <c r="O58" s="18">
        <f>+F58*5%</f>
        <v>175000</v>
      </c>
      <c r="P58" s="18"/>
      <c r="Q58" s="18"/>
      <c r="R58" s="18">
        <v>0</v>
      </c>
      <c r="S58" s="18"/>
      <c r="T58" s="18"/>
      <c r="U58" s="18"/>
      <c r="V58" s="18">
        <f t="shared" ref="V58" si="78">SUM(N58:U58)</f>
        <v>315000</v>
      </c>
      <c r="W58" s="30">
        <f t="shared" si="74"/>
        <v>3185000</v>
      </c>
    </row>
    <row r="59" spans="1:23" ht="20.25" customHeight="1" x14ac:dyDescent="0.25">
      <c r="A59" s="29">
        <v>13</v>
      </c>
      <c r="B59" s="15" t="s">
        <v>45</v>
      </c>
      <c r="C59" s="16" t="s">
        <v>141</v>
      </c>
      <c r="D59" s="16" t="s">
        <v>17</v>
      </c>
      <c r="E59" s="17">
        <v>1019045571</v>
      </c>
      <c r="F59" s="18">
        <v>2500000</v>
      </c>
      <c r="G59" s="17">
        <v>30</v>
      </c>
      <c r="H59" s="18">
        <f t="shared" si="75"/>
        <v>2500000</v>
      </c>
      <c r="I59" s="18"/>
      <c r="J59" s="18"/>
      <c r="K59" s="18"/>
      <c r="L59" s="18"/>
      <c r="M59" s="18">
        <f t="shared" si="46"/>
        <v>2500000</v>
      </c>
      <c r="N59" s="18">
        <f>+M59*4%</f>
        <v>100000</v>
      </c>
      <c r="O59" s="18">
        <f>+M59*4%</f>
        <v>100000</v>
      </c>
      <c r="P59" s="18">
        <v>120000</v>
      </c>
      <c r="Q59" s="18"/>
      <c r="R59" s="18">
        <v>0</v>
      </c>
      <c r="S59" s="18"/>
      <c r="T59" s="18"/>
      <c r="U59" s="18">
        <v>200210</v>
      </c>
      <c r="V59" s="18">
        <f t="shared" si="64"/>
        <v>520210</v>
      </c>
      <c r="W59" s="30">
        <f t="shared" si="74"/>
        <v>1979790</v>
      </c>
    </row>
    <row r="60" spans="1:23" ht="20.25" customHeight="1" x14ac:dyDescent="0.25">
      <c r="A60" s="29">
        <v>14</v>
      </c>
      <c r="B60" s="15" t="s">
        <v>82</v>
      </c>
      <c r="C60" s="16" t="s">
        <v>141</v>
      </c>
      <c r="D60" s="16" t="s">
        <v>17</v>
      </c>
      <c r="E60" s="17">
        <v>1020803039</v>
      </c>
      <c r="F60" s="18">
        <v>1200000</v>
      </c>
      <c r="G60" s="17">
        <v>30</v>
      </c>
      <c r="H60" s="18">
        <f>F60/30*G60</f>
        <v>1200000</v>
      </c>
      <c r="I60" s="18">
        <f>+(83140/30)*G60</f>
        <v>83140</v>
      </c>
      <c r="J60" s="18"/>
      <c r="K60" s="18"/>
      <c r="L60" s="18"/>
      <c r="M60" s="18">
        <f t="shared" ref="M60" si="79">SUM(H60:J60)+L60</f>
        <v>1283140</v>
      </c>
      <c r="N60" s="18">
        <v>48000</v>
      </c>
      <c r="O60" s="18">
        <v>48000</v>
      </c>
      <c r="P60" s="18">
        <f>42238+95000</f>
        <v>137238</v>
      </c>
      <c r="Q60" s="18"/>
      <c r="R60" s="18">
        <v>0</v>
      </c>
      <c r="S60" s="18"/>
      <c r="T60" s="18"/>
      <c r="U60" s="18"/>
      <c r="V60" s="18">
        <f t="shared" ref="V60" si="80">SUM(N60:U60)</f>
        <v>233238</v>
      </c>
      <c r="W60" s="30">
        <f t="shared" ref="W60" si="81">+M60-V60</f>
        <v>1049902</v>
      </c>
    </row>
    <row r="61" spans="1:23" ht="20.25" customHeight="1" x14ac:dyDescent="0.25">
      <c r="A61" s="29">
        <v>15</v>
      </c>
      <c r="B61" s="15" t="s">
        <v>87</v>
      </c>
      <c r="C61" s="16" t="s">
        <v>141</v>
      </c>
      <c r="D61" s="16" t="s">
        <v>17</v>
      </c>
      <c r="E61" s="17">
        <v>1019089282</v>
      </c>
      <c r="F61" s="18">
        <v>1500000</v>
      </c>
      <c r="G61" s="17">
        <v>30</v>
      </c>
      <c r="H61" s="18">
        <f>F61/30*G61</f>
        <v>1500000</v>
      </c>
      <c r="I61" s="18"/>
      <c r="J61" s="18"/>
      <c r="K61" s="18"/>
      <c r="L61" s="18">
        <v>187500</v>
      </c>
      <c r="M61" s="18">
        <f t="shared" ref="M61" si="82">SUM(H61:J61)+L61</f>
        <v>1687500</v>
      </c>
      <c r="N61" s="18">
        <f>+H61*4%</f>
        <v>60000</v>
      </c>
      <c r="O61" s="18">
        <f t="shared" ref="O61" si="83">+H61*4%</f>
        <v>60000</v>
      </c>
      <c r="P61" s="18">
        <v>270000</v>
      </c>
      <c r="Q61" s="18"/>
      <c r="R61" s="18">
        <v>0</v>
      </c>
      <c r="S61" s="18"/>
      <c r="T61" s="18"/>
      <c r="U61" s="18">
        <v>422966</v>
      </c>
      <c r="V61" s="18">
        <f t="shared" ref="V61" si="84">SUM(N61:U61)</f>
        <v>812966</v>
      </c>
      <c r="W61" s="30">
        <f t="shared" ref="W61" si="85">+M61-V61</f>
        <v>874534</v>
      </c>
    </row>
    <row r="62" spans="1:23" ht="20.25" customHeight="1" x14ac:dyDescent="0.25">
      <c r="A62" s="29">
        <v>16</v>
      </c>
      <c r="B62" s="15" t="s">
        <v>125</v>
      </c>
      <c r="C62" s="16" t="s">
        <v>141</v>
      </c>
      <c r="D62" s="16" t="s">
        <v>17</v>
      </c>
      <c r="E62" s="17">
        <v>1019089282</v>
      </c>
      <c r="F62" s="18">
        <v>737717</v>
      </c>
      <c r="G62" s="17">
        <v>30</v>
      </c>
      <c r="H62" s="18">
        <f>F62/30*G62</f>
        <v>737717</v>
      </c>
      <c r="I62" s="18">
        <f>+(83140/30)*G62</f>
        <v>83140</v>
      </c>
      <c r="J62" s="18"/>
      <c r="K62" s="18"/>
      <c r="L62" s="18"/>
      <c r="M62" s="18">
        <f t="shared" ref="M62" si="86">SUM(H62:J62)+L62</f>
        <v>820857</v>
      </c>
      <c r="N62" s="18">
        <f>+H62*4%</f>
        <v>29508.68</v>
      </c>
      <c r="O62" s="18">
        <f t="shared" ref="O62" si="87">+H62*4%</f>
        <v>29508.68</v>
      </c>
      <c r="P62" s="18"/>
      <c r="Q62" s="18"/>
      <c r="R62" s="18">
        <v>0</v>
      </c>
      <c r="S62" s="18"/>
      <c r="T62" s="18"/>
      <c r="U62" s="18"/>
      <c r="V62" s="18">
        <f t="shared" ref="V62" si="88">SUM(N62:U62)</f>
        <v>59017.36</v>
      </c>
      <c r="W62" s="30">
        <f t="shared" ref="W62" si="89">+M62-V62</f>
        <v>761839.64</v>
      </c>
    </row>
    <row r="63" spans="1:23" ht="20.25" customHeight="1" x14ac:dyDescent="0.25">
      <c r="A63" s="29">
        <v>17</v>
      </c>
      <c r="B63" s="15" t="s">
        <v>46</v>
      </c>
      <c r="C63" s="16" t="s">
        <v>141</v>
      </c>
      <c r="D63" s="16" t="s">
        <v>17</v>
      </c>
      <c r="E63" s="17">
        <v>1018444707</v>
      </c>
      <c r="F63" s="18">
        <v>2000000</v>
      </c>
      <c r="G63" s="17">
        <v>30</v>
      </c>
      <c r="H63" s="18">
        <f>F63/30*G63</f>
        <v>2000000.0000000002</v>
      </c>
      <c r="I63" s="18"/>
      <c r="J63" s="18"/>
      <c r="K63" s="18"/>
      <c r="L63" s="18"/>
      <c r="M63" s="18">
        <f t="shared" si="46"/>
        <v>2000000.0000000002</v>
      </c>
      <c r="N63" s="18">
        <f>+H63*4%</f>
        <v>80000.000000000015</v>
      </c>
      <c r="O63" s="18">
        <v>80000</v>
      </c>
      <c r="P63" s="18"/>
      <c r="Q63" s="18"/>
      <c r="R63" s="18">
        <v>0</v>
      </c>
      <c r="S63" s="18"/>
      <c r="T63" s="18"/>
      <c r="U63" s="18">
        <v>323803</v>
      </c>
      <c r="V63" s="18">
        <f t="shared" si="64"/>
        <v>483803</v>
      </c>
      <c r="W63" s="30">
        <f t="shared" si="74"/>
        <v>1516197.0000000002</v>
      </c>
    </row>
    <row r="64" spans="1:23" ht="20.25" customHeight="1" x14ac:dyDescent="0.25">
      <c r="A64" s="29">
        <v>18</v>
      </c>
      <c r="B64" s="20" t="s">
        <v>47</v>
      </c>
      <c r="C64" s="16" t="s">
        <v>141</v>
      </c>
      <c r="D64" s="16" t="s">
        <v>17</v>
      </c>
      <c r="E64" s="18">
        <v>1016046175</v>
      </c>
      <c r="F64" s="18">
        <v>3500000</v>
      </c>
      <c r="G64" s="17">
        <v>30</v>
      </c>
      <c r="H64" s="18">
        <f>F64/30*G64</f>
        <v>3500000</v>
      </c>
      <c r="I64" s="18"/>
      <c r="J64" s="18"/>
      <c r="K64" s="18"/>
      <c r="L64" s="18"/>
      <c r="M64" s="18">
        <f t="shared" si="46"/>
        <v>3500000</v>
      </c>
      <c r="N64" s="18">
        <f>+M64*4%</f>
        <v>140000</v>
      </c>
      <c r="O64" s="18">
        <f>+M64*5%</f>
        <v>175000</v>
      </c>
      <c r="P64" s="18"/>
      <c r="Q64" s="18"/>
      <c r="R64" s="18">
        <v>0</v>
      </c>
      <c r="S64" s="18"/>
      <c r="T64" s="18"/>
      <c r="U64" s="18"/>
      <c r="V64" s="18">
        <f t="shared" si="64"/>
        <v>315000</v>
      </c>
      <c r="W64" s="30">
        <f t="shared" ref="W64:W75" si="90">M64-V64</f>
        <v>3185000</v>
      </c>
    </row>
    <row r="65" spans="1:23" ht="20.25" customHeight="1" x14ac:dyDescent="0.25">
      <c r="A65" s="29">
        <v>19</v>
      </c>
      <c r="B65" s="15" t="s">
        <v>48</v>
      </c>
      <c r="C65" s="16" t="s">
        <v>141</v>
      </c>
      <c r="D65" s="16" t="s">
        <v>17</v>
      </c>
      <c r="E65" s="17">
        <v>1033729279</v>
      </c>
      <c r="F65" s="18">
        <v>4000000</v>
      </c>
      <c r="G65" s="17">
        <v>30</v>
      </c>
      <c r="H65" s="18">
        <f t="shared" ref="H65:H114" si="91">F65/30*G65</f>
        <v>4000000.0000000005</v>
      </c>
      <c r="I65" s="18"/>
      <c r="J65" s="18">
        <v>300000</v>
      </c>
      <c r="K65" s="18"/>
      <c r="L65" s="18"/>
      <c r="M65" s="18">
        <f t="shared" si="46"/>
        <v>4300000</v>
      </c>
      <c r="N65" s="18">
        <v>160000</v>
      </c>
      <c r="O65" s="18">
        <v>200000</v>
      </c>
      <c r="P65" s="18"/>
      <c r="Q65" s="18"/>
      <c r="R65" s="18">
        <v>3000</v>
      </c>
      <c r="S65" s="18"/>
      <c r="T65" s="18"/>
      <c r="U65" s="18">
        <v>766229</v>
      </c>
      <c r="V65" s="18">
        <f t="shared" si="64"/>
        <v>1129229</v>
      </c>
      <c r="W65" s="30">
        <f t="shared" si="90"/>
        <v>3170771</v>
      </c>
    </row>
    <row r="66" spans="1:23" ht="20.25" customHeight="1" x14ac:dyDescent="0.25">
      <c r="A66" s="29">
        <v>20</v>
      </c>
      <c r="B66" s="15" t="s">
        <v>49</v>
      </c>
      <c r="C66" s="16" t="s">
        <v>141</v>
      </c>
      <c r="D66" s="16" t="s">
        <v>17</v>
      </c>
      <c r="E66" s="17">
        <v>1023948338</v>
      </c>
      <c r="F66" s="18">
        <v>800000</v>
      </c>
      <c r="G66" s="17">
        <v>30</v>
      </c>
      <c r="H66" s="18">
        <f t="shared" si="91"/>
        <v>800000</v>
      </c>
      <c r="I66" s="18">
        <f>+(83140/30)*G66</f>
        <v>83140</v>
      </c>
      <c r="J66" s="18"/>
      <c r="K66" s="18"/>
      <c r="L66" s="18"/>
      <c r="M66" s="18">
        <f t="shared" si="46"/>
        <v>883140</v>
      </c>
      <c r="N66" s="18">
        <f>+H66*4%</f>
        <v>32000</v>
      </c>
      <c r="O66" s="18">
        <f>+H66*4%</f>
        <v>32000</v>
      </c>
      <c r="P66" s="18">
        <f>74413+83333</f>
        <v>157746</v>
      </c>
      <c r="Q66" s="18"/>
      <c r="R66" s="18"/>
      <c r="S66" s="18"/>
      <c r="T66" s="18"/>
      <c r="U66" s="18"/>
      <c r="V66" s="18">
        <f t="shared" si="64"/>
        <v>221746</v>
      </c>
      <c r="W66" s="30">
        <f t="shared" si="90"/>
        <v>661394</v>
      </c>
    </row>
    <row r="67" spans="1:23" ht="20.25" customHeight="1" x14ac:dyDescent="0.25">
      <c r="A67" s="29">
        <v>21</v>
      </c>
      <c r="B67" s="15" t="s">
        <v>50</v>
      </c>
      <c r="C67" s="16" t="s">
        <v>141</v>
      </c>
      <c r="D67" s="16" t="s">
        <v>17</v>
      </c>
      <c r="E67" s="17">
        <v>1014209294</v>
      </c>
      <c r="F67" s="18">
        <v>3500000</v>
      </c>
      <c r="G67" s="17">
        <v>30</v>
      </c>
      <c r="H67" s="18">
        <f t="shared" si="91"/>
        <v>3500000</v>
      </c>
      <c r="I67" s="18">
        <v>0</v>
      </c>
      <c r="J67" s="18"/>
      <c r="K67" s="18"/>
      <c r="L67" s="18">
        <v>82031</v>
      </c>
      <c r="M67" s="18">
        <f t="shared" si="46"/>
        <v>3582031</v>
      </c>
      <c r="N67" s="18">
        <v>140000</v>
      </c>
      <c r="O67" s="18">
        <v>175000</v>
      </c>
      <c r="P67" s="18">
        <v>60000</v>
      </c>
      <c r="Q67" s="18"/>
      <c r="R67" s="18">
        <v>0</v>
      </c>
      <c r="S67" s="18"/>
      <c r="T67" s="18"/>
      <c r="U67" s="18"/>
      <c r="V67" s="18">
        <f t="shared" si="64"/>
        <v>375000</v>
      </c>
      <c r="W67" s="30">
        <f t="shared" si="90"/>
        <v>3207031</v>
      </c>
    </row>
    <row r="68" spans="1:23" ht="20.25" customHeight="1" x14ac:dyDescent="0.25">
      <c r="A68" s="29">
        <v>22</v>
      </c>
      <c r="B68" s="15" t="s">
        <v>85</v>
      </c>
      <c r="C68" s="16" t="s">
        <v>141</v>
      </c>
      <c r="D68" s="16" t="s">
        <v>17</v>
      </c>
      <c r="E68" s="17">
        <v>1012364276</v>
      </c>
      <c r="F68" s="18">
        <v>1550000</v>
      </c>
      <c r="G68" s="17">
        <v>30</v>
      </c>
      <c r="H68" s="18">
        <f t="shared" si="91"/>
        <v>1550000</v>
      </c>
      <c r="I68" s="18"/>
      <c r="J68" s="18"/>
      <c r="K68" s="18"/>
      <c r="L68" s="18">
        <f>234375+93750</f>
        <v>328125</v>
      </c>
      <c r="M68" s="18">
        <f t="shared" ref="M68:M72" si="92">SUM(H68:J68)+L68</f>
        <v>1878125</v>
      </c>
      <c r="N68" s="18">
        <f>+F68*4%</f>
        <v>62000</v>
      </c>
      <c r="O68" s="18">
        <f>+F68*4%</f>
        <v>62000</v>
      </c>
      <c r="P68" s="18"/>
      <c r="Q68" s="18"/>
      <c r="R68" s="18"/>
      <c r="S68" s="18"/>
      <c r="T68" s="18"/>
      <c r="U68" s="18"/>
      <c r="V68" s="18">
        <f t="shared" ref="V68:V72" si="93">SUM(N68:U68)</f>
        <v>124000</v>
      </c>
      <c r="W68" s="30">
        <f t="shared" ref="W68:W70" si="94">M68-V68</f>
        <v>1754125</v>
      </c>
    </row>
    <row r="69" spans="1:23" ht="20.25" customHeight="1" x14ac:dyDescent="0.25">
      <c r="A69" s="29">
        <v>23</v>
      </c>
      <c r="B69" s="15" t="s">
        <v>116</v>
      </c>
      <c r="C69" s="16" t="s">
        <v>141</v>
      </c>
      <c r="D69" s="16" t="s">
        <v>17</v>
      </c>
      <c r="E69" s="17">
        <v>8534951</v>
      </c>
      <c r="F69" s="18">
        <v>2800000</v>
      </c>
      <c r="G69" s="17">
        <v>28</v>
      </c>
      <c r="H69" s="18">
        <v>2737783</v>
      </c>
      <c r="I69" s="18"/>
      <c r="J69" s="18"/>
      <c r="K69" s="18"/>
      <c r="L69" s="18"/>
      <c r="M69" s="18">
        <f t="shared" ref="M69" si="95">SUM(H69:J69)+L69</f>
        <v>2737783</v>
      </c>
      <c r="N69" s="18">
        <v>112000</v>
      </c>
      <c r="O69" s="18">
        <v>112000</v>
      </c>
      <c r="P69" s="18"/>
      <c r="Q69" s="18"/>
      <c r="R69" s="18"/>
      <c r="S69" s="18"/>
      <c r="T69" s="18"/>
      <c r="U69" s="18"/>
      <c r="V69" s="18">
        <f t="shared" ref="V69" si="96">SUM(N69:U69)</f>
        <v>224000</v>
      </c>
      <c r="W69" s="30">
        <f t="shared" ref="W69" si="97">M69-V69</f>
        <v>2513783</v>
      </c>
    </row>
    <row r="70" spans="1:23" ht="20.25" customHeight="1" x14ac:dyDescent="0.25">
      <c r="A70" s="29">
        <v>24</v>
      </c>
      <c r="B70" s="15" t="s">
        <v>111</v>
      </c>
      <c r="C70" s="16" t="s">
        <v>141</v>
      </c>
      <c r="D70" s="16" t="s">
        <v>17</v>
      </c>
      <c r="E70" s="17">
        <v>63515536</v>
      </c>
      <c r="F70" s="18">
        <v>3500000</v>
      </c>
      <c r="G70" s="17">
        <v>30</v>
      </c>
      <c r="H70" s="18">
        <f t="shared" si="91"/>
        <v>3500000</v>
      </c>
      <c r="I70" s="18"/>
      <c r="J70" s="18"/>
      <c r="K70" s="18"/>
      <c r="L70" s="18"/>
      <c r="M70" s="18">
        <f t="shared" ref="M70" si="98">SUM(H70:J70)+L70</f>
        <v>3500000</v>
      </c>
      <c r="N70" s="18">
        <f>+H70*4%</f>
        <v>140000</v>
      </c>
      <c r="O70" s="18">
        <f>+H70*5%</f>
        <v>175000</v>
      </c>
      <c r="P70" s="18"/>
      <c r="Q70" s="18"/>
      <c r="R70" s="18"/>
      <c r="S70" s="18"/>
      <c r="T70" s="18">
        <v>515000</v>
      </c>
      <c r="U70" s="18"/>
      <c r="V70" s="18">
        <f t="shared" si="93"/>
        <v>830000</v>
      </c>
      <c r="W70" s="30">
        <f t="shared" si="94"/>
        <v>2670000</v>
      </c>
    </row>
    <row r="71" spans="1:23" ht="20.25" customHeight="1" x14ac:dyDescent="0.25">
      <c r="A71" s="29">
        <v>25</v>
      </c>
      <c r="B71" s="15" t="s">
        <v>102</v>
      </c>
      <c r="C71" s="16" t="s">
        <v>141</v>
      </c>
      <c r="D71" s="16" t="s">
        <v>17</v>
      </c>
      <c r="E71" s="17">
        <v>1120742134</v>
      </c>
      <c r="F71" s="18">
        <v>1200000</v>
      </c>
      <c r="G71" s="17">
        <v>30</v>
      </c>
      <c r="H71" s="18">
        <f t="shared" si="91"/>
        <v>1200000</v>
      </c>
      <c r="I71" s="18">
        <f>+(83140/30)*G71</f>
        <v>83140</v>
      </c>
      <c r="J71" s="18"/>
      <c r="K71" s="18"/>
      <c r="L71" s="18"/>
      <c r="M71" s="18">
        <f t="shared" ref="M71" si="99">SUM(H71:J71)+L71</f>
        <v>1283140</v>
      </c>
      <c r="N71" s="18">
        <f>+H71*4%</f>
        <v>48000</v>
      </c>
      <c r="O71" s="18">
        <f>+H71*4%</f>
        <v>48000</v>
      </c>
      <c r="P71" s="18">
        <v>36500</v>
      </c>
      <c r="Q71" s="18"/>
      <c r="R71" s="18"/>
      <c r="S71" s="18"/>
      <c r="T71" s="18"/>
      <c r="U71" s="18"/>
      <c r="V71" s="18">
        <f t="shared" ref="V71" si="100">SUM(N71:U71)</f>
        <v>132500</v>
      </c>
      <c r="W71" s="30">
        <f t="shared" ref="W71" si="101">M71-V71</f>
        <v>1150640</v>
      </c>
    </row>
    <row r="72" spans="1:23" ht="20.25" customHeight="1" x14ac:dyDescent="0.25">
      <c r="A72" s="29">
        <v>26</v>
      </c>
      <c r="B72" s="15" t="s">
        <v>123</v>
      </c>
      <c r="C72" s="16" t="s">
        <v>141</v>
      </c>
      <c r="D72" s="16" t="s">
        <v>17</v>
      </c>
      <c r="E72" s="17">
        <v>1052395210</v>
      </c>
      <c r="F72" s="18">
        <v>1500000</v>
      </c>
      <c r="G72" s="17">
        <v>30</v>
      </c>
      <c r="H72" s="18">
        <f t="shared" si="91"/>
        <v>1500000</v>
      </c>
      <c r="I72" s="18"/>
      <c r="J72" s="18"/>
      <c r="K72" s="18"/>
      <c r="L72" s="18"/>
      <c r="M72" s="18">
        <f t="shared" si="92"/>
        <v>1500000</v>
      </c>
      <c r="N72" s="18">
        <f>+H72*4%</f>
        <v>60000</v>
      </c>
      <c r="O72" s="18">
        <f>+H72*4%</f>
        <v>60000</v>
      </c>
      <c r="P72" s="18">
        <v>135000</v>
      </c>
      <c r="Q72" s="18"/>
      <c r="R72" s="18"/>
      <c r="S72" s="18"/>
      <c r="T72" s="18"/>
      <c r="U72" s="18"/>
      <c r="V72" s="18">
        <f t="shared" si="93"/>
        <v>255000</v>
      </c>
      <c r="W72" s="30">
        <f>M72-V72</f>
        <v>1245000</v>
      </c>
    </row>
    <row r="73" spans="1:23" ht="20.25" customHeight="1" x14ac:dyDescent="0.25">
      <c r="A73" s="29">
        <v>27</v>
      </c>
      <c r="B73" s="15" t="s">
        <v>124</v>
      </c>
      <c r="C73" s="16" t="s">
        <v>141</v>
      </c>
      <c r="D73" s="16" t="s">
        <v>17</v>
      </c>
      <c r="E73" s="17">
        <v>1013621051</v>
      </c>
      <c r="F73" s="18">
        <v>2000000</v>
      </c>
      <c r="G73" s="17">
        <v>30</v>
      </c>
      <c r="H73" s="18">
        <f>+F73-L73</f>
        <v>2000000</v>
      </c>
      <c r="I73" s="18"/>
      <c r="J73" s="18"/>
      <c r="K73" s="18"/>
      <c r="L73" s="18"/>
      <c r="M73" s="18">
        <f t="shared" si="46"/>
        <v>2000000</v>
      </c>
      <c r="N73" s="18">
        <f>+M73*4%</f>
        <v>80000</v>
      </c>
      <c r="O73" s="18">
        <f>+M73*4%</f>
        <v>80000</v>
      </c>
      <c r="P73" s="18"/>
      <c r="Q73" s="18"/>
      <c r="R73" s="18">
        <v>0</v>
      </c>
      <c r="S73" s="18"/>
      <c r="T73" s="18"/>
      <c r="U73" s="18">
        <v>363928</v>
      </c>
      <c r="V73" s="18">
        <f t="shared" si="64"/>
        <v>523928</v>
      </c>
      <c r="W73" s="30">
        <f t="shared" si="90"/>
        <v>1476072</v>
      </c>
    </row>
    <row r="74" spans="1:23" ht="20.25" customHeight="1" x14ac:dyDescent="0.25">
      <c r="A74" s="29">
        <v>28</v>
      </c>
      <c r="B74" s="15" t="s">
        <v>112</v>
      </c>
      <c r="C74" s="16" t="s">
        <v>141</v>
      </c>
      <c r="D74" s="16" t="s">
        <v>140</v>
      </c>
      <c r="E74" s="17">
        <v>1030684328</v>
      </c>
      <c r="F74" s="18">
        <v>368858</v>
      </c>
      <c r="G74" s="17">
        <v>30</v>
      </c>
      <c r="H74" s="18">
        <f t="shared" si="91"/>
        <v>368858</v>
      </c>
      <c r="I74" s="18"/>
      <c r="J74" s="18"/>
      <c r="K74" s="18"/>
      <c r="L74" s="18"/>
      <c r="M74" s="18">
        <f t="shared" ref="M74" si="102">SUM(H74:J74)+L74</f>
        <v>368858</v>
      </c>
      <c r="N74" s="18"/>
      <c r="O74" s="18"/>
      <c r="P74" s="18"/>
      <c r="Q74" s="18"/>
      <c r="R74" s="18"/>
      <c r="S74" s="18"/>
      <c r="T74" s="18"/>
      <c r="U74" s="18"/>
      <c r="V74" s="18">
        <f t="shared" ref="V74" si="103">SUM(N74:U74)</f>
        <v>0</v>
      </c>
      <c r="W74" s="30">
        <f t="shared" ref="W74" si="104">M74-V74</f>
        <v>368858</v>
      </c>
    </row>
    <row r="75" spans="1:23" ht="20.25" customHeight="1" x14ac:dyDescent="0.25">
      <c r="A75" s="29">
        <v>29</v>
      </c>
      <c r="B75" s="20" t="s">
        <v>51</v>
      </c>
      <c r="C75" s="16" t="s">
        <v>141</v>
      </c>
      <c r="D75" s="16" t="s">
        <v>17</v>
      </c>
      <c r="E75" s="18">
        <v>97101514700</v>
      </c>
      <c r="F75" s="18">
        <v>800000</v>
      </c>
      <c r="G75" s="17">
        <v>30</v>
      </c>
      <c r="H75" s="18">
        <f t="shared" si="91"/>
        <v>800000</v>
      </c>
      <c r="I75" s="18">
        <f>+(83140/30)*G75</f>
        <v>83140</v>
      </c>
      <c r="J75" s="18"/>
      <c r="K75" s="18"/>
      <c r="L75" s="18"/>
      <c r="M75" s="18">
        <f t="shared" si="46"/>
        <v>883140</v>
      </c>
      <c r="N75" s="18">
        <f>+H75*4%</f>
        <v>32000</v>
      </c>
      <c r="O75" s="18">
        <f>+H75*4%</f>
        <v>32000</v>
      </c>
      <c r="P75" s="18"/>
      <c r="Q75" s="18"/>
      <c r="R75" s="18"/>
      <c r="S75" s="18"/>
      <c r="T75" s="18"/>
      <c r="U75" s="18"/>
      <c r="V75" s="18">
        <f t="shared" si="64"/>
        <v>64000</v>
      </c>
      <c r="W75" s="30">
        <f t="shared" si="90"/>
        <v>819140</v>
      </c>
    </row>
    <row r="76" spans="1:23" ht="20.25" customHeight="1" x14ac:dyDescent="0.25">
      <c r="A76" s="29">
        <v>30</v>
      </c>
      <c r="B76" s="20" t="s">
        <v>126</v>
      </c>
      <c r="C76" s="16" t="s">
        <v>141</v>
      </c>
      <c r="D76" s="16" t="s">
        <v>17</v>
      </c>
      <c r="E76" s="18">
        <v>97101514700</v>
      </c>
      <c r="F76" s="18">
        <v>1000000</v>
      </c>
      <c r="G76" s="17">
        <v>30</v>
      </c>
      <c r="H76" s="18">
        <f t="shared" ref="H76" si="105">F76/30*G76</f>
        <v>1000000.0000000001</v>
      </c>
      <c r="I76" s="18">
        <f>+(83140/30)*G76</f>
        <v>83140</v>
      </c>
      <c r="J76" s="18"/>
      <c r="K76" s="18"/>
      <c r="L76" s="18"/>
      <c r="M76" s="18">
        <f t="shared" ref="M76" si="106">SUM(H76:J76)+L76</f>
        <v>1083140</v>
      </c>
      <c r="N76" s="18">
        <f>+H76*4%</f>
        <v>40000.000000000007</v>
      </c>
      <c r="O76" s="18">
        <f>+H76*4%</f>
        <v>40000.000000000007</v>
      </c>
      <c r="P76" s="18"/>
      <c r="Q76" s="18"/>
      <c r="R76" s="18"/>
      <c r="S76" s="18"/>
      <c r="T76" s="18"/>
      <c r="U76" s="18"/>
      <c r="V76" s="18">
        <f t="shared" ref="V76" si="107">SUM(N76:U76)</f>
        <v>80000.000000000015</v>
      </c>
      <c r="W76" s="30">
        <f t="shared" ref="W76" si="108">M76-V76</f>
        <v>1003140</v>
      </c>
    </row>
    <row r="77" spans="1:23" ht="20.25" customHeight="1" x14ac:dyDescent="0.25">
      <c r="A77" s="29">
        <v>31</v>
      </c>
      <c r="B77" s="15" t="s">
        <v>52</v>
      </c>
      <c r="C77" s="16" t="s">
        <v>141</v>
      </c>
      <c r="D77" s="16" t="s">
        <v>17</v>
      </c>
      <c r="E77" s="17">
        <v>1095798415</v>
      </c>
      <c r="F77" s="18">
        <v>4000000</v>
      </c>
      <c r="G77" s="17">
        <v>30</v>
      </c>
      <c r="H77" s="18">
        <f>+F77-K77</f>
        <v>2891952</v>
      </c>
      <c r="I77" s="18"/>
      <c r="J77" s="18"/>
      <c r="K77" s="18">
        <v>1108048</v>
      </c>
      <c r="L77" s="18"/>
      <c r="M77" s="18">
        <f t="shared" ref="M77" si="109">SUM(H77:J77)+L77</f>
        <v>2891952</v>
      </c>
      <c r="N77" s="18">
        <v>160000</v>
      </c>
      <c r="O77" s="18">
        <v>200000</v>
      </c>
      <c r="P77" s="18"/>
      <c r="Q77" s="18"/>
      <c r="R77" s="18">
        <v>3000</v>
      </c>
      <c r="S77" s="18"/>
      <c r="T77" s="18"/>
      <c r="U77" s="18"/>
      <c r="V77" s="18">
        <f t="shared" ref="V77" si="110">SUM(N77:U77)</f>
        <v>363000</v>
      </c>
      <c r="W77" s="30">
        <f>+M77-V77</f>
        <v>2528952</v>
      </c>
    </row>
    <row r="78" spans="1:23" ht="20.25" customHeight="1" x14ac:dyDescent="0.25">
      <c r="A78" s="29">
        <v>32</v>
      </c>
      <c r="B78" s="20" t="s">
        <v>132</v>
      </c>
      <c r="C78" s="16" t="s">
        <v>141</v>
      </c>
      <c r="D78" s="16" t="s">
        <v>17</v>
      </c>
      <c r="E78" s="18">
        <v>1127622282</v>
      </c>
      <c r="F78" s="18">
        <v>1600000</v>
      </c>
      <c r="G78" s="17">
        <v>21</v>
      </c>
      <c r="H78" s="18">
        <f t="shared" ref="H78" si="111">F78/30*G78</f>
        <v>1120000</v>
      </c>
      <c r="I78" s="18"/>
      <c r="J78" s="18"/>
      <c r="K78" s="18"/>
      <c r="L78" s="18"/>
      <c r="M78" s="18">
        <f t="shared" ref="M78" si="112">SUM(H78:J78)+L78</f>
        <v>1120000</v>
      </c>
      <c r="N78" s="18">
        <f>+H78*4%</f>
        <v>44800</v>
      </c>
      <c r="O78" s="18">
        <f>+H78*4%</f>
        <v>44800</v>
      </c>
      <c r="P78" s="18"/>
      <c r="Q78" s="18"/>
      <c r="R78" s="18"/>
      <c r="S78" s="18"/>
      <c r="T78" s="18"/>
      <c r="U78" s="18"/>
      <c r="V78" s="18">
        <f t="shared" ref="V78" si="113">SUM(N78:U78)</f>
        <v>89600</v>
      </c>
      <c r="W78" s="30">
        <f t="shared" ref="W78" si="114">M78-V78</f>
        <v>1030400</v>
      </c>
    </row>
    <row r="79" spans="1:23" ht="20.25" customHeight="1" x14ac:dyDescent="0.25">
      <c r="A79" s="29">
        <v>33</v>
      </c>
      <c r="B79" s="15" t="s">
        <v>89</v>
      </c>
      <c r="C79" s="16" t="s">
        <v>141</v>
      </c>
      <c r="D79" s="16" t="s">
        <v>17</v>
      </c>
      <c r="E79" s="17">
        <v>1024547288</v>
      </c>
      <c r="F79" s="18">
        <v>1500000</v>
      </c>
      <c r="G79" s="17">
        <v>30</v>
      </c>
      <c r="H79" s="18">
        <f t="shared" si="91"/>
        <v>1500000</v>
      </c>
      <c r="I79" s="18"/>
      <c r="J79" s="18"/>
      <c r="K79" s="18"/>
      <c r="L79" s="18">
        <v>187500</v>
      </c>
      <c r="M79" s="18">
        <f t="shared" ref="M79" si="115">SUM(H79:J79)+L79</f>
        <v>1687500</v>
      </c>
      <c r="N79" s="18">
        <f>+H79*4%</f>
        <v>60000</v>
      </c>
      <c r="O79" s="18">
        <f>+H79*4%</f>
        <v>60000</v>
      </c>
      <c r="P79" s="18">
        <v>35000</v>
      </c>
      <c r="Q79" s="18"/>
      <c r="R79" s="18">
        <v>0</v>
      </c>
      <c r="S79" s="18"/>
      <c r="T79" s="18"/>
      <c r="U79" s="18"/>
      <c r="V79" s="18">
        <f t="shared" ref="V79" si="116">SUM(N79:U79)</f>
        <v>155000</v>
      </c>
      <c r="W79" s="30">
        <f t="shared" ref="W79" si="117">+M79-V79</f>
        <v>1532500</v>
      </c>
    </row>
    <row r="80" spans="1:23" ht="20.25" customHeight="1" x14ac:dyDescent="0.25">
      <c r="A80" s="29">
        <v>34</v>
      </c>
      <c r="B80" s="15" t="s">
        <v>53</v>
      </c>
      <c r="C80" s="16" t="s">
        <v>141</v>
      </c>
      <c r="D80" s="16" t="s">
        <v>17</v>
      </c>
      <c r="E80" s="17">
        <v>1019025121</v>
      </c>
      <c r="F80" s="18">
        <v>3000000</v>
      </c>
      <c r="G80" s="17">
        <v>30</v>
      </c>
      <c r="H80" s="18">
        <f t="shared" si="91"/>
        <v>3000000</v>
      </c>
      <c r="I80" s="18"/>
      <c r="J80" s="18"/>
      <c r="K80" s="18"/>
      <c r="L80" s="18"/>
      <c r="M80" s="18">
        <f t="shared" si="46"/>
        <v>3000000</v>
      </c>
      <c r="N80" s="18">
        <f>+F80*4%</f>
        <v>120000</v>
      </c>
      <c r="O80" s="18">
        <f>+F80*5%</f>
        <v>150000</v>
      </c>
      <c r="P80" s="18"/>
      <c r="Q80" s="18"/>
      <c r="R80" s="19">
        <v>0</v>
      </c>
      <c r="S80" s="18"/>
      <c r="T80" s="18">
        <v>209577</v>
      </c>
      <c r="U80" s="18">
        <v>795577</v>
      </c>
      <c r="V80" s="18">
        <f t="shared" si="64"/>
        <v>1275154</v>
      </c>
      <c r="W80" s="30">
        <f t="shared" ref="W80:W89" si="118">+M80-V80</f>
        <v>1724846</v>
      </c>
    </row>
    <row r="81" spans="1:23" ht="20.25" customHeight="1" x14ac:dyDescent="0.25">
      <c r="A81" s="29">
        <v>35</v>
      </c>
      <c r="B81" s="15" t="s">
        <v>120</v>
      </c>
      <c r="C81" s="16" t="s">
        <v>141</v>
      </c>
      <c r="D81" s="16" t="s">
        <v>17</v>
      </c>
      <c r="E81" s="17">
        <v>79481174</v>
      </c>
      <c r="F81" s="18">
        <v>4500000</v>
      </c>
      <c r="G81" s="17">
        <v>30</v>
      </c>
      <c r="H81" s="18">
        <f t="shared" si="91"/>
        <v>4500000</v>
      </c>
      <c r="I81" s="18"/>
      <c r="J81" s="18"/>
      <c r="K81" s="18"/>
      <c r="L81" s="18"/>
      <c r="M81" s="18">
        <f t="shared" ref="M81" si="119">SUM(H81:J81)+L81</f>
        <v>4500000</v>
      </c>
      <c r="N81" s="18">
        <f>+H81*4%</f>
        <v>180000</v>
      </c>
      <c r="O81" s="18">
        <f>+H81*5%</f>
        <v>225000</v>
      </c>
      <c r="P81" s="18"/>
      <c r="Q81" s="18"/>
      <c r="R81" s="19">
        <v>18000</v>
      </c>
      <c r="S81" s="18"/>
      <c r="T81" s="18"/>
      <c r="U81" s="18"/>
      <c r="V81" s="18">
        <f t="shared" ref="V81" si="120">SUM(N81:U81)</f>
        <v>423000</v>
      </c>
      <c r="W81" s="30">
        <f t="shared" ref="W81" si="121">+M81-V81</f>
        <v>4077000</v>
      </c>
    </row>
    <row r="82" spans="1:23" ht="20.25" customHeight="1" x14ac:dyDescent="0.25">
      <c r="A82" s="29">
        <v>36</v>
      </c>
      <c r="B82" s="15" t="s">
        <v>93</v>
      </c>
      <c r="C82" s="16" t="s">
        <v>141</v>
      </c>
      <c r="D82" s="16" t="s">
        <v>17</v>
      </c>
      <c r="E82" s="17">
        <v>80074735</v>
      </c>
      <c r="F82" s="18">
        <v>4500000</v>
      </c>
      <c r="G82" s="17">
        <v>30</v>
      </c>
      <c r="H82" s="18">
        <f t="shared" si="91"/>
        <v>4500000</v>
      </c>
      <c r="I82" s="18"/>
      <c r="J82" s="18"/>
      <c r="K82" s="18"/>
      <c r="L82" s="18"/>
      <c r="M82" s="18">
        <f t="shared" ref="M82:M83" si="122">SUM(H82:J82)+L82</f>
        <v>4500000</v>
      </c>
      <c r="N82" s="18">
        <f>+H82*4%</f>
        <v>180000</v>
      </c>
      <c r="O82" s="18">
        <f>+H82*5%</f>
        <v>225000</v>
      </c>
      <c r="P82" s="18"/>
      <c r="Q82" s="18"/>
      <c r="R82" s="19">
        <v>72000</v>
      </c>
      <c r="S82" s="18"/>
      <c r="T82" s="18"/>
      <c r="U82" s="18"/>
      <c r="V82" s="18">
        <f t="shared" ref="V82:V83" si="123">SUM(N82:U82)</f>
        <v>477000</v>
      </c>
      <c r="W82" s="30">
        <f t="shared" si="118"/>
        <v>4023000</v>
      </c>
    </row>
    <row r="83" spans="1:23" ht="20.25" customHeight="1" x14ac:dyDescent="0.25">
      <c r="A83" s="29">
        <v>37</v>
      </c>
      <c r="B83" s="15" t="s">
        <v>118</v>
      </c>
      <c r="C83" s="16" t="s">
        <v>141</v>
      </c>
      <c r="D83" s="16" t="s">
        <v>17</v>
      </c>
      <c r="E83" s="17">
        <v>1014253947</v>
      </c>
      <c r="F83" s="18">
        <v>737717</v>
      </c>
      <c r="G83" s="17">
        <v>30</v>
      </c>
      <c r="H83" s="18">
        <f t="shared" ref="H83" si="124">F83/30*G83</f>
        <v>737717</v>
      </c>
      <c r="I83" s="18">
        <f t="shared" ref="I83:I84" si="125">+(83140/30)*G83</f>
        <v>83140</v>
      </c>
      <c r="J83" s="18"/>
      <c r="K83" s="18"/>
      <c r="L83" s="18"/>
      <c r="M83" s="18">
        <f t="shared" si="122"/>
        <v>820857</v>
      </c>
      <c r="N83" s="18">
        <f t="shared" ref="N83" si="126">+H83*4%</f>
        <v>29508.68</v>
      </c>
      <c r="O83" s="18">
        <f>+H83*4%</f>
        <v>29508.68</v>
      </c>
      <c r="P83" s="18"/>
      <c r="Q83" s="18"/>
      <c r="R83" s="19"/>
      <c r="S83" s="18"/>
      <c r="T83" s="18"/>
      <c r="U83" s="18"/>
      <c r="V83" s="18">
        <f t="shared" si="123"/>
        <v>59017.36</v>
      </c>
      <c r="W83" s="30">
        <f t="shared" si="118"/>
        <v>761839.64</v>
      </c>
    </row>
    <row r="84" spans="1:23" ht="20.25" customHeight="1" x14ac:dyDescent="0.25">
      <c r="A84" s="29">
        <v>38</v>
      </c>
      <c r="B84" s="15" t="s">
        <v>122</v>
      </c>
      <c r="C84" s="16" t="s">
        <v>141</v>
      </c>
      <c r="D84" s="16" t="s">
        <v>17</v>
      </c>
      <c r="E84" s="17">
        <v>1110542558</v>
      </c>
      <c r="F84" s="18">
        <v>737717</v>
      </c>
      <c r="G84" s="17">
        <v>30</v>
      </c>
      <c r="H84" s="18">
        <f t="shared" si="91"/>
        <v>737717</v>
      </c>
      <c r="I84" s="18">
        <f t="shared" si="125"/>
        <v>83140</v>
      </c>
      <c r="J84" s="18"/>
      <c r="K84" s="18"/>
      <c r="L84" s="18"/>
      <c r="M84" s="18">
        <f t="shared" ref="M84:M85" si="127">SUM(H84:J84)+L84</f>
        <v>820857</v>
      </c>
      <c r="N84" s="18">
        <f t="shared" ref="N84:N85" si="128">+H84*4%</f>
        <v>29508.68</v>
      </c>
      <c r="O84" s="18">
        <f>+H84*4%</f>
        <v>29508.68</v>
      </c>
      <c r="P84" s="18"/>
      <c r="Q84" s="18"/>
      <c r="R84" s="19"/>
      <c r="S84" s="18"/>
      <c r="T84" s="18"/>
      <c r="U84" s="18"/>
      <c r="V84" s="18">
        <f t="shared" ref="V84:V85" si="129">SUM(N84:U84)</f>
        <v>59017.36</v>
      </c>
      <c r="W84" s="30">
        <f t="shared" ref="W84:W85" si="130">+M84-V84</f>
        <v>761839.64</v>
      </c>
    </row>
    <row r="85" spans="1:23" ht="20.25" customHeight="1" x14ac:dyDescent="0.25">
      <c r="A85" s="29">
        <v>39</v>
      </c>
      <c r="B85" s="15" t="s">
        <v>117</v>
      </c>
      <c r="C85" s="16" t="s">
        <v>141</v>
      </c>
      <c r="D85" s="16" t="s">
        <v>17</v>
      </c>
      <c r="E85" s="17">
        <v>52527141</v>
      </c>
      <c r="F85" s="18">
        <v>2500000</v>
      </c>
      <c r="G85" s="17">
        <v>30</v>
      </c>
      <c r="H85" s="18">
        <f t="shared" si="91"/>
        <v>2500000</v>
      </c>
      <c r="I85" s="18"/>
      <c r="J85" s="18"/>
      <c r="K85" s="18"/>
      <c r="L85" s="18"/>
      <c r="M85" s="18">
        <f t="shared" si="127"/>
        <v>2500000</v>
      </c>
      <c r="N85" s="18">
        <f t="shared" si="128"/>
        <v>100000</v>
      </c>
      <c r="O85" s="18">
        <f>+H85*4%</f>
        <v>100000</v>
      </c>
      <c r="P85" s="18">
        <f>35925+36500+95000+107500</f>
        <v>274925</v>
      </c>
      <c r="Q85" s="18"/>
      <c r="R85" s="19"/>
      <c r="S85" s="18"/>
      <c r="T85" s="18"/>
      <c r="U85" s="18"/>
      <c r="V85" s="18">
        <f t="shared" si="129"/>
        <v>474925</v>
      </c>
      <c r="W85" s="30">
        <f t="shared" si="130"/>
        <v>2025075</v>
      </c>
    </row>
    <row r="86" spans="1:23" ht="20.25" customHeight="1" x14ac:dyDescent="0.25">
      <c r="A86" s="29">
        <v>40</v>
      </c>
      <c r="B86" s="15" t="s">
        <v>91</v>
      </c>
      <c r="C86" s="16" t="s">
        <v>141</v>
      </c>
      <c r="D86" s="16" t="s">
        <v>17</v>
      </c>
      <c r="E86" s="17">
        <v>1022387073</v>
      </c>
      <c r="F86" s="18">
        <v>1500000</v>
      </c>
      <c r="G86" s="17">
        <v>30</v>
      </c>
      <c r="H86" s="18">
        <f t="shared" si="91"/>
        <v>1500000</v>
      </c>
      <c r="I86" s="18"/>
      <c r="J86" s="18"/>
      <c r="K86" s="18"/>
      <c r="L86" s="18"/>
      <c r="M86" s="18">
        <f t="shared" ref="M86" si="131">SUM(H86:J86)+L86</f>
        <v>1500000</v>
      </c>
      <c r="N86" s="18">
        <f>+H86*4%</f>
        <v>60000</v>
      </c>
      <c r="O86" s="18">
        <f>+H86*4%</f>
        <v>60000</v>
      </c>
      <c r="P86" s="18"/>
      <c r="Q86" s="18"/>
      <c r="R86" s="19">
        <v>0</v>
      </c>
      <c r="S86" s="18"/>
      <c r="T86" s="18"/>
      <c r="U86" s="18"/>
      <c r="V86" s="18">
        <f t="shared" ref="V86" si="132">SUM(N86:U86)</f>
        <v>120000</v>
      </c>
      <c r="W86" s="30">
        <f t="shared" ref="W86:W87" si="133">+M86-V86</f>
        <v>1380000</v>
      </c>
    </row>
    <row r="87" spans="1:23" ht="20.25" customHeight="1" x14ac:dyDescent="0.25">
      <c r="A87" s="29">
        <v>41</v>
      </c>
      <c r="B87" s="15" t="s">
        <v>110</v>
      </c>
      <c r="C87" s="16" t="s">
        <v>141</v>
      </c>
      <c r="D87" s="16" t="s">
        <v>17</v>
      </c>
      <c r="E87" s="17">
        <v>1015415857</v>
      </c>
      <c r="F87" s="18">
        <v>2000000</v>
      </c>
      <c r="G87" s="17">
        <v>30</v>
      </c>
      <c r="H87" s="18">
        <f t="shared" si="91"/>
        <v>2000000.0000000002</v>
      </c>
      <c r="I87" s="18"/>
      <c r="J87" s="18"/>
      <c r="K87" s="18"/>
      <c r="L87" s="18"/>
      <c r="M87" s="18">
        <f t="shared" ref="M87" si="134">SUM(H87:J87)+L87</f>
        <v>2000000.0000000002</v>
      </c>
      <c r="N87" s="18">
        <f>+H87*4%</f>
        <v>80000.000000000015</v>
      </c>
      <c r="O87" s="18">
        <f>+H87*4%</f>
        <v>80000.000000000015</v>
      </c>
      <c r="P87" s="18">
        <f>93313+36500+137450</f>
        <v>267263</v>
      </c>
      <c r="Q87" s="18"/>
      <c r="R87" s="18">
        <v>0</v>
      </c>
      <c r="S87" s="18"/>
      <c r="T87" s="18"/>
      <c r="U87" s="18"/>
      <c r="V87" s="18">
        <f t="shared" ref="V87" si="135">SUM(N87:U87)</f>
        <v>427263</v>
      </c>
      <c r="W87" s="30">
        <f t="shared" si="133"/>
        <v>1572737.0000000002</v>
      </c>
    </row>
    <row r="88" spans="1:23" ht="20.25" customHeight="1" x14ac:dyDescent="0.25">
      <c r="A88" s="29">
        <v>42</v>
      </c>
      <c r="B88" s="15" t="s">
        <v>121</v>
      </c>
      <c r="C88" s="16" t="s">
        <v>141</v>
      </c>
      <c r="D88" s="16" t="s">
        <v>17</v>
      </c>
      <c r="E88" s="17">
        <v>1013611290</v>
      </c>
      <c r="F88" s="18">
        <v>3500000</v>
      </c>
      <c r="G88" s="17">
        <v>30</v>
      </c>
      <c r="H88" s="18">
        <f t="shared" ref="H88:H89" si="136">F88/30*G88</f>
        <v>3500000</v>
      </c>
      <c r="I88" s="18"/>
      <c r="J88" s="18"/>
      <c r="K88" s="18"/>
      <c r="L88" s="18"/>
      <c r="M88" s="18">
        <f t="shared" ref="M88" si="137">SUM(H88:J88)+L88</f>
        <v>3500000</v>
      </c>
      <c r="N88" s="18">
        <f>+H88*4%</f>
        <v>140000</v>
      </c>
      <c r="O88" s="18">
        <f>+H88*5%</f>
        <v>175000</v>
      </c>
      <c r="P88" s="18">
        <v>135000</v>
      </c>
      <c r="Q88" s="18"/>
      <c r="R88" s="18">
        <v>0</v>
      </c>
      <c r="S88" s="18"/>
      <c r="T88" s="18"/>
      <c r="U88" s="18"/>
      <c r="V88" s="18">
        <f t="shared" ref="V88" si="138">SUM(N88:U88)</f>
        <v>450000</v>
      </c>
      <c r="W88" s="30">
        <f t="shared" ref="W88" si="139">+M88-V88</f>
        <v>3050000</v>
      </c>
    </row>
    <row r="89" spans="1:23" ht="20.25" customHeight="1" x14ac:dyDescent="0.25">
      <c r="A89" s="29">
        <v>43</v>
      </c>
      <c r="B89" s="15" t="s">
        <v>54</v>
      </c>
      <c r="C89" s="16" t="s">
        <v>141</v>
      </c>
      <c r="D89" s="16" t="s">
        <v>17</v>
      </c>
      <c r="E89" s="17">
        <v>1014229394</v>
      </c>
      <c r="F89" s="18">
        <v>2500000</v>
      </c>
      <c r="G89" s="17">
        <v>30</v>
      </c>
      <c r="H89" s="18">
        <f t="shared" si="136"/>
        <v>2500000</v>
      </c>
      <c r="I89" s="18"/>
      <c r="J89" s="18"/>
      <c r="K89" s="18"/>
      <c r="L89" s="18">
        <f>+F89-H89</f>
        <v>0</v>
      </c>
      <c r="M89" s="18">
        <f t="shared" ref="M89:M112" si="140">SUM(H89:J89)+L89</f>
        <v>2500000</v>
      </c>
      <c r="N89" s="18">
        <v>100000</v>
      </c>
      <c r="O89" s="18">
        <v>100000</v>
      </c>
      <c r="P89" s="18"/>
      <c r="Q89" s="18"/>
      <c r="R89" s="18">
        <v>0</v>
      </c>
      <c r="S89" s="18"/>
      <c r="T89" s="18"/>
      <c r="U89" s="18">
        <v>257196</v>
      </c>
      <c r="V89" s="18">
        <f t="shared" si="64"/>
        <v>457196</v>
      </c>
      <c r="W89" s="30">
        <f t="shared" si="118"/>
        <v>2042804</v>
      </c>
    </row>
    <row r="90" spans="1:23" ht="20.25" customHeight="1" x14ac:dyDescent="0.25">
      <c r="A90" s="29">
        <v>44</v>
      </c>
      <c r="B90" s="15" t="s">
        <v>75</v>
      </c>
      <c r="C90" s="16" t="s">
        <v>141</v>
      </c>
      <c r="D90" s="16" t="s">
        <v>17</v>
      </c>
      <c r="E90" s="17">
        <v>1018432859</v>
      </c>
      <c r="F90" s="18">
        <v>4500000</v>
      </c>
      <c r="G90" s="17">
        <v>30</v>
      </c>
      <c r="H90" s="18">
        <f t="shared" si="91"/>
        <v>4500000</v>
      </c>
      <c r="I90" s="18"/>
      <c r="J90" s="18"/>
      <c r="K90" s="18"/>
      <c r="L90" s="18"/>
      <c r="M90" s="18">
        <f t="shared" ref="M90:M91" si="141">SUM(H90:J90)+L90</f>
        <v>4500000</v>
      </c>
      <c r="N90" s="18">
        <v>180000</v>
      </c>
      <c r="O90" s="18">
        <v>225000</v>
      </c>
      <c r="P90" s="18"/>
      <c r="Q90" s="18"/>
      <c r="R90" s="18">
        <v>72000</v>
      </c>
      <c r="S90" s="18"/>
      <c r="T90" s="18"/>
      <c r="U90" s="18">
        <v>610699</v>
      </c>
      <c r="V90" s="18">
        <f t="shared" ref="V90" si="142">SUM(N90:U90)</f>
        <v>1087699</v>
      </c>
      <c r="W90" s="30">
        <f t="shared" ref="W90" si="143">+M90-V90</f>
        <v>3412301</v>
      </c>
    </row>
    <row r="91" spans="1:23" ht="20.25" customHeight="1" x14ac:dyDescent="0.25">
      <c r="A91" s="29">
        <v>45</v>
      </c>
      <c r="B91" s="15" t="s">
        <v>55</v>
      </c>
      <c r="C91" s="16" t="s">
        <v>141</v>
      </c>
      <c r="D91" s="16" t="s">
        <v>17</v>
      </c>
      <c r="E91" s="17">
        <v>1024501945</v>
      </c>
      <c r="F91" s="18">
        <v>4500000</v>
      </c>
      <c r="G91" s="17">
        <v>30</v>
      </c>
      <c r="H91" s="18">
        <f>+F91-L91</f>
        <v>4500000</v>
      </c>
      <c r="I91" s="18"/>
      <c r="J91" s="18"/>
      <c r="K91" s="18"/>
      <c r="L91" s="18"/>
      <c r="M91" s="18">
        <f t="shared" si="141"/>
        <v>4500000</v>
      </c>
      <c r="N91" s="18">
        <f>+M91*4%</f>
        <v>180000</v>
      </c>
      <c r="O91" s="18">
        <f>+M91*5%</f>
        <v>225000</v>
      </c>
      <c r="P91" s="18">
        <v>180000</v>
      </c>
      <c r="Q91" s="18"/>
      <c r="R91" s="18">
        <v>8500</v>
      </c>
      <c r="S91" s="18"/>
      <c r="T91" s="18"/>
      <c r="U91" s="18"/>
      <c r="V91" s="18">
        <f>SUM(N91:U91)</f>
        <v>593500</v>
      </c>
      <c r="W91" s="30">
        <f t="shared" ref="W91:W94" si="144">M91-V91</f>
        <v>3906500</v>
      </c>
    </row>
    <row r="92" spans="1:23" ht="20.25" customHeight="1" x14ac:dyDescent="0.25">
      <c r="A92" s="29">
        <v>46</v>
      </c>
      <c r="B92" s="15" t="s">
        <v>56</v>
      </c>
      <c r="C92" s="16" t="s">
        <v>141</v>
      </c>
      <c r="D92" s="16" t="s">
        <v>17</v>
      </c>
      <c r="E92" s="17">
        <v>1091654089</v>
      </c>
      <c r="F92" s="18">
        <v>3200000</v>
      </c>
      <c r="G92" s="17">
        <v>30</v>
      </c>
      <c r="H92" s="18">
        <f t="shared" si="91"/>
        <v>3200000</v>
      </c>
      <c r="I92" s="18"/>
      <c r="J92" s="18"/>
      <c r="K92" s="18"/>
      <c r="L92" s="18"/>
      <c r="M92" s="18">
        <f t="shared" si="140"/>
        <v>3200000</v>
      </c>
      <c r="N92" s="18">
        <f>+H92*4%</f>
        <v>128000</v>
      </c>
      <c r="O92" s="18">
        <f>+H92*4%</f>
        <v>128000</v>
      </c>
      <c r="P92" s="18">
        <v>36500</v>
      </c>
      <c r="Q92" s="18"/>
      <c r="R92" s="18">
        <v>0</v>
      </c>
      <c r="S92" s="18"/>
      <c r="T92" s="18"/>
      <c r="U92" s="18"/>
      <c r="V92" s="18">
        <f t="shared" si="64"/>
        <v>292500</v>
      </c>
      <c r="W92" s="30">
        <f t="shared" si="144"/>
        <v>2907500</v>
      </c>
    </row>
    <row r="93" spans="1:23" ht="20.25" customHeight="1" x14ac:dyDescent="0.25">
      <c r="A93" s="29">
        <v>47</v>
      </c>
      <c r="B93" s="15" t="s">
        <v>88</v>
      </c>
      <c r="C93" s="16" t="s">
        <v>141</v>
      </c>
      <c r="D93" s="16" t="s">
        <v>17</v>
      </c>
      <c r="E93" s="17">
        <v>1019077896</v>
      </c>
      <c r="F93" s="18">
        <v>1500000</v>
      </c>
      <c r="G93" s="17">
        <v>30</v>
      </c>
      <c r="H93" s="18">
        <f t="shared" si="91"/>
        <v>1500000</v>
      </c>
      <c r="I93" s="18"/>
      <c r="J93" s="18"/>
      <c r="K93" s="18"/>
      <c r="L93" s="18">
        <v>168750</v>
      </c>
      <c r="M93" s="18">
        <f t="shared" ref="M93" si="145">SUM(H93:J93)+L93</f>
        <v>1668750</v>
      </c>
      <c r="N93" s="18">
        <f>+H93*4%</f>
        <v>60000</v>
      </c>
      <c r="O93" s="18">
        <f>+H93*4%</f>
        <v>60000</v>
      </c>
      <c r="P93" s="18"/>
      <c r="Q93" s="18"/>
      <c r="R93" s="18"/>
      <c r="S93" s="18"/>
      <c r="T93" s="18"/>
      <c r="U93" s="18"/>
      <c r="V93" s="18">
        <f t="shared" ref="V93" si="146">SUM(N93:U93)</f>
        <v>120000</v>
      </c>
      <c r="W93" s="30">
        <f t="shared" si="144"/>
        <v>1548750</v>
      </c>
    </row>
    <row r="94" spans="1:23" ht="20.25" customHeight="1" x14ac:dyDescent="0.25">
      <c r="A94" s="29">
        <v>48</v>
      </c>
      <c r="B94" s="20" t="s">
        <v>57</v>
      </c>
      <c r="C94" s="16" t="s">
        <v>141</v>
      </c>
      <c r="D94" s="16" t="s">
        <v>17</v>
      </c>
      <c r="E94" s="18">
        <v>35334477</v>
      </c>
      <c r="F94" s="18">
        <v>737717</v>
      </c>
      <c r="G94" s="17">
        <v>30</v>
      </c>
      <c r="H94" s="18">
        <f t="shared" si="91"/>
        <v>737717</v>
      </c>
      <c r="I94" s="18">
        <v>83140</v>
      </c>
      <c r="J94" s="18"/>
      <c r="K94" s="18"/>
      <c r="L94" s="18">
        <v>99840</v>
      </c>
      <c r="M94" s="18">
        <f t="shared" si="140"/>
        <v>920697</v>
      </c>
      <c r="N94" s="18">
        <v>29509</v>
      </c>
      <c r="O94" s="18">
        <v>29509</v>
      </c>
      <c r="P94" s="18">
        <f>36500+106666</f>
        <v>143166</v>
      </c>
      <c r="Q94" s="18"/>
      <c r="R94" s="18">
        <v>0</v>
      </c>
      <c r="S94" s="18"/>
      <c r="T94" s="18"/>
      <c r="U94" s="18"/>
      <c r="V94" s="18">
        <f t="shared" si="64"/>
        <v>202184</v>
      </c>
      <c r="W94" s="30">
        <f t="shared" si="144"/>
        <v>718513</v>
      </c>
    </row>
    <row r="95" spans="1:23" ht="20.25" customHeight="1" x14ac:dyDescent="0.25">
      <c r="A95" s="29">
        <v>49</v>
      </c>
      <c r="B95" s="20" t="s">
        <v>103</v>
      </c>
      <c r="C95" s="16" t="s">
        <v>141</v>
      </c>
      <c r="D95" s="16" t="s">
        <v>17</v>
      </c>
      <c r="E95" s="18">
        <v>53047193</v>
      </c>
      <c r="F95" s="18">
        <v>5000000</v>
      </c>
      <c r="G95" s="17">
        <v>30</v>
      </c>
      <c r="H95" s="18">
        <f t="shared" si="91"/>
        <v>5000000</v>
      </c>
      <c r="I95" s="18"/>
      <c r="J95" s="18"/>
      <c r="K95" s="18"/>
      <c r="L95" s="18"/>
      <c r="M95" s="18">
        <f t="shared" ref="M95" si="147">SUM(H95:J95)+L95</f>
        <v>5000000</v>
      </c>
      <c r="N95" s="18">
        <f>+H95*4%</f>
        <v>200000</v>
      </c>
      <c r="O95" s="18">
        <f>+H95*5%</f>
        <v>250000</v>
      </c>
      <c r="P95" s="18"/>
      <c r="Q95" s="18"/>
      <c r="R95" s="18">
        <v>102000</v>
      </c>
      <c r="S95" s="18"/>
      <c r="T95" s="18"/>
      <c r="U95" s="18"/>
      <c r="V95" s="18">
        <f t="shared" ref="V95" si="148">SUM(N95:U95)</f>
        <v>552000</v>
      </c>
      <c r="W95" s="30">
        <f t="shared" ref="W95" si="149">M95-V95</f>
        <v>4448000</v>
      </c>
    </row>
    <row r="96" spans="1:23" ht="20.25" customHeight="1" x14ac:dyDescent="0.25">
      <c r="A96" s="29">
        <v>50</v>
      </c>
      <c r="B96" s="20" t="s">
        <v>128</v>
      </c>
      <c r="C96" s="16" t="s">
        <v>141</v>
      </c>
      <c r="D96" s="16" t="s">
        <v>17</v>
      </c>
      <c r="E96" s="18">
        <v>51794602</v>
      </c>
      <c r="F96" s="18">
        <v>737717</v>
      </c>
      <c r="G96" s="17">
        <v>30</v>
      </c>
      <c r="H96" s="18">
        <f t="shared" ref="H96" si="150">F96/30*G96</f>
        <v>737717</v>
      </c>
      <c r="I96" s="18">
        <f t="shared" ref="I96" si="151">+(83140/30)*G96</f>
        <v>83140</v>
      </c>
      <c r="J96" s="18"/>
      <c r="K96" s="18"/>
      <c r="L96" s="18">
        <v>24010</v>
      </c>
      <c r="M96" s="18">
        <f t="shared" ref="M96" si="152">SUM(H96:J96)+L96</f>
        <v>844867</v>
      </c>
      <c r="N96" s="18">
        <f>+H96*4%</f>
        <v>29508.68</v>
      </c>
      <c r="O96" s="18">
        <f>+H96*4%</f>
        <v>29508.68</v>
      </c>
      <c r="P96" s="18"/>
      <c r="Q96" s="18"/>
      <c r="R96" s="18"/>
      <c r="S96" s="18"/>
      <c r="T96" s="18"/>
      <c r="U96" s="18"/>
      <c r="V96" s="18">
        <f t="shared" ref="V96" si="153">SUM(N96:U96)</f>
        <v>59017.36</v>
      </c>
      <c r="W96" s="30">
        <f t="shared" ref="W96" si="154">M96-V96</f>
        <v>785849.64</v>
      </c>
    </row>
    <row r="97" spans="1:23" ht="20.25" customHeight="1" x14ac:dyDescent="0.25">
      <c r="A97" s="29">
        <v>51</v>
      </c>
      <c r="B97" s="15" t="s">
        <v>58</v>
      </c>
      <c r="C97" s="16" t="s">
        <v>141</v>
      </c>
      <c r="D97" s="16" t="s">
        <v>17</v>
      </c>
      <c r="E97" s="17">
        <v>79297381</v>
      </c>
      <c r="F97" s="18">
        <v>15400000</v>
      </c>
      <c r="G97" s="17">
        <v>30</v>
      </c>
      <c r="H97" s="18">
        <f t="shared" si="91"/>
        <v>15400000</v>
      </c>
      <c r="I97" s="18"/>
      <c r="J97" s="18">
        <v>600000</v>
      </c>
      <c r="K97" s="18"/>
      <c r="L97" s="18"/>
      <c r="M97" s="18">
        <f t="shared" si="140"/>
        <v>16000000</v>
      </c>
      <c r="N97" s="18">
        <v>616000</v>
      </c>
      <c r="O97" s="18">
        <f>616000+308000</f>
        <v>924000</v>
      </c>
      <c r="P97" s="18"/>
      <c r="Q97" s="18">
        <v>102400</v>
      </c>
      <c r="R97" s="18">
        <v>916000</v>
      </c>
      <c r="S97" s="18">
        <v>5000000</v>
      </c>
      <c r="T97" s="18"/>
      <c r="U97" s="18">
        <v>2314715</v>
      </c>
      <c r="V97" s="18">
        <f t="shared" si="64"/>
        <v>9873115</v>
      </c>
      <c r="W97" s="30">
        <f>+M97-V97</f>
        <v>6126885</v>
      </c>
    </row>
    <row r="98" spans="1:23" ht="20.25" customHeight="1" x14ac:dyDescent="0.25">
      <c r="A98" s="29">
        <v>52</v>
      </c>
      <c r="B98" s="15" t="s">
        <v>59</v>
      </c>
      <c r="C98" s="16" t="s">
        <v>141</v>
      </c>
      <c r="D98" s="16" t="s">
        <v>17</v>
      </c>
      <c r="E98" s="17">
        <v>1032427441</v>
      </c>
      <c r="F98" s="18">
        <v>4500000</v>
      </c>
      <c r="G98" s="17">
        <v>30</v>
      </c>
      <c r="H98" s="18">
        <f>+F98-L98</f>
        <v>4500000</v>
      </c>
      <c r="I98" s="18"/>
      <c r="J98" s="18">
        <v>0</v>
      </c>
      <c r="K98" s="18"/>
      <c r="L98" s="18">
        <v>0</v>
      </c>
      <c r="M98" s="18">
        <f t="shared" si="140"/>
        <v>4500000</v>
      </c>
      <c r="N98" s="18">
        <v>180000</v>
      </c>
      <c r="O98" s="18">
        <v>225000</v>
      </c>
      <c r="P98" s="18"/>
      <c r="Q98" s="18"/>
      <c r="R98" s="18">
        <v>72000</v>
      </c>
      <c r="S98" s="18"/>
      <c r="T98" s="18"/>
      <c r="U98" s="18">
        <v>1138458</v>
      </c>
      <c r="V98" s="18">
        <f t="shared" si="64"/>
        <v>1615458</v>
      </c>
      <c r="W98" s="30">
        <f>+M98-V98</f>
        <v>2884542</v>
      </c>
    </row>
    <row r="99" spans="1:23" ht="20.25" customHeight="1" x14ac:dyDescent="0.25">
      <c r="A99" s="29">
        <v>53</v>
      </c>
      <c r="B99" s="15" t="s">
        <v>113</v>
      </c>
      <c r="C99" s="16" t="s">
        <v>141</v>
      </c>
      <c r="D99" s="16" t="s">
        <v>17</v>
      </c>
      <c r="E99" s="17">
        <v>1069740015</v>
      </c>
      <c r="F99" s="18">
        <v>1600000</v>
      </c>
      <c r="G99" s="17">
        <v>30</v>
      </c>
      <c r="H99" s="18">
        <f t="shared" si="91"/>
        <v>1600000</v>
      </c>
      <c r="I99" s="18"/>
      <c r="J99" s="18"/>
      <c r="K99" s="18"/>
      <c r="L99" s="18"/>
      <c r="M99" s="18">
        <f t="shared" ref="M99" si="155">SUM(H99:J99)+L99</f>
        <v>1600000</v>
      </c>
      <c r="N99" s="18">
        <f t="shared" ref="N99" si="156">+H99*4%</f>
        <v>64000</v>
      </c>
      <c r="O99" s="18">
        <f>+H99*4%</f>
        <v>64000</v>
      </c>
      <c r="P99" s="18">
        <f>95875+90000</f>
        <v>185875</v>
      </c>
      <c r="Q99" s="18"/>
      <c r="R99" s="18"/>
      <c r="S99" s="18"/>
      <c r="T99" s="18"/>
      <c r="U99" s="18"/>
      <c r="V99" s="18">
        <f t="shared" ref="V99" si="157">SUM(N99:U99)</f>
        <v>313875</v>
      </c>
      <c r="W99" s="30">
        <f>+M99-V99</f>
        <v>1286125</v>
      </c>
    </row>
    <row r="100" spans="1:23" ht="20.25" customHeight="1" x14ac:dyDescent="0.25">
      <c r="A100" s="29">
        <v>54</v>
      </c>
      <c r="B100" s="15" t="s">
        <v>60</v>
      </c>
      <c r="C100" s="16" t="s">
        <v>141</v>
      </c>
      <c r="D100" s="16" t="s">
        <v>17</v>
      </c>
      <c r="E100" s="17">
        <v>1072651147</v>
      </c>
      <c r="F100" s="18">
        <v>2500000</v>
      </c>
      <c r="G100" s="17">
        <v>30</v>
      </c>
      <c r="H100" s="18">
        <f>+F100-L100</f>
        <v>2500000</v>
      </c>
      <c r="I100" s="18"/>
      <c r="J100" s="18"/>
      <c r="K100" s="18"/>
      <c r="L100" s="18">
        <v>0</v>
      </c>
      <c r="M100" s="18">
        <f t="shared" si="140"/>
        <v>2500000</v>
      </c>
      <c r="N100" s="18">
        <v>100000</v>
      </c>
      <c r="O100" s="18">
        <v>100000</v>
      </c>
      <c r="P100" s="18"/>
      <c r="Q100" s="18"/>
      <c r="R100" s="18">
        <v>0</v>
      </c>
      <c r="S100" s="18"/>
      <c r="T100" s="18"/>
      <c r="U100" s="18"/>
      <c r="V100" s="18">
        <f t="shared" si="64"/>
        <v>200000</v>
      </c>
      <c r="W100" s="30">
        <f>+M100-V100</f>
        <v>2300000</v>
      </c>
    </row>
    <row r="101" spans="1:23" ht="20.25" customHeight="1" x14ac:dyDescent="0.25">
      <c r="A101" s="29">
        <v>55</v>
      </c>
      <c r="B101" s="20" t="s">
        <v>61</v>
      </c>
      <c r="C101" s="16" t="s">
        <v>141</v>
      </c>
      <c r="D101" s="16" t="s">
        <v>17</v>
      </c>
      <c r="E101" s="18">
        <v>1030590506</v>
      </c>
      <c r="F101" s="18">
        <v>3000000</v>
      </c>
      <c r="G101" s="17">
        <v>30</v>
      </c>
      <c r="H101" s="18">
        <v>2600000</v>
      </c>
      <c r="I101" s="18"/>
      <c r="J101" s="18">
        <v>270000</v>
      </c>
      <c r="K101" s="18">
        <v>400000</v>
      </c>
      <c r="L101" s="18"/>
      <c r="M101" s="18">
        <f>SUM(H101:K101)+L101</f>
        <v>3270000</v>
      </c>
      <c r="N101" s="18">
        <v>120000</v>
      </c>
      <c r="O101" s="18">
        <v>150000</v>
      </c>
      <c r="P101" s="18"/>
      <c r="Q101" s="18"/>
      <c r="R101" s="18">
        <v>0</v>
      </c>
      <c r="S101" s="18"/>
      <c r="T101" s="18"/>
      <c r="U101" s="18">
        <v>514771</v>
      </c>
      <c r="V101" s="18">
        <f>SUM(N101:U101)</f>
        <v>784771</v>
      </c>
      <c r="W101" s="30">
        <f>M101-V101</f>
        <v>2485229</v>
      </c>
    </row>
    <row r="102" spans="1:23" ht="20.25" customHeight="1" x14ac:dyDescent="0.25">
      <c r="A102" s="29">
        <v>56</v>
      </c>
      <c r="B102" s="20" t="s">
        <v>71</v>
      </c>
      <c r="C102" s="16" t="s">
        <v>141</v>
      </c>
      <c r="D102" s="16" t="s">
        <v>17</v>
      </c>
      <c r="E102" s="18">
        <v>1018436225</v>
      </c>
      <c r="F102" s="18">
        <v>1600000</v>
      </c>
      <c r="G102" s="17">
        <v>30</v>
      </c>
      <c r="H102" s="18">
        <f t="shared" si="91"/>
        <v>1600000</v>
      </c>
      <c r="I102" s="18"/>
      <c r="J102" s="18">
        <v>200000</v>
      </c>
      <c r="K102" s="18"/>
      <c r="L102" s="18"/>
      <c r="M102" s="18">
        <f>SUM(H102:J102)+L102</f>
        <v>1800000</v>
      </c>
      <c r="N102" s="18">
        <f>+H102*4%</f>
        <v>64000</v>
      </c>
      <c r="O102" s="18">
        <f>+H102*4%</f>
        <v>64000</v>
      </c>
      <c r="P102" s="18"/>
      <c r="Q102" s="18"/>
      <c r="R102" s="18"/>
      <c r="S102" s="18"/>
      <c r="T102" s="18"/>
      <c r="U102" s="18"/>
      <c r="V102" s="18">
        <f>SUM(N102:U102)</f>
        <v>128000</v>
      </c>
      <c r="W102" s="30">
        <f>M102-V102</f>
        <v>1672000</v>
      </c>
    </row>
    <row r="103" spans="1:23" ht="20.25" customHeight="1" x14ac:dyDescent="0.25">
      <c r="A103" s="29">
        <v>57</v>
      </c>
      <c r="B103" s="20" t="s">
        <v>104</v>
      </c>
      <c r="C103" s="16" t="s">
        <v>141</v>
      </c>
      <c r="D103" s="16" t="s">
        <v>17</v>
      </c>
      <c r="E103" s="18">
        <v>79488225</v>
      </c>
      <c r="F103" s="18">
        <v>4500000</v>
      </c>
      <c r="G103" s="17">
        <v>30</v>
      </c>
      <c r="H103" s="18">
        <f t="shared" si="91"/>
        <v>4500000</v>
      </c>
      <c r="I103" s="18"/>
      <c r="J103" s="18"/>
      <c r="K103" s="18"/>
      <c r="L103" s="18"/>
      <c r="M103" s="18">
        <f t="shared" ref="M103" si="158">SUM(H103:J103)+L103</f>
        <v>4500000</v>
      </c>
      <c r="N103" s="18">
        <f>+H103*4%</f>
        <v>180000</v>
      </c>
      <c r="O103" s="18">
        <f>+H103*5%</f>
        <v>225000</v>
      </c>
      <c r="P103" s="18"/>
      <c r="Q103" s="18"/>
      <c r="R103" s="18">
        <v>34000</v>
      </c>
      <c r="S103" s="18"/>
      <c r="T103" s="18"/>
      <c r="U103" s="18"/>
      <c r="V103" s="18">
        <f>SUM(N103:U103)</f>
        <v>439000</v>
      </c>
      <c r="W103" s="30">
        <f>M103-V103</f>
        <v>4061000</v>
      </c>
    </row>
    <row r="104" spans="1:23" ht="20.25" customHeight="1" x14ac:dyDescent="0.25">
      <c r="A104" s="29">
        <v>58</v>
      </c>
      <c r="B104" s="15" t="s">
        <v>69</v>
      </c>
      <c r="C104" s="16" t="s">
        <v>141</v>
      </c>
      <c r="D104" s="16" t="s">
        <v>17</v>
      </c>
      <c r="E104" s="17">
        <v>1030565925</v>
      </c>
      <c r="F104" s="18">
        <v>3750000</v>
      </c>
      <c r="G104" s="17">
        <v>30</v>
      </c>
      <c r="H104" s="18">
        <f t="shared" si="91"/>
        <v>3750000</v>
      </c>
      <c r="I104" s="18"/>
      <c r="J104" s="18"/>
      <c r="K104" s="18"/>
      <c r="L104" s="18"/>
      <c r="M104" s="18">
        <f t="shared" si="140"/>
        <v>3750000</v>
      </c>
      <c r="N104" s="18">
        <f>+F104*4%</f>
        <v>150000</v>
      </c>
      <c r="O104" s="18">
        <f>+F104*5%</f>
        <v>187500</v>
      </c>
      <c r="P104" s="18"/>
      <c r="Q104" s="18"/>
      <c r="R104" s="18"/>
      <c r="S104" s="18"/>
      <c r="T104" s="18"/>
      <c r="U104" s="18"/>
      <c r="V104" s="18">
        <f t="shared" si="64"/>
        <v>337500</v>
      </c>
      <c r="W104" s="30">
        <f>+M104-V104</f>
        <v>3412500</v>
      </c>
    </row>
    <row r="105" spans="1:23" ht="20.25" customHeight="1" x14ac:dyDescent="0.25">
      <c r="A105" s="29">
        <v>59</v>
      </c>
      <c r="B105" s="15" t="s">
        <v>76</v>
      </c>
      <c r="C105" s="16" t="s">
        <v>141</v>
      </c>
      <c r="D105" s="16" t="s">
        <v>17</v>
      </c>
      <c r="E105" s="17">
        <v>94332160</v>
      </c>
      <c r="F105" s="18">
        <v>3700000</v>
      </c>
      <c r="G105" s="17">
        <v>30</v>
      </c>
      <c r="H105" s="18">
        <f t="shared" si="91"/>
        <v>3700000</v>
      </c>
      <c r="I105" s="18"/>
      <c r="J105" s="18">
        <v>650000</v>
      </c>
      <c r="K105" s="18"/>
      <c r="L105" s="18"/>
      <c r="M105" s="18">
        <f t="shared" ref="M105" si="159">SUM(H105:J105)+L105</f>
        <v>4350000</v>
      </c>
      <c r="N105" s="18">
        <f t="shared" ref="N105" si="160">+H105*4%</f>
        <v>148000</v>
      </c>
      <c r="O105" s="18">
        <f>+H105*5%</f>
        <v>185000</v>
      </c>
      <c r="P105" s="18"/>
      <c r="Q105" s="18"/>
      <c r="R105" s="18"/>
      <c r="S105" s="18"/>
      <c r="T105" s="18"/>
      <c r="U105" s="18"/>
      <c r="V105" s="18">
        <f t="shared" ref="V105" si="161">SUM(N105:U105)</f>
        <v>333000</v>
      </c>
      <c r="W105" s="30">
        <f>+M105-V105</f>
        <v>4017000</v>
      </c>
    </row>
    <row r="106" spans="1:23" ht="20.25" customHeight="1" x14ac:dyDescent="0.25">
      <c r="A106" s="29">
        <v>60</v>
      </c>
      <c r="B106" s="15" t="s">
        <v>68</v>
      </c>
      <c r="C106" s="16" t="s">
        <v>141</v>
      </c>
      <c r="D106" s="16" t="s">
        <v>17</v>
      </c>
      <c r="E106" s="17">
        <v>1019047592</v>
      </c>
      <c r="F106" s="18">
        <v>2000000</v>
      </c>
      <c r="G106" s="17">
        <v>30</v>
      </c>
      <c r="H106" s="18">
        <f t="shared" si="91"/>
        <v>2000000.0000000002</v>
      </c>
      <c r="I106" s="18"/>
      <c r="J106" s="18"/>
      <c r="K106" s="18"/>
      <c r="L106" s="18"/>
      <c r="M106" s="18">
        <f t="shared" si="140"/>
        <v>2000000.0000000002</v>
      </c>
      <c r="N106" s="18">
        <f>+F106*4%</f>
        <v>80000</v>
      </c>
      <c r="O106" s="18">
        <f>+F106*4%</f>
        <v>80000</v>
      </c>
      <c r="P106" s="18"/>
      <c r="Q106" s="18"/>
      <c r="R106" s="19"/>
      <c r="S106" s="18"/>
      <c r="T106" s="18"/>
      <c r="U106" s="18">
        <v>136805</v>
      </c>
      <c r="V106" s="18">
        <f t="shared" si="64"/>
        <v>296805</v>
      </c>
      <c r="W106" s="30">
        <f>+M106-V106</f>
        <v>1703195.0000000002</v>
      </c>
    </row>
    <row r="107" spans="1:23" ht="20.25" customHeight="1" x14ac:dyDescent="0.25">
      <c r="A107" s="29">
        <v>61</v>
      </c>
      <c r="B107" s="15" t="s">
        <v>119</v>
      </c>
      <c r="C107" s="16" t="s">
        <v>141</v>
      </c>
      <c r="D107" s="16" t="s">
        <v>17</v>
      </c>
      <c r="E107" s="17">
        <v>1030560268</v>
      </c>
      <c r="F107" s="18">
        <v>1500000</v>
      </c>
      <c r="G107" s="17">
        <v>30</v>
      </c>
      <c r="H107" s="18">
        <f t="shared" si="91"/>
        <v>1500000</v>
      </c>
      <c r="I107" s="18"/>
      <c r="J107" s="18"/>
      <c r="K107" s="18"/>
      <c r="L107" s="18"/>
      <c r="M107" s="18">
        <f t="shared" ref="M107" si="162">SUM(H107:J107)+L107</f>
        <v>1500000</v>
      </c>
      <c r="N107" s="18">
        <f>+H107*4%</f>
        <v>60000</v>
      </c>
      <c r="O107" s="18">
        <f>+H107*4%</f>
        <v>60000</v>
      </c>
      <c r="P107" s="18">
        <f>36500+60000</f>
        <v>96500</v>
      </c>
      <c r="Q107" s="18"/>
      <c r="R107" s="19"/>
      <c r="S107" s="18"/>
      <c r="T107" s="18"/>
      <c r="U107" s="18"/>
      <c r="V107" s="18">
        <f t="shared" ref="V107" si="163">SUM(N107:U107)</f>
        <v>216500</v>
      </c>
      <c r="W107" s="30">
        <f>+M107-V107</f>
        <v>1283500</v>
      </c>
    </row>
    <row r="108" spans="1:23" ht="20.25" customHeight="1" x14ac:dyDescent="0.25">
      <c r="A108" s="29">
        <v>62</v>
      </c>
      <c r="B108" s="20" t="s">
        <v>62</v>
      </c>
      <c r="C108" s="16" t="s">
        <v>141</v>
      </c>
      <c r="D108" s="16" t="s">
        <v>17</v>
      </c>
      <c r="E108" s="18">
        <v>1022390411</v>
      </c>
      <c r="F108" s="18">
        <v>1600000</v>
      </c>
      <c r="G108" s="17">
        <v>30</v>
      </c>
      <c r="H108" s="18">
        <f t="shared" si="91"/>
        <v>1600000</v>
      </c>
      <c r="I108" s="18"/>
      <c r="J108" s="18"/>
      <c r="K108" s="18"/>
      <c r="L108" s="18"/>
      <c r="M108" s="18">
        <f t="shared" si="140"/>
        <v>1600000</v>
      </c>
      <c r="N108" s="18">
        <f>+M108*4%</f>
        <v>64000</v>
      </c>
      <c r="O108" s="18">
        <v>64000</v>
      </c>
      <c r="P108" s="18">
        <v>190000</v>
      </c>
      <c r="Q108" s="18">
        <v>250000</v>
      </c>
      <c r="R108" s="18">
        <v>0</v>
      </c>
      <c r="S108" s="18"/>
      <c r="T108" s="18"/>
      <c r="U108" s="18">
        <v>249127</v>
      </c>
      <c r="V108" s="18">
        <f t="shared" si="64"/>
        <v>817127</v>
      </c>
      <c r="W108" s="30">
        <f>M108-V108</f>
        <v>782873</v>
      </c>
    </row>
    <row r="109" spans="1:23" ht="20.25" customHeight="1" x14ac:dyDescent="0.25">
      <c r="A109" s="29">
        <v>63</v>
      </c>
      <c r="B109" s="15" t="s">
        <v>63</v>
      </c>
      <c r="C109" s="16" t="s">
        <v>141</v>
      </c>
      <c r="D109" s="16" t="s">
        <v>17</v>
      </c>
      <c r="E109" s="17">
        <v>1015452282</v>
      </c>
      <c r="F109" s="18">
        <v>737717</v>
      </c>
      <c r="G109" s="17">
        <v>30</v>
      </c>
      <c r="H109" s="18">
        <f t="shared" si="91"/>
        <v>737717</v>
      </c>
      <c r="I109" s="18">
        <f t="shared" ref="I109" si="164">+(83140/30)*G109</f>
        <v>83140</v>
      </c>
      <c r="J109" s="18"/>
      <c r="K109" s="18"/>
      <c r="L109" s="18"/>
      <c r="M109" s="18">
        <f t="shared" si="140"/>
        <v>820857</v>
      </c>
      <c r="N109" s="18">
        <v>29509</v>
      </c>
      <c r="O109" s="18">
        <v>29509</v>
      </c>
      <c r="P109" s="18"/>
      <c r="Q109" s="18"/>
      <c r="R109" s="18">
        <v>0</v>
      </c>
      <c r="S109" s="18"/>
      <c r="T109" s="18"/>
      <c r="U109" s="18"/>
      <c r="V109" s="18">
        <f t="shared" si="64"/>
        <v>59018</v>
      </c>
      <c r="W109" s="30">
        <f t="shared" ref="W109:W114" si="165">+M109-V109</f>
        <v>761839</v>
      </c>
    </row>
    <row r="110" spans="1:23" ht="20.25" customHeight="1" x14ac:dyDescent="0.25">
      <c r="A110" s="29">
        <v>64</v>
      </c>
      <c r="B110" s="15" t="s">
        <v>86</v>
      </c>
      <c r="C110" s="16" t="s">
        <v>141</v>
      </c>
      <c r="D110" s="16" t="s">
        <v>17</v>
      </c>
      <c r="E110" s="17">
        <v>1030605238</v>
      </c>
      <c r="F110" s="18">
        <v>1800000</v>
      </c>
      <c r="G110" s="17">
        <v>30</v>
      </c>
      <c r="H110" s="18">
        <f t="shared" si="91"/>
        <v>1800000</v>
      </c>
      <c r="I110" s="18"/>
      <c r="J110" s="18"/>
      <c r="K110" s="25"/>
      <c r="L110" s="25"/>
      <c r="M110" s="18">
        <f t="shared" ref="M110:M111" si="166">SUM(H110:J110)+L110</f>
        <v>1800000</v>
      </c>
      <c r="N110" s="18">
        <f t="shared" ref="N110" si="167">+H110*4%</f>
        <v>72000</v>
      </c>
      <c r="O110" s="18">
        <f t="shared" ref="O110" si="168">+H110*4%</f>
        <v>72000</v>
      </c>
      <c r="P110" s="18"/>
      <c r="Q110" s="18"/>
      <c r="R110" s="18">
        <v>0</v>
      </c>
      <c r="S110" s="18"/>
      <c r="T110" s="18"/>
      <c r="U110" s="18"/>
      <c r="V110" s="18">
        <f t="shared" ref="V110:V111" si="169">SUM(N110:U110)</f>
        <v>144000</v>
      </c>
      <c r="W110" s="30">
        <f t="shared" si="165"/>
        <v>1656000</v>
      </c>
    </row>
    <row r="111" spans="1:23" ht="20.25" customHeight="1" x14ac:dyDescent="0.25">
      <c r="A111" s="29">
        <v>65</v>
      </c>
      <c r="B111" s="15" t="s">
        <v>131</v>
      </c>
      <c r="C111" s="16" t="s">
        <v>141</v>
      </c>
      <c r="D111" s="16" t="s">
        <v>17</v>
      </c>
      <c r="E111" s="17">
        <v>1019134696</v>
      </c>
      <c r="F111" s="18">
        <v>737717</v>
      </c>
      <c r="G111" s="17">
        <v>30</v>
      </c>
      <c r="H111" s="18">
        <f t="shared" si="91"/>
        <v>737717</v>
      </c>
      <c r="I111" s="18"/>
      <c r="J111" s="18"/>
      <c r="K111" s="25"/>
      <c r="L111" s="25"/>
      <c r="M111" s="18">
        <f t="shared" si="166"/>
        <v>737717</v>
      </c>
      <c r="N111" s="18"/>
      <c r="O111" s="18"/>
      <c r="P111" s="18"/>
      <c r="Q111" s="18"/>
      <c r="R111" s="18"/>
      <c r="S111" s="18"/>
      <c r="T111" s="18"/>
      <c r="U111" s="18"/>
      <c r="V111" s="18">
        <f t="shared" si="169"/>
        <v>0</v>
      </c>
      <c r="W111" s="30">
        <f t="shared" si="165"/>
        <v>737717</v>
      </c>
    </row>
    <row r="112" spans="1:23" ht="20.25" customHeight="1" x14ac:dyDescent="0.25">
      <c r="A112" s="29">
        <v>66</v>
      </c>
      <c r="B112" s="15" t="s">
        <v>64</v>
      </c>
      <c r="C112" s="16" t="s">
        <v>141</v>
      </c>
      <c r="D112" s="16" t="s">
        <v>17</v>
      </c>
      <c r="E112" s="17">
        <v>1013642982</v>
      </c>
      <c r="F112" s="18">
        <v>2000000</v>
      </c>
      <c r="G112" s="17">
        <v>30</v>
      </c>
      <c r="H112" s="18">
        <f t="shared" si="91"/>
        <v>2000000.0000000002</v>
      </c>
      <c r="I112" s="18"/>
      <c r="J112" s="18"/>
      <c r="K112" s="18"/>
      <c r="L112" s="18"/>
      <c r="M112" s="18">
        <f t="shared" si="140"/>
        <v>2000000.0000000002</v>
      </c>
      <c r="N112" s="18">
        <v>80000</v>
      </c>
      <c r="O112" s="18">
        <v>80000</v>
      </c>
      <c r="P112" s="18"/>
      <c r="Q112" s="18"/>
      <c r="R112" s="18"/>
      <c r="S112" s="18"/>
      <c r="T112" s="18"/>
      <c r="U112" s="18"/>
      <c r="V112" s="18">
        <f t="shared" si="64"/>
        <v>160000</v>
      </c>
      <c r="W112" s="30">
        <f t="shared" si="165"/>
        <v>1840000.0000000002</v>
      </c>
    </row>
    <row r="113" spans="1:23" ht="20.25" customHeight="1" x14ac:dyDescent="0.25">
      <c r="A113" s="29">
        <v>67</v>
      </c>
      <c r="B113" s="15" t="s">
        <v>105</v>
      </c>
      <c r="C113" s="16" t="s">
        <v>141</v>
      </c>
      <c r="D113" s="16" t="s">
        <v>17</v>
      </c>
      <c r="E113" s="17">
        <v>1033717686</v>
      </c>
      <c r="F113" s="18">
        <v>1200000</v>
      </c>
      <c r="G113" s="17">
        <v>30</v>
      </c>
      <c r="H113" s="18">
        <f t="shared" si="91"/>
        <v>1200000</v>
      </c>
      <c r="I113" s="18">
        <f t="shared" ref="I113" si="170">+(83140/30)*G113</f>
        <v>83140</v>
      </c>
      <c r="J113" s="18"/>
      <c r="K113" s="26"/>
      <c r="L113" s="26"/>
      <c r="M113" s="18">
        <f t="shared" ref="M113:M114" si="171">SUM(H113:J113)+L113</f>
        <v>1283140</v>
      </c>
      <c r="N113" s="18">
        <f t="shared" ref="N113" si="172">+H113*4%</f>
        <v>48000</v>
      </c>
      <c r="O113" s="18">
        <f t="shared" ref="O113" si="173">+H113*4%</f>
        <v>48000</v>
      </c>
      <c r="P113" s="18"/>
      <c r="Q113" s="18"/>
      <c r="R113" s="18">
        <v>0</v>
      </c>
      <c r="S113" s="18"/>
      <c r="T113" s="18"/>
      <c r="U113" s="18"/>
      <c r="V113" s="18">
        <f t="shared" ref="V113:V114" si="174">SUM(N113:U113)</f>
        <v>96000</v>
      </c>
      <c r="W113" s="30">
        <f t="shared" si="165"/>
        <v>1187140</v>
      </c>
    </row>
    <row r="114" spans="1:23" ht="20.25" customHeight="1" x14ac:dyDescent="0.25">
      <c r="A114" s="29">
        <v>68</v>
      </c>
      <c r="B114" s="15" t="s">
        <v>114</v>
      </c>
      <c r="C114" s="16" t="s">
        <v>141</v>
      </c>
      <c r="D114" s="16" t="s">
        <v>140</v>
      </c>
      <c r="E114" s="17">
        <v>1024585266</v>
      </c>
      <c r="F114" s="18">
        <v>368859</v>
      </c>
      <c r="G114" s="17">
        <v>30</v>
      </c>
      <c r="H114" s="18">
        <f t="shared" si="91"/>
        <v>368859</v>
      </c>
      <c r="I114" s="18"/>
      <c r="J114" s="18"/>
      <c r="K114" s="26"/>
      <c r="L114" s="26"/>
      <c r="M114" s="18">
        <f t="shared" si="171"/>
        <v>368859</v>
      </c>
      <c r="N114" s="18"/>
      <c r="O114" s="18"/>
      <c r="P114" s="18"/>
      <c r="Q114" s="18"/>
      <c r="R114" s="18"/>
      <c r="S114" s="18"/>
      <c r="T114" s="18"/>
      <c r="U114" s="18"/>
      <c r="V114" s="18">
        <f t="shared" si="174"/>
        <v>0</v>
      </c>
      <c r="W114" s="30">
        <f t="shared" si="165"/>
        <v>368859</v>
      </c>
    </row>
    <row r="115" spans="1:23" ht="20.25" customHeight="1" thickBot="1" x14ac:dyDescent="0.3">
      <c r="A115" s="40">
        <v>69</v>
      </c>
      <c r="B115" s="41" t="s">
        <v>129</v>
      </c>
      <c r="C115" s="42" t="s">
        <v>141</v>
      </c>
      <c r="D115" s="42" t="s">
        <v>17</v>
      </c>
      <c r="E115" s="43">
        <v>1013644029</v>
      </c>
      <c r="F115" s="26">
        <v>1200000</v>
      </c>
      <c r="G115" s="43">
        <v>30</v>
      </c>
      <c r="H115" s="26">
        <f t="shared" ref="H115" si="175">F115/30*G115</f>
        <v>1200000</v>
      </c>
      <c r="I115" s="26">
        <f t="shared" ref="I115" si="176">+(83140/30)*G115</f>
        <v>83140</v>
      </c>
      <c r="J115" s="26"/>
      <c r="K115" s="26"/>
      <c r="L115" s="26"/>
      <c r="M115" s="26">
        <f t="shared" ref="M115" si="177">SUM(H115:J115)+L115</f>
        <v>1283140</v>
      </c>
      <c r="N115" s="26">
        <f>+H115*4%</f>
        <v>48000</v>
      </c>
      <c r="O115" s="26">
        <f t="shared" ref="O115" si="178">+H115*4%</f>
        <v>48000</v>
      </c>
      <c r="P115" s="26">
        <v>73000</v>
      </c>
      <c r="Q115" s="26"/>
      <c r="R115" s="26">
        <v>0</v>
      </c>
      <c r="S115" s="26"/>
      <c r="T115" s="26"/>
      <c r="U115" s="26"/>
      <c r="V115" s="26">
        <f t="shared" ref="V115" si="179">SUM(N115:U115)</f>
        <v>169000</v>
      </c>
      <c r="W115" s="44">
        <f t="shared" ref="W115" si="180">+M115-V115</f>
        <v>1114140</v>
      </c>
    </row>
    <row r="116" spans="1:23" ht="20.25" customHeight="1" thickBot="1" x14ac:dyDescent="0.3">
      <c r="A116" s="56" t="s">
        <v>144</v>
      </c>
      <c r="B116" s="57"/>
      <c r="C116" s="57"/>
      <c r="D116" s="57"/>
      <c r="E116" s="57"/>
      <c r="F116" s="57"/>
      <c r="G116" s="58"/>
      <c r="H116" s="45">
        <f>SUM(H4:H115)</f>
        <v>376964367</v>
      </c>
      <c r="I116" s="45">
        <f t="shared" ref="I116:V116" si="181">SUM(I4:I114)</f>
        <v>1407837</v>
      </c>
      <c r="J116" s="45">
        <f>SUM(J4:J114)</f>
        <v>13266487</v>
      </c>
      <c r="K116" s="45">
        <f>SUM(K4:K114)</f>
        <v>2308048</v>
      </c>
      <c r="L116" s="45">
        <f>SUM(L4:L114)</f>
        <v>9600618</v>
      </c>
      <c r="M116" s="45">
        <f t="shared" si="181"/>
        <v>400751809</v>
      </c>
      <c r="N116" s="45">
        <f t="shared" si="181"/>
        <v>15273438.479999999</v>
      </c>
      <c r="O116" s="45">
        <f t="shared" si="181"/>
        <v>18592581.169999998</v>
      </c>
      <c r="P116" s="45">
        <f t="shared" si="181"/>
        <v>3865596</v>
      </c>
      <c r="Q116" s="45">
        <f t="shared" si="181"/>
        <v>352400</v>
      </c>
      <c r="R116" s="45">
        <f t="shared" si="181"/>
        <v>4576621</v>
      </c>
      <c r="S116" s="45">
        <f t="shared" si="181"/>
        <v>15165000</v>
      </c>
      <c r="T116" s="45">
        <f t="shared" si="181"/>
        <v>1069191</v>
      </c>
      <c r="U116" s="45">
        <f t="shared" si="181"/>
        <v>15207122</v>
      </c>
      <c r="V116" s="45">
        <f t="shared" si="181"/>
        <v>74101949.650000006</v>
      </c>
      <c r="W116" s="46">
        <f>SUM(W4:W115)</f>
        <v>327763999.3499999</v>
      </c>
    </row>
    <row r="117" spans="1:23" ht="12.75" thickBot="1" x14ac:dyDescent="0.3">
      <c r="W117" s="2"/>
    </row>
    <row r="118" spans="1:23" x14ac:dyDescent="0.25">
      <c r="A118" s="50" t="s">
        <v>150</v>
      </c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2"/>
    </row>
    <row r="119" spans="1:23" x14ac:dyDescent="0.25">
      <c r="A119" s="53" t="s">
        <v>1</v>
      </c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5"/>
      <c r="N119" s="48" t="s">
        <v>2</v>
      </c>
      <c r="O119" s="48"/>
      <c r="P119" s="48"/>
      <c r="Q119" s="48"/>
      <c r="R119" s="48"/>
      <c r="S119" s="48"/>
      <c r="T119" s="48"/>
      <c r="U119" s="48"/>
      <c r="V119" s="48"/>
      <c r="W119" s="28"/>
    </row>
    <row r="120" spans="1:23" ht="36.75" thickBot="1" x14ac:dyDescent="0.3">
      <c r="A120" s="36" t="s">
        <v>3</v>
      </c>
      <c r="B120" s="37" t="s">
        <v>4</v>
      </c>
      <c r="C120" s="37" t="s">
        <v>5</v>
      </c>
      <c r="D120" s="37" t="s">
        <v>6</v>
      </c>
      <c r="E120" s="37" t="s">
        <v>7</v>
      </c>
      <c r="F120" s="38" t="s">
        <v>8</v>
      </c>
      <c r="G120" s="38" t="s">
        <v>9</v>
      </c>
      <c r="H120" s="38" t="s">
        <v>10</v>
      </c>
      <c r="I120" s="38" t="s">
        <v>146</v>
      </c>
      <c r="J120" s="38" t="s">
        <v>147</v>
      </c>
      <c r="K120" s="38" t="s">
        <v>148</v>
      </c>
      <c r="L120" s="38" t="s">
        <v>149</v>
      </c>
      <c r="M120" s="38" t="s">
        <v>136</v>
      </c>
      <c r="N120" s="38" t="s">
        <v>137</v>
      </c>
      <c r="O120" s="38" t="s">
        <v>70</v>
      </c>
      <c r="P120" s="38" t="s">
        <v>139</v>
      </c>
      <c r="Q120" s="38" t="s">
        <v>138</v>
      </c>
      <c r="R120" s="38" t="s">
        <v>11</v>
      </c>
      <c r="S120" s="38" t="s">
        <v>12</v>
      </c>
      <c r="T120" s="38" t="s">
        <v>65</v>
      </c>
      <c r="U120" s="38" t="s">
        <v>13</v>
      </c>
      <c r="V120" s="38" t="s">
        <v>14</v>
      </c>
      <c r="W120" s="39" t="s">
        <v>15</v>
      </c>
    </row>
    <row r="121" spans="1:23" x14ac:dyDescent="0.25">
      <c r="A121" s="1">
        <v>1</v>
      </c>
      <c r="B121" s="41" t="s">
        <v>145</v>
      </c>
      <c r="C121" s="42" t="s">
        <v>141</v>
      </c>
      <c r="D121" s="42" t="s">
        <v>17</v>
      </c>
      <c r="E121" s="43">
        <v>1030522036</v>
      </c>
      <c r="F121" s="26">
        <v>1500000</v>
      </c>
      <c r="G121" s="43">
        <v>13</v>
      </c>
      <c r="H121" s="26">
        <f>+((F121/30)*G121)</f>
        <v>650000</v>
      </c>
      <c r="I121" s="26">
        <v>166667</v>
      </c>
      <c r="J121" s="26">
        <v>333333</v>
      </c>
      <c r="K121" s="26">
        <v>8889</v>
      </c>
      <c r="L121" s="26">
        <v>170833</v>
      </c>
      <c r="M121" s="26">
        <f>SUM(H121:L121)</f>
        <v>1329722</v>
      </c>
      <c r="N121" s="26">
        <v>26000</v>
      </c>
      <c r="O121" s="26">
        <v>26000</v>
      </c>
      <c r="P121" s="26">
        <v>36500</v>
      </c>
      <c r="Q121" s="26">
        <v>0</v>
      </c>
      <c r="R121" s="26">
        <v>0</v>
      </c>
      <c r="S121" s="26">
        <v>0</v>
      </c>
      <c r="T121" s="26">
        <v>0</v>
      </c>
      <c r="U121" s="26">
        <v>0</v>
      </c>
      <c r="V121" s="26">
        <f>+N121+O121+P121+Q121+R121+S121+T121+U121</f>
        <v>88500</v>
      </c>
      <c r="W121" s="44">
        <f>+M121-V121</f>
        <v>1241222</v>
      </c>
    </row>
    <row r="122" spans="1:23" ht="12.75" thickBot="1" x14ac:dyDescent="0.3">
      <c r="A122" s="1">
        <v>2</v>
      </c>
      <c r="B122" s="41" t="s">
        <v>151</v>
      </c>
      <c r="C122" s="42" t="s">
        <v>141</v>
      </c>
      <c r="D122" s="42" t="s">
        <v>17</v>
      </c>
      <c r="E122" s="43">
        <v>492108</v>
      </c>
      <c r="F122" s="26">
        <v>4400000</v>
      </c>
      <c r="G122" s="43">
        <v>27</v>
      </c>
      <c r="H122" s="26">
        <f>+((F122/30)*G122)</f>
        <v>3959999.9999999995</v>
      </c>
      <c r="I122" s="26">
        <v>2420000</v>
      </c>
      <c r="J122" s="26">
        <v>2872222</v>
      </c>
      <c r="K122" s="26">
        <v>224991</v>
      </c>
      <c r="L122" s="26">
        <v>672222</v>
      </c>
      <c r="M122" s="26">
        <f>SUM(H122:L122)</f>
        <v>10149435</v>
      </c>
      <c r="N122" s="26">
        <v>158400</v>
      </c>
      <c r="O122" s="26">
        <f>158400+39600</f>
        <v>198000</v>
      </c>
      <c r="P122" s="26">
        <f>36500+345000</f>
        <v>381500</v>
      </c>
      <c r="Q122" s="26">
        <v>0</v>
      </c>
      <c r="R122" s="26">
        <v>0</v>
      </c>
      <c r="S122" s="26">
        <v>0</v>
      </c>
      <c r="T122" s="26">
        <v>0</v>
      </c>
      <c r="U122" s="26">
        <v>0</v>
      </c>
      <c r="V122" s="26">
        <f>+N122+O122+P122+Q122+R122+S122+T122+U122</f>
        <v>737900</v>
      </c>
      <c r="W122" s="44">
        <f>+M122-V122</f>
        <v>9411535</v>
      </c>
    </row>
    <row r="123" spans="1:23" ht="20.25" customHeight="1" thickBot="1" x14ac:dyDescent="0.3">
      <c r="A123" s="56" t="s">
        <v>144</v>
      </c>
      <c r="B123" s="57"/>
      <c r="C123" s="57"/>
      <c r="D123" s="57"/>
      <c r="E123" s="57"/>
      <c r="F123" s="57"/>
      <c r="G123" s="58"/>
      <c r="H123" s="45">
        <f>SUM(H121:H122)</f>
        <v>4610000</v>
      </c>
      <c r="I123" s="45">
        <f>SUM(I121:I122)</f>
        <v>2586667</v>
      </c>
      <c r="J123" s="45">
        <f t="shared" ref="J123:W123" si="182">SUM(J121:J122)</f>
        <v>3205555</v>
      </c>
      <c r="K123" s="45">
        <f t="shared" si="182"/>
        <v>233880</v>
      </c>
      <c r="L123" s="45">
        <f t="shared" si="182"/>
        <v>843055</v>
      </c>
      <c r="M123" s="45">
        <f t="shared" si="182"/>
        <v>11479157</v>
      </c>
      <c r="N123" s="45">
        <f t="shared" si="182"/>
        <v>184400</v>
      </c>
      <c r="O123" s="45">
        <f t="shared" si="182"/>
        <v>224000</v>
      </c>
      <c r="P123" s="45">
        <f t="shared" si="182"/>
        <v>418000</v>
      </c>
      <c r="Q123" s="45">
        <f t="shared" si="182"/>
        <v>0</v>
      </c>
      <c r="R123" s="45">
        <f t="shared" si="182"/>
        <v>0</v>
      </c>
      <c r="S123" s="45">
        <f t="shared" si="182"/>
        <v>0</v>
      </c>
      <c r="T123" s="45">
        <f t="shared" si="182"/>
        <v>0</v>
      </c>
      <c r="U123" s="45">
        <f t="shared" si="182"/>
        <v>0</v>
      </c>
      <c r="V123" s="45">
        <f t="shared" si="182"/>
        <v>826400</v>
      </c>
      <c r="W123" s="45">
        <f t="shared" si="182"/>
        <v>10652757</v>
      </c>
    </row>
    <row r="125" spans="1:23" x14ac:dyDescent="0.25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spans="1:23" x14ac:dyDescent="0.25">
      <c r="A126" s="6"/>
      <c r="C126" s="13"/>
      <c r="D126" s="13"/>
      <c r="E126" s="13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13"/>
    </row>
    <row r="127" spans="1:23" x14ac:dyDescent="0.25">
      <c r="H127" s="8"/>
      <c r="P127" s="9"/>
      <c r="Q127" s="9"/>
      <c r="R127" s="9"/>
      <c r="S127" s="9"/>
      <c r="T127" s="9"/>
    </row>
    <row r="128" spans="1:23" x14ac:dyDescent="0.25">
      <c r="B128" s="10"/>
      <c r="C128" s="13"/>
      <c r="D128" s="13"/>
      <c r="E128" s="13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13"/>
    </row>
    <row r="129" spans="1:23" x14ac:dyDescent="0.25">
      <c r="A129" s="13"/>
      <c r="B129" s="10"/>
      <c r="C129" s="13"/>
      <c r="D129" s="13"/>
      <c r="E129" s="13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13"/>
    </row>
    <row r="130" spans="1:23" x14ac:dyDescent="0.25">
      <c r="B130" s="10"/>
      <c r="C130" s="13"/>
      <c r="D130" s="13"/>
      <c r="E130" s="7"/>
      <c r="W130" s="2"/>
    </row>
    <row r="131" spans="1:23" x14ac:dyDescent="0.25">
      <c r="B131" s="10"/>
      <c r="C131" s="13"/>
      <c r="D131" s="13"/>
      <c r="E131" s="7"/>
      <c r="W131" s="2"/>
    </row>
    <row r="132" spans="1:23" x14ac:dyDescent="0.25">
      <c r="B132" s="10"/>
      <c r="C132" s="13"/>
      <c r="D132" s="13"/>
      <c r="E132" s="7"/>
      <c r="W132" s="2"/>
    </row>
    <row r="133" spans="1:23" x14ac:dyDescent="0.25">
      <c r="B133" s="10"/>
      <c r="C133" s="13"/>
      <c r="D133" s="13"/>
      <c r="E133" s="7"/>
      <c r="W133" s="2"/>
    </row>
    <row r="134" spans="1:23" x14ac:dyDescent="0.25">
      <c r="B134" s="10"/>
      <c r="C134" s="13"/>
      <c r="D134" s="13"/>
      <c r="E134" s="7"/>
      <c r="W134" s="2"/>
    </row>
    <row r="135" spans="1:23" x14ac:dyDescent="0.25">
      <c r="B135" s="10"/>
      <c r="C135" s="13"/>
      <c r="D135" s="13"/>
      <c r="E135" s="7"/>
      <c r="W135" s="2"/>
    </row>
    <row r="136" spans="1:23" x14ac:dyDescent="0.25">
      <c r="W136" s="2"/>
    </row>
    <row r="137" spans="1:23" x14ac:dyDescent="0.25">
      <c r="B137" s="10"/>
      <c r="W137" s="2"/>
    </row>
    <row r="138" spans="1:23" x14ac:dyDescent="0.25">
      <c r="B138" s="10"/>
      <c r="W138" s="2"/>
    </row>
    <row r="139" spans="1:23" x14ac:dyDescent="0.25">
      <c r="B139" s="10"/>
      <c r="W139" s="2"/>
    </row>
    <row r="140" spans="1:23" x14ac:dyDescent="0.25">
      <c r="B140" s="10"/>
      <c r="W140" s="2"/>
    </row>
    <row r="141" spans="1:23" x14ac:dyDescent="0.25">
      <c r="B141" s="10"/>
      <c r="W141" s="2"/>
    </row>
    <row r="142" spans="1:23" x14ac:dyDescent="0.25">
      <c r="B142" s="10"/>
      <c r="W142" s="2"/>
    </row>
    <row r="143" spans="1:23" x14ac:dyDescent="0.25">
      <c r="B143" s="10"/>
      <c r="W143" s="2"/>
    </row>
    <row r="144" spans="1:23" x14ac:dyDescent="0.25">
      <c r="B144" s="10"/>
      <c r="W144" s="2"/>
    </row>
    <row r="145" spans="1:23" x14ac:dyDescent="0.25">
      <c r="B145" s="10"/>
      <c r="W145" s="2"/>
    </row>
    <row r="146" spans="1:23" x14ac:dyDescent="0.25">
      <c r="B146" s="10"/>
      <c r="W146" s="2"/>
    </row>
    <row r="147" spans="1:23" x14ac:dyDescent="0.25">
      <c r="B147" s="10"/>
      <c r="W147" s="2"/>
    </row>
    <row r="149" spans="1:23" x14ac:dyDescent="0.25"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1"/>
    </row>
    <row r="150" spans="1:23" x14ac:dyDescent="0.25"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</row>
    <row r="151" spans="1:23" x14ac:dyDescent="0.25">
      <c r="E151" s="13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13"/>
    </row>
    <row r="152" spans="1:23" x14ac:dyDescent="0.25">
      <c r="B152" s="10"/>
      <c r="C152" s="13"/>
      <c r="D152" s="13"/>
      <c r="E152" s="13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13"/>
    </row>
    <row r="153" spans="1:23" x14ac:dyDescent="0.25">
      <c r="A153" s="11"/>
      <c r="B153" s="10"/>
      <c r="C153" s="13"/>
      <c r="D153" s="13"/>
      <c r="E153" s="13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13"/>
    </row>
    <row r="154" spans="1:23" x14ac:dyDescent="0.25">
      <c r="B154" s="10"/>
      <c r="C154" s="13"/>
      <c r="D154" s="13"/>
      <c r="E154" s="7"/>
      <c r="W154" s="2"/>
    </row>
    <row r="155" spans="1:23" x14ac:dyDescent="0.25">
      <c r="B155" s="10"/>
      <c r="C155" s="13"/>
      <c r="D155" s="13"/>
      <c r="E155" s="7"/>
      <c r="W155" s="2"/>
    </row>
    <row r="156" spans="1:23" x14ac:dyDescent="0.25">
      <c r="B156" s="10"/>
      <c r="C156" s="13"/>
      <c r="D156" s="13"/>
      <c r="E156" s="7"/>
      <c r="W156" s="2"/>
    </row>
    <row r="157" spans="1:23" x14ac:dyDescent="0.25">
      <c r="W157" s="2"/>
    </row>
    <row r="158" spans="1:23" x14ac:dyDescent="0.25">
      <c r="B158" s="10"/>
      <c r="W158" s="2"/>
    </row>
    <row r="160" spans="1:23" x14ac:dyDescent="0.25">
      <c r="W160" s="2"/>
    </row>
    <row r="163" spans="2:23" x14ac:dyDescent="0.25">
      <c r="W163" s="12"/>
    </row>
    <row r="172" spans="2:23" x14ac:dyDescent="0.25">
      <c r="N172" s="4">
        <v>3003000</v>
      </c>
    </row>
    <row r="173" spans="2:23" x14ac:dyDescent="0.25">
      <c r="B173" s="10"/>
    </row>
    <row r="174" spans="2:23" x14ac:dyDescent="0.25">
      <c r="B174" s="10"/>
    </row>
    <row r="175" spans="2:23" x14ac:dyDescent="0.25">
      <c r="B175" s="10"/>
    </row>
    <row r="176" spans="2:23" x14ac:dyDescent="0.25">
      <c r="B176" s="10"/>
    </row>
    <row r="177" spans="2:22" x14ac:dyDescent="0.25">
      <c r="B177" s="3">
        <v>42614840</v>
      </c>
      <c r="V177" s="4">
        <v>412608</v>
      </c>
    </row>
    <row r="178" spans="2:22" x14ac:dyDescent="0.25">
      <c r="B178" s="3">
        <v>9675182</v>
      </c>
      <c r="V178" s="4">
        <v>1880000</v>
      </c>
    </row>
    <row r="179" spans="2:22" x14ac:dyDescent="0.25">
      <c r="B179" s="3">
        <v>17903600</v>
      </c>
    </row>
    <row r="180" spans="2:22" x14ac:dyDescent="0.25">
      <c r="B180" s="3">
        <f>SUM(B177:B179)</f>
        <v>70193622</v>
      </c>
    </row>
    <row r="181" spans="2:22" x14ac:dyDescent="0.25">
      <c r="B181" s="3">
        <v>400000</v>
      </c>
    </row>
    <row r="182" spans="2:22" x14ac:dyDescent="0.25">
      <c r="B182" s="3">
        <f>+B180+B181</f>
        <v>70593622</v>
      </c>
    </row>
    <row r="185" spans="2:22" x14ac:dyDescent="0.25">
      <c r="B185" s="3">
        <v>64000000</v>
      </c>
    </row>
    <row r="186" spans="2:22" x14ac:dyDescent="0.25">
      <c r="B186" s="3">
        <v>11000000</v>
      </c>
    </row>
    <row r="187" spans="2:22" x14ac:dyDescent="0.25">
      <c r="B187" s="3">
        <f>+B185+B186</f>
        <v>75000000</v>
      </c>
    </row>
    <row r="191" spans="2:22" x14ac:dyDescent="0.25">
      <c r="B191" s="3">
        <v>2745000</v>
      </c>
    </row>
    <row r="192" spans="2:22" x14ac:dyDescent="0.25">
      <c r="B192" s="3">
        <v>3185000</v>
      </c>
    </row>
    <row r="193" spans="2:2" x14ac:dyDescent="0.25">
      <c r="B193" s="3">
        <v>1080000</v>
      </c>
    </row>
    <row r="194" spans="2:2" x14ac:dyDescent="0.25">
      <c r="B194" s="3">
        <v>4850100</v>
      </c>
    </row>
    <row r="195" spans="2:2" x14ac:dyDescent="0.25">
      <c r="B195" s="3">
        <v>5027500</v>
      </c>
    </row>
    <row r="196" spans="2:2" x14ac:dyDescent="0.25">
      <c r="B196" s="3">
        <v>4566000</v>
      </c>
    </row>
    <row r="197" spans="2:2" x14ac:dyDescent="0.25">
      <c r="B197" s="3">
        <v>1050000</v>
      </c>
    </row>
    <row r="198" spans="2:2" x14ac:dyDescent="0.25">
      <c r="B198" s="3">
        <v>3877333</v>
      </c>
    </row>
    <row r="199" spans="2:2" x14ac:dyDescent="0.25">
      <c r="B199" s="3">
        <v>6732440</v>
      </c>
    </row>
    <row r="200" spans="2:2" x14ac:dyDescent="0.25">
      <c r="B200" s="3">
        <v>3460000</v>
      </c>
    </row>
    <row r="201" spans="2:2" x14ac:dyDescent="0.25">
      <c r="B201" s="3">
        <v>588800</v>
      </c>
    </row>
    <row r="202" spans="2:2" x14ac:dyDescent="0.25">
      <c r="B202" s="3">
        <v>1868000</v>
      </c>
    </row>
    <row r="203" spans="2:2" x14ac:dyDescent="0.25">
      <c r="B203" s="3">
        <v>10313000</v>
      </c>
    </row>
    <row r="204" spans="2:2" x14ac:dyDescent="0.25">
      <c r="B204" s="3">
        <v>3443800</v>
      </c>
    </row>
    <row r="205" spans="2:2" x14ac:dyDescent="0.25">
      <c r="B205" s="3">
        <v>8136400</v>
      </c>
    </row>
    <row r="206" spans="2:2" x14ac:dyDescent="0.25">
      <c r="B206" s="3">
        <v>9675183</v>
      </c>
    </row>
    <row r="207" spans="2:2" x14ac:dyDescent="0.25">
      <c r="B207" s="3">
        <f>SUM(B191:B206)</f>
        <v>70598556</v>
      </c>
    </row>
  </sheetData>
  <mergeCells count="10">
    <mergeCell ref="C150:W150"/>
    <mergeCell ref="N2:V2"/>
    <mergeCell ref="F149:S149"/>
    <mergeCell ref="A1:W1"/>
    <mergeCell ref="A2:M2"/>
    <mergeCell ref="A116:G116"/>
    <mergeCell ref="A118:W118"/>
    <mergeCell ref="A119:M119"/>
    <mergeCell ref="N119:V119"/>
    <mergeCell ref="A123:G123"/>
  </mergeCells>
  <pageMargins left="0.7" right="0.7" top="0.75" bottom="0.75" header="0.3" footer="0.3"/>
  <pageSetup scale="36" fitToHeight="0" orientation="landscape" r:id="rId1"/>
  <ignoredErrors>
    <ignoredError sqref="M4:M6 M8" formulaRange="1"/>
    <ignoredError sqref="H29 M56:M57 M52 M50 M105 V105 V90 W51 W33 W19 W108 M21 M110 M17 N31:O33 N39:O39 M40 H30:H33 V7 V17 N35:O35 N40:O43 M26:N26 H22 H24 H42 H44 H46 H58 H73 H91 H6 M112" formula="1"/>
  </ignoredError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heets xmlns="https://www.miplanilla.com"/>
</file>

<file path=customXml/itemProps1.xml><?xml version="1.0" encoding="utf-8"?>
<ds:datastoreItem xmlns:ds="http://schemas.openxmlformats.org/officeDocument/2006/customXml" ds:itemID="{3EDA0827-4A94-4DCA-B357-82ECE4CAD40F}">
  <ds:schemaRefs>
    <ds:schemaRef ds:uri="https://www.miplanilla.com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NOMINA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Exsis</dc:creator>
  <cp:lastModifiedBy>Maira Claro</cp:lastModifiedBy>
  <cp:lastPrinted>2019-03-22T18:09:43Z</cp:lastPrinted>
  <dcterms:created xsi:type="dcterms:W3CDTF">2015-11-25T17:50:40Z</dcterms:created>
  <dcterms:modified xsi:type="dcterms:W3CDTF">2019-03-22T19:23:49Z</dcterms:modified>
</cp:coreProperties>
</file>