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ra Claro\Documents\Maira bakup\MAIRA EXSIS\COREBI\"/>
    </mc:Choice>
  </mc:AlternateContent>
  <xr:revisionPtr revIDLastSave="0" documentId="13_ncr:1_{E6AA726C-4A9E-418C-B443-847369A41005}" xr6:coauthVersionLast="46" xr6:coauthVersionMax="46" xr10:uidLastSave="{00000000-0000-0000-0000-000000000000}"/>
  <bookViews>
    <workbookView xWindow="-120" yWindow="-120" windowWidth="20730" windowHeight="11160" xr2:uid="{4A86970D-E40B-4E51-B1EF-0524B9E8A0D7}"/>
  </bookViews>
  <sheets>
    <sheet name="Hoja1" sheetId="1" r:id="rId1"/>
    <sheet name="RF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F16" i="1"/>
  <c r="F15" i="1"/>
  <c r="P15" i="1" s="1"/>
  <c r="L9" i="1"/>
  <c r="C16" i="1"/>
  <c r="Q16" i="1" s="1"/>
  <c r="C15" i="1"/>
  <c r="Q15" i="1" s="1"/>
  <c r="Q14" i="1"/>
  <c r="L14" i="1"/>
  <c r="K14" i="1"/>
  <c r="J14" i="1"/>
  <c r="I14" i="1"/>
  <c r="H14" i="1"/>
  <c r="G14" i="1"/>
  <c r="I18" i="1"/>
  <c r="Q18" i="1"/>
  <c r="Q17" i="1"/>
  <c r="D4" i="1"/>
  <c r="C10" i="1" s="1"/>
  <c r="F18" i="1"/>
  <c r="O18" i="1"/>
  <c r="N18" i="1"/>
  <c r="L18" i="1"/>
  <c r="K18" i="1"/>
  <c r="J18" i="1"/>
  <c r="M18" i="1"/>
  <c r="H18" i="1"/>
  <c r="L17" i="1"/>
  <c r="K17" i="1"/>
  <c r="I17" i="1"/>
  <c r="J17" i="1"/>
  <c r="M17" i="1"/>
  <c r="H17" i="1"/>
  <c r="G18" i="1"/>
  <c r="G9" i="1"/>
  <c r="F9" i="1"/>
  <c r="E9" i="1"/>
  <c r="G17" i="1"/>
  <c r="G8" i="1"/>
  <c r="F8" i="1"/>
  <c r="E8" i="1"/>
  <c r="C7" i="2"/>
  <c r="C12" i="2" s="1"/>
  <c r="C13" i="2" s="1"/>
  <c r="D13" i="2" s="1"/>
  <c r="E20" i="2" s="1"/>
  <c r="F20" i="2" s="1"/>
  <c r="E7" i="2"/>
  <c r="C3" i="2"/>
  <c r="T15" i="1" l="1"/>
  <c r="P14" i="1"/>
  <c r="T14" i="1" s="1"/>
  <c r="P16" i="1"/>
  <c r="T16" i="1" s="1"/>
  <c r="P18" i="1"/>
  <c r="T18" i="1" s="1"/>
  <c r="P17" i="1"/>
  <c r="T17" i="1" s="1"/>
  <c r="Q19" i="1"/>
  <c r="F10" i="1"/>
  <c r="C19" i="1"/>
  <c r="M19" i="1" s="1"/>
  <c r="G10" i="1"/>
  <c r="E10" i="1"/>
  <c r="I8" i="1"/>
  <c r="J8" i="1" s="1"/>
  <c r="I9" i="1"/>
  <c r="J9" i="1" s="1"/>
  <c r="O19" i="1" l="1"/>
  <c r="N19" i="1"/>
  <c r="G19" i="1"/>
  <c r="I10" i="1"/>
  <c r="J10" i="1" s="1"/>
  <c r="I19" i="1"/>
  <c r="H19" i="1"/>
  <c r="F19" i="1"/>
  <c r="P19" i="1" l="1"/>
  <c r="T19" i="1" s="1"/>
</calcChain>
</file>

<file path=xl/sharedStrings.xml><?xml version="1.0" encoding="utf-8"?>
<sst xmlns="http://schemas.openxmlformats.org/spreadsheetml/2006/main" count="99" uniqueCount="80">
  <si>
    <t>Valor UVT</t>
  </si>
  <si>
    <t xml:space="preserve">Base Minima retencion </t>
  </si>
  <si>
    <t>CALCULO EMPLEADO</t>
  </si>
  <si>
    <t xml:space="preserve">SALARIO </t>
  </si>
  <si>
    <t xml:space="preserve">APORTES SALUD, PENSION </t>
  </si>
  <si>
    <t>DEPENDIENTE 10%</t>
  </si>
  <si>
    <t>CUENTA AFC 30%</t>
  </si>
  <si>
    <t>INT VIVIENDA</t>
  </si>
  <si>
    <t>APORTE VOLUNTARIO A PENSION</t>
  </si>
  <si>
    <t>Vr Expresado en UVT</t>
  </si>
  <si>
    <t>BASE GRAVABLE</t>
  </si>
  <si>
    <t>PROCEDIMIENTO 1</t>
  </si>
  <si>
    <t>PROCEDIMIENTO 2</t>
  </si>
  <si>
    <t>rangos en UVT</t>
  </si>
  <si>
    <t xml:space="preserve">Tasa Marginal </t>
  </si>
  <si>
    <t>Impuesto</t>
  </si>
  <si>
    <t>EXPRESADO UVT</t>
  </si>
  <si>
    <t>VR RETE FUENTE</t>
  </si>
  <si>
    <t>&gt;0</t>
  </si>
  <si>
    <t>&gt;95</t>
  </si>
  <si>
    <t>( Ingreso laboral en UVT-95UVT)*19%</t>
  </si>
  <si>
    <t>&gt; 150</t>
  </si>
  <si>
    <t>( Ingreso laboral en UVT-150 UVT)*28%+10 uvt</t>
  </si>
  <si>
    <t>&gt;360</t>
  </si>
  <si>
    <t xml:space="preserve">En Adelante </t>
  </si>
  <si>
    <t>( Ingreso laboral en UVT-360 UVT)*33%+69 uvt</t>
  </si>
  <si>
    <t>RETENCIÓN EN LA FUENTE</t>
  </si>
  <si>
    <t>PENSIÓN (4%)</t>
  </si>
  <si>
    <t>SALUD (4%)</t>
  </si>
  <si>
    <t>FONDO DE SOLIDARIDAD (1%)</t>
  </si>
  <si>
    <t>INGRESO BRUTO</t>
  </si>
  <si>
    <t>DEDUCCIONES EMPLEADO</t>
  </si>
  <si>
    <t xml:space="preserve">INGRESOS </t>
  </si>
  <si>
    <t>INGRESO NETO</t>
  </si>
  <si>
    <t>EMPLEADO X</t>
  </si>
  <si>
    <t>EMPLEADO Y</t>
  </si>
  <si>
    <t xml:space="preserve">TOTAL DEDUCCIONES </t>
  </si>
  <si>
    <t>PENSIÓN (12%)</t>
  </si>
  <si>
    <t>ARL (0,522%)</t>
  </si>
  <si>
    <t>CAJA (4%)</t>
  </si>
  <si>
    <t>VACACIONES (4,17%)</t>
  </si>
  <si>
    <t>PRIMA 8,33%</t>
  </si>
  <si>
    <t>CESANTIAS (8,33%)</t>
  </si>
  <si>
    <t>INT/CES (1%)</t>
  </si>
  <si>
    <t>TOTAL CARGA PRESTACIONAL (38,352%)</t>
  </si>
  <si>
    <t>Salario Ordinario</t>
  </si>
  <si>
    <t>EMPLEADO Z</t>
  </si>
  <si>
    <t>TIPO DE SALARIO</t>
  </si>
  <si>
    <t>Salario integral</t>
  </si>
  <si>
    <t>ICBF 3%</t>
  </si>
  <si>
    <t>SENA 2%</t>
  </si>
  <si>
    <t>Ordinario Inferior 10 SMLV</t>
  </si>
  <si>
    <t>Ordinario superior 10 SMLV</t>
  </si>
  <si>
    <t>SALUD 8,5%</t>
  </si>
  <si>
    <t>PARAFISCALES</t>
  </si>
  <si>
    <t>PRESTACIONES SOCIALES</t>
  </si>
  <si>
    <t>% APLICACIÓN</t>
  </si>
  <si>
    <t>SALARIO INTEGRAL</t>
  </si>
  <si>
    <t>SALARIO MINIMO LEGAL 2021</t>
  </si>
  <si>
    <t>SALARIO</t>
  </si>
  <si>
    <t>VALOR EMPLEADO PARA LA EMPRESA</t>
  </si>
  <si>
    <t>AUXILIO DE TRANSPORTE</t>
  </si>
  <si>
    <t>EMPLEADO A</t>
  </si>
  <si>
    <t>Ordinario inferior a 2 SMLV</t>
  </si>
  <si>
    <t>ETAPA LECTIVA</t>
  </si>
  <si>
    <t>ETAPA PRODUCTIVA</t>
  </si>
  <si>
    <t>APRENDIZAJE</t>
  </si>
  <si>
    <t>Indemnizacion Hasta 1 año</t>
  </si>
  <si>
    <t>Indemnizacion</t>
  </si>
  <si>
    <t>Contrato desde Estados Unidos</t>
  </si>
  <si>
    <t>Revisar los beneficios que aplican para los contratos desde Estados Unidos</t>
  </si>
  <si>
    <t xml:space="preserve">Vacaciones </t>
  </si>
  <si>
    <t xml:space="preserve">Prestación Extralegal </t>
  </si>
  <si>
    <t>CUANTIFICAR BENEFICIOS</t>
  </si>
  <si>
    <t>INGLES</t>
  </si>
  <si>
    <t>PLANES COMPLEMENTARIOS</t>
  </si>
  <si>
    <t>CAPACITACIONES</t>
  </si>
  <si>
    <t>Contratacion de estados Unidos</t>
  </si>
  <si>
    <t>costo renta tentativa</t>
  </si>
  <si>
    <t>presentacion financiera y tributaria.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</si>
</sst>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0.000%"/>
    <numFmt numFmtId="167" formatCode="_-&quot;$&quot;\ * #,##0.00_-;\-&quot;$&quot;\ * #,##0.0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/>
    <xf numFmtId="164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164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11" xfId="1" applyFont="1" applyBorder="1"/>
    <xf numFmtId="164" fontId="1" fillId="0" borderId="11" xfId="1" applyFont="1" applyBorder="1"/>
    <xf numFmtId="164" fontId="0" fillId="0" borderId="11" xfId="1" applyFont="1" applyBorder="1"/>
    <xf numFmtId="0" fontId="3" fillId="3" borderId="16" xfId="0" applyFont="1" applyFill="1" applyBorder="1"/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164" fontId="2" fillId="0" borderId="10" xfId="1" applyFont="1" applyBorder="1"/>
    <xf numFmtId="164" fontId="2" fillId="0" borderId="12" xfId="1" applyFont="1" applyBorder="1"/>
    <xf numFmtId="164" fontId="2" fillId="0" borderId="13" xfId="1" applyFont="1" applyBorder="1"/>
    <xf numFmtId="164" fontId="1" fillId="0" borderId="14" xfId="1" applyFont="1" applyBorder="1"/>
    <xf numFmtId="164" fontId="0" fillId="0" borderId="14" xfId="1" applyFont="1" applyBorder="1"/>
    <xf numFmtId="164" fontId="2" fillId="0" borderId="15" xfId="1" applyFont="1" applyBorder="1"/>
    <xf numFmtId="164" fontId="2" fillId="0" borderId="7" xfId="1" applyFont="1" applyBorder="1"/>
    <xf numFmtId="164" fontId="1" fillId="0" borderId="8" xfId="1" applyFont="1" applyBorder="1"/>
    <xf numFmtId="164" fontId="0" fillId="0" borderId="8" xfId="1" applyFont="1" applyBorder="1"/>
    <xf numFmtId="164" fontId="2" fillId="0" borderId="9" xfId="1" applyFont="1" applyBorder="1"/>
    <xf numFmtId="0" fontId="3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2" fillId="0" borderId="16" xfId="1" applyFont="1" applyBorder="1"/>
    <xf numFmtId="164" fontId="1" fillId="0" borderId="17" xfId="1" applyFont="1" applyBorder="1"/>
    <xf numFmtId="164" fontId="0" fillId="0" borderId="17" xfId="1" applyFont="1" applyBorder="1"/>
    <xf numFmtId="164" fontId="2" fillId="0" borderId="18" xfId="1" applyFont="1" applyBorder="1"/>
    <xf numFmtId="0" fontId="4" fillId="3" borderId="2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164" fontId="1" fillId="0" borderId="17" xfId="1" applyFont="1" applyBorder="1" applyAlignment="1">
      <alignment horizontal="center" wrapText="1"/>
    </xf>
    <xf numFmtId="164" fontId="1" fillId="0" borderId="14" xfId="1" applyFont="1" applyBorder="1" applyAlignment="1">
      <alignment horizontal="center" wrapText="1"/>
    </xf>
    <xf numFmtId="164" fontId="1" fillId="0" borderId="11" xfId="1" applyFont="1" applyBorder="1" applyAlignment="1">
      <alignment horizontal="center" wrapText="1"/>
    </xf>
    <xf numFmtId="165" fontId="2" fillId="0" borderId="17" xfId="1" applyNumberFormat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/>
    </xf>
    <xf numFmtId="165" fontId="0" fillId="0" borderId="0" xfId="0" applyNumberFormat="1"/>
    <xf numFmtId="167" fontId="0" fillId="0" borderId="0" xfId="1" applyNumberFormat="1" applyFont="1"/>
    <xf numFmtId="164" fontId="2" fillId="0" borderId="0" xfId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8D45-A73F-47B1-AA76-135F17B31D0A}">
  <dimension ref="B2:T29"/>
  <sheetViews>
    <sheetView tabSelected="1" topLeftCell="A12" workbookViewId="0">
      <selection activeCell="F29" sqref="F29"/>
    </sheetView>
  </sheetViews>
  <sheetFormatPr baseColWidth="10" defaultRowHeight="15" x14ac:dyDescent="0.25"/>
  <cols>
    <col min="1" max="1" width="7.85546875" customWidth="1"/>
    <col min="2" max="2" width="20.140625" customWidth="1"/>
    <col min="3" max="3" width="14" style="32" bestFit="1" customWidth="1"/>
    <col min="4" max="4" width="18.140625" style="32" customWidth="1"/>
    <col min="5" max="5" width="13" bestFit="1" customWidth="1"/>
    <col min="6" max="6" width="12" bestFit="1" customWidth="1"/>
    <col min="7" max="7" width="15.140625" customWidth="1"/>
    <col min="8" max="8" width="16.140625" customWidth="1"/>
    <col min="9" max="9" width="15" customWidth="1"/>
    <col min="10" max="10" width="12" style="32" customWidth="1"/>
    <col min="11" max="11" width="10.85546875" customWidth="1"/>
    <col min="12" max="12" width="10.7109375" customWidth="1"/>
    <col min="13" max="13" width="11.5703125" customWidth="1"/>
    <col min="14" max="14" width="12.42578125" customWidth="1"/>
    <col min="15" max="15" width="12" bestFit="1" customWidth="1"/>
    <col min="16" max="20" width="13.28515625" customWidth="1"/>
  </cols>
  <sheetData>
    <row r="2" spans="2:20" x14ac:dyDescent="0.25">
      <c r="B2" s="74" t="s">
        <v>58</v>
      </c>
      <c r="C2" s="74"/>
      <c r="D2" s="33">
        <v>908526</v>
      </c>
      <c r="E2" s="5"/>
    </row>
    <row r="3" spans="2:20" x14ac:dyDescent="0.25">
      <c r="B3" s="69" t="s">
        <v>61</v>
      </c>
      <c r="C3" s="69"/>
      <c r="D3" s="33">
        <v>106454</v>
      </c>
      <c r="E3" s="5"/>
    </row>
    <row r="4" spans="2:20" x14ac:dyDescent="0.25">
      <c r="B4" s="74" t="s">
        <v>57</v>
      </c>
      <c r="C4" s="74"/>
      <c r="D4" s="33">
        <f>+D2*13</f>
        <v>11810838</v>
      </c>
    </row>
    <row r="5" spans="2:20" ht="15.75" thickBot="1" x14ac:dyDescent="0.3"/>
    <row r="6" spans="2:20" ht="15.75" hidden="1" thickBot="1" x14ac:dyDescent="0.3">
      <c r="B6" s="36"/>
      <c r="C6" s="37" t="s">
        <v>32</v>
      </c>
      <c r="D6" s="37"/>
      <c r="E6" s="70" t="s">
        <v>31</v>
      </c>
      <c r="F6" s="70"/>
      <c r="G6" s="70"/>
      <c r="H6" s="70"/>
      <c r="I6" s="37"/>
      <c r="J6" s="38"/>
    </row>
    <row r="7" spans="2:20" s="30" customFormat="1" ht="45.75" hidden="1" thickBot="1" x14ac:dyDescent="0.3">
      <c r="B7" s="49"/>
      <c r="C7" s="50" t="s">
        <v>30</v>
      </c>
      <c r="D7" s="50" t="s">
        <v>47</v>
      </c>
      <c r="E7" s="50" t="s">
        <v>28</v>
      </c>
      <c r="F7" s="50" t="s">
        <v>27</v>
      </c>
      <c r="G7" s="50" t="s">
        <v>29</v>
      </c>
      <c r="H7" s="50" t="s">
        <v>26</v>
      </c>
      <c r="I7" s="50" t="s">
        <v>36</v>
      </c>
      <c r="J7" s="51" t="s">
        <v>33</v>
      </c>
      <c r="L7" s="30">
        <v>12.5</v>
      </c>
    </row>
    <row r="8" spans="2:20" s="5" customFormat="1" ht="15.75" hidden="1" thickBot="1" x14ac:dyDescent="0.3">
      <c r="B8" s="45" t="s">
        <v>34</v>
      </c>
      <c r="C8" s="46">
        <v>6000000</v>
      </c>
      <c r="D8" s="46" t="s">
        <v>45</v>
      </c>
      <c r="E8" s="47">
        <f>+C8*4%</f>
        <v>240000</v>
      </c>
      <c r="F8" s="47">
        <f>+C8*4%</f>
        <v>240000</v>
      </c>
      <c r="G8" s="47">
        <f>+C8*1%</f>
        <v>60000</v>
      </c>
      <c r="H8" s="47">
        <v>135344</v>
      </c>
      <c r="I8" s="47">
        <f>+E8+F8+G8+H8</f>
        <v>675344</v>
      </c>
      <c r="J8" s="48">
        <f>+C8-I8</f>
        <v>5324656</v>
      </c>
      <c r="L8" s="5">
        <v>0.52200000000000002</v>
      </c>
    </row>
    <row r="9" spans="2:20" s="5" customFormat="1" ht="15.75" hidden="1" thickBot="1" x14ac:dyDescent="0.3">
      <c r="B9" s="39" t="s">
        <v>35</v>
      </c>
      <c r="C9" s="34">
        <v>10000000</v>
      </c>
      <c r="D9" s="34" t="s">
        <v>45</v>
      </c>
      <c r="E9" s="35">
        <f>+C9*4%</f>
        <v>400000</v>
      </c>
      <c r="F9" s="35">
        <f>+C9*4%</f>
        <v>400000</v>
      </c>
      <c r="G9" s="35">
        <f>+C9*1%</f>
        <v>100000</v>
      </c>
      <c r="H9" s="35">
        <v>654044</v>
      </c>
      <c r="I9" s="35">
        <f>+E9+F9+G9+H9</f>
        <v>1554044</v>
      </c>
      <c r="J9" s="40">
        <f>+C9-I9</f>
        <v>8445956</v>
      </c>
      <c r="L9" s="80">
        <f>SUM(L7:L8)</f>
        <v>13.022</v>
      </c>
    </row>
    <row r="10" spans="2:20" s="5" customFormat="1" ht="15.75" hidden="1" thickBot="1" x14ac:dyDescent="0.3">
      <c r="B10" s="41" t="s">
        <v>46</v>
      </c>
      <c r="C10" s="42">
        <f>+D4</f>
        <v>11810838</v>
      </c>
      <c r="D10" s="42" t="s">
        <v>48</v>
      </c>
      <c r="E10" s="43">
        <f>+((C10*70%)*4%)</f>
        <v>330703.46399999998</v>
      </c>
      <c r="F10" s="43">
        <f>((+C10*70%)*4%)</f>
        <v>330703.46399999998</v>
      </c>
      <c r="G10" s="43">
        <f>((+C10*70%)*1%)</f>
        <v>82675.865999999995</v>
      </c>
      <c r="H10" s="43">
        <v>1162163</v>
      </c>
      <c r="I10" s="43">
        <f>+E10+F10+G10+H10</f>
        <v>1906245.794</v>
      </c>
      <c r="J10" s="44">
        <f>+C10-I10</f>
        <v>9904592.2060000002</v>
      </c>
    </row>
    <row r="11" spans="2:20" ht="15.75" hidden="1" thickBot="1" x14ac:dyDescent="0.3"/>
    <row r="12" spans="2:20" ht="15.75" thickBot="1" x14ac:dyDescent="0.3">
      <c r="J12" s="71" t="s">
        <v>55</v>
      </c>
      <c r="K12" s="72"/>
      <c r="L12" s="73"/>
      <c r="M12" s="71" t="s">
        <v>54</v>
      </c>
      <c r="N12" s="72"/>
      <c r="O12" s="73"/>
    </row>
    <row r="13" spans="2:20" s="31" customFormat="1" ht="60.75" thickBot="1" x14ac:dyDescent="0.3">
      <c r="B13" s="52"/>
      <c r="C13" s="57"/>
      <c r="D13" s="58"/>
      <c r="E13" s="58" t="s">
        <v>56</v>
      </c>
      <c r="F13" s="58" t="s">
        <v>53</v>
      </c>
      <c r="G13" s="58" t="s">
        <v>37</v>
      </c>
      <c r="H13" s="58" t="s">
        <v>38</v>
      </c>
      <c r="I13" s="59" t="s">
        <v>40</v>
      </c>
      <c r="J13" s="67" t="s">
        <v>41</v>
      </c>
      <c r="K13" s="58" t="s">
        <v>42</v>
      </c>
      <c r="L13" s="68" t="s">
        <v>43</v>
      </c>
      <c r="M13" s="67" t="s">
        <v>39</v>
      </c>
      <c r="N13" s="58" t="s">
        <v>49</v>
      </c>
      <c r="O13" s="66" t="s">
        <v>50</v>
      </c>
      <c r="P13" s="66" t="s">
        <v>44</v>
      </c>
      <c r="Q13" s="66" t="s">
        <v>59</v>
      </c>
      <c r="R13" s="66" t="s">
        <v>67</v>
      </c>
      <c r="S13" s="66" t="s">
        <v>68</v>
      </c>
      <c r="T13" s="66" t="s">
        <v>60</v>
      </c>
    </row>
    <row r="14" spans="2:20" s="5" customFormat="1" ht="30.75" thickBot="1" x14ac:dyDescent="0.3">
      <c r="B14" s="53" t="s">
        <v>62</v>
      </c>
      <c r="C14" s="54">
        <v>1500000</v>
      </c>
      <c r="D14" s="60" t="s">
        <v>63</v>
      </c>
      <c r="E14" s="63">
        <v>0.38352000000000003</v>
      </c>
      <c r="F14" s="55">
        <v>0</v>
      </c>
      <c r="G14" s="55">
        <f>+C14*12%</f>
        <v>180000</v>
      </c>
      <c r="H14" s="55">
        <f>+C14*0.522%</f>
        <v>7830</v>
      </c>
      <c r="I14" s="55">
        <f>+C14*4.17%</f>
        <v>62550</v>
      </c>
      <c r="J14" s="55">
        <f>+((C14+D3)*8.33%)</f>
        <v>133817.6182</v>
      </c>
      <c r="K14" s="54">
        <f>+((C14+D3)*8.33%)</f>
        <v>133817.6182</v>
      </c>
      <c r="L14" s="54">
        <f>+((D3+C14)*1%)</f>
        <v>16064.54</v>
      </c>
      <c r="M14" s="55">
        <v>0</v>
      </c>
      <c r="N14" s="54">
        <v>0</v>
      </c>
      <c r="O14" s="54">
        <v>0</v>
      </c>
      <c r="P14" s="56">
        <f>SUM(F14:O14)</f>
        <v>534079.77640000009</v>
      </c>
      <c r="Q14" s="56">
        <f>+C14</f>
        <v>1500000</v>
      </c>
      <c r="R14" s="56"/>
      <c r="S14" s="56"/>
      <c r="T14" s="56">
        <f>+P14+Q14</f>
        <v>2034079.7764000001</v>
      </c>
    </row>
    <row r="15" spans="2:20" s="5" customFormat="1" ht="15.75" thickBot="1" x14ac:dyDescent="0.3">
      <c r="B15" s="53" t="s">
        <v>64</v>
      </c>
      <c r="C15" s="54">
        <f>+D2*50%</f>
        <v>454263</v>
      </c>
      <c r="D15" s="60" t="s">
        <v>66</v>
      </c>
      <c r="E15" s="63">
        <v>0.125</v>
      </c>
      <c r="F15" s="55">
        <f>+D2*12.5%</f>
        <v>113565.75</v>
      </c>
      <c r="G15" s="55">
        <v>0</v>
      </c>
      <c r="H15" s="55"/>
      <c r="I15" s="55"/>
      <c r="J15" s="55"/>
      <c r="K15" s="54"/>
      <c r="L15" s="54"/>
      <c r="M15" s="55"/>
      <c r="N15" s="54"/>
      <c r="O15" s="54"/>
      <c r="P15" s="56">
        <f>SUM(F15:O15)</f>
        <v>113565.75</v>
      </c>
      <c r="Q15" s="56">
        <f t="shared" ref="Q15:Q16" si="0">+C15</f>
        <v>454263</v>
      </c>
      <c r="R15" s="56"/>
      <c r="S15" s="56"/>
      <c r="T15" s="56">
        <f t="shared" ref="T15:T16" si="1">+P15+Q15</f>
        <v>567828.75</v>
      </c>
    </row>
    <row r="16" spans="2:20" s="5" customFormat="1" ht="15.75" thickBot="1" x14ac:dyDescent="0.3">
      <c r="B16" s="53" t="s">
        <v>65</v>
      </c>
      <c r="C16" s="54">
        <f>+D2*75%</f>
        <v>681394.5</v>
      </c>
      <c r="D16" s="60" t="s">
        <v>66</v>
      </c>
      <c r="E16" s="63">
        <v>0.13020000000000001</v>
      </c>
      <c r="F16" s="55">
        <f>+D2*12.5%</f>
        <v>113565.75</v>
      </c>
      <c r="G16" s="55"/>
      <c r="H16" s="55">
        <f>+D2*0.522%</f>
        <v>4742.5057200000001</v>
      </c>
      <c r="I16" s="55"/>
      <c r="J16" s="55"/>
      <c r="K16" s="55"/>
      <c r="L16" s="55"/>
      <c r="M16" s="55"/>
      <c r="N16" s="55"/>
      <c r="O16" s="55"/>
      <c r="P16" s="56">
        <f>SUM(F16:O16)</f>
        <v>118308.25572</v>
      </c>
      <c r="Q16" s="56">
        <f t="shared" si="0"/>
        <v>681394.5</v>
      </c>
      <c r="R16" s="56"/>
      <c r="S16" s="56"/>
      <c r="T16" s="56">
        <f t="shared" si="1"/>
        <v>799702.75572000002</v>
      </c>
    </row>
    <row r="17" spans="2:20" s="5" customFormat="1" ht="30" x14ac:dyDescent="0.25">
      <c r="B17" s="53" t="s">
        <v>34</v>
      </c>
      <c r="C17" s="54">
        <v>6000000</v>
      </c>
      <c r="D17" s="60" t="s">
        <v>51</v>
      </c>
      <c r="E17" s="63">
        <v>0.38352000000000003</v>
      </c>
      <c r="F17" s="55">
        <v>0</v>
      </c>
      <c r="G17" s="55">
        <f>+C17*12%</f>
        <v>720000</v>
      </c>
      <c r="H17" s="55">
        <f>+C17*0.522%</f>
        <v>31320</v>
      </c>
      <c r="I17" s="55">
        <f>+C17*4.17%</f>
        <v>250200</v>
      </c>
      <c r="J17" s="55">
        <f>+C17*8.33%</f>
        <v>499800</v>
      </c>
      <c r="K17" s="54">
        <f>+C17*8.33%</f>
        <v>499800</v>
      </c>
      <c r="L17" s="54">
        <f>+C17*1%</f>
        <v>60000</v>
      </c>
      <c r="M17" s="55">
        <f>+C17*4%</f>
        <v>240000</v>
      </c>
      <c r="N17" s="54">
        <v>0</v>
      </c>
      <c r="O17" s="54">
        <v>0</v>
      </c>
      <c r="P17" s="56">
        <f>SUM(F17:O17)</f>
        <v>2301120</v>
      </c>
      <c r="Q17" s="56">
        <f>+C8</f>
        <v>6000000</v>
      </c>
      <c r="R17" s="56"/>
      <c r="S17" s="56"/>
      <c r="T17" s="56">
        <f>+P17+Q17</f>
        <v>8301120</v>
      </c>
    </row>
    <row r="18" spans="2:20" s="5" customFormat="1" ht="30" x14ac:dyDescent="0.25">
      <c r="B18" s="39" t="s">
        <v>35</v>
      </c>
      <c r="C18" s="34">
        <v>10000000</v>
      </c>
      <c r="D18" s="62" t="s">
        <v>52</v>
      </c>
      <c r="E18" s="64">
        <v>0.51851999999999998</v>
      </c>
      <c r="F18" s="35">
        <f>+C18*8.5%</f>
        <v>850000.00000000012</v>
      </c>
      <c r="G18" s="35">
        <f>+C18*12%</f>
        <v>1200000</v>
      </c>
      <c r="H18" s="35">
        <f>+C18*0.522%</f>
        <v>52200</v>
      </c>
      <c r="I18" s="35">
        <f>+C18*4.17%</f>
        <v>417000</v>
      </c>
      <c r="J18" s="35">
        <f>+C18*8.33%</f>
        <v>833000</v>
      </c>
      <c r="K18" s="34">
        <f>+C18*8.33%</f>
        <v>833000</v>
      </c>
      <c r="L18" s="34">
        <f>+C18*1%</f>
        <v>100000</v>
      </c>
      <c r="M18" s="35">
        <f>+C18*4%</f>
        <v>400000</v>
      </c>
      <c r="N18" s="34">
        <f>+C18*3%</f>
        <v>300000</v>
      </c>
      <c r="O18" s="34">
        <f>+C18*2%</f>
        <v>200000</v>
      </c>
      <c r="P18" s="40">
        <f>SUM(F18:O18)</f>
        <v>5185200</v>
      </c>
      <c r="Q18" s="40">
        <f t="shared" ref="Q18:Q19" si="2">+C9</f>
        <v>10000000</v>
      </c>
      <c r="R18" s="40"/>
      <c r="S18" s="40"/>
      <c r="T18" s="40">
        <f t="shared" ref="T18:T19" si="3">+P18+Q18</f>
        <v>15185200</v>
      </c>
    </row>
    <row r="19" spans="2:20" s="5" customFormat="1" ht="15.75" thickBot="1" x14ac:dyDescent="0.3">
      <c r="B19" s="41" t="s">
        <v>46</v>
      </c>
      <c r="C19" s="42">
        <f>+C10</f>
        <v>11810838</v>
      </c>
      <c r="D19" s="61" t="s">
        <v>48</v>
      </c>
      <c r="E19" s="65">
        <v>0.34192</v>
      </c>
      <c r="F19" s="43">
        <f>+(C19*70%)*8.5%</f>
        <v>702744.86100000003</v>
      </c>
      <c r="G19" s="43">
        <f>+(C19*70%)*12%</f>
        <v>992110.39199999988</v>
      </c>
      <c r="H19" s="43">
        <f>+(C19*70%)*0.522%</f>
        <v>43156.802051999999</v>
      </c>
      <c r="I19" s="43">
        <f>+C19*4.17%</f>
        <v>492511.94459999999</v>
      </c>
      <c r="J19" s="43">
        <v>0</v>
      </c>
      <c r="K19" s="42">
        <v>0</v>
      </c>
      <c r="L19" s="42">
        <v>0</v>
      </c>
      <c r="M19" s="43">
        <f>+(C19*70%)*4%</f>
        <v>330703.46399999998</v>
      </c>
      <c r="N19" s="43">
        <f>+(C19*70%)*3%</f>
        <v>248027.59799999997</v>
      </c>
      <c r="O19" s="43">
        <f>+(C19*70%)*2%</f>
        <v>165351.73199999999</v>
      </c>
      <c r="P19" s="44">
        <f>SUM(F19:O19)</f>
        <v>2974606.7936519999</v>
      </c>
      <c r="Q19" s="44">
        <f t="shared" si="2"/>
        <v>11810838</v>
      </c>
      <c r="R19" s="44"/>
      <c r="S19" s="44"/>
      <c r="T19" s="44">
        <f t="shared" si="3"/>
        <v>14785444.793652</v>
      </c>
    </row>
    <row r="22" spans="2:20" x14ac:dyDescent="0.25">
      <c r="B22" s="81" t="s">
        <v>69</v>
      </c>
      <c r="E22" s="78"/>
    </row>
    <row r="23" spans="2:20" x14ac:dyDescent="0.25">
      <c r="E23" s="78"/>
      <c r="G23" t="s">
        <v>79</v>
      </c>
    </row>
    <row r="24" spans="2:20" x14ac:dyDescent="0.25">
      <c r="B24" t="s">
        <v>70</v>
      </c>
      <c r="E24" s="78"/>
    </row>
    <row r="25" spans="2:20" x14ac:dyDescent="0.25">
      <c r="B25" t="s">
        <v>72</v>
      </c>
      <c r="C25" s="32" t="s">
        <v>71</v>
      </c>
      <c r="D25" s="32" t="s">
        <v>73</v>
      </c>
      <c r="E25" s="78"/>
    </row>
    <row r="26" spans="2:20" x14ac:dyDescent="0.25">
      <c r="D26" s="32" t="s">
        <v>74</v>
      </c>
      <c r="E26" s="78"/>
    </row>
    <row r="27" spans="2:20" x14ac:dyDescent="0.25">
      <c r="D27" s="32" t="s">
        <v>75</v>
      </c>
      <c r="E27" s="78"/>
      <c r="G27" t="s">
        <v>77</v>
      </c>
    </row>
    <row r="28" spans="2:20" x14ac:dyDescent="0.25">
      <c r="D28" s="32" t="s">
        <v>76</v>
      </c>
      <c r="E28" s="78"/>
    </row>
    <row r="29" spans="2:20" x14ac:dyDescent="0.25">
      <c r="D29" s="32" t="s">
        <v>78</v>
      </c>
      <c r="E29" s="79"/>
    </row>
  </sheetData>
  <mergeCells count="5">
    <mergeCell ref="E6:H6"/>
    <mergeCell ref="M12:O12"/>
    <mergeCell ref="J12:L12"/>
    <mergeCell ref="B2:C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3EDB-408A-442A-A934-550C580E75FB}">
  <dimension ref="B2:L30"/>
  <sheetViews>
    <sheetView topLeftCell="A4" workbookViewId="0">
      <selection activeCell="C7" sqref="C7"/>
    </sheetView>
  </sheetViews>
  <sheetFormatPr baseColWidth="10" defaultRowHeight="15" x14ac:dyDescent="0.25"/>
  <cols>
    <col min="2" max="2" width="29.140625" style="3" customWidth="1"/>
    <col min="3" max="3" width="14.28515625" style="3" customWidth="1"/>
    <col min="4" max="4" width="25.140625" style="3" customWidth="1"/>
    <col min="5" max="5" width="15.42578125" style="4" bestFit="1" customWidth="1"/>
    <col min="6" max="6" width="11.42578125" style="4"/>
    <col min="7" max="7" width="11.42578125" style="5"/>
    <col min="8" max="8" width="13.5703125" customWidth="1"/>
    <col min="9" max="9" width="13.7109375" customWidth="1"/>
    <col min="10" max="10" width="18.140625" customWidth="1"/>
  </cols>
  <sheetData>
    <row r="2" spans="2:5" x14ac:dyDescent="0.25">
      <c r="B2" s="1" t="s">
        <v>0</v>
      </c>
      <c r="C2" s="2">
        <v>35607</v>
      </c>
    </row>
    <row r="3" spans="2:5" x14ac:dyDescent="0.25">
      <c r="B3" s="1" t="s">
        <v>1</v>
      </c>
      <c r="C3" s="2">
        <f>95*C2</f>
        <v>3382665</v>
      </c>
    </row>
    <row r="4" spans="2:5" x14ac:dyDescent="0.25">
      <c r="C4" s="6"/>
    </row>
    <row r="5" spans="2:5" x14ac:dyDescent="0.25">
      <c r="B5" s="3" t="s">
        <v>2</v>
      </c>
      <c r="C5" s="6"/>
    </row>
    <row r="6" spans="2:5" x14ac:dyDescent="0.25">
      <c r="B6" s="3" t="s">
        <v>3</v>
      </c>
      <c r="C6" s="6">
        <v>5000000</v>
      </c>
    </row>
    <row r="7" spans="2:5" x14ac:dyDescent="0.25">
      <c r="B7" s="3" t="s">
        <v>4</v>
      </c>
      <c r="C7" s="6">
        <f>+C6*9%</f>
        <v>450000</v>
      </c>
      <c r="E7" s="4">
        <f>127058/30*19</f>
        <v>80470.066666666666</v>
      </c>
    </row>
    <row r="8" spans="2:5" x14ac:dyDescent="0.25">
      <c r="B8" s="3" t="s">
        <v>5</v>
      </c>
      <c r="C8" s="6">
        <v>0</v>
      </c>
    </row>
    <row r="9" spans="2:5" x14ac:dyDescent="0.25">
      <c r="B9" s="3" t="s">
        <v>6</v>
      </c>
      <c r="C9" s="6">
        <v>0</v>
      </c>
    </row>
    <row r="10" spans="2:5" x14ac:dyDescent="0.25">
      <c r="B10" s="3" t="s">
        <v>7</v>
      </c>
      <c r="C10" s="6"/>
    </row>
    <row r="11" spans="2:5" x14ac:dyDescent="0.25">
      <c r="B11" s="3" t="s">
        <v>8</v>
      </c>
      <c r="C11" s="6"/>
    </row>
    <row r="12" spans="2:5" x14ac:dyDescent="0.25">
      <c r="C12" s="6">
        <f>+C6-C7-C8-C9-C10-C11</f>
        <v>4550000</v>
      </c>
      <c r="D12" s="1" t="s">
        <v>9</v>
      </c>
    </row>
    <row r="13" spans="2:5" x14ac:dyDescent="0.25">
      <c r="B13" s="1" t="s">
        <v>10</v>
      </c>
      <c r="C13" s="2">
        <f>+C12*75%</f>
        <v>3412500</v>
      </c>
      <c r="D13" s="7">
        <f>+C13/C2</f>
        <v>95.837897042716321</v>
      </c>
    </row>
    <row r="14" spans="2:5" x14ac:dyDescent="0.25">
      <c r="C14" s="6"/>
    </row>
    <row r="15" spans="2:5" x14ac:dyDescent="0.25">
      <c r="C15" s="6"/>
    </row>
    <row r="16" spans="2:5" ht="15.75" thickBot="1" x14ac:dyDescent="0.3">
      <c r="C16" s="6"/>
    </row>
    <row r="17" spans="2:12" ht="15.75" thickBot="1" x14ac:dyDescent="0.3">
      <c r="B17" s="75" t="s">
        <v>11</v>
      </c>
      <c r="C17" s="76"/>
      <c r="D17" s="76"/>
      <c r="E17" s="76"/>
      <c r="F17" s="77"/>
      <c r="H17" s="75" t="s">
        <v>12</v>
      </c>
      <c r="I17" s="76"/>
      <c r="J17" s="76"/>
      <c r="K17" s="76"/>
      <c r="L17" s="77"/>
    </row>
    <row r="18" spans="2:12" s="12" customFormat="1" ht="30.75" thickBot="1" x14ac:dyDescent="0.3">
      <c r="B18" s="8" t="s">
        <v>13</v>
      </c>
      <c r="C18" s="9" t="s">
        <v>14</v>
      </c>
      <c r="D18" s="9" t="s">
        <v>15</v>
      </c>
      <c r="E18" s="9" t="s">
        <v>16</v>
      </c>
      <c r="F18" s="10" t="s">
        <v>17</v>
      </c>
      <c r="G18" s="11"/>
      <c r="H18" s="8" t="s">
        <v>13</v>
      </c>
      <c r="I18" s="9" t="s">
        <v>14</v>
      </c>
      <c r="J18" s="9" t="s">
        <v>15</v>
      </c>
      <c r="K18" s="9" t="s">
        <v>16</v>
      </c>
      <c r="L18" s="10" t="s">
        <v>17</v>
      </c>
    </row>
    <row r="19" spans="2:12" x14ac:dyDescent="0.25">
      <c r="B19" s="13" t="s">
        <v>18</v>
      </c>
      <c r="C19" s="14">
        <v>95</v>
      </c>
      <c r="D19" s="14">
        <v>0</v>
      </c>
      <c r="E19" s="15"/>
      <c r="F19" s="16"/>
      <c r="H19" s="13" t="s">
        <v>18</v>
      </c>
      <c r="I19" s="14">
        <v>95</v>
      </c>
      <c r="J19" s="14">
        <v>0</v>
      </c>
      <c r="K19" s="15"/>
      <c r="L19" s="16"/>
    </row>
    <row r="20" spans="2:12" ht="30" x14ac:dyDescent="0.25">
      <c r="B20" s="17" t="s">
        <v>19</v>
      </c>
      <c r="C20" s="18">
        <v>150</v>
      </c>
      <c r="D20" s="19" t="s">
        <v>20</v>
      </c>
      <c r="E20" s="20">
        <f>+((D13-95)*19%)</f>
        <v>0.15920043811610099</v>
      </c>
      <c r="F20" s="21">
        <f>+E20*C2</f>
        <v>5668.6500000000078</v>
      </c>
      <c r="H20" s="17" t="s">
        <v>19</v>
      </c>
      <c r="I20" s="18">
        <v>150</v>
      </c>
      <c r="J20" s="19" t="s">
        <v>20</v>
      </c>
      <c r="K20" s="20"/>
      <c r="L20" s="21"/>
    </row>
    <row r="21" spans="2:12" ht="45" x14ac:dyDescent="0.25">
      <c r="B21" s="17" t="s">
        <v>21</v>
      </c>
      <c r="C21" s="18">
        <v>360</v>
      </c>
      <c r="D21" s="19" t="s">
        <v>22</v>
      </c>
      <c r="E21" s="22"/>
      <c r="F21" s="23"/>
      <c r="H21" s="17" t="s">
        <v>21</v>
      </c>
      <c r="I21" s="18">
        <v>360</v>
      </c>
      <c r="J21" s="19" t="s">
        <v>22</v>
      </c>
      <c r="K21" s="22"/>
      <c r="L21" s="23"/>
    </row>
    <row r="22" spans="2:12" ht="45.75" thickBot="1" x14ac:dyDescent="0.3">
      <c r="B22" s="24" t="s">
        <v>23</v>
      </c>
      <c r="C22" s="25" t="s">
        <v>24</v>
      </c>
      <c r="D22" s="26" t="s">
        <v>25</v>
      </c>
      <c r="E22" s="27"/>
      <c r="F22" s="28"/>
      <c r="H22" s="24" t="s">
        <v>23</v>
      </c>
      <c r="I22" s="25" t="s">
        <v>24</v>
      </c>
      <c r="J22" s="26" t="s">
        <v>25</v>
      </c>
      <c r="K22" s="27"/>
      <c r="L22" s="28"/>
    </row>
    <row r="27" spans="2:12" x14ac:dyDescent="0.25">
      <c r="C27" s="6"/>
    </row>
    <row r="28" spans="2:12" x14ac:dyDescent="0.25">
      <c r="C28" s="6"/>
      <c r="D28" s="29"/>
    </row>
    <row r="29" spans="2:12" x14ac:dyDescent="0.25">
      <c r="C29" s="6"/>
    </row>
    <row r="30" spans="2:12" x14ac:dyDescent="0.25">
      <c r="B30" s="1"/>
    </row>
  </sheetData>
  <mergeCells count="2">
    <mergeCell ref="B17:F17"/>
    <mergeCell ref="H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RFTE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Claro</dc:creator>
  <cp:lastModifiedBy>Maira Claro</cp:lastModifiedBy>
  <dcterms:created xsi:type="dcterms:W3CDTF">2020-03-26T16:21:30Z</dcterms:created>
  <dcterms:modified xsi:type="dcterms:W3CDTF">2021-03-01T01:42:42Z</dcterms:modified>
</cp:coreProperties>
</file>