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ggt-my.sharepoint.com/personal/gom231226_uvg_edu_gt/Documents/UVG/Ing. Mecatrónica/7to Semestre/Digital 2/"/>
    </mc:Choice>
  </mc:AlternateContent>
  <xr:revisionPtr revIDLastSave="106" documentId="13_ncr:1_{DDA60A38-8042-4FE3-90D0-4BBF94724A75}" xr6:coauthVersionLast="47" xr6:coauthVersionMax="47" xr10:uidLastSave="{EC16D8E3-C550-4F11-8CBD-EEF1979A46F9}"/>
  <bookViews>
    <workbookView minimized="1" xWindow="1152" yWindow="1152" windowWidth="13608" windowHeight="8880" xr2:uid="{A89C7295-EE45-4A74-8F82-0A7768186880}"/>
  </bookViews>
  <sheets>
    <sheet name="PINOUT" sheetId="1" r:id="rId1"/>
    <sheet name="Timer" sheetId="2" r:id="rId2"/>
    <sheet name="PWM" sheetId="3" r:id="rId3"/>
    <sheet name="BUZZER" sheetId="4" r:id="rId4"/>
  </sheets>
  <definedNames>
    <definedName name="TIM1_">Timer!$O$3:$O$16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4" l="1"/>
  <c r="F75" i="4"/>
  <c r="F91" i="4"/>
  <c r="F93" i="4"/>
  <c r="F108" i="4"/>
  <c r="F109" i="4"/>
  <c r="F29" i="3"/>
  <c r="E119" i="4"/>
  <c r="F119" i="4" s="1"/>
  <c r="E120" i="4"/>
  <c r="F120" i="4" s="1"/>
  <c r="E121" i="4"/>
  <c r="F121" i="4" s="1"/>
  <c r="E122" i="4"/>
  <c r="F122" i="4" s="1"/>
  <c r="E123" i="4"/>
  <c r="F123" i="4" s="1"/>
  <c r="E124" i="4"/>
  <c r="F124" i="4" s="1"/>
  <c r="E125" i="4"/>
  <c r="F125" i="4" s="1"/>
  <c r="E126" i="4"/>
  <c r="F126" i="4" s="1"/>
  <c r="E127" i="4"/>
  <c r="F127" i="4" s="1"/>
  <c r="E128" i="4"/>
  <c r="F128" i="4" s="1"/>
  <c r="E129" i="4"/>
  <c r="F129" i="4" s="1"/>
  <c r="E130" i="4"/>
  <c r="F130" i="4" s="1"/>
  <c r="E71" i="4"/>
  <c r="F71" i="4" s="1"/>
  <c r="E72" i="4"/>
  <c r="F72" i="4" s="1"/>
  <c r="E73" i="4"/>
  <c r="F73" i="4" s="1"/>
  <c r="E74" i="4"/>
  <c r="F74" i="4" s="1"/>
  <c r="E75" i="4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E92" i="4"/>
  <c r="F92" i="4" s="1"/>
  <c r="E93" i="4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1" i="4"/>
  <c r="F101" i="4" s="1"/>
  <c r="E102" i="4"/>
  <c r="F102" i="4" s="1"/>
  <c r="E103" i="4"/>
  <c r="F103" i="4" s="1"/>
  <c r="E104" i="4"/>
  <c r="F104" i="4" s="1"/>
  <c r="E105" i="4"/>
  <c r="F105" i="4" s="1"/>
  <c r="E106" i="4"/>
  <c r="F106" i="4" s="1"/>
  <c r="E107" i="4"/>
  <c r="F107" i="4" s="1"/>
  <c r="E108" i="4"/>
  <c r="E109" i="4"/>
  <c r="E110" i="4"/>
  <c r="F110" i="4" s="1"/>
  <c r="E111" i="4"/>
  <c r="F111" i="4" s="1"/>
  <c r="E112" i="4"/>
  <c r="F112" i="4" s="1"/>
  <c r="E113" i="4"/>
  <c r="F113" i="4" s="1"/>
  <c r="E114" i="4"/>
  <c r="F114" i="4" s="1"/>
  <c r="E115" i="4"/>
  <c r="F115" i="4" s="1"/>
  <c r="E116" i="4"/>
  <c r="F116" i="4" s="1"/>
  <c r="E117" i="4"/>
  <c r="F117" i="4" s="1"/>
  <c r="E118" i="4"/>
  <c r="F118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28" i="4"/>
  <c r="F28" i="4" s="1"/>
  <c r="E29" i="4"/>
  <c r="F29" i="4" s="1"/>
  <c r="E30" i="4"/>
  <c r="F30" i="4" s="1"/>
  <c r="E34" i="4"/>
  <c r="F34" i="4" s="1"/>
  <c r="E33" i="4"/>
  <c r="F33" i="4" s="1"/>
  <c r="E32" i="4"/>
  <c r="F32" i="4" s="1"/>
  <c r="E31" i="4"/>
  <c r="F31" i="4" s="1"/>
  <c r="E27" i="4"/>
  <c r="F27" i="4" s="1"/>
  <c r="E26" i="4"/>
  <c r="F26" i="4" s="1"/>
  <c r="E25" i="4"/>
  <c r="F25" i="4" s="1"/>
  <c r="E24" i="4"/>
  <c r="F24" i="4" s="1"/>
  <c r="E23" i="4"/>
  <c r="F23" i="4" s="1"/>
  <c r="C2" i="4"/>
  <c r="P11" i="4"/>
  <c r="C3" i="4" s="1"/>
  <c r="P28" i="4"/>
  <c r="V25" i="4"/>
  <c r="V26" i="4" s="1"/>
  <c r="P20" i="4"/>
  <c r="P21" i="4" s="1"/>
  <c r="P7" i="4" a="1"/>
  <c r="P7" i="4" s="1"/>
  <c r="P8" i="4" s="1"/>
  <c r="P4" i="4" a="1"/>
  <c r="P4" i="4" s="1"/>
  <c r="R4" i="4" s="1"/>
  <c r="D12" i="4"/>
  <c r="D13" i="4"/>
  <c r="D14" i="4"/>
  <c r="D15" i="4"/>
  <c r="D16" i="4"/>
  <c r="D17" i="4"/>
  <c r="D18" i="4"/>
  <c r="D19" i="4"/>
  <c r="D20" i="4"/>
  <c r="D21" i="4"/>
  <c r="D22" i="4"/>
  <c r="D11" i="4"/>
  <c r="N44" i="3"/>
  <c r="N42" i="3" s="1"/>
  <c r="N41" i="3" s="1"/>
  <c r="N40" i="3" s="1"/>
  <c r="N36" i="3"/>
  <c r="N34" i="3"/>
  <c r="N33" i="3"/>
  <c r="N32" i="3" s="1"/>
  <c r="N26" i="3"/>
  <c r="N25" i="3" s="1"/>
  <c r="N24" i="3" s="1"/>
  <c r="N28" i="3"/>
  <c r="I41" i="3"/>
  <c r="I42" i="3" s="1"/>
  <c r="I44" i="3" s="1"/>
  <c r="I45" i="3" s="1"/>
  <c r="I34" i="3"/>
  <c r="I36" i="3" s="1"/>
  <c r="I37" i="3" s="1"/>
  <c r="I33" i="3"/>
  <c r="I29" i="3"/>
  <c r="I28" i="3"/>
  <c r="I25" i="3"/>
  <c r="I26" i="3" s="1"/>
  <c r="C28" i="3"/>
  <c r="C20" i="3"/>
  <c r="C21" i="3" s="1"/>
  <c r="C11" i="3"/>
  <c r="C7" i="3" a="1"/>
  <c r="C7" i="3" s="1"/>
  <c r="C8" i="3" s="1"/>
  <c r="C4" i="3" a="1"/>
  <c r="C4" i="3" s="1"/>
  <c r="E4" i="3" s="1"/>
  <c r="F29" i="2"/>
  <c r="C7" i="2" a="1"/>
  <c r="C7" i="2" s="1"/>
  <c r="C8" i="2" s="1"/>
  <c r="C20" i="2"/>
  <c r="C21" i="2" s="1"/>
  <c r="C28" i="2"/>
  <c r="C11" i="2"/>
  <c r="C15" i="2" s="1"/>
  <c r="C16" i="2" s="1"/>
  <c r="C4" i="2" a="1"/>
  <c r="C4" i="2" s="1"/>
  <c r="E4" i="2" s="1"/>
  <c r="E12" i="4" l="1"/>
  <c r="F12" i="4" s="1"/>
  <c r="E14" i="4"/>
  <c r="F14" i="4" s="1"/>
  <c r="E16" i="4"/>
  <c r="F16" i="4" s="1"/>
  <c r="E13" i="4"/>
  <c r="F13" i="4" s="1"/>
  <c r="E15" i="4"/>
  <c r="F15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11" i="4"/>
  <c r="P24" i="4"/>
  <c r="P29" i="4" s="1"/>
  <c r="S29" i="4" s="1"/>
  <c r="P15" i="4"/>
  <c r="C24" i="3"/>
  <c r="C29" i="3" s="1"/>
  <c r="C15" i="3"/>
  <c r="C16" i="3" s="1"/>
  <c r="C25" i="3"/>
  <c r="C24" i="2"/>
  <c r="C25" i="2" s="1"/>
  <c r="H14" i="2"/>
  <c r="H15" i="2" s="1"/>
  <c r="H16" i="2" s="1"/>
  <c r="E5" i="4" l="1"/>
  <c r="F11" i="4"/>
  <c r="P16" i="4"/>
  <c r="P25" i="4" s="1"/>
  <c r="V28" i="4"/>
  <c r="V29" i="4" s="1"/>
  <c r="C2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<sst xmlns="http://schemas.openxmlformats.org/spreadsheetml/2006/main" count="554" uniqueCount="255">
  <si>
    <t>TIMER</t>
  </si>
  <si>
    <t>Timer</t>
  </si>
  <si>
    <t>Tamaño</t>
  </si>
  <si>
    <t>TIMERS</t>
  </si>
  <si>
    <t>Bits</t>
  </si>
  <si>
    <t>TIM1</t>
  </si>
  <si>
    <t>TIM2</t>
  </si>
  <si>
    <t>TIM3</t>
  </si>
  <si>
    <t>TIM4</t>
  </si>
  <si>
    <t>TIM5</t>
  </si>
  <si>
    <t>TIM6</t>
  </si>
  <si>
    <t>TIM7</t>
  </si>
  <si>
    <t>TIM8</t>
  </si>
  <si>
    <t>TIM9</t>
  </si>
  <si>
    <t>TIM10</t>
  </si>
  <si>
    <t>TIM11</t>
  </si>
  <si>
    <t>TIM12</t>
  </si>
  <si>
    <t>TIM13</t>
  </si>
  <si>
    <t>TIM14</t>
  </si>
  <si>
    <t>bits</t>
  </si>
  <si>
    <t>tipo</t>
  </si>
  <si>
    <t>APB2</t>
  </si>
  <si>
    <t>APB1</t>
  </si>
  <si>
    <t>INTERFACE</t>
  </si>
  <si>
    <t>MAX</t>
  </si>
  <si>
    <t>MHz</t>
  </si>
  <si>
    <t>MHz MAX</t>
  </si>
  <si>
    <t>Utilizando:</t>
  </si>
  <si>
    <t>Tipo</t>
  </si>
  <si>
    <t>Hz</t>
  </si>
  <si>
    <t>PRESCALER</t>
  </si>
  <si>
    <t>Prescaler</t>
  </si>
  <si>
    <t>seg</t>
  </si>
  <si>
    <t>seg entre pulso</t>
  </si>
  <si>
    <t>DESIRE TIME</t>
  </si>
  <si>
    <t>D Time</t>
  </si>
  <si>
    <t>mseg</t>
  </si>
  <si>
    <t>En Hz</t>
  </si>
  <si>
    <t>TIM_ARR</t>
  </si>
  <si>
    <t>Main CLK</t>
  </si>
  <si>
    <t>RESULTS</t>
  </si>
  <si>
    <t>TIM_Prescaler</t>
  </si>
  <si>
    <t>TIMER MAX</t>
  </si>
  <si>
    <t>MAX seg</t>
  </si>
  <si>
    <t>MAX Hour</t>
  </si>
  <si>
    <t>h</t>
  </si>
  <si>
    <t>MAX day</t>
  </si>
  <si>
    <t>day</t>
  </si>
  <si>
    <t>PERIOD</t>
  </si>
  <si>
    <t>Tiempo de evento</t>
  </si>
  <si>
    <t>T Update</t>
  </si>
  <si>
    <t>Pulso con mS</t>
  </si>
  <si>
    <t>freq.</t>
  </si>
  <si>
    <t>CCRx</t>
  </si>
  <si>
    <t>Duty%</t>
  </si>
  <si>
    <t>mS</t>
  </si>
  <si>
    <t>pulso mS</t>
  </si>
  <si>
    <t>pulso seg</t>
  </si>
  <si>
    <t>Pulso con Duty Cycle</t>
  </si>
  <si>
    <t>CH#1</t>
  </si>
  <si>
    <t>CH#2</t>
  </si>
  <si>
    <t>CH#3</t>
  </si>
  <si>
    <t>Note</t>
  </si>
  <si>
    <t>Octave 0</t>
  </si>
  <si>
    <t>Octave 1</t>
  </si>
  <si>
    <t>Octave 2</t>
  </si>
  <si>
    <t>Octave 3</t>
  </si>
  <si>
    <t>Octave 4</t>
  </si>
  <si>
    <t>Octave 5</t>
  </si>
  <si>
    <t>Octave 6</t>
  </si>
  <si>
    <t>Octave 7</t>
  </si>
  <si>
    <t>Octave 8</t>
  </si>
  <si>
    <t>Octave 9</t>
  </si>
  <si>
    <t>Do</t>
  </si>
  <si>
    <t>Do#/Reb</t>
  </si>
  <si>
    <t>Re</t>
  </si>
  <si>
    <t>Re#/Mib</t>
  </si>
  <si>
    <t>Mi</t>
  </si>
  <si>
    <t>Fa</t>
  </si>
  <si>
    <t>Fa#/Solb</t>
  </si>
  <si>
    <t>Sol</t>
  </si>
  <si>
    <t>Sol#/Lab</t>
  </si>
  <si>
    <t>La</t>
  </si>
  <si>
    <t>La#/Sib</t>
  </si>
  <si>
    <t>Si</t>
  </si>
  <si>
    <t>Frecuencias de notas en Hz</t>
  </si>
  <si>
    <t>Note_Name</t>
  </si>
  <si>
    <t>Fpwm</t>
  </si>
  <si>
    <t>PRE</t>
  </si>
  <si>
    <t>Define</t>
  </si>
  <si>
    <t>NOTE_C0</t>
  </si>
  <si>
    <t>NOTE_CS0</t>
  </si>
  <si>
    <t>NOTE_D0</t>
  </si>
  <si>
    <t>NOTE_DS0</t>
  </si>
  <si>
    <t>NOTE_E0</t>
  </si>
  <si>
    <t>NOTE_F0</t>
  </si>
  <si>
    <t>NOTE_FS0</t>
  </si>
  <si>
    <t>NOTE_G0</t>
  </si>
  <si>
    <t>NOTE_GS0</t>
  </si>
  <si>
    <t>NOTE_A0</t>
  </si>
  <si>
    <t>NOTE_AS0</t>
  </si>
  <si>
    <t>NOTE_B0</t>
  </si>
  <si>
    <t xml:space="preserve"> </t>
  </si>
  <si>
    <t>Fclk</t>
  </si>
  <si>
    <t>ARR</t>
  </si>
  <si>
    <t>#define NOTE_C0</t>
  </si>
  <si>
    <t>#define NOTE_CS0</t>
  </si>
  <si>
    <t>#define NOTE_D0</t>
  </si>
  <si>
    <t>#define NOTE_E0</t>
  </si>
  <si>
    <t>#define NOTE_DS0</t>
  </si>
  <si>
    <t>#define NOTE_F0</t>
  </si>
  <si>
    <t>#define NOTE_FS0</t>
  </si>
  <si>
    <t xml:space="preserve">#define NOTE_G0 </t>
  </si>
  <si>
    <t>#define NOTE_GS0</t>
  </si>
  <si>
    <t xml:space="preserve">#define NOTE_A0 </t>
  </si>
  <si>
    <t>#define NOTE_AS0</t>
  </si>
  <si>
    <t>#define NOTE_B0</t>
  </si>
  <si>
    <t>NOTE_C1</t>
  </si>
  <si>
    <t>NOTE_CS1</t>
  </si>
  <si>
    <t>NOTE_D1</t>
  </si>
  <si>
    <t>NOTE_DS1</t>
  </si>
  <si>
    <t>NOTE_E1</t>
  </si>
  <si>
    <t>NOTE_F1</t>
  </si>
  <si>
    <t>NOTE_FS1</t>
  </si>
  <si>
    <t>NOTE_G1</t>
  </si>
  <si>
    <t>NOTE_GS1</t>
  </si>
  <si>
    <t>NOTE_A1</t>
  </si>
  <si>
    <t>NOTE_AS1</t>
  </si>
  <si>
    <t>NOTE_B1</t>
  </si>
  <si>
    <t>NOTE_C2</t>
  </si>
  <si>
    <t>NOTE_CS2</t>
  </si>
  <si>
    <t>NOTE_D2</t>
  </si>
  <si>
    <t>NOTE_DS2</t>
  </si>
  <si>
    <t>NOTE_E2</t>
  </si>
  <si>
    <t>NOTE_F2</t>
  </si>
  <si>
    <t>NOTE_FS2</t>
  </si>
  <si>
    <t>NOTE_G2</t>
  </si>
  <si>
    <t>NOTE_GS2</t>
  </si>
  <si>
    <t>NOTE_A2</t>
  </si>
  <si>
    <t>NOTE_AS2</t>
  </si>
  <si>
    <t>NOTE_B2</t>
  </si>
  <si>
    <t>NOTE_C3</t>
  </si>
  <si>
    <t>NOTE_CS3</t>
  </si>
  <si>
    <t>NOTE_D3</t>
  </si>
  <si>
    <t>NOTE_DS3</t>
  </si>
  <si>
    <t>NOTE_E3</t>
  </si>
  <si>
    <t>NOTE_F3</t>
  </si>
  <si>
    <t>NOTE_FS3</t>
  </si>
  <si>
    <t>NOTE_G3</t>
  </si>
  <si>
    <t>NOTE_GS3</t>
  </si>
  <si>
    <t>NOTE_A3</t>
  </si>
  <si>
    <t>NOTE_AS3</t>
  </si>
  <si>
    <t>NOTE_B3</t>
  </si>
  <si>
    <t>NOTE_C4</t>
  </si>
  <si>
    <t>NOTE_CS4</t>
  </si>
  <si>
    <t>NOTE_D4</t>
  </si>
  <si>
    <t>NOTE_DS4</t>
  </si>
  <si>
    <t>NOTE_E4</t>
  </si>
  <si>
    <t>NOTE_F4</t>
  </si>
  <si>
    <t>NOTE_FS4</t>
  </si>
  <si>
    <t>NOTE_G4</t>
  </si>
  <si>
    <t>NOTE_GS4</t>
  </si>
  <si>
    <t>NOTE_A4</t>
  </si>
  <si>
    <t>NOTE_AS4</t>
  </si>
  <si>
    <t>NOTE_B4</t>
  </si>
  <si>
    <t>NOTE_C5</t>
  </si>
  <si>
    <t>NOTE_CS5</t>
  </si>
  <si>
    <t>NOTE_D5</t>
  </si>
  <si>
    <t>NOTE_DS5</t>
  </si>
  <si>
    <t>NOTE_E5</t>
  </si>
  <si>
    <t>NOTE_F5</t>
  </si>
  <si>
    <t>NOTE_FS5</t>
  </si>
  <si>
    <t>NOTE_G5</t>
  </si>
  <si>
    <t>NOTE_GS5</t>
  </si>
  <si>
    <t>NOTE_A5</t>
  </si>
  <si>
    <t>NOTE_AS5</t>
  </si>
  <si>
    <t>NOTE_B5</t>
  </si>
  <si>
    <t>NOTE_C6</t>
  </si>
  <si>
    <t>NOTE_CS6</t>
  </si>
  <si>
    <t>NOTE_D6</t>
  </si>
  <si>
    <t>NOTE_DS6</t>
  </si>
  <si>
    <t>NOTE_E6</t>
  </si>
  <si>
    <t>NOTE_F6</t>
  </si>
  <si>
    <t>NOTE_FS6</t>
  </si>
  <si>
    <t>NOTE_G6</t>
  </si>
  <si>
    <t>NOTE_GS6</t>
  </si>
  <si>
    <t>NOTE_A6</t>
  </si>
  <si>
    <t>NOTE_AS6</t>
  </si>
  <si>
    <t>NOTE_B6</t>
  </si>
  <si>
    <t>NOTE_C7</t>
  </si>
  <si>
    <t>NOTE_CS7</t>
  </si>
  <si>
    <t>NOTE_D7</t>
  </si>
  <si>
    <t>NOTE_DS7</t>
  </si>
  <si>
    <t>NOTE_E7</t>
  </si>
  <si>
    <t>NOTE_F7</t>
  </si>
  <si>
    <t>NOTE_FS7</t>
  </si>
  <si>
    <t>NOTE_G7</t>
  </si>
  <si>
    <t>NOTE_GS7</t>
  </si>
  <si>
    <t>NOTE_A7</t>
  </si>
  <si>
    <t>NOTE_AS7</t>
  </si>
  <si>
    <t>NOTE_B7</t>
  </si>
  <si>
    <t>NOTE_C8</t>
  </si>
  <si>
    <t>NOTE_CS8</t>
  </si>
  <si>
    <t>NOTE_D8</t>
  </si>
  <si>
    <t>NOTE_DS8</t>
  </si>
  <si>
    <t>NOTE_E8</t>
  </si>
  <si>
    <t>NOTE_F8</t>
  </si>
  <si>
    <t>NOTE_FS8</t>
  </si>
  <si>
    <t>NOTE_G8</t>
  </si>
  <si>
    <t>NOTE_GS8</t>
  </si>
  <si>
    <t>NOTE_A8</t>
  </si>
  <si>
    <t>NOTE_AS8</t>
  </si>
  <si>
    <t>NOTE_B8</t>
  </si>
  <si>
    <t>NOTE_C9</t>
  </si>
  <si>
    <t>NOTE_CS9</t>
  </si>
  <si>
    <t>NOTE_D9</t>
  </si>
  <si>
    <t>NOTE_DS9</t>
  </si>
  <si>
    <t>NOTE_E9</t>
  </si>
  <si>
    <t>NOTE_F9</t>
  </si>
  <si>
    <t>NOTE_FS9</t>
  </si>
  <si>
    <t>NOTE_G9</t>
  </si>
  <si>
    <t>NOTE_GS9</t>
  </si>
  <si>
    <t>NOTE_A9</t>
  </si>
  <si>
    <t>NOTE_AS9</t>
  </si>
  <si>
    <t>NOTE_B9</t>
  </si>
  <si>
    <t>UART2 TX</t>
  </si>
  <si>
    <t>UART2 RX</t>
  </si>
  <si>
    <t>UART1 RX</t>
  </si>
  <si>
    <t>UART1 TX</t>
  </si>
  <si>
    <t>UART3 TX</t>
  </si>
  <si>
    <t>UART3 RX</t>
  </si>
  <si>
    <t>PA9</t>
  </si>
  <si>
    <t>PC7</t>
  </si>
  <si>
    <t>PB6</t>
  </si>
  <si>
    <t>PA7</t>
  </si>
  <si>
    <t>PA6</t>
  </si>
  <si>
    <t>PA5</t>
  </si>
  <si>
    <t>GND</t>
  </si>
  <si>
    <t>AVDD</t>
  </si>
  <si>
    <t>PB9</t>
  </si>
  <si>
    <t>PB8</t>
  </si>
  <si>
    <t>PC9</t>
  </si>
  <si>
    <t>CS PT</t>
  </si>
  <si>
    <t>MOSI PT</t>
  </si>
  <si>
    <t>MISO PT</t>
  </si>
  <si>
    <t>SCK PT</t>
  </si>
  <si>
    <t>3.3v PT</t>
  </si>
  <si>
    <t>GND PT</t>
  </si>
  <si>
    <t>RESET PT</t>
  </si>
  <si>
    <t>DC PT</t>
  </si>
  <si>
    <t xml:space="preserve">PWM BOCINA </t>
  </si>
  <si>
    <t>GND BOCINA</t>
  </si>
  <si>
    <t>3.3V BOCINA</t>
  </si>
  <si>
    <t>UART5 TX</t>
  </si>
  <si>
    <t>UART5 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</si>
</sst>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86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19BE7"/>
        <bgColor indexed="64"/>
      </patternFill>
    </fill>
    <fill>
      <patternFill patternType="solid">
        <fgColor rgb="FFEEA8E9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4" borderId="7" xfId="0" applyFill="1" applyBorder="1"/>
    <xf numFmtId="0" fontId="0" fillId="4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4" borderId="14" xfId="0" applyFill="1" applyBorder="1"/>
    <xf numFmtId="0" fontId="0" fillId="0" borderId="12" xfId="0" applyBorder="1"/>
    <xf numFmtId="0" fontId="0" fillId="4" borderId="24" xfId="0" applyFill="1" applyBorder="1"/>
    <xf numFmtId="0" fontId="0" fillId="0" borderId="13" xfId="0" applyBorder="1"/>
    <xf numFmtId="165" fontId="0" fillId="3" borderId="12" xfId="0" applyNumberFormat="1" applyFill="1" applyBorder="1"/>
    <xf numFmtId="2" fontId="0" fillId="3" borderId="10" xfId="0" applyNumberFormat="1" applyFill="1" applyBorder="1"/>
    <xf numFmtId="2" fontId="0" fillId="3" borderId="0" xfId="0" applyNumberFormat="1" applyFill="1"/>
    <xf numFmtId="0" fontId="0" fillId="8" borderId="23" xfId="0" applyFill="1" applyBorder="1"/>
    <xf numFmtId="0" fontId="0" fillId="8" borderId="13" xfId="0" applyFill="1" applyBorder="1"/>
    <xf numFmtId="0" fontId="3" fillId="6" borderId="7" xfId="0" applyFont="1" applyFill="1" applyBorder="1"/>
    <xf numFmtId="0" fontId="3" fillId="5" borderId="13" xfId="0" applyFont="1" applyFill="1" applyBorder="1" applyAlignment="1">
      <alignment horizontal="left"/>
    </xf>
    <xf numFmtId="0" fontId="3" fillId="6" borderId="9" xfId="0" applyFont="1" applyFill="1" applyBorder="1"/>
    <xf numFmtId="0" fontId="3" fillId="5" borderId="12" xfId="0" applyFont="1" applyFill="1" applyBorder="1" applyAlignment="1">
      <alignment horizontal="left"/>
    </xf>
    <xf numFmtId="0" fontId="3" fillId="6" borderId="14" xfId="0" applyFont="1" applyFill="1" applyBorder="1"/>
    <xf numFmtId="0" fontId="3" fillId="5" borderId="13" xfId="0" applyFont="1" applyFill="1" applyBorder="1"/>
    <xf numFmtId="0" fontId="3" fillId="5" borderId="12" xfId="0" applyFont="1" applyFill="1" applyBorder="1"/>
    <xf numFmtId="0" fontId="0" fillId="9" borderId="25" xfId="0" applyFill="1" applyBorder="1"/>
    <xf numFmtId="0" fontId="0" fillId="10" borderId="25" xfId="0" applyFill="1" applyBorder="1"/>
    <xf numFmtId="0" fontId="0" fillId="2" borderId="32" xfId="0" applyFill="1" applyBorder="1"/>
    <xf numFmtId="0" fontId="0" fillId="2" borderId="10" xfId="0" applyFill="1" applyBorder="1"/>
    <xf numFmtId="0" fontId="0" fillId="11" borderId="32" xfId="0" applyFill="1" applyBorder="1"/>
    <xf numFmtId="0" fontId="0" fillId="11" borderId="0" xfId="0" applyFill="1"/>
    <xf numFmtId="0" fontId="0" fillId="11" borderId="10" xfId="0" applyFill="1" applyBorder="1"/>
    <xf numFmtId="0" fontId="0" fillId="8" borderId="32" xfId="0" applyFill="1" applyBorder="1"/>
    <xf numFmtId="0" fontId="0" fillId="8" borderId="0" xfId="0" applyFill="1"/>
    <xf numFmtId="0" fontId="0" fillId="8" borderId="10" xfId="0" applyFill="1" applyBorder="1"/>
    <xf numFmtId="0" fontId="0" fillId="12" borderId="32" xfId="0" applyFill="1" applyBorder="1"/>
    <xf numFmtId="0" fontId="0" fillId="12" borderId="0" xfId="0" applyFill="1"/>
    <xf numFmtId="0" fontId="0" fillId="12" borderId="10" xfId="0" applyFill="1" applyBorder="1"/>
    <xf numFmtId="0" fontId="0" fillId="13" borderId="32" xfId="0" applyFill="1" applyBorder="1"/>
    <xf numFmtId="0" fontId="0" fillId="13" borderId="0" xfId="0" applyFill="1"/>
    <xf numFmtId="0" fontId="0" fillId="13" borderId="10" xfId="0" applyFill="1" applyBorder="1"/>
    <xf numFmtId="0" fontId="0" fillId="14" borderId="32" xfId="0" applyFill="1" applyBorder="1"/>
    <xf numFmtId="0" fontId="0" fillId="14" borderId="0" xfId="0" applyFill="1"/>
    <xf numFmtId="0" fontId="0" fillId="14" borderId="10" xfId="0" applyFill="1" applyBorder="1"/>
    <xf numFmtId="0" fontId="0" fillId="15" borderId="32" xfId="0" applyFill="1" applyBorder="1"/>
    <xf numFmtId="0" fontId="0" fillId="15" borderId="0" xfId="0" applyFill="1"/>
    <xf numFmtId="0" fontId="0" fillId="15" borderId="10" xfId="0" applyFill="1" applyBorder="1"/>
    <xf numFmtId="0" fontId="0" fillId="5" borderId="32" xfId="0" applyFill="1" applyBorder="1"/>
    <xf numFmtId="0" fontId="0" fillId="5" borderId="0" xfId="0" applyFill="1"/>
    <xf numFmtId="0" fontId="0" fillId="5" borderId="10" xfId="0" applyFill="1" applyBorder="1"/>
    <xf numFmtId="0" fontId="0" fillId="3" borderId="32" xfId="0" applyFill="1" applyBorder="1"/>
    <xf numFmtId="0" fontId="0" fillId="3" borderId="33" xfId="0" applyFill="1" applyBorder="1"/>
    <xf numFmtId="0" fontId="2" fillId="16" borderId="35" xfId="0" applyFont="1" applyFill="1" applyBorder="1"/>
    <xf numFmtId="0" fontId="2" fillId="16" borderId="14" xfId="0" applyFont="1" applyFill="1" applyBorder="1"/>
    <xf numFmtId="0" fontId="2" fillId="16" borderId="9" xfId="0" applyFont="1" applyFill="1" applyBorder="1"/>
    <xf numFmtId="0" fontId="2" fillId="16" borderId="30" xfId="0" applyFont="1" applyFill="1" applyBorder="1" applyAlignment="1">
      <alignment horizontal="center"/>
    </xf>
    <xf numFmtId="0" fontId="2" fillId="16" borderId="31" xfId="0" applyFon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0" fillId="2" borderId="36" xfId="0" applyFill="1" applyBorder="1"/>
    <xf numFmtId="1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10" xfId="0" applyNumberFormat="1" applyFill="1" applyBorder="1" applyAlignment="1">
      <alignment horizontal="center"/>
    </xf>
    <xf numFmtId="1" fontId="0" fillId="3" borderId="10" xfId="0" applyNumberFormat="1" applyFill="1" applyBorder="1"/>
    <xf numFmtId="0" fontId="0" fillId="18" borderId="4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2" fillId="16" borderId="34" xfId="0" applyFont="1" applyFill="1" applyBorder="1"/>
    <xf numFmtId="0" fontId="2" fillId="16" borderId="11" xfId="0" applyFont="1" applyFill="1" applyBorder="1"/>
    <xf numFmtId="1" fontId="0" fillId="2" borderId="0" xfId="0" applyNumberFormat="1" applyFill="1" applyAlignment="1">
      <alignment horizontal="center"/>
    </xf>
    <xf numFmtId="1" fontId="0" fillId="2" borderId="10" xfId="0" applyNumberFormat="1" applyFill="1" applyBorder="1" applyAlignment="1">
      <alignment horizontal="center"/>
    </xf>
    <xf numFmtId="1" fontId="0" fillId="11" borderId="0" xfId="0" applyNumberFormat="1" applyFill="1" applyAlignment="1">
      <alignment horizontal="center"/>
    </xf>
    <xf numFmtId="1" fontId="0" fillId="11" borderId="10" xfId="0" applyNumberFormat="1" applyFill="1" applyBorder="1" applyAlignment="1">
      <alignment horizontal="center"/>
    </xf>
    <xf numFmtId="1" fontId="0" fillId="8" borderId="0" xfId="0" applyNumberFormat="1" applyFill="1" applyAlignment="1">
      <alignment horizontal="center"/>
    </xf>
    <xf numFmtId="1" fontId="0" fillId="8" borderId="10" xfId="0" applyNumberFormat="1" applyFill="1" applyBorder="1" applyAlignment="1">
      <alignment horizontal="center"/>
    </xf>
    <xf numFmtId="1" fontId="0" fillId="12" borderId="0" xfId="0" applyNumberFormat="1" applyFill="1" applyAlignment="1">
      <alignment horizontal="center"/>
    </xf>
    <xf numFmtId="1" fontId="0" fillId="12" borderId="10" xfId="0" applyNumberFormat="1" applyFill="1" applyBorder="1" applyAlignment="1">
      <alignment horizontal="center"/>
    </xf>
    <xf numFmtId="1" fontId="0" fillId="13" borderId="0" xfId="0" applyNumberFormat="1" applyFill="1" applyAlignment="1">
      <alignment horizontal="center"/>
    </xf>
    <xf numFmtId="1" fontId="0" fillId="13" borderId="10" xfId="0" applyNumberFormat="1" applyFill="1" applyBorder="1" applyAlignment="1">
      <alignment horizontal="center"/>
    </xf>
    <xf numFmtId="1" fontId="0" fillId="14" borderId="0" xfId="0" applyNumberFormat="1" applyFill="1" applyAlignment="1">
      <alignment horizontal="center"/>
    </xf>
    <xf numFmtId="1" fontId="0" fillId="14" borderId="10" xfId="0" applyNumberFormat="1" applyFill="1" applyBorder="1" applyAlignment="1">
      <alignment horizontal="center"/>
    </xf>
    <xf numFmtId="1" fontId="0" fillId="15" borderId="0" xfId="0" applyNumberFormat="1" applyFill="1" applyAlignment="1">
      <alignment horizontal="center"/>
    </xf>
    <xf numFmtId="1" fontId="0" fillId="15" borderId="10" xfId="0" applyNumberFormat="1" applyFill="1" applyBorder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22" xfId="0" applyNumberFormat="1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3" fillId="3" borderId="42" xfId="0" applyFont="1" applyFill="1" applyBorder="1"/>
    <xf numFmtId="0" fontId="3" fillId="3" borderId="43" xfId="0" applyFont="1" applyFill="1" applyBorder="1"/>
    <xf numFmtId="0" fontId="3" fillId="0" borderId="0" xfId="0" applyFont="1"/>
    <xf numFmtId="1" fontId="3" fillId="5" borderId="22" xfId="0" applyNumberFormat="1" applyFont="1" applyFill="1" applyBorder="1" applyAlignment="1">
      <alignment horizontal="right"/>
    </xf>
    <xf numFmtId="1" fontId="3" fillId="5" borderId="10" xfId="0" applyNumberFormat="1" applyFont="1" applyFill="1" applyBorder="1" applyAlignment="1">
      <alignment horizontal="right"/>
    </xf>
    <xf numFmtId="164" fontId="0" fillId="3" borderId="22" xfId="0" applyNumberFormat="1" applyFill="1" applyBorder="1" applyAlignment="1">
      <alignment horizontal="right"/>
    </xf>
    <xf numFmtId="164" fontId="0" fillId="3" borderId="10" xfId="0" applyNumberFormat="1" applyFill="1" applyBorder="1" applyAlignment="1">
      <alignment horizontal="right"/>
    </xf>
    <xf numFmtId="0" fontId="0" fillId="4" borderId="15" xfId="0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1" fontId="0" fillId="8" borderId="3" xfId="0" applyNumberFormat="1" applyFill="1" applyBorder="1" applyAlignment="1">
      <alignment horizontal="right"/>
    </xf>
    <xf numFmtId="1" fontId="0" fillId="8" borderId="8" xfId="0" applyNumberFormat="1" applyFill="1" applyBorder="1" applyAlignment="1">
      <alignment horizontal="right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right"/>
    </xf>
    <xf numFmtId="0" fontId="3" fillId="5" borderId="3" xfId="0" applyFont="1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8" borderId="20" xfId="0" applyFill="1" applyBorder="1" applyAlignment="1">
      <alignment horizontal="right"/>
    </xf>
    <xf numFmtId="0" fontId="0" fillId="8" borderId="21" xfId="0" applyFill="1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8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0" fontId="0" fillId="8" borderId="1" xfId="0" applyFill="1" applyBorder="1" applyAlignment="1">
      <alignment horizontal="right"/>
    </xf>
    <xf numFmtId="0" fontId="0" fillId="8" borderId="13" xfId="0" applyFill="1" applyBorder="1" applyAlignment="1">
      <alignment horizontal="right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3" xfId="0" applyFill="1" applyBorder="1" applyAlignment="1">
      <alignment horizontal="center"/>
    </xf>
    <xf numFmtId="0" fontId="0" fillId="3" borderId="18" xfId="0" applyFill="1" applyBorder="1" applyAlignment="1">
      <alignment horizontal="right"/>
    </xf>
    <xf numFmtId="0" fontId="0" fillId="3" borderId="19" xfId="0" applyFill="1" applyBorder="1" applyAlignment="1">
      <alignment horizontal="right"/>
    </xf>
    <xf numFmtId="1" fontId="3" fillId="5" borderId="2" xfId="0" applyNumberFormat="1" applyFont="1" applyFill="1" applyBorder="1" applyAlignment="1">
      <alignment horizontal="right"/>
    </xf>
    <xf numFmtId="1" fontId="3" fillId="5" borderId="3" xfId="0" applyNumberFormat="1" applyFont="1" applyFill="1" applyBorder="1" applyAlignment="1">
      <alignment horizontal="right"/>
    </xf>
    <xf numFmtId="9" fontId="3" fillId="5" borderId="10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0" fillId="3" borderId="0" xfId="0" applyNumberFormat="1" applyFill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2" borderId="3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38" xfId="0" applyFill="1" applyBorder="1" applyAlignment="1">
      <alignment horizontal="right"/>
    </xf>
    <xf numFmtId="0" fontId="0" fillId="3" borderId="26" xfId="0" applyFill="1" applyBorder="1" applyAlignment="1">
      <alignment horizontal="right"/>
    </xf>
    <xf numFmtId="0" fontId="2" fillId="17" borderId="27" xfId="0" applyFont="1" applyFill="1" applyBorder="1" applyAlignment="1">
      <alignment horizontal="center"/>
    </xf>
    <xf numFmtId="0" fontId="2" fillId="17" borderId="28" xfId="0" applyFont="1" applyFill="1" applyBorder="1" applyAlignment="1">
      <alignment horizontal="center"/>
    </xf>
    <xf numFmtId="0" fontId="2" fillId="17" borderId="29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colors>
    <mruColors>
      <color rgb="FFC19BE7"/>
      <color rgb="FFEEA8E9"/>
      <color rgb="FFFF6161"/>
      <color rgb="FFFDE86B"/>
      <color rgb="FFFF8FF2"/>
      <color rgb="FFFFFF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287866</xdr:colOff>
      <xdr:row>1</xdr:row>
      <xdr:rowOff>135466</xdr:rowOff>
    </xdr:from>
    <xdr:to>
      <xdr:col>37</xdr:col>
      <xdr:colOff>203065</xdr:colOff>
      <xdr:row>3</xdr:row>
      <xdr:rowOff>34964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29834D-2C27-C841-40D6-EAB38494A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37466" y="321733"/>
          <a:ext cx="6620799" cy="272031"/>
        </a:xfrm>
        <a:prstGeom prst="rect">
          <a:avLst/>
        </a:prstGeom>
      </xdr:spPr>
    </xdr:pic>
    <xdr:clientData/>
  </xdr:twoCellAnchor>
  <xdr:twoCellAnchor editAs="oneCell">
    <xdr:from>
      <xdr:col>26</xdr:col>
      <xdr:colOff>215900</xdr:colOff>
      <xdr:row>4</xdr:row>
      <xdr:rowOff>35983</xdr:rowOff>
    </xdr:from>
    <xdr:to>
      <xdr:col>35</xdr:col>
      <xdr:colOff>64243</xdr:colOff>
      <xdr:row>7</xdr:row>
      <xdr:rowOff>36063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DD2238-8591-D94E-0669-3F6C29B76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65500" y="781050"/>
          <a:ext cx="5334744" cy="558880"/>
        </a:xfrm>
        <a:prstGeom prst="rect">
          <a:avLst/>
        </a:prstGeom>
      </xdr:spPr>
    </xdr:pic>
    <xdr:clientData/>
  </xdr:twoCellAnchor>
  <xdr:twoCellAnchor editAs="oneCell">
    <xdr:from>
      <xdr:col>26</xdr:col>
      <xdr:colOff>237067</xdr:colOff>
      <xdr:row>8</xdr:row>
      <xdr:rowOff>1</xdr:rowOff>
    </xdr:from>
    <xdr:to>
      <xdr:col>36</xdr:col>
      <xdr:colOff>295076</xdr:colOff>
      <xdr:row>11</xdr:row>
      <xdr:rowOff>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05FD07-6E86-6453-B771-6236880E6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86667" y="1490134"/>
          <a:ext cx="6154009" cy="558880"/>
        </a:xfrm>
        <a:prstGeom prst="rect">
          <a:avLst/>
        </a:prstGeom>
      </xdr:spPr>
    </xdr:pic>
    <xdr:clientData/>
  </xdr:twoCellAnchor>
  <xdr:twoCellAnchor editAs="oneCell">
    <xdr:from>
      <xdr:col>26</xdr:col>
      <xdr:colOff>390525</xdr:colOff>
      <xdr:row>12</xdr:row>
      <xdr:rowOff>19050</xdr:rowOff>
    </xdr:from>
    <xdr:to>
      <xdr:col>46</xdr:col>
      <xdr:colOff>30225</xdr:colOff>
      <xdr:row>40</xdr:row>
      <xdr:rowOff>29321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4A991D-5A00-97D9-31A6-7097EF727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40125" y="2305050"/>
          <a:ext cx="11831701" cy="5344271"/>
        </a:xfrm>
        <a:prstGeom prst="rect">
          <a:avLst/>
        </a:prstGeom>
      </xdr:spPr>
    </xdr:pic>
    <xdr:clientData/>
  </xdr:twoCellAnchor>
  <xdr:twoCellAnchor editAs="oneCell">
    <xdr:from>
      <xdr:col>4</xdr:col>
      <xdr:colOff>372399</xdr:colOff>
      <xdr:row>41</xdr:row>
      <xdr:rowOff>141515</xdr:rowOff>
    </xdr:from>
    <xdr:to>
      <xdr:col>16</xdr:col>
      <xdr:colOff>25168</xdr:colOff>
      <xdr:row>74</xdr:row>
      <xdr:rowOff>32656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B60157E3-5C3E-4D82-A517-E87DF49B53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alphaModFix amt="57000"/>
        </a:blip>
        <a:srcRect l="2241" r="2710"/>
        <a:stretch>
          <a:fillRect/>
        </a:stretch>
      </xdr:blipFill>
      <xdr:spPr>
        <a:xfrm>
          <a:off x="2810799" y="7492574"/>
          <a:ext cx="7048651" cy="5807847"/>
        </a:xfrm>
        <a:prstGeom prst="rect">
          <a:avLst/>
        </a:prstGeom>
        <a:effectLst>
          <a:glow rad="127000">
            <a:schemeClr val="accent1">
              <a:alpha val="0"/>
            </a:schemeClr>
          </a:glow>
        </a:effectLst>
      </xdr:spPr>
    </xdr:pic>
    <xdr:clientData/>
  </xdr:twoCellAnchor>
  <xdr:twoCellAnchor editAs="oneCell">
    <xdr:from>
      <xdr:col>4</xdr:col>
      <xdr:colOff>459541</xdr:colOff>
      <xdr:row>5</xdr:row>
      <xdr:rowOff>118265</xdr:rowOff>
    </xdr:from>
    <xdr:to>
      <xdr:col>16</xdr:col>
      <xdr:colOff>112310</xdr:colOff>
      <xdr:row>38</xdr:row>
      <xdr:rowOff>15723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C0AA5E3C-1011-4122-B14C-2F234F6E5E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alphaModFix amt="57000"/>
        </a:blip>
        <a:srcRect l="2241" r="2710"/>
        <a:stretch>
          <a:fillRect/>
        </a:stretch>
      </xdr:blipFill>
      <xdr:spPr>
        <a:xfrm>
          <a:off x="2903692" y="1016850"/>
          <a:ext cx="7057109" cy="5828118"/>
        </a:xfrm>
        <a:prstGeom prst="rect">
          <a:avLst/>
        </a:prstGeom>
        <a:effectLst>
          <a:glow rad="127000">
            <a:schemeClr val="accent1">
              <a:alpha val="0"/>
            </a:schemeClr>
          </a:glo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590551</xdr:colOff>
      <xdr:row>0</xdr:row>
      <xdr:rowOff>85725</xdr:rowOff>
    </xdr:from>
    <xdr:to>
      <xdr:col>14</xdr:col>
      <xdr:colOff>6847</xdr:colOff>
      <xdr:row>17</xdr:row>
      <xdr:rowOff>47625</xdr:rowOff>
    </xdr:to>
    <xdr:pic>
      <xdr:nvPicPr>
        <xdr:cNvPr id="3" name="Picture 2" descr="Thoughts on Clockwork? : r/Ben10">
          <a:extLst>
            <a:ext uri="{FF2B5EF4-FFF2-40B4-BE49-F238E27FC236}">
              <a16:creationId xmlns:a16="http://schemas.microsoft.com/office/drawing/2014/main" id="{D3ED889D-452F-A501-1614-21214F963A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3086" b="741"/>
        <a:stretch>
          <a:fillRect/>
        </a:stretch>
      </xdr:blipFill>
      <xdr:spPr>
        <a:xfrm>
          <a:off x="5419726" y="85725"/>
          <a:ext cx="3683496" cy="3324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552451</xdr:colOff>
      <xdr:row>1</xdr:row>
      <xdr:rowOff>142874</xdr:rowOff>
    </xdr:from>
    <xdr:to>
      <xdr:col>19</xdr:col>
      <xdr:colOff>447675</xdr:colOff>
      <xdr:row>17</xdr:row>
      <xdr:rowOff>140147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8DC94C-75EA-D716-19EB-0BA1822FC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1" y="342899"/>
          <a:ext cx="3552824" cy="3159573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3</xdr:row>
      <xdr:rowOff>19050</xdr:rowOff>
    </xdr:from>
    <xdr:to>
      <xdr:col>11</xdr:col>
      <xdr:colOff>428931</xdr:colOff>
      <xdr:row>16</xdr:row>
      <xdr:rowOff>105145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A9876D-F8BB-9235-D3F0-D8DD624DA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24475" y="619125"/>
          <a:ext cx="2191056" cy="2648320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rgbClr val="292929"/>
          </a:solidFill>
          <a:miter lim="800000"/>
        </a:ln>
        <a:effectLst>
          <a:reflection blurRad="12700" stA="28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>
          <a:bevelT h="38100"/>
          <a:contourClr>
            <a:srgbClr val="C0C0C0"/>
          </a:contourClr>
        </a:sp3d>
      </xdr:spPr>
    </xdr:pic>
    <xdr:clientData/>
  </xdr:twoCellAnchor>
  <xdr:twoCellAnchor>
    <xdr:from>
      <xdr:col>11</xdr:col>
      <xdr:colOff>228600</xdr:colOff>
      <xdr:row>21</xdr:row>
      <xdr:rowOff>0</xdr:rowOff>
    </xdr:from>
    <xdr:to>
      <xdr:col>11</xdr:col>
      <xdr:colOff>352425</xdr:colOff>
      <xdr:row>45</xdr:row>
      <xdr:rowOff>161925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26F4A47-990E-E2A2-941B-B343F17E5995}"/>
            </a:ext>
          </a:extLst>
        </xdr:cNvPr>
        <xdr:cNvGrpSpPr/>
      </xdr:nvGrpSpPr>
      <xdr:grpSpPr>
        <a:xfrm>
          <a:off x="7360920" y="3962400"/>
          <a:ext cx="123825" cy="4718685"/>
          <a:chOff x="7372350" y="4152900"/>
          <a:chExt cx="123825" cy="4943475"/>
        </a:xfrm>
      </xdr:grpSpPr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DE772D24-3B06-3A1C-B784-8A1C95B2D37C}"/>
              </a:ext>
            </a:extLst>
          </xdr:cNvPr>
          <xdr:cNvCxnSpPr/>
        </xdr:nvCxnSpPr>
        <xdr:spPr>
          <a:xfrm>
            <a:off x="7372350" y="4152900"/>
            <a:ext cx="9525" cy="4943475"/>
          </a:xfrm>
          <a:prstGeom prst="line">
            <a:avLst/>
          </a:prstGeom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955C9192-A0E7-4AE3-AB29-5B806384A2AB}"/>
              </a:ext>
            </a:extLst>
          </xdr:cNvPr>
          <xdr:cNvCxnSpPr/>
        </xdr:nvCxnSpPr>
        <xdr:spPr>
          <a:xfrm>
            <a:off x="7486650" y="4152900"/>
            <a:ext cx="9525" cy="4943475"/>
          </a:xfrm>
          <a:prstGeom prst="line">
            <a:avLst/>
          </a:prstGeom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114300</xdr:colOff>
      <xdr:row>1</xdr:row>
      <xdr:rowOff>95250</xdr:rowOff>
    </xdr:from>
    <xdr:to>
      <xdr:col>22</xdr:col>
      <xdr:colOff>476556</xdr:colOff>
      <xdr:row>15</xdr:row>
      <xdr:rowOff>19420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DE5C95-699C-475A-B0BF-E40C73CE1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4050" y="295275"/>
          <a:ext cx="2191056" cy="2734045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rgbClr val="292929"/>
          </a:solidFill>
          <a:miter lim="800000"/>
        </a:ln>
        <a:effectLst>
          <a:reflection blurRad="12700" stA="28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>
          <a:bevelT h="38100"/>
          <a:contourClr>
            <a:srgbClr val="C0C0C0"/>
          </a:contourClr>
        </a:sp3d>
      </xdr:spPr>
    </xdr:pic>
    <xdr:clientData/>
  </xdr:twoCellAnchor>
  <xdr:twoCellAnchor editAs="oneCell">
    <xdr:from>
      <xdr:col>7</xdr:col>
      <xdr:colOff>542925</xdr:colOff>
      <xdr:row>1</xdr:row>
      <xdr:rowOff>38100</xdr:rowOff>
    </xdr:from>
    <xdr:to>
      <xdr:col>12</xdr:col>
      <xdr:colOff>486192</xdr:colOff>
      <xdr:row>11</xdr:row>
      <xdr:rowOff>124117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F62961-5546-30C4-8837-599FF4DF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7475" y="238125"/>
          <a:ext cx="2991267" cy="209579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6AF26-2EE0-42A4-B1D4-CD6B5F698432}" name="Table1" displayName="Table1" ref="O2:R16" totalsRowShown="0" headerRowDxfId="11" dataDxfId="10">
  <autoFilter ref="O2:R16" xr:uid="{1336AF26-2EE0-42A4-B1D4-CD6B5F698432}"/>
  <tableColumns count="4">
    <tableColumn id="1" xr3:uid="{320784E8-D1EA-4761-B513-9F384D685635}" name="TIMERS" dataDxfId="9"/>
    <tableColumn id="2" xr3:uid="{21FFB725-0C24-4946-8CA8-CF88F4785576}" name="Bits" dataDxfId="8"/>
    <tableColumn id="3" xr3:uid="{74CFB319-03E3-439C-83FC-C3F7D4D3B21F}" name="tipo" dataDxfId="7"/>
    <tableColumn id="4" xr3:uid="{DF3545AA-5E82-49E1-B29E-96C1F02848D8}" name="MHz MAX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00C7B5-4157-4338-B25F-81652582F85B}" name="Table13" displayName="Table13" ref="P3:S17" totalsRowShown="0" headerRowDxfId="5" dataDxfId="4">
  <autoFilter ref="P3:S17" xr:uid="{C400C7B5-4157-4338-B25F-81652582F85B}"/>
  <tableColumns count="4">
    <tableColumn id="1" xr3:uid="{3415D230-7BE9-4F80-BE8C-64FBF7D91EE1}" name="TIMERS" dataDxfId="3"/>
    <tableColumn id="2" xr3:uid="{9994175A-F7F0-4630-986B-BA0F77AB3CA1}" name="Bits" dataDxfId="2"/>
    <tableColumn id="3" xr3:uid="{44225014-9428-4194-9D49-BFE9ED1E06C0}" name="tipo" dataDxfId="1"/>
    <tableColumn id="4" xr3:uid="{895788EB-C162-4A84-B00C-787F98BFBB36}" name="MHz M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0FD5-06A3-42DA-81F6-63E9F42A5CBC}">
  <dimension ref="E16:Q65"/>
  <sheetViews>
    <sheetView tabSelected="1" topLeftCell="C13" zoomScale="67" workbookViewId="0">
      <selection activeCell="J17" sqref="J17"/>
    </sheetView>
  </sheetViews>
  <sheetFormatPr baseColWidth="10" defaultColWidth="8.88671875" defaultRowHeight="14.4" x14ac:dyDescent="0.3"/>
  <cols>
    <col min="10" max="10" width="10" customWidth="1"/>
    <col min="12" max="12" width="8.88671875" customWidth="1"/>
    <col min="17" max="17" width="11" customWidth="1"/>
  </cols>
  <sheetData>
    <row r="16" spans="13:13" x14ac:dyDescent="0.3">
      <c r="M16" t="s">
        <v>241</v>
      </c>
    </row>
    <row r="17" spans="5:17" x14ac:dyDescent="0.3">
      <c r="E17" s="92" t="s">
        <v>253</v>
      </c>
      <c r="J17" s="92" t="s">
        <v>254</v>
      </c>
      <c r="M17" t="s">
        <v>240</v>
      </c>
    </row>
    <row r="18" spans="5:17" x14ac:dyDescent="0.3">
      <c r="M18" t="s">
        <v>239</v>
      </c>
      <c r="Q18" s="92" t="s">
        <v>230</v>
      </c>
    </row>
    <row r="19" spans="5:17" x14ac:dyDescent="0.3">
      <c r="M19" t="s">
        <v>238</v>
      </c>
    </row>
    <row r="20" spans="5:17" x14ac:dyDescent="0.3">
      <c r="M20" t="s">
        <v>237</v>
      </c>
    </row>
    <row r="21" spans="5:17" x14ac:dyDescent="0.3">
      <c r="L21" s="92" t="s">
        <v>245</v>
      </c>
      <c r="M21" t="s">
        <v>236</v>
      </c>
    </row>
    <row r="22" spans="5:17" x14ac:dyDescent="0.3">
      <c r="L22" s="92" t="s">
        <v>244</v>
      </c>
      <c r="M22" t="s">
        <v>235</v>
      </c>
    </row>
    <row r="23" spans="5:17" x14ac:dyDescent="0.3">
      <c r="J23" s="92" t="s">
        <v>246</v>
      </c>
      <c r="L23" s="92" t="s">
        <v>243</v>
      </c>
      <c r="M23" t="s">
        <v>234</v>
      </c>
    </row>
    <row r="24" spans="5:17" x14ac:dyDescent="0.3">
      <c r="L24" s="92" t="s">
        <v>242</v>
      </c>
      <c r="M24" t="s">
        <v>233</v>
      </c>
    </row>
    <row r="25" spans="5:17" x14ac:dyDescent="0.3">
      <c r="L25" s="92"/>
      <c r="M25" t="s">
        <v>232</v>
      </c>
    </row>
    <row r="26" spans="5:17" x14ac:dyDescent="0.3">
      <c r="J26" s="92" t="s">
        <v>247</v>
      </c>
      <c r="L26" s="92" t="s">
        <v>228</v>
      </c>
      <c r="M26" t="s">
        <v>231</v>
      </c>
    </row>
    <row r="28" spans="5:17" x14ac:dyDescent="0.3">
      <c r="L28" s="92" t="s">
        <v>229</v>
      </c>
    </row>
    <row r="31" spans="5:17" x14ac:dyDescent="0.3">
      <c r="J31" s="92" t="s">
        <v>249</v>
      </c>
    </row>
    <row r="32" spans="5:17" x14ac:dyDescent="0.3">
      <c r="J32" s="92" t="s">
        <v>242</v>
      </c>
      <c r="L32" s="92" t="s">
        <v>227</v>
      </c>
    </row>
    <row r="33" spans="10:12" x14ac:dyDescent="0.3">
      <c r="J33" s="92" t="s">
        <v>248</v>
      </c>
      <c r="L33" s="92" t="s">
        <v>225</v>
      </c>
    </row>
    <row r="34" spans="10:12" x14ac:dyDescent="0.3">
      <c r="L34" s="92" t="s">
        <v>226</v>
      </c>
    </row>
    <row r="59" spans="10:10" x14ac:dyDescent="0.3">
      <c r="J59" s="92" t="s">
        <v>252</v>
      </c>
    </row>
    <row r="61" spans="10:10" x14ac:dyDescent="0.3">
      <c r="J61" s="92" t="s">
        <v>251</v>
      </c>
    </row>
    <row r="65" spans="10:10" x14ac:dyDescent="0.3">
      <c r="J65" s="92" t="s">
        <v>250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B5B3-E21C-4E9F-BDE1-BF4D0C4EAC27}">
  <dimension ref="B1:R29"/>
  <sheetViews>
    <sheetView zoomScaleNormal="100" workbookViewId="0">
      <selection activeCell="G25" sqref="G25"/>
    </sheetView>
  </sheetViews>
  <sheetFormatPr baseColWidth="10" defaultColWidth="8.88671875" defaultRowHeight="14.4" x14ac:dyDescent="0.3"/>
  <cols>
    <col min="2" max="2" width="14.44140625" bestFit="1" customWidth="1"/>
    <col min="5" max="5" width="11.88671875" customWidth="1"/>
    <col min="7" max="7" width="9.5546875" bestFit="1" customWidth="1"/>
    <col min="15" max="15" width="9.88671875" customWidth="1"/>
  </cols>
  <sheetData>
    <row r="1" spans="2:18" ht="15" thickBot="1" x14ac:dyDescent="0.35"/>
    <row r="2" spans="2:18" ht="15" thickBot="1" x14ac:dyDescent="0.35">
      <c r="B2" s="108" t="s">
        <v>0</v>
      </c>
      <c r="C2" s="109"/>
      <c r="D2" s="109"/>
      <c r="E2" s="110"/>
      <c r="O2" s="1" t="s">
        <v>3</v>
      </c>
      <c r="P2" s="1" t="s">
        <v>4</v>
      </c>
      <c r="Q2" s="1" t="s">
        <v>20</v>
      </c>
      <c r="R2" s="1" t="s">
        <v>26</v>
      </c>
    </row>
    <row r="3" spans="2:18" ht="15" thickTop="1" x14ac:dyDescent="0.3">
      <c r="B3" s="4" t="s">
        <v>1</v>
      </c>
      <c r="C3" s="120" t="s">
        <v>11</v>
      </c>
      <c r="D3" s="121"/>
      <c r="E3" s="122"/>
      <c r="O3" s="2" t="s">
        <v>5</v>
      </c>
      <c r="P3" s="3">
        <v>16</v>
      </c>
      <c r="Q3" s="2" t="s">
        <v>21</v>
      </c>
      <c r="R3" s="2">
        <v>180</v>
      </c>
    </row>
    <row r="4" spans="2:18" ht="15" thickBot="1" x14ac:dyDescent="0.35">
      <c r="B4" s="5" t="s">
        <v>2</v>
      </c>
      <c r="C4" s="6" cm="1">
        <f t="array" ref="C4">_xlfn.XLOOKUP(C3,TIM1_,Table1[Bits])</f>
        <v>16</v>
      </c>
      <c r="D4" s="7" t="s">
        <v>19</v>
      </c>
      <c r="E4" s="8">
        <f>2^C4</f>
        <v>65536</v>
      </c>
      <c r="O4" s="2" t="s">
        <v>6</v>
      </c>
      <c r="P4" s="3">
        <v>32</v>
      </c>
      <c r="Q4" s="2" t="s">
        <v>22</v>
      </c>
      <c r="R4" s="2">
        <v>90</v>
      </c>
    </row>
    <row r="5" spans="2:18" ht="15" thickBot="1" x14ac:dyDescent="0.35">
      <c r="O5" s="2" t="s">
        <v>7</v>
      </c>
      <c r="P5" s="3">
        <v>16</v>
      </c>
      <c r="Q5" s="2" t="s">
        <v>22</v>
      </c>
      <c r="R5" s="2">
        <v>90</v>
      </c>
    </row>
    <row r="6" spans="2:18" ht="15" thickBot="1" x14ac:dyDescent="0.35">
      <c r="B6" s="108" t="s">
        <v>23</v>
      </c>
      <c r="C6" s="109"/>
      <c r="D6" s="109"/>
      <c r="E6" s="110"/>
      <c r="O6" s="2" t="s">
        <v>8</v>
      </c>
      <c r="P6" s="3">
        <v>16</v>
      </c>
      <c r="Q6" s="2" t="s">
        <v>22</v>
      </c>
      <c r="R6" s="2">
        <v>90</v>
      </c>
    </row>
    <row r="7" spans="2:18" ht="15" thickTop="1" x14ac:dyDescent="0.3">
      <c r="B7" s="4" t="s">
        <v>28</v>
      </c>
      <c r="C7" s="123" t="str" cm="1">
        <f t="array" ref="C7">_xlfn.XLOOKUP(C3,TIM1_,Table1[tipo])</f>
        <v>APB1</v>
      </c>
      <c r="D7" s="123"/>
      <c r="E7" s="124"/>
      <c r="O7" s="2" t="s">
        <v>9</v>
      </c>
      <c r="P7" s="3">
        <v>32</v>
      </c>
      <c r="Q7" s="2" t="s">
        <v>22</v>
      </c>
      <c r="R7" s="2">
        <v>90</v>
      </c>
    </row>
    <row r="8" spans="2:18" x14ac:dyDescent="0.3">
      <c r="B8" s="10" t="s">
        <v>24</v>
      </c>
      <c r="C8" s="125">
        <f>IF(C7="APB2",90,45)</f>
        <v>45</v>
      </c>
      <c r="D8" s="126"/>
      <c r="E8" s="9" t="s">
        <v>25</v>
      </c>
      <c r="O8" s="2" t="s">
        <v>10</v>
      </c>
      <c r="P8" s="3">
        <v>16</v>
      </c>
      <c r="Q8" s="2" t="s">
        <v>22</v>
      </c>
      <c r="R8" s="2">
        <v>90</v>
      </c>
    </row>
    <row r="9" spans="2:18" x14ac:dyDescent="0.3">
      <c r="B9" s="97" t="s">
        <v>27</v>
      </c>
      <c r="C9" s="98"/>
      <c r="D9" s="98"/>
      <c r="E9" s="99"/>
      <c r="O9" s="2" t="s">
        <v>11</v>
      </c>
      <c r="P9" s="3">
        <v>16</v>
      </c>
      <c r="Q9" s="2" t="s">
        <v>22</v>
      </c>
      <c r="R9" s="2">
        <v>90</v>
      </c>
    </row>
    <row r="10" spans="2:18" x14ac:dyDescent="0.3">
      <c r="B10" s="12" t="s">
        <v>39</v>
      </c>
      <c r="C10" s="111">
        <v>48</v>
      </c>
      <c r="D10" s="112"/>
      <c r="E10" s="17" t="s">
        <v>25</v>
      </c>
      <c r="O10" s="2" t="s">
        <v>12</v>
      </c>
      <c r="P10" s="3">
        <v>16</v>
      </c>
      <c r="Q10" s="2" t="s">
        <v>21</v>
      </c>
      <c r="R10" s="2">
        <v>180</v>
      </c>
    </row>
    <row r="11" spans="2:18" ht="15" thickBot="1" x14ac:dyDescent="0.35">
      <c r="B11" s="5"/>
      <c r="C11" s="113">
        <f>C10*1000000</f>
        <v>48000000</v>
      </c>
      <c r="D11" s="114"/>
      <c r="E11" s="11" t="s">
        <v>29</v>
      </c>
      <c r="O11" s="2" t="s">
        <v>13</v>
      </c>
      <c r="P11" s="3">
        <v>16</v>
      </c>
      <c r="Q11" s="2" t="s">
        <v>21</v>
      </c>
      <c r="R11" s="2">
        <v>180</v>
      </c>
    </row>
    <row r="12" spans="2:18" ht="15" thickBot="1" x14ac:dyDescent="0.35">
      <c r="O12" s="2" t="s">
        <v>14</v>
      </c>
      <c r="P12" s="3">
        <v>16</v>
      </c>
      <c r="Q12" s="2" t="s">
        <v>21</v>
      </c>
      <c r="R12" s="2">
        <v>180</v>
      </c>
    </row>
    <row r="13" spans="2:18" ht="15" thickBot="1" x14ac:dyDescent="0.35">
      <c r="B13" s="108" t="s">
        <v>30</v>
      </c>
      <c r="C13" s="109"/>
      <c r="D13" s="109"/>
      <c r="E13" s="110"/>
      <c r="G13" s="108" t="s">
        <v>42</v>
      </c>
      <c r="H13" s="109"/>
      <c r="I13" s="110"/>
      <c r="O13" s="2" t="s">
        <v>15</v>
      </c>
      <c r="P13" s="3">
        <v>16</v>
      </c>
      <c r="Q13" s="2" t="s">
        <v>21</v>
      </c>
      <c r="R13" s="2">
        <v>180</v>
      </c>
    </row>
    <row r="14" spans="2:18" ht="15" thickTop="1" x14ac:dyDescent="0.3">
      <c r="B14" s="10" t="s">
        <v>31</v>
      </c>
      <c r="C14" s="118">
        <v>16000</v>
      </c>
      <c r="D14" s="115"/>
      <c r="E14" s="119"/>
      <c r="G14" s="4" t="s">
        <v>43</v>
      </c>
      <c r="H14" s="2">
        <f>C16*E4</f>
        <v>21.845333333333333</v>
      </c>
      <c r="I14" s="9" t="s">
        <v>32</v>
      </c>
      <c r="O14" s="2" t="s">
        <v>16</v>
      </c>
      <c r="P14" s="3">
        <v>16</v>
      </c>
      <c r="Q14" s="2" t="s">
        <v>22</v>
      </c>
      <c r="R14" s="2">
        <v>90</v>
      </c>
    </row>
    <row r="15" spans="2:18" x14ac:dyDescent="0.3">
      <c r="B15" s="10"/>
      <c r="C15" s="117">
        <f>C11/C14</f>
        <v>3000</v>
      </c>
      <c r="D15" s="117"/>
      <c r="E15" s="13" t="s">
        <v>29</v>
      </c>
      <c r="G15" s="10" t="s">
        <v>44</v>
      </c>
      <c r="H15" s="16">
        <f>H14/3600</f>
        <v>6.068148148148148E-3</v>
      </c>
      <c r="I15" s="9" t="s">
        <v>45</v>
      </c>
      <c r="O15" s="2" t="s">
        <v>17</v>
      </c>
      <c r="P15" s="3">
        <v>16</v>
      </c>
      <c r="Q15" s="2" t="s">
        <v>22</v>
      </c>
      <c r="R15" s="2">
        <v>90</v>
      </c>
    </row>
    <row r="16" spans="2:18" ht="15" thickBot="1" x14ac:dyDescent="0.35">
      <c r="B16" s="5" t="s">
        <v>33</v>
      </c>
      <c r="C16" s="107">
        <f>1/C15</f>
        <v>3.3333333333333332E-4</v>
      </c>
      <c r="D16" s="107"/>
      <c r="E16" s="8" t="s">
        <v>32</v>
      </c>
      <c r="G16" s="5" t="s">
        <v>46</v>
      </c>
      <c r="H16" s="15">
        <f>H15/24</f>
        <v>2.5283950617283952E-4</v>
      </c>
      <c r="I16" s="8" t="s">
        <v>47</v>
      </c>
      <c r="O16" s="2" t="s">
        <v>18</v>
      </c>
      <c r="P16" s="3">
        <v>16</v>
      </c>
      <c r="Q16" s="2" t="s">
        <v>22</v>
      </c>
      <c r="R16" s="2">
        <v>90</v>
      </c>
    </row>
    <row r="17" spans="2:6" ht="15" thickBot="1" x14ac:dyDescent="0.35"/>
    <row r="18" spans="2:6" ht="15" thickBot="1" x14ac:dyDescent="0.35">
      <c r="B18" s="108" t="s">
        <v>34</v>
      </c>
      <c r="C18" s="109"/>
      <c r="D18" s="109"/>
      <c r="E18" s="110"/>
    </row>
    <row r="19" spans="2:6" ht="15" thickTop="1" x14ac:dyDescent="0.3">
      <c r="B19" s="4" t="s">
        <v>35</v>
      </c>
      <c r="C19" s="115">
        <v>250</v>
      </c>
      <c r="D19" s="115"/>
      <c r="E19" s="18" t="s">
        <v>36</v>
      </c>
    </row>
    <row r="20" spans="2:6" x14ac:dyDescent="0.3">
      <c r="B20" s="10"/>
      <c r="C20" s="116">
        <f>C19*10^-3</f>
        <v>0.25</v>
      </c>
      <c r="D20" s="116"/>
      <c r="E20" s="9" t="s">
        <v>32</v>
      </c>
    </row>
    <row r="21" spans="2:6" ht="15" thickBot="1" x14ac:dyDescent="0.35">
      <c r="B21" s="5" t="s">
        <v>37</v>
      </c>
      <c r="C21" s="107">
        <f>1/C20</f>
        <v>4</v>
      </c>
      <c r="D21" s="107"/>
      <c r="E21" s="8" t="s">
        <v>29</v>
      </c>
    </row>
    <row r="22" spans="2:6" ht="15" thickBot="1" x14ac:dyDescent="0.35"/>
    <row r="23" spans="2:6" ht="15" thickBot="1" x14ac:dyDescent="0.35">
      <c r="B23" s="108" t="s">
        <v>48</v>
      </c>
      <c r="C23" s="109"/>
      <c r="D23" s="109"/>
      <c r="E23" s="110"/>
    </row>
    <row r="24" spans="2:6" ht="15" thickTop="1" x14ac:dyDescent="0.3">
      <c r="B24" s="4" t="s">
        <v>38</v>
      </c>
      <c r="C24" s="100">
        <f>C11/((C14+1)*C21)-1</f>
        <v>748.95312792950438</v>
      </c>
      <c r="D24" s="100"/>
      <c r="E24" s="101"/>
    </row>
    <row r="25" spans="2:6" ht="15" thickBot="1" x14ac:dyDescent="0.35">
      <c r="B25" s="5" t="s">
        <v>38</v>
      </c>
      <c r="C25" s="95">
        <f>C24*C16</f>
        <v>0.24965104264316812</v>
      </c>
      <c r="D25" s="96"/>
      <c r="E25" s="14" t="s">
        <v>32</v>
      </c>
    </row>
    <row r="26" spans="2:6" ht="15" thickBot="1" x14ac:dyDescent="0.35"/>
    <row r="27" spans="2:6" ht="15" thickBot="1" x14ac:dyDescent="0.35">
      <c r="B27" s="102" t="s">
        <v>40</v>
      </c>
      <c r="C27" s="103"/>
      <c r="D27" s="103"/>
      <c r="E27" s="104"/>
    </row>
    <row r="28" spans="2:6" ht="15" thickTop="1" x14ac:dyDescent="0.3">
      <c r="B28" s="19" t="s">
        <v>41</v>
      </c>
      <c r="C28" s="105">
        <f>C14</f>
        <v>16000</v>
      </c>
      <c r="D28" s="106"/>
      <c r="E28" s="20">
        <v>-1</v>
      </c>
    </row>
    <row r="29" spans="2:6" ht="15" thickBot="1" x14ac:dyDescent="0.35">
      <c r="B29" s="21" t="s">
        <v>38</v>
      </c>
      <c r="C29" s="93">
        <f>C24</f>
        <v>748.95312792950438</v>
      </c>
      <c r="D29" s="94"/>
      <c r="E29" s="22">
        <v>-1</v>
      </c>
      <c r="F29" t="str">
        <f>IF(C29&lt;E4, "✅", "❌")</f>
        <v>✅</v>
      </c>
    </row>
  </sheetData>
  <mergeCells count="23">
    <mergeCell ref="B2:E2"/>
    <mergeCell ref="C3:E3"/>
    <mergeCell ref="B6:E6"/>
    <mergeCell ref="C7:E7"/>
    <mergeCell ref="C8:D8"/>
    <mergeCell ref="G13:I13"/>
    <mergeCell ref="C16:D16"/>
    <mergeCell ref="B18:E18"/>
    <mergeCell ref="C19:D19"/>
    <mergeCell ref="C20:D20"/>
    <mergeCell ref="B13:E13"/>
    <mergeCell ref="C15:D15"/>
    <mergeCell ref="C14:E14"/>
    <mergeCell ref="C29:D29"/>
    <mergeCell ref="C25:D25"/>
    <mergeCell ref="B9:E9"/>
    <mergeCell ref="C24:E24"/>
    <mergeCell ref="B27:E27"/>
    <mergeCell ref="C28:D28"/>
    <mergeCell ref="C21:D21"/>
    <mergeCell ref="B23:E23"/>
    <mergeCell ref="C10:D10"/>
    <mergeCell ref="C11:D11"/>
  </mergeCells>
  <phoneticPr fontId="1" type="noConversion"/>
  <dataValidations count="1">
    <dataValidation type="list" allowBlank="1" showInputMessage="1" showErrorMessage="1" sqref="C3" xr:uid="{CF5342DA-492D-4DE0-9CC9-2DD29DFA8B0C}">
      <formula1>TIM1_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6139-1FA3-4335-B73A-D076057009EA}">
  <dimension ref="B1:S45"/>
  <sheetViews>
    <sheetView workbookViewId="0">
      <selection activeCell="N14" sqref="N14"/>
    </sheetView>
  </sheetViews>
  <sheetFormatPr baseColWidth="10" defaultColWidth="8.88671875" defaultRowHeight="14.4" x14ac:dyDescent="0.3"/>
  <cols>
    <col min="2" max="2" width="14.44140625" bestFit="1" customWidth="1"/>
    <col min="8" max="8" width="9.5546875" bestFit="1" customWidth="1"/>
  </cols>
  <sheetData>
    <row r="1" spans="2:19" ht="15" thickBot="1" x14ac:dyDescent="0.35"/>
    <row r="2" spans="2:19" ht="15" thickBot="1" x14ac:dyDescent="0.35">
      <c r="B2" s="108" t="s">
        <v>0</v>
      </c>
      <c r="C2" s="109"/>
      <c r="D2" s="109"/>
      <c r="E2" s="110"/>
    </row>
    <row r="3" spans="2:19" ht="15" thickTop="1" x14ac:dyDescent="0.3">
      <c r="B3" s="4" t="s">
        <v>1</v>
      </c>
      <c r="C3" s="120" t="s">
        <v>5</v>
      </c>
      <c r="D3" s="121"/>
      <c r="E3" s="122"/>
      <c r="P3" s="1" t="s">
        <v>3</v>
      </c>
      <c r="Q3" s="1" t="s">
        <v>4</v>
      </c>
      <c r="R3" s="1" t="s">
        <v>20</v>
      </c>
      <c r="S3" s="1" t="s">
        <v>26</v>
      </c>
    </row>
    <row r="4" spans="2:19" ht="15" thickBot="1" x14ac:dyDescent="0.35">
      <c r="B4" s="5" t="s">
        <v>2</v>
      </c>
      <c r="C4" s="6" cm="1">
        <f t="array" ref="C4">_xlfn.XLOOKUP(C3,TIM1_,Table1[Bits])</f>
        <v>16</v>
      </c>
      <c r="D4" s="7" t="s">
        <v>19</v>
      </c>
      <c r="E4" s="8">
        <f>2^C4</f>
        <v>65536</v>
      </c>
      <c r="P4" s="2" t="s">
        <v>5</v>
      </c>
      <c r="Q4" s="3">
        <v>16</v>
      </c>
      <c r="R4" s="2" t="s">
        <v>21</v>
      </c>
      <c r="S4" s="2">
        <v>180</v>
      </c>
    </row>
    <row r="5" spans="2:19" ht="15" thickBot="1" x14ac:dyDescent="0.35">
      <c r="P5" s="2" t="s">
        <v>6</v>
      </c>
      <c r="Q5" s="3">
        <v>32</v>
      </c>
      <c r="R5" s="2" t="s">
        <v>22</v>
      </c>
      <c r="S5" s="2">
        <v>90</v>
      </c>
    </row>
    <row r="6" spans="2:19" ht="15" thickBot="1" x14ac:dyDescent="0.35">
      <c r="B6" s="108" t="s">
        <v>23</v>
      </c>
      <c r="C6" s="109"/>
      <c r="D6" s="109"/>
      <c r="E6" s="110"/>
      <c r="P6" s="2" t="s">
        <v>7</v>
      </c>
      <c r="Q6" s="3">
        <v>16</v>
      </c>
      <c r="R6" s="2" t="s">
        <v>22</v>
      </c>
      <c r="S6" s="2">
        <v>90</v>
      </c>
    </row>
    <row r="7" spans="2:19" ht="15" thickTop="1" x14ac:dyDescent="0.3">
      <c r="B7" s="4" t="s">
        <v>28</v>
      </c>
      <c r="C7" s="123" t="str" cm="1">
        <f t="array" ref="C7">_xlfn.XLOOKUP(C3,TIM1_,Table1[tipo])</f>
        <v>APB2</v>
      </c>
      <c r="D7" s="123"/>
      <c r="E7" s="124"/>
      <c r="P7" s="2" t="s">
        <v>8</v>
      </c>
      <c r="Q7" s="3">
        <v>16</v>
      </c>
      <c r="R7" s="2" t="s">
        <v>22</v>
      </c>
      <c r="S7" s="2">
        <v>90</v>
      </c>
    </row>
    <row r="8" spans="2:19" x14ac:dyDescent="0.3">
      <c r="B8" s="10" t="s">
        <v>24</v>
      </c>
      <c r="C8" s="125">
        <f>IF(C7="APB2",90,45)</f>
        <v>90</v>
      </c>
      <c r="D8" s="126"/>
      <c r="E8" s="9" t="s">
        <v>25</v>
      </c>
      <c r="P8" s="2" t="s">
        <v>9</v>
      </c>
      <c r="Q8" s="3">
        <v>32</v>
      </c>
      <c r="R8" s="2" t="s">
        <v>22</v>
      </c>
      <c r="S8" s="2">
        <v>90</v>
      </c>
    </row>
    <row r="9" spans="2:19" x14ac:dyDescent="0.3">
      <c r="B9" s="97" t="s">
        <v>27</v>
      </c>
      <c r="C9" s="98"/>
      <c r="D9" s="98"/>
      <c r="E9" s="99"/>
      <c r="P9" s="2" t="s">
        <v>12</v>
      </c>
      <c r="Q9" s="3">
        <v>16</v>
      </c>
      <c r="R9" s="2" t="s">
        <v>21</v>
      </c>
      <c r="S9" s="2">
        <v>180</v>
      </c>
    </row>
    <row r="10" spans="2:19" x14ac:dyDescent="0.3">
      <c r="B10" s="12" t="s">
        <v>39</v>
      </c>
      <c r="C10" s="111">
        <v>84</v>
      </c>
      <c r="D10" s="112"/>
      <c r="E10" s="17" t="s">
        <v>25</v>
      </c>
      <c r="P10" s="2" t="s">
        <v>13</v>
      </c>
      <c r="Q10" s="3">
        <v>16</v>
      </c>
      <c r="R10" s="2" t="s">
        <v>21</v>
      </c>
      <c r="S10" s="2">
        <v>180</v>
      </c>
    </row>
    <row r="11" spans="2:19" ht="15" thickBot="1" x14ac:dyDescent="0.35">
      <c r="B11" s="5"/>
      <c r="C11" s="113">
        <f>C10*1000000</f>
        <v>84000000</v>
      </c>
      <c r="D11" s="114"/>
      <c r="E11" s="11" t="s">
        <v>29</v>
      </c>
      <c r="P11" s="2" t="s">
        <v>14</v>
      </c>
      <c r="Q11" s="3">
        <v>16</v>
      </c>
      <c r="R11" s="2" t="s">
        <v>21</v>
      </c>
      <c r="S11" s="2">
        <v>180</v>
      </c>
    </row>
    <row r="12" spans="2:19" ht="15" thickBot="1" x14ac:dyDescent="0.35">
      <c r="P12" s="2" t="s">
        <v>15</v>
      </c>
      <c r="Q12" s="3">
        <v>16</v>
      </c>
      <c r="R12" s="2" t="s">
        <v>21</v>
      </c>
      <c r="S12" s="2">
        <v>180</v>
      </c>
    </row>
    <row r="13" spans="2:19" ht="15" thickBot="1" x14ac:dyDescent="0.35">
      <c r="B13" s="108" t="s">
        <v>30</v>
      </c>
      <c r="C13" s="109"/>
      <c r="D13" s="109"/>
      <c r="E13" s="110"/>
      <c r="P13" s="2" t="s">
        <v>16</v>
      </c>
      <c r="Q13" s="3">
        <v>16</v>
      </c>
      <c r="R13" s="2" t="s">
        <v>22</v>
      </c>
      <c r="S13" s="2">
        <v>90</v>
      </c>
    </row>
    <row r="14" spans="2:19" ht="15" thickTop="1" x14ac:dyDescent="0.3">
      <c r="B14" s="10" t="s">
        <v>31</v>
      </c>
      <c r="C14" s="118">
        <v>84</v>
      </c>
      <c r="D14" s="115"/>
      <c r="E14" s="119"/>
      <c r="P14" s="2" t="s">
        <v>17</v>
      </c>
      <c r="Q14" s="3">
        <v>16</v>
      </c>
      <c r="R14" s="2" t="s">
        <v>22</v>
      </c>
      <c r="S14" s="2">
        <v>90</v>
      </c>
    </row>
    <row r="15" spans="2:19" x14ac:dyDescent="0.3">
      <c r="B15" s="10"/>
      <c r="C15" s="117">
        <f>C11/C14</f>
        <v>1000000</v>
      </c>
      <c r="D15" s="117"/>
      <c r="E15" s="13" t="s">
        <v>29</v>
      </c>
      <c r="P15" s="2" t="s">
        <v>18</v>
      </c>
      <c r="Q15" s="3">
        <v>16</v>
      </c>
      <c r="R15" s="2" t="s">
        <v>22</v>
      </c>
      <c r="S15" s="2">
        <v>90</v>
      </c>
    </row>
    <row r="16" spans="2:19" ht="15" thickBot="1" x14ac:dyDescent="0.35">
      <c r="B16" s="5" t="s">
        <v>33</v>
      </c>
      <c r="C16" s="107">
        <f>1/C15</f>
        <v>9.9999999999999995E-7</v>
      </c>
      <c r="D16" s="107"/>
      <c r="E16" s="8" t="s">
        <v>32</v>
      </c>
    </row>
    <row r="17" spans="2:16" ht="15" thickBot="1" x14ac:dyDescent="0.35"/>
    <row r="18" spans="2:16" ht="15" thickBot="1" x14ac:dyDescent="0.35">
      <c r="B18" s="108" t="s">
        <v>49</v>
      </c>
      <c r="C18" s="109"/>
      <c r="D18" s="109"/>
      <c r="E18" s="110"/>
    </row>
    <row r="19" spans="2:16" ht="15" thickTop="1" x14ac:dyDescent="0.3">
      <c r="B19" s="4" t="s">
        <v>50</v>
      </c>
      <c r="C19" s="115">
        <v>10</v>
      </c>
      <c r="D19" s="115"/>
      <c r="E19" s="18" t="s">
        <v>36</v>
      </c>
    </row>
    <row r="20" spans="2:16" x14ac:dyDescent="0.3">
      <c r="B20" s="10"/>
      <c r="C20" s="116">
        <f>C19*10^-3</f>
        <v>0.01</v>
      </c>
      <c r="D20" s="116"/>
      <c r="E20" s="9" t="s">
        <v>32</v>
      </c>
    </row>
    <row r="21" spans="2:16" ht="15" thickBot="1" x14ac:dyDescent="0.35">
      <c r="B21" s="5" t="s">
        <v>37</v>
      </c>
      <c r="C21" s="107">
        <f>1/C20</f>
        <v>100</v>
      </c>
      <c r="D21" s="107"/>
      <c r="E21" s="8" t="s">
        <v>29</v>
      </c>
    </row>
    <row r="22" spans="2:16" ht="15" thickBot="1" x14ac:dyDescent="0.35">
      <c r="H22" s="26" t="s">
        <v>59</v>
      </c>
      <c r="P22" s="27" t="s">
        <v>59</v>
      </c>
    </row>
    <row r="23" spans="2:16" ht="15" thickBot="1" x14ac:dyDescent="0.35">
      <c r="B23" s="108" t="s">
        <v>48</v>
      </c>
      <c r="C23" s="109"/>
      <c r="D23" s="109"/>
      <c r="E23" s="110"/>
      <c r="H23" s="108" t="s">
        <v>51</v>
      </c>
      <c r="I23" s="109"/>
      <c r="J23" s="109"/>
      <c r="K23" s="110"/>
      <c r="M23" s="108" t="s">
        <v>58</v>
      </c>
      <c r="N23" s="109"/>
      <c r="O23" s="109"/>
      <c r="P23" s="110"/>
    </row>
    <row r="24" spans="2:16" ht="15" thickTop="1" x14ac:dyDescent="0.3">
      <c r="B24" s="4" t="s">
        <v>38</v>
      </c>
      <c r="C24" s="100">
        <f>C11/((C14+1)*C21)-1</f>
        <v>9881.3529411764703</v>
      </c>
      <c r="D24" s="100"/>
      <c r="E24" s="101"/>
      <c r="H24" s="10" t="s">
        <v>56</v>
      </c>
      <c r="I24" s="133">
        <v>5</v>
      </c>
      <c r="J24" s="134"/>
      <c r="K24" s="9" t="s">
        <v>55</v>
      </c>
      <c r="M24" s="10" t="s">
        <v>56</v>
      </c>
      <c r="N24" s="133">
        <f>N25*1000</f>
        <v>5.0394899999999998</v>
      </c>
      <c r="O24" s="134"/>
      <c r="P24" s="9" t="s">
        <v>55</v>
      </c>
    </row>
    <row r="25" spans="2:16" ht="15" thickBot="1" x14ac:dyDescent="0.35">
      <c r="B25" s="5" t="s">
        <v>38</v>
      </c>
      <c r="C25" s="95">
        <f>C24*C16</f>
        <v>9.8813529411764696E-3</v>
      </c>
      <c r="D25" s="96"/>
      <c r="E25" s="14" t="s">
        <v>32</v>
      </c>
      <c r="H25" s="10" t="s">
        <v>57</v>
      </c>
      <c r="I25" s="130">
        <f>I24*0.001</f>
        <v>5.0000000000000001E-3</v>
      </c>
      <c r="J25" s="116"/>
      <c r="K25" s="9" t="s">
        <v>32</v>
      </c>
      <c r="M25" s="10" t="s">
        <v>57</v>
      </c>
      <c r="N25" s="130">
        <f>1/N26</f>
        <v>5.0394899999999998E-3</v>
      </c>
      <c r="O25" s="116"/>
      <c r="P25" s="9" t="s">
        <v>32</v>
      </c>
    </row>
    <row r="26" spans="2:16" ht="15" thickBot="1" x14ac:dyDescent="0.35">
      <c r="H26" s="10" t="s">
        <v>52</v>
      </c>
      <c r="I26" s="130">
        <f>1/I25</f>
        <v>200</v>
      </c>
      <c r="J26" s="116"/>
      <c r="K26" s="9" t="s">
        <v>29</v>
      </c>
      <c r="M26" s="10" t="s">
        <v>52</v>
      </c>
      <c r="N26" s="131">
        <f>$C$15/N28</f>
        <v>198.43277791998796</v>
      </c>
      <c r="O26" s="132"/>
      <c r="P26" s="9" t="s">
        <v>29</v>
      </c>
    </row>
    <row r="27" spans="2:16" ht="15" thickBot="1" x14ac:dyDescent="0.35">
      <c r="B27" s="102" t="s">
        <v>40</v>
      </c>
      <c r="C27" s="103"/>
      <c r="D27" s="103"/>
      <c r="E27" s="104"/>
      <c r="H27" s="102" t="s">
        <v>40</v>
      </c>
      <c r="I27" s="103"/>
      <c r="J27" s="103"/>
      <c r="K27" s="104"/>
      <c r="M27" s="102" t="s">
        <v>40</v>
      </c>
      <c r="N27" s="103"/>
      <c r="O27" s="103"/>
      <c r="P27" s="104"/>
    </row>
    <row r="28" spans="2:16" ht="15" thickTop="1" x14ac:dyDescent="0.3">
      <c r="B28" s="19" t="s">
        <v>41</v>
      </c>
      <c r="C28" s="105">
        <f>C14</f>
        <v>84</v>
      </c>
      <c r="D28" s="106"/>
      <c r="E28" s="20">
        <v>-1</v>
      </c>
      <c r="H28" s="23" t="s">
        <v>53</v>
      </c>
      <c r="I28" s="127">
        <f>$C$15/I26</f>
        <v>5000</v>
      </c>
      <c r="J28" s="128"/>
      <c r="K28" s="24"/>
      <c r="M28" s="23" t="s">
        <v>53</v>
      </c>
      <c r="N28" s="127">
        <f>N29*$C$24</f>
        <v>5039.49</v>
      </c>
      <c r="O28" s="128"/>
      <c r="P28" s="24"/>
    </row>
    <row r="29" spans="2:16" ht="15" thickBot="1" x14ac:dyDescent="0.35">
      <c r="B29" s="21" t="s">
        <v>38</v>
      </c>
      <c r="C29" s="93">
        <f>C24</f>
        <v>9881.3529411764703</v>
      </c>
      <c r="D29" s="94"/>
      <c r="E29" s="22">
        <v>-1</v>
      </c>
      <c r="F29" t="str">
        <f>IF(C29&lt;E4, "✅", "❌")</f>
        <v>✅</v>
      </c>
      <c r="H29" s="21" t="s">
        <v>54</v>
      </c>
      <c r="I29" s="129">
        <f>I28/$C$24</f>
        <v>0.50600358369596921</v>
      </c>
      <c r="J29" s="129"/>
      <c r="K29" s="25"/>
      <c r="M29" s="21" t="s">
        <v>54</v>
      </c>
      <c r="N29" s="129">
        <v>0.51</v>
      </c>
      <c r="O29" s="129"/>
      <c r="P29" s="25"/>
    </row>
    <row r="30" spans="2:16" ht="15" thickBot="1" x14ac:dyDescent="0.35">
      <c r="H30" s="26" t="s">
        <v>60</v>
      </c>
      <c r="P30" s="27" t="s">
        <v>60</v>
      </c>
    </row>
    <row r="31" spans="2:16" ht="15" thickBot="1" x14ac:dyDescent="0.35">
      <c r="H31" s="108" t="s">
        <v>51</v>
      </c>
      <c r="I31" s="109"/>
      <c r="J31" s="109"/>
      <c r="K31" s="110"/>
      <c r="M31" s="108" t="s">
        <v>58</v>
      </c>
      <c r="N31" s="109"/>
      <c r="O31" s="109"/>
      <c r="P31" s="110"/>
    </row>
    <row r="32" spans="2:16" ht="15" thickTop="1" x14ac:dyDescent="0.3">
      <c r="H32" s="10" t="s">
        <v>56</v>
      </c>
      <c r="I32" s="133">
        <v>5</v>
      </c>
      <c r="J32" s="134"/>
      <c r="K32" s="9" t="s">
        <v>55</v>
      </c>
      <c r="M32" s="10" t="s">
        <v>56</v>
      </c>
      <c r="N32" s="133">
        <f>N33*1000</f>
        <v>5.0394899999999998</v>
      </c>
      <c r="O32" s="134"/>
      <c r="P32" s="9" t="s">
        <v>55</v>
      </c>
    </row>
    <row r="33" spans="8:16" x14ac:dyDescent="0.3">
      <c r="H33" s="10" t="s">
        <v>57</v>
      </c>
      <c r="I33" s="130">
        <f>I32*0.001</f>
        <v>5.0000000000000001E-3</v>
      </c>
      <c r="J33" s="116"/>
      <c r="K33" s="9" t="s">
        <v>32</v>
      </c>
      <c r="M33" s="10" t="s">
        <v>57</v>
      </c>
      <c r="N33" s="130">
        <f>1/N34</f>
        <v>5.0394899999999998E-3</v>
      </c>
      <c r="O33" s="116"/>
      <c r="P33" s="9" t="s">
        <v>32</v>
      </c>
    </row>
    <row r="34" spans="8:16" ht="15" thickBot="1" x14ac:dyDescent="0.35">
      <c r="H34" s="10" t="s">
        <v>52</v>
      </c>
      <c r="I34" s="130">
        <f>1/I33</f>
        <v>200</v>
      </c>
      <c r="J34" s="116"/>
      <c r="K34" s="9" t="s">
        <v>29</v>
      </c>
      <c r="M34" s="10" t="s">
        <v>52</v>
      </c>
      <c r="N34" s="131">
        <f>$C$15/N36</f>
        <v>198.43277791998796</v>
      </c>
      <c r="O34" s="132"/>
      <c r="P34" s="9" t="s">
        <v>29</v>
      </c>
    </row>
    <row r="35" spans="8:16" ht="15" thickBot="1" x14ac:dyDescent="0.35">
      <c r="H35" s="102" t="s">
        <v>40</v>
      </c>
      <c r="I35" s="103"/>
      <c r="J35" s="103"/>
      <c r="K35" s="104"/>
      <c r="M35" s="102" t="s">
        <v>40</v>
      </c>
      <c r="N35" s="103"/>
      <c r="O35" s="103"/>
      <c r="P35" s="104"/>
    </row>
    <row r="36" spans="8:16" ht="15" thickTop="1" x14ac:dyDescent="0.3">
      <c r="H36" s="23" t="s">
        <v>53</v>
      </c>
      <c r="I36" s="127">
        <f>$C$15/I34</f>
        <v>5000</v>
      </c>
      <c r="J36" s="128"/>
      <c r="K36" s="24"/>
      <c r="M36" s="23" t="s">
        <v>53</v>
      </c>
      <c r="N36" s="127">
        <f>N37*$C$24</f>
        <v>5039.49</v>
      </c>
      <c r="O36" s="128"/>
      <c r="P36" s="24"/>
    </row>
    <row r="37" spans="8:16" ht="15" thickBot="1" x14ac:dyDescent="0.35">
      <c r="H37" s="21" t="s">
        <v>54</v>
      </c>
      <c r="I37" s="129">
        <f>I36/$C$24</f>
        <v>0.50600358369596921</v>
      </c>
      <c r="J37" s="129"/>
      <c r="K37" s="25"/>
      <c r="M37" s="21" t="s">
        <v>54</v>
      </c>
      <c r="N37" s="129">
        <v>0.51</v>
      </c>
      <c r="O37" s="129"/>
      <c r="P37" s="25"/>
    </row>
    <row r="38" spans="8:16" ht="15" thickBot="1" x14ac:dyDescent="0.35">
      <c r="H38" s="26" t="s">
        <v>61</v>
      </c>
      <c r="P38" s="27" t="s">
        <v>61</v>
      </c>
    </row>
    <row r="39" spans="8:16" ht="15" thickBot="1" x14ac:dyDescent="0.35">
      <c r="H39" s="108" t="s">
        <v>51</v>
      </c>
      <c r="I39" s="109"/>
      <c r="J39" s="109"/>
      <c r="K39" s="110"/>
      <c r="M39" s="108" t="s">
        <v>58</v>
      </c>
      <c r="N39" s="109"/>
      <c r="O39" s="109"/>
      <c r="P39" s="110"/>
    </row>
    <row r="40" spans="8:16" ht="15" thickTop="1" x14ac:dyDescent="0.3">
      <c r="H40" s="10" t="s">
        <v>56</v>
      </c>
      <c r="I40" s="133">
        <v>5</v>
      </c>
      <c r="J40" s="134"/>
      <c r="K40" s="9" t="s">
        <v>55</v>
      </c>
      <c r="M40" s="10" t="s">
        <v>56</v>
      </c>
      <c r="N40" s="133">
        <f>N41*1000</f>
        <v>5.0394899999999998</v>
      </c>
      <c r="O40" s="134"/>
      <c r="P40" s="9" t="s">
        <v>55</v>
      </c>
    </row>
    <row r="41" spans="8:16" x14ac:dyDescent="0.3">
      <c r="H41" s="10" t="s">
        <v>57</v>
      </c>
      <c r="I41" s="130">
        <f>I40*0.001</f>
        <v>5.0000000000000001E-3</v>
      </c>
      <c r="J41" s="116"/>
      <c r="K41" s="9" t="s">
        <v>32</v>
      </c>
      <c r="M41" s="10" t="s">
        <v>57</v>
      </c>
      <c r="N41" s="130">
        <f>1/N42</f>
        <v>5.0394899999999998E-3</v>
      </c>
      <c r="O41" s="116"/>
      <c r="P41" s="9" t="s">
        <v>32</v>
      </c>
    </row>
    <row r="42" spans="8:16" ht="15" thickBot="1" x14ac:dyDescent="0.35">
      <c r="H42" s="10" t="s">
        <v>52</v>
      </c>
      <c r="I42" s="130">
        <f>1/I41</f>
        <v>200</v>
      </c>
      <c r="J42" s="116"/>
      <c r="K42" s="9" t="s">
        <v>29</v>
      </c>
      <c r="M42" s="10" t="s">
        <v>52</v>
      </c>
      <c r="N42" s="131">
        <f>$C$15/N44</f>
        <v>198.43277791998796</v>
      </c>
      <c r="O42" s="132"/>
      <c r="P42" s="9" t="s">
        <v>29</v>
      </c>
    </row>
    <row r="43" spans="8:16" ht="15" thickBot="1" x14ac:dyDescent="0.35">
      <c r="H43" s="102" t="s">
        <v>40</v>
      </c>
      <c r="I43" s="103"/>
      <c r="J43" s="103"/>
      <c r="K43" s="104"/>
      <c r="M43" s="102" t="s">
        <v>40</v>
      </c>
      <c r="N43" s="103"/>
      <c r="O43" s="103"/>
      <c r="P43" s="104"/>
    </row>
    <row r="44" spans="8:16" ht="15" thickTop="1" x14ac:dyDescent="0.3">
      <c r="H44" s="23" t="s">
        <v>53</v>
      </c>
      <c r="I44" s="127">
        <f>$C$15/I42</f>
        <v>5000</v>
      </c>
      <c r="J44" s="128"/>
      <c r="K44" s="24"/>
      <c r="M44" s="23" t="s">
        <v>53</v>
      </c>
      <c r="N44" s="127">
        <f>N45*$C$24</f>
        <v>5039.49</v>
      </c>
      <c r="O44" s="128"/>
      <c r="P44" s="24"/>
    </row>
    <row r="45" spans="8:16" ht="15" thickBot="1" x14ac:dyDescent="0.35">
      <c r="H45" s="21" t="s">
        <v>54</v>
      </c>
      <c r="I45" s="129">
        <f>I44/$C$24</f>
        <v>0.50600358369596921</v>
      </c>
      <c r="J45" s="129"/>
      <c r="K45" s="25"/>
      <c r="M45" s="21" t="s">
        <v>54</v>
      </c>
      <c r="N45" s="129">
        <v>0.51</v>
      </c>
      <c r="O45" s="129"/>
      <c r="P45" s="25"/>
    </row>
  </sheetData>
  <mergeCells count="64">
    <mergeCell ref="C24:E24"/>
    <mergeCell ref="C25:D25"/>
    <mergeCell ref="B27:E27"/>
    <mergeCell ref="C28:D28"/>
    <mergeCell ref="C29:D29"/>
    <mergeCell ref="B9:E9"/>
    <mergeCell ref="C16:D16"/>
    <mergeCell ref="B18:E18"/>
    <mergeCell ref="C19:D19"/>
    <mergeCell ref="C20:D20"/>
    <mergeCell ref="B23:E23"/>
    <mergeCell ref="C10:D10"/>
    <mergeCell ref="C11:D11"/>
    <mergeCell ref="B13:E13"/>
    <mergeCell ref="C14:E14"/>
    <mergeCell ref="C15:D15"/>
    <mergeCell ref="C21:D21"/>
    <mergeCell ref="B2:E2"/>
    <mergeCell ref="C3:E3"/>
    <mergeCell ref="B6:E6"/>
    <mergeCell ref="C7:E7"/>
    <mergeCell ref="C8:D8"/>
    <mergeCell ref="N26:O26"/>
    <mergeCell ref="M27:P27"/>
    <mergeCell ref="N28:O28"/>
    <mergeCell ref="N29:O29"/>
    <mergeCell ref="H23:K23"/>
    <mergeCell ref="I24:J24"/>
    <mergeCell ref="M23:P23"/>
    <mergeCell ref="N24:O24"/>
    <mergeCell ref="N25:O25"/>
    <mergeCell ref="H27:K27"/>
    <mergeCell ref="I29:J29"/>
    <mergeCell ref="I26:J26"/>
    <mergeCell ref="I28:J28"/>
    <mergeCell ref="I25:J25"/>
    <mergeCell ref="H31:K31"/>
    <mergeCell ref="I32:J32"/>
    <mergeCell ref="I33:J33"/>
    <mergeCell ref="I34:J34"/>
    <mergeCell ref="H35:K35"/>
    <mergeCell ref="I36:J36"/>
    <mergeCell ref="I37:J37"/>
    <mergeCell ref="H39:K39"/>
    <mergeCell ref="I40:J40"/>
    <mergeCell ref="I41:J41"/>
    <mergeCell ref="N36:O36"/>
    <mergeCell ref="N37:O37"/>
    <mergeCell ref="M39:P39"/>
    <mergeCell ref="N40:O40"/>
    <mergeCell ref="N41:O41"/>
    <mergeCell ref="M31:P31"/>
    <mergeCell ref="N32:O32"/>
    <mergeCell ref="N33:O33"/>
    <mergeCell ref="N34:O34"/>
    <mergeCell ref="M35:P35"/>
    <mergeCell ref="N44:O44"/>
    <mergeCell ref="N45:O45"/>
    <mergeCell ref="I42:J42"/>
    <mergeCell ref="H43:K43"/>
    <mergeCell ref="I44:J44"/>
    <mergeCell ref="I45:J45"/>
    <mergeCell ref="N42:O42"/>
    <mergeCell ref="M43:P43"/>
  </mergeCells>
  <dataValidations count="1">
    <dataValidation type="list" allowBlank="1" showInputMessage="1" showErrorMessage="1" sqref="C3:E3" xr:uid="{EBBF4433-635A-4A44-8C49-CB332D52BEF1}">
      <formula1>$P$4:$P$17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1E9B-701E-4B53-A330-AA7E44A7F1E1}">
  <dimension ref="B1:AI130"/>
  <sheetViews>
    <sheetView zoomScaleNormal="100" workbookViewId="0">
      <selection activeCell="E23" sqref="E23"/>
    </sheetView>
  </sheetViews>
  <sheetFormatPr baseColWidth="10" defaultColWidth="8.88671875" defaultRowHeight="14.4" x14ac:dyDescent="0.3"/>
  <cols>
    <col min="3" max="3" width="11.33203125" bestFit="1" customWidth="1"/>
    <col min="6" max="6" width="22.6640625" bestFit="1" customWidth="1"/>
  </cols>
  <sheetData>
    <row r="1" spans="2:35" ht="15" thickBot="1" x14ac:dyDescent="0.35"/>
    <row r="2" spans="2:35" ht="15" thickBot="1" x14ac:dyDescent="0.35">
      <c r="B2" s="135" t="s">
        <v>103</v>
      </c>
      <c r="C2" s="58">
        <f>P10</f>
        <v>84</v>
      </c>
      <c r="D2" s="59" t="s">
        <v>25</v>
      </c>
      <c r="O2" s="108" t="s">
        <v>0</v>
      </c>
      <c r="P2" s="109"/>
      <c r="Q2" s="109"/>
      <c r="R2" s="110"/>
      <c r="Y2" s="139" t="s">
        <v>85</v>
      </c>
      <c r="Z2" s="140"/>
      <c r="AA2" s="140"/>
      <c r="AB2" s="140"/>
      <c r="AC2" s="140"/>
      <c r="AD2" s="140"/>
      <c r="AE2" s="140"/>
      <c r="AF2" s="140"/>
      <c r="AG2" s="140"/>
      <c r="AH2" s="140"/>
      <c r="AI2" s="141"/>
    </row>
    <row r="3" spans="2:35" ht="15.6" thickTop="1" thickBot="1" x14ac:dyDescent="0.35">
      <c r="B3" s="136"/>
      <c r="C3" s="6">
        <f>P11</f>
        <v>84000000</v>
      </c>
      <c r="D3" s="8" t="s">
        <v>29</v>
      </c>
      <c r="O3" s="4" t="s">
        <v>1</v>
      </c>
      <c r="P3" s="120" t="s">
        <v>5</v>
      </c>
      <c r="Q3" s="121"/>
      <c r="R3" s="122"/>
      <c r="Y3" s="53" t="s">
        <v>62</v>
      </c>
      <c r="Z3" s="51" t="s">
        <v>63</v>
      </c>
      <c r="AA3" s="28" t="s">
        <v>64</v>
      </c>
      <c r="AB3" s="30" t="s">
        <v>65</v>
      </c>
      <c r="AC3" s="33" t="s">
        <v>66</v>
      </c>
      <c r="AD3" s="36" t="s">
        <v>67</v>
      </c>
      <c r="AE3" s="39" t="s">
        <v>68</v>
      </c>
      <c r="AF3" s="42" t="s">
        <v>69</v>
      </c>
      <c r="AG3" s="45" t="s">
        <v>70</v>
      </c>
      <c r="AH3" s="48" t="s">
        <v>71</v>
      </c>
      <c r="AI3" s="52" t="s">
        <v>72</v>
      </c>
    </row>
    <row r="4" spans="2:35" ht="15" thickBot="1" x14ac:dyDescent="0.35">
      <c r="O4" s="5" t="s">
        <v>2</v>
      </c>
      <c r="P4" s="6" cm="1">
        <f t="array" ref="P4">_xlfn.XLOOKUP(P3,TIM1_,Table1[Bits])</f>
        <v>16</v>
      </c>
      <c r="Q4" s="7" t="s">
        <v>19</v>
      </c>
      <c r="R4" s="8">
        <f>2^P4</f>
        <v>65536</v>
      </c>
      <c r="Y4" s="54" t="s">
        <v>73</v>
      </c>
      <c r="Z4" s="2">
        <v>16.351600000000001</v>
      </c>
      <c r="AA4" s="1">
        <v>32.703200000000002</v>
      </c>
      <c r="AB4" s="31">
        <v>65.406400000000005</v>
      </c>
      <c r="AC4" s="34">
        <v>130.81299999999999</v>
      </c>
      <c r="AD4" s="37">
        <v>261.62599999999998</v>
      </c>
      <c r="AE4" s="40">
        <v>523.25099999999998</v>
      </c>
      <c r="AF4" s="43">
        <v>1046.5</v>
      </c>
      <c r="AG4" s="46">
        <v>2093</v>
      </c>
      <c r="AH4" s="49">
        <v>4186.01</v>
      </c>
      <c r="AI4" s="9">
        <v>8372.018</v>
      </c>
    </row>
    <row r="5" spans="2:35" ht="15" thickBot="1" x14ac:dyDescent="0.35">
      <c r="B5" s="60" t="s">
        <v>104</v>
      </c>
      <c r="C5" s="137">
        <v>100</v>
      </c>
      <c r="D5" s="138"/>
      <c r="E5" t="str">
        <f>IF(COUNT(E11:E130)=COUNTA(_xlfn.UNIQUE(E11:E130)),"✅", "❌")</f>
        <v>✅</v>
      </c>
      <c r="Y5" s="54" t="s">
        <v>74</v>
      </c>
      <c r="Z5" s="2">
        <v>17.323899999999998</v>
      </c>
      <c r="AA5" s="1">
        <v>34.6479</v>
      </c>
      <c r="AB5" s="31">
        <v>69.295699999999997</v>
      </c>
      <c r="AC5" s="34">
        <v>138.59100000000001</v>
      </c>
      <c r="AD5" s="37">
        <v>277.18299999999999</v>
      </c>
      <c r="AE5" s="40">
        <v>554.36500000000001</v>
      </c>
      <c r="AF5" s="43">
        <v>1108.73</v>
      </c>
      <c r="AG5" s="46">
        <v>2217.46</v>
      </c>
      <c r="AH5" s="49">
        <v>4434.92</v>
      </c>
      <c r="AI5" s="9">
        <v>8869.884</v>
      </c>
    </row>
    <row r="6" spans="2:35" ht="15" thickBot="1" x14ac:dyDescent="0.35">
      <c r="O6" s="108" t="s">
        <v>23</v>
      </c>
      <c r="P6" s="109"/>
      <c r="Q6" s="109"/>
      <c r="R6" s="110"/>
      <c r="Y6" s="54" t="s">
        <v>75</v>
      </c>
      <c r="Z6" s="2">
        <v>18.353999999999999</v>
      </c>
      <c r="AA6" s="1">
        <v>36.708100000000002</v>
      </c>
      <c r="AB6" s="31">
        <v>73.416200000000003</v>
      </c>
      <c r="AC6" s="34">
        <v>146.83199999999999</v>
      </c>
      <c r="AD6" s="37">
        <v>293.66500000000002</v>
      </c>
      <c r="AE6" s="40">
        <v>587.33000000000004</v>
      </c>
      <c r="AF6" s="43">
        <v>1174.6600000000001</v>
      </c>
      <c r="AG6" s="46">
        <v>2349.3200000000002</v>
      </c>
      <c r="AH6" s="49">
        <v>4698.6899999999996</v>
      </c>
      <c r="AI6" s="9">
        <v>9397.2729999999992</v>
      </c>
    </row>
    <row r="7" spans="2:35" ht="15" thickTop="1" x14ac:dyDescent="0.3">
      <c r="O7" s="4" t="s">
        <v>28</v>
      </c>
      <c r="P7" s="123" t="str" cm="1">
        <f t="array" ref="P7">_xlfn.XLOOKUP(P3,TIM1_,Table1[tipo])</f>
        <v>APB2</v>
      </c>
      <c r="Q7" s="123"/>
      <c r="R7" s="124"/>
      <c r="Y7" s="54" t="s">
        <v>76</v>
      </c>
      <c r="Z7" s="2">
        <v>19.445399999999999</v>
      </c>
      <c r="AA7" s="1">
        <v>38.890900000000002</v>
      </c>
      <c r="AB7" s="31">
        <v>77.781700000000001</v>
      </c>
      <c r="AC7" s="34">
        <v>155.56299999999999</v>
      </c>
      <c r="AD7" s="37">
        <v>311.12700000000001</v>
      </c>
      <c r="AE7" s="40">
        <v>622.25400000000002</v>
      </c>
      <c r="AF7" s="43">
        <v>1244.51</v>
      </c>
      <c r="AG7" s="46">
        <v>2489.02</v>
      </c>
      <c r="AH7" s="49">
        <v>4978.04</v>
      </c>
      <c r="AI7" s="9">
        <v>9956.0630000000001</v>
      </c>
    </row>
    <row r="8" spans="2:35" x14ac:dyDescent="0.3">
      <c r="O8" s="10" t="s">
        <v>24</v>
      </c>
      <c r="P8" s="125">
        <f>IF(P7="APB2",90,45)</f>
        <v>90</v>
      </c>
      <c r="Q8" s="126"/>
      <c r="R8" s="9" t="s">
        <v>25</v>
      </c>
      <c r="Y8" s="54" t="s">
        <v>77</v>
      </c>
      <c r="Z8" s="2">
        <v>20.601700000000001</v>
      </c>
      <c r="AA8" s="1">
        <v>41.203499999999998</v>
      </c>
      <c r="AB8" s="31">
        <v>82.406899999999993</v>
      </c>
      <c r="AC8" s="34">
        <v>164.81399999999999</v>
      </c>
      <c r="AD8" s="37">
        <v>329.62799999999999</v>
      </c>
      <c r="AE8" s="40">
        <v>659.255</v>
      </c>
      <c r="AF8" s="43">
        <v>1318.51</v>
      </c>
      <c r="AG8" s="46">
        <v>2637.02</v>
      </c>
      <c r="AH8" s="49">
        <v>5274.04</v>
      </c>
      <c r="AI8" s="9">
        <v>10548.082</v>
      </c>
    </row>
    <row r="9" spans="2:35" ht="15" thickBot="1" x14ac:dyDescent="0.35">
      <c r="O9" s="97" t="s">
        <v>27</v>
      </c>
      <c r="P9" s="98"/>
      <c r="Q9" s="98"/>
      <c r="R9" s="99"/>
      <c r="Y9" s="54" t="s">
        <v>78</v>
      </c>
      <c r="Z9" s="2">
        <v>21.826799999999999</v>
      </c>
      <c r="AA9" s="1">
        <v>43.653599999999997</v>
      </c>
      <c r="AB9" s="31">
        <v>87.307100000000005</v>
      </c>
      <c r="AC9" s="34">
        <v>174.614</v>
      </c>
      <c r="AD9" s="37">
        <v>349.22800000000001</v>
      </c>
      <c r="AE9" s="40">
        <v>698.45600000000002</v>
      </c>
      <c r="AF9" s="43">
        <v>1396.91</v>
      </c>
      <c r="AG9" s="46">
        <v>2793.83</v>
      </c>
      <c r="AH9" s="49">
        <v>5587.65</v>
      </c>
      <c r="AI9" s="9">
        <v>11175.303</v>
      </c>
    </row>
    <row r="10" spans="2:35" ht="15" thickBot="1" x14ac:dyDescent="0.35">
      <c r="B10" s="65" t="s">
        <v>62</v>
      </c>
      <c r="C10" s="67" t="s">
        <v>86</v>
      </c>
      <c r="D10" s="66" t="s">
        <v>87</v>
      </c>
      <c r="E10" s="66" t="s">
        <v>88</v>
      </c>
      <c r="F10" s="89" t="s">
        <v>89</v>
      </c>
      <c r="O10" s="12" t="s">
        <v>39</v>
      </c>
      <c r="P10" s="111">
        <v>84</v>
      </c>
      <c r="Q10" s="112"/>
      <c r="R10" s="17" t="s">
        <v>25</v>
      </c>
      <c r="Y10" s="54" t="s">
        <v>79</v>
      </c>
      <c r="Z10" s="2">
        <v>23.124600000000001</v>
      </c>
      <c r="AA10" s="1">
        <v>46.249299999999998</v>
      </c>
      <c r="AB10" s="31">
        <v>92.498599999999996</v>
      </c>
      <c r="AC10" s="34">
        <v>184.99700000000001</v>
      </c>
      <c r="AD10" s="37">
        <v>369.99400000000003</v>
      </c>
      <c r="AE10" s="40">
        <v>739.98900000000003</v>
      </c>
      <c r="AF10" s="43">
        <v>1479.98</v>
      </c>
      <c r="AG10" s="46">
        <v>2959.96</v>
      </c>
      <c r="AH10" s="49">
        <v>5919.92</v>
      </c>
      <c r="AI10" s="9">
        <v>11839.822</v>
      </c>
    </row>
    <row r="11" spans="2:35" ht="15.6" thickTop="1" thickBot="1" x14ac:dyDescent="0.35">
      <c r="B11" s="56" t="s">
        <v>73</v>
      </c>
      <c r="C11" s="68" t="s">
        <v>90</v>
      </c>
      <c r="D11" s="61">
        <f>Z4</f>
        <v>16.351600000000001</v>
      </c>
      <c r="E11" s="62">
        <f>($C$3/(($C$5+1)*D11)-1)</f>
        <v>50861.494698795941</v>
      </c>
      <c r="F11" s="90" t="str">
        <f>"#define "&amp;C11&amp;" "&amp;ROUND(E11,0)</f>
        <v>#define NOTE_C0 50861</v>
      </c>
      <c r="O11" s="5"/>
      <c r="P11" s="113">
        <f>P10*1000000</f>
        <v>84000000</v>
      </c>
      <c r="Q11" s="114"/>
      <c r="R11" s="11" t="s">
        <v>29</v>
      </c>
      <c r="Y11" s="54" t="s">
        <v>80</v>
      </c>
      <c r="Z11" s="2">
        <v>24.499700000000001</v>
      </c>
      <c r="AA11" s="1">
        <v>48.999499999999998</v>
      </c>
      <c r="AB11" s="31">
        <v>97.998900000000006</v>
      </c>
      <c r="AC11" s="34">
        <v>195.99799999999999</v>
      </c>
      <c r="AD11" s="37">
        <v>391.995</v>
      </c>
      <c r="AE11" s="40">
        <v>783.99099999999999</v>
      </c>
      <c r="AF11" s="43">
        <v>1567.98</v>
      </c>
      <c r="AG11" s="46">
        <v>3135.96</v>
      </c>
      <c r="AH11" s="49">
        <v>6271.92</v>
      </c>
      <c r="AI11" s="9">
        <v>12543.853999999999</v>
      </c>
    </row>
    <row r="12" spans="2:35" ht="15" thickBot="1" x14ac:dyDescent="0.35">
      <c r="B12" s="56" t="s">
        <v>74</v>
      </c>
      <c r="C12" s="68" t="s">
        <v>91</v>
      </c>
      <c r="D12" s="61">
        <f t="shared" ref="D12:D22" si="0">Z5</f>
        <v>17.323899999999998</v>
      </c>
      <c r="E12" s="62">
        <f t="shared" ref="E12:E75" si="1">($C$3/(($C$5+1)*D12)-1)</f>
        <v>48006.848597419274</v>
      </c>
      <c r="F12" s="90" t="str">
        <f t="shared" ref="F12:F75" si="2">"#define "&amp;C12&amp;" "&amp;ROUND(E12,0)</f>
        <v>#define NOTE_CS0 48007</v>
      </c>
      <c r="Y12" s="54" t="s">
        <v>81</v>
      </c>
      <c r="Z12" s="2">
        <v>25.956499999999998</v>
      </c>
      <c r="AA12" s="1">
        <v>51.912999999999997</v>
      </c>
      <c r="AB12" s="31">
        <v>103.82599999999999</v>
      </c>
      <c r="AC12" s="34">
        <v>207.65199999999999</v>
      </c>
      <c r="AD12" s="37">
        <v>415.30500000000001</v>
      </c>
      <c r="AE12" s="40">
        <v>830.60900000000004</v>
      </c>
      <c r="AF12" s="43">
        <v>1661.22</v>
      </c>
      <c r="AG12" s="46">
        <v>3322.44</v>
      </c>
      <c r="AH12" s="49">
        <v>6644.88</v>
      </c>
      <c r="AI12" s="9">
        <v>13289.75</v>
      </c>
    </row>
    <row r="13" spans="2:35" ht="15" thickBot="1" x14ac:dyDescent="0.35">
      <c r="B13" s="56" t="s">
        <v>75</v>
      </c>
      <c r="C13" s="68" t="s">
        <v>92</v>
      </c>
      <c r="D13" s="61">
        <f t="shared" si="0"/>
        <v>18.353999999999999</v>
      </c>
      <c r="E13" s="62">
        <f t="shared" si="1"/>
        <v>45312.455830708932</v>
      </c>
      <c r="F13" s="90" t="str">
        <f t="shared" si="2"/>
        <v>#define NOTE_D0 45312</v>
      </c>
      <c r="O13" s="108" t="s">
        <v>30</v>
      </c>
      <c r="P13" s="109"/>
      <c r="Q13" s="109"/>
      <c r="R13" s="110"/>
      <c r="Y13" s="54" t="s">
        <v>82</v>
      </c>
      <c r="Z13" s="2">
        <v>27.5</v>
      </c>
      <c r="AA13" s="1">
        <v>55</v>
      </c>
      <c r="AB13" s="31">
        <v>110</v>
      </c>
      <c r="AC13" s="34">
        <v>220</v>
      </c>
      <c r="AD13" s="37">
        <v>440</v>
      </c>
      <c r="AE13" s="40">
        <v>880</v>
      </c>
      <c r="AF13" s="43">
        <v>1760</v>
      </c>
      <c r="AG13" s="46">
        <v>3520</v>
      </c>
      <c r="AH13" s="49">
        <v>7040</v>
      </c>
      <c r="AI13" s="9">
        <v>14080</v>
      </c>
    </row>
    <row r="14" spans="2:35" ht="15" thickTop="1" x14ac:dyDescent="0.3">
      <c r="B14" s="56" t="s">
        <v>76</v>
      </c>
      <c r="C14" s="68" t="s">
        <v>93</v>
      </c>
      <c r="D14" s="61">
        <f t="shared" si="0"/>
        <v>19.445399999999999</v>
      </c>
      <c r="E14" s="62">
        <f t="shared" si="1"/>
        <v>42769.175379104141</v>
      </c>
      <c r="F14" s="90" t="str">
        <f t="shared" si="2"/>
        <v>#define NOTE_DS0 42769</v>
      </c>
      <c r="O14" s="10" t="s">
        <v>31</v>
      </c>
      <c r="P14" s="118">
        <v>101</v>
      </c>
      <c r="Q14" s="115"/>
      <c r="R14" s="119"/>
      <c r="Y14" s="54" t="s">
        <v>83</v>
      </c>
      <c r="Z14" s="2">
        <v>29.135300000000001</v>
      </c>
      <c r="AA14" s="1">
        <v>58.270499999999998</v>
      </c>
      <c r="AB14" s="31">
        <v>116.541</v>
      </c>
      <c r="AC14" s="34">
        <v>233.08199999999999</v>
      </c>
      <c r="AD14" s="37">
        <v>466.16399999999999</v>
      </c>
      <c r="AE14" s="40">
        <v>932.32799999999997</v>
      </c>
      <c r="AF14" s="43">
        <v>1864.66</v>
      </c>
      <c r="AG14" s="46">
        <v>3729.31</v>
      </c>
      <c r="AH14" s="49">
        <v>7458.62</v>
      </c>
      <c r="AI14" s="9">
        <v>14917.24</v>
      </c>
    </row>
    <row r="15" spans="2:35" ht="15" thickBot="1" x14ac:dyDescent="0.35">
      <c r="B15" s="56" t="s">
        <v>77</v>
      </c>
      <c r="C15" s="68" t="s">
        <v>94</v>
      </c>
      <c r="D15" s="61">
        <f t="shared" si="0"/>
        <v>20.601700000000001</v>
      </c>
      <c r="E15" s="62">
        <f t="shared" si="1"/>
        <v>40368.637860799427</v>
      </c>
      <c r="F15" s="90" t="str">
        <f t="shared" si="2"/>
        <v>#define NOTE_E0 40369</v>
      </c>
      <c r="O15" s="10"/>
      <c r="P15" s="117">
        <f>P11/P14</f>
        <v>831683.1683168317</v>
      </c>
      <c r="Q15" s="117"/>
      <c r="R15" s="13" t="s">
        <v>29</v>
      </c>
      <c r="Y15" s="55" t="s">
        <v>84</v>
      </c>
      <c r="Z15" s="6">
        <v>30.867699999999999</v>
      </c>
      <c r="AA15" s="29">
        <v>61.735399999999998</v>
      </c>
      <c r="AB15" s="32">
        <v>123.471</v>
      </c>
      <c r="AC15" s="35">
        <v>246.94200000000001</v>
      </c>
      <c r="AD15" s="38">
        <v>493.88299999999998</v>
      </c>
      <c r="AE15" s="41">
        <v>987.76700000000005</v>
      </c>
      <c r="AF15" s="44">
        <v>1975.53</v>
      </c>
      <c r="AG15" s="47">
        <v>3951.07</v>
      </c>
      <c r="AH15" s="50">
        <v>7902.14</v>
      </c>
      <c r="AI15" s="8">
        <v>15804.266</v>
      </c>
    </row>
    <row r="16" spans="2:35" ht="15" thickBot="1" x14ac:dyDescent="0.35">
      <c r="B16" s="56" t="s">
        <v>78</v>
      </c>
      <c r="C16" s="68" t="s">
        <v>95</v>
      </c>
      <c r="D16" s="61">
        <f t="shared" si="0"/>
        <v>21.826799999999999</v>
      </c>
      <c r="E16" s="62">
        <f t="shared" si="1"/>
        <v>38102.760895634347</v>
      </c>
      <c r="F16" s="90" t="str">
        <f t="shared" si="2"/>
        <v>#define NOTE_F0 38103</v>
      </c>
      <c r="O16" s="5" t="s">
        <v>33</v>
      </c>
      <c r="P16" s="107">
        <f>1/P15</f>
        <v>1.2023809523809523E-6</v>
      </c>
      <c r="Q16" s="107"/>
      <c r="R16" s="8" t="s">
        <v>32</v>
      </c>
    </row>
    <row r="17" spans="2:26" ht="15" thickBot="1" x14ac:dyDescent="0.35">
      <c r="B17" s="56" t="s">
        <v>79</v>
      </c>
      <c r="C17" s="68" t="s">
        <v>96</v>
      </c>
      <c r="D17" s="61">
        <f t="shared" si="0"/>
        <v>23.124600000000001</v>
      </c>
      <c r="E17" s="62">
        <f t="shared" si="1"/>
        <v>35964.299651316418</v>
      </c>
      <c r="F17" s="90" t="str">
        <f t="shared" si="2"/>
        <v>#define NOTE_FS0 35964</v>
      </c>
    </row>
    <row r="18" spans="2:26" ht="15" thickBot="1" x14ac:dyDescent="0.35">
      <c r="B18" s="56" t="s">
        <v>80</v>
      </c>
      <c r="C18" s="68" t="s">
        <v>97</v>
      </c>
      <c r="D18" s="61">
        <f t="shared" si="0"/>
        <v>24.499700000000001</v>
      </c>
      <c r="E18" s="62">
        <f t="shared" si="1"/>
        <v>33945.667441512822</v>
      </c>
      <c r="F18" s="90" t="str">
        <f t="shared" si="2"/>
        <v>#define NOTE_G0 33946</v>
      </c>
      <c r="O18" s="108" t="s">
        <v>49</v>
      </c>
      <c r="P18" s="109"/>
      <c r="Q18" s="109"/>
      <c r="R18" s="110"/>
      <c r="Z18" s="13" t="s">
        <v>105</v>
      </c>
    </row>
    <row r="19" spans="2:26" ht="15" thickTop="1" x14ac:dyDescent="0.3">
      <c r="B19" s="56" t="s">
        <v>81</v>
      </c>
      <c r="C19" s="68" t="s">
        <v>98</v>
      </c>
      <c r="D19" s="61">
        <f t="shared" si="0"/>
        <v>25.956499999999998</v>
      </c>
      <c r="E19" s="62">
        <f t="shared" si="1"/>
        <v>32040.42192964505</v>
      </c>
      <c r="F19" s="90" t="str">
        <f t="shared" si="2"/>
        <v>#define NOTE_GS0 32040</v>
      </c>
      <c r="O19" s="4" t="s">
        <v>50</v>
      </c>
      <c r="P19" s="115">
        <v>20</v>
      </c>
      <c r="Q19" s="115"/>
      <c r="R19" s="18" t="s">
        <v>36</v>
      </c>
      <c r="Z19" s="13" t="s">
        <v>106</v>
      </c>
    </row>
    <row r="20" spans="2:26" x14ac:dyDescent="0.3">
      <c r="B20" s="56" t="s">
        <v>82</v>
      </c>
      <c r="C20" s="68" t="s">
        <v>99</v>
      </c>
      <c r="D20" s="61">
        <f t="shared" si="0"/>
        <v>27.5</v>
      </c>
      <c r="E20" s="62">
        <f t="shared" si="1"/>
        <v>30242.024302430244</v>
      </c>
      <c r="F20" s="90" t="str">
        <f t="shared" si="2"/>
        <v>#define NOTE_A0 30242</v>
      </c>
      <c r="K20" t="s">
        <v>102</v>
      </c>
      <c r="O20" s="10"/>
      <c r="P20" s="116">
        <f>P19*10^-3</f>
        <v>0.02</v>
      </c>
      <c r="Q20" s="116"/>
      <c r="R20" s="9" t="s">
        <v>32</v>
      </c>
      <c r="Z20" s="13" t="s">
        <v>107</v>
      </c>
    </row>
    <row r="21" spans="2:26" ht="15" thickBot="1" x14ac:dyDescent="0.35">
      <c r="B21" s="56" t="s">
        <v>83</v>
      </c>
      <c r="C21" s="68" t="s">
        <v>100</v>
      </c>
      <c r="D21" s="61">
        <f t="shared" si="0"/>
        <v>29.135300000000001</v>
      </c>
      <c r="E21" s="62">
        <f t="shared" si="1"/>
        <v>28544.550185405045</v>
      </c>
      <c r="F21" s="90" t="str">
        <f t="shared" si="2"/>
        <v>#define NOTE_AS0 28545</v>
      </c>
      <c r="O21" s="5" t="s">
        <v>37</v>
      </c>
      <c r="P21" s="107">
        <f>1/P20</f>
        <v>50</v>
      </c>
      <c r="Q21" s="107"/>
      <c r="R21" s="8" t="s">
        <v>29</v>
      </c>
      <c r="Z21" s="13" t="s">
        <v>109</v>
      </c>
    </row>
    <row r="22" spans="2:26" ht="15" thickBot="1" x14ac:dyDescent="0.35">
      <c r="B22" s="57" t="s">
        <v>84</v>
      </c>
      <c r="C22" s="69" t="s">
        <v>101</v>
      </c>
      <c r="D22" s="63">
        <f t="shared" si="0"/>
        <v>30.867699999999999</v>
      </c>
      <c r="E22" s="64">
        <f t="shared" si="1"/>
        <v>26942.477107683168</v>
      </c>
      <c r="F22" s="91" t="str">
        <f t="shared" si="2"/>
        <v>#define NOTE_B0 26942</v>
      </c>
      <c r="U22" s="26" t="s">
        <v>59</v>
      </c>
      <c r="Z22" s="13" t="s">
        <v>108</v>
      </c>
    </row>
    <row r="23" spans="2:26" ht="15" thickBot="1" x14ac:dyDescent="0.35">
      <c r="B23" s="56" t="s">
        <v>73</v>
      </c>
      <c r="C23" s="68" t="s">
        <v>117</v>
      </c>
      <c r="D23" s="70">
        <v>32.703200000000002</v>
      </c>
      <c r="E23" s="62">
        <f>($C$3/(($C$5+1)*D23)-1)</f>
        <v>25430.247349397971</v>
      </c>
      <c r="F23" s="90" t="str">
        <f t="shared" si="2"/>
        <v>#define NOTE_C1 25430</v>
      </c>
      <c r="O23" s="108" t="s">
        <v>48</v>
      </c>
      <c r="P23" s="109"/>
      <c r="Q23" s="109"/>
      <c r="R23" s="110"/>
      <c r="U23" s="108" t="s">
        <v>51</v>
      </c>
      <c r="V23" s="109"/>
      <c r="W23" s="109"/>
      <c r="X23" s="110"/>
      <c r="Z23" s="13" t="s">
        <v>110</v>
      </c>
    </row>
    <row r="24" spans="2:26" ht="15" thickTop="1" x14ac:dyDescent="0.3">
      <c r="B24" s="56" t="s">
        <v>74</v>
      </c>
      <c r="C24" s="68" t="s">
        <v>118</v>
      </c>
      <c r="D24" s="70">
        <v>34.6479</v>
      </c>
      <c r="E24" s="62">
        <f t="shared" si="1"/>
        <v>24002.855019116072</v>
      </c>
      <c r="F24" s="90" t="str">
        <f t="shared" si="2"/>
        <v>#define NOTE_CS1 24003</v>
      </c>
      <c r="O24" s="4" t="s">
        <v>38</v>
      </c>
      <c r="P24" s="100">
        <f>P11/((P14+1)*P21)-1</f>
        <v>16469.588235294119</v>
      </c>
      <c r="Q24" s="100"/>
      <c r="R24" s="101"/>
      <c r="U24" s="10" t="s">
        <v>56</v>
      </c>
      <c r="V24" s="133">
        <v>1.5</v>
      </c>
      <c r="W24" s="134"/>
      <c r="X24" s="9" t="s">
        <v>55</v>
      </c>
      <c r="Z24" s="13" t="s">
        <v>111</v>
      </c>
    </row>
    <row r="25" spans="2:26" ht="15" thickBot="1" x14ac:dyDescent="0.35">
      <c r="B25" s="56" t="s">
        <v>75</v>
      </c>
      <c r="C25" s="68" t="s">
        <v>119</v>
      </c>
      <c r="D25" s="70">
        <v>36.708100000000002</v>
      </c>
      <c r="E25" s="62">
        <f t="shared" si="1"/>
        <v>22655.666194023433</v>
      </c>
      <c r="F25" s="90" t="str">
        <f t="shared" si="2"/>
        <v>#define NOTE_D1 22656</v>
      </c>
      <c r="O25" s="5" t="s">
        <v>38</v>
      </c>
      <c r="P25" s="95">
        <f>P24*P16</f>
        <v>1.980271918767507E-2</v>
      </c>
      <c r="Q25" s="96"/>
      <c r="R25" s="14" t="s">
        <v>32</v>
      </c>
      <c r="U25" s="10" t="s">
        <v>57</v>
      </c>
      <c r="V25" s="130">
        <f>V24*0.001</f>
        <v>1.5E-3</v>
      </c>
      <c r="W25" s="116"/>
      <c r="X25" s="9" t="s">
        <v>32</v>
      </c>
      <c r="Z25" s="13" t="s">
        <v>112</v>
      </c>
    </row>
    <row r="26" spans="2:26" ht="15" thickBot="1" x14ac:dyDescent="0.35">
      <c r="B26" s="56" t="s">
        <v>76</v>
      </c>
      <c r="C26" s="68" t="s">
        <v>120</v>
      </c>
      <c r="D26" s="70">
        <v>38.890900000000002</v>
      </c>
      <c r="E26" s="62">
        <f t="shared" si="1"/>
        <v>21384.032702170218</v>
      </c>
      <c r="F26" s="90" t="str">
        <f t="shared" si="2"/>
        <v>#define NOTE_DS1 21384</v>
      </c>
      <c r="U26" s="10" t="s">
        <v>52</v>
      </c>
      <c r="V26" s="130">
        <f>1/V25</f>
        <v>666.66666666666663</v>
      </c>
      <c r="W26" s="116"/>
      <c r="X26" s="9" t="s">
        <v>29</v>
      </c>
      <c r="Z26" s="13" t="s">
        <v>113</v>
      </c>
    </row>
    <row r="27" spans="2:26" ht="15" thickBot="1" x14ac:dyDescent="0.35">
      <c r="B27" s="56" t="s">
        <v>77</v>
      </c>
      <c r="C27" s="68" t="s">
        <v>121</v>
      </c>
      <c r="D27" s="70">
        <v>41.203499999999998</v>
      </c>
      <c r="E27" s="62">
        <f t="shared" si="1"/>
        <v>20183.769942282372</v>
      </c>
      <c r="F27" s="90" t="str">
        <f t="shared" si="2"/>
        <v>#define NOTE_E1 20184</v>
      </c>
      <c r="O27" s="102" t="s">
        <v>40</v>
      </c>
      <c r="P27" s="103"/>
      <c r="Q27" s="103"/>
      <c r="R27" s="104"/>
      <c r="U27" s="102" t="s">
        <v>40</v>
      </c>
      <c r="V27" s="103"/>
      <c r="W27" s="103"/>
      <c r="X27" s="104"/>
      <c r="Z27" s="13" t="s">
        <v>114</v>
      </c>
    </row>
    <row r="28" spans="2:26" ht="15" thickTop="1" x14ac:dyDescent="0.3">
      <c r="B28" s="56" t="s">
        <v>78</v>
      </c>
      <c r="C28" s="68" t="s">
        <v>122</v>
      </c>
      <c r="D28" s="70">
        <v>43.653599999999997</v>
      </c>
      <c r="E28" s="62">
        <f t="shared" si="1"/>
        <v>19050.880447817173</v>
      </c>
      <c r="F28" s="90" t="str">
        <f t="shared" si="2"/>
        <v>#define NOTE_F1 19051</v>
      </c>
      <c r="O28" s="19" t="s">
        <v>41</v>
      </c>
      <c r="P28" s="105">
        <f>P14</f>
        <v>101</v>
      </c>
      <c r="Q28" s="106"/>
      <c r="R28" s="20">
        <v>-1</v>
      </c>
      <c r="U28" s="23" t="s">
        <v>53</v>
      </c>
      <c r="V28" s="127">
        <f>$P$15/V26</f>
        <v>1247.5247524752476</v>
      </c>
      <c r="W28" s="128"/>
      <c r="X28" s="24"/>
      <c r="Z28" s="13" t="s">
        <v>115</v>
      </c>
    </row>
    <row r="29" spans="2:26" ht="15" thickBot="1" x14ac:dyDescent="0.35">
      <c r="B29" s="56" t="s">
        <v>79</v>
      </c>
      <c r="C29" s="68" t="s">
        <v>123</v>
      </c>
      <c r="D29" s="70">
        <v>46.249299999999998</v>
      </c>
      <c r="E29" s="62">
        <f t="shared" si="1"/>
        <v>17981.610943664698</v>
      </c>
      <c r="F29" s="90" t="str">
        <f t="shared" si="2"/>
        <v>#define NOTE_FS1 17982</v>
      </c>
      <c r="O29" s="21" t="s">
        <v>38</v>
      </c>
      <c r="P29" s="93">
        <f>P24</f>
        <v>16469.588235294119</v>
      </c>
      <c r="Q29" s="94"/>
      <c r="R29" s="22">
        <v>-1</v>
      </c>
      <c r="S29" t="str">
        <f>IF(P29&lt;R4, "✅", "❌")</f>
        <v>✅</v>
      </c>
      <c r="U29" s="21" t="s">
        <v>54</v>
      </c>
      <c r="V29" s="129">
        <f>V28/$P$24</f>
        <v>7.5747173192941025E-2</v>
      </c>
      <c r="W29" s="129"/>
      <c r="X29" s="25"/>
      <c r="Z29" s="11" t="s">
        <v>116</v>
      </c>
    </row>
    <row r="30" spans="2:26" x14ac:dyDescent="0.3">
      <c r="B30" s="56" t="s">
        <v>80</v>
      </c>
      <c r="C30" s="68" t="s">
        <v>124</v>
      </c>
      <c r="D30" s="70">
        <v>48.999499999999998</v>
      </c>
      <c r="E30" s="62">
        <f t="shared" si="1"/>
        <v>16972.29908094637</v>
      </c>
      <c r="F30" s="90" t="str">
        <f t="shared" si="2"/>
        <v>#define NOTE_G1 16972</v>
      </c>
    </row>
    <row r="31" spans="2:26" x14ac:dyDescent="0.3">
      <c r="B31" s="56" t="s">
        <v>81</v>
      </c>
      <c r="C31" s="68" t="s">
        <v>125</v>
      </c>
      <c r="D31" s="70">
        <v>51.912999999999997</v>
      </c>
      <c r="E31" s="62">
        <f t="shared" si="1"/>
        <v>16019.710964822525</v>
      </c>
      <c r="F31" s="90" t="str">
        <f t="shared" si="2"/>
        <v>#define NOTE_GS1 16020</v>
      </c>
    </row>
    <row r="32" spans="2:26" x14ac:dyDescent="0.3">
      <c r="B32" s="56" t="s">
        <v>82</v>
      </c>
      <c r="C32" s="68" t="s">
        <v>126</v>
      </c>
      <c r="D32" s="70">
        <v>55</v>
      </c>
      <c r="E32" s="62">
        <f t="shared" si="1"/>
        <v>15120.512151215122</v>
      </c>
      <c r="F32" s="90" t="str">
        <f t="shared" si="2"/>
        <v>#define NOTE_A1 15121</v>
      </c>
    </row>
    <row r="33" spans="2:6" x14ac:dyDescent="0.3">
      <c r="B33" s="56" t="s">
        <v>83</v>
      </c>
      <c r="C33" s="68" t="s">
        <v>127</v>
      </c>
      <c r="D33" s="70">
        <v>58.270499999999998</v>
      </c>
      <c r="E33" s="62">
        <f t="shared" si="1"/>
        <v>14271.799586700505</v>
      </c>
      <c r="F33" s="90" t="str">
        <f t="shared" si="2"/>
        <v>#define NOTE_AS1 14272</v>
      </c>
    </row>
    <row r="34" spans="2:6" ht="15" thickBot="1" x14ac:dyDescent="0.35">
      <c r="B34" s="57" t="s">
        <v>84</v>
      </c>
      <c r="C34" s="69" t="s">
        <v>128</v>
      </c>
      <c r="D34" s="71">
        <v>61.735399999999998</v>
      </c>
      <c r="E34" s="64">
        <f t="shared" si="1"/>
        <v>13470.738553841584</v>
      </c>
      <c r="F34" s="91" t="str">
        <f t="shared" si="2"/>
        <v>#define NOTE_B1 13471</v>
      </c>
    </row>
    <row r="35" spans="2:6" x14ac:dyDescent="0.3">
      <c r="B35" s="56" t="s">
        <v>73</v>
      </c>
      <c r="C35" s="68" t="s">
        <v>129</v>
      </c>
      <c r="D35" s="72">
        <v>65.406400000000005</v>
      </c>
      <c r="E35" s="62">
        <f t="shared" si="1"/>
        <v>12714.623674698985</v>
      </c>
      <c r="F35" s="90" t="str">
        <f t="shared" si="2"/>
        <v>#define NOTE_C2 12715</v>
      </c>
    </row>
    <row r="36" spans="2:6" x14ac:dyDescent="0.3">
      <c r="B36" s="56" t="s">
        <v>74</v>
      </c>
      <c r="C36" s="68" t="s">
        <v>130</v>
      </c>
      <c r="D36" s="72">
        <v>69.295699999999997</v>
      </c>
      <c r="E36" s="62">
        <f t="shared" si="1"/>
        <v>12000.944829431433</v>
      </c>
      <c r="F36" s="90" t="str">
        <f t="shared" si="2"/>
        <v>#define NOTE_CS2 12001</v>
      </c>
    </row>
    <row r="37" spans="2:6" x14ac:dyDescent="0.3">
      <c r="B37" s="56" t="s">
        <v>75</v>
      </c>
      <c r="C37" s="68" t="s">
        <v>131</v>
      </c>
      <c r="D37" s="72">
        <v>73.416200000000003</v>
      </c>
      <c r="E37" s="62">
        <f t="shared" si="1"/>
        <v>11327.333097011717</v>
      </c>
      <c r="F37" s="90" t="str">
        <f t="shared" si="2"/>
        <v>#define NOTE_D2 11327</v>
      </c>
    </row>
    <row r="38" spans="2:6" x14ac:dyDescent="0.3">
      <c r="B38" s="56" t="s">
        <v>76</v>
      </c>
      <c r="C38" s="68" t="s">
        <v>132</v>
      </c>
      <c r="D38" s="72">
        <v>77.781700000000001</v>
      </c>
      <c r="E38" s="62">
        <f t="shared" si="1"/>
        <v>10691.530097912899</v>
      </c>
      <c r="F38" s="90" t="str">
        <f t="shared" si="2"/>
        <v>#define NOTE_DS2 10692</v>
      </c>
    </row>
    <row r="39" spans="2:6" x14ac:dyDescent="0.3">
      <c r="B39" s="56" t="s">
        <v>77</v>
      </c>
      <c r="C39" s="68" t="s">
        <v>133</v>
      </c>
      <c r="D39" s="72">
        <v>82.406899999999993</v>
      </c>
      <c r="E39" s="62">
        <f t="shared" si="1"/>
        <v>10091.397218155662</v>
      </c>
      <c r="F39" s="90" t="str">
        <f t="shared" si="2"/>
        <v>#define NOTE_E2 10091</v>
      </c>
    </row>
    <row r="40" spans="2:6" x14ac:dyDescent="0.3">
      <c r="B40" s="56" t="s">
        <v>78</v>
      </c>
      <c r="C40" s="68" t="s">
        <v>134</v>
      </c>
      <c r="D40" s="72">
        <v>87.307100000000005</v>
      </c>
      <c r="E40" s="62">
        <f t="shared" si="1"/>
        <v>9524.9511347511434</v>
      </c>
      <c r="F40" s="90" t="str">
        <f t="shared" si="2"/>
        <v>#define NOTE_F2 9525</v>
      </c>
    </row>
    <row r="41" spans="2:6" x14ac:dyDescent="0.3">
      <c r="B41" s="56" t="s">
        <v>79</v>
      </c>
      <c r="C41" s="68" t="s">
        <v>135</v>
      </c>
      <c r="D41" s="72">
        <v>92.498599999999996</v>
      </c>
      <c r="E41" s="62">
        <f t="shared" si="1"/>
        <v>8990.3054718323492</v>
      </c>
      <c r="F41" s="90" t="str">
        <f t="shared" si="2"/>
        <v>#define NOTE_FS2 8990</v>
      </c>
    </row>
    <row r="42" spans="2:6" x14ac:dyDescent="0.3">
      <c r="B42" s="56" t="s">
        <v>80</v>
      </c>
      <c r="C42" s="68" t="s">
        <v>136</v>
      </c>
      <c r="D42" s="72">
        <v>97.998900000000006</v>
      </c>
      <c r="E42" s="62">
        <f t="shared" si="1"/>
        <v>8485.6582004168595</v>
      </c>
      <c r="F42" s="90" t="str">
        <f t="shared" si="2"/>
        <v>#define NOTE_G2 8486</v>
      </c>
    </row>
    <row r="43" spans="2:6" x14ac:dyDescent="0.3">
      <c r="B43" s="56" t="s">
        <v>81</v>
      </c>
      <c r="C43" s="68" t="s">
        <v>137</v>
      </c>
      <c r="D43" s="72">
        <v>103.82599999999999</v>
      </c>
      <c r="E43" s="62">
        <f t="shared" si="1"/>
        <v>8009.3554824112625</v>
      </c>
      <c r="F43" s="90" t="str">
        <f t="shared" si="2"/>
        <v>#define NOTE_GS2 8009</v>
      </c>
    </row>
    <row r="44" spans="2:6" x14ac:dyDescent="0.3">
      <c r="B44" s="56" t="s">
        <v>82</v>
      </c>
      <c r="C44" s="68" t="s">
        <v>138</v>
      </c>
      <c r="D44" s="72">
        <v>110</v>
      </c>
      <c r="E44" s="62">
        <f t="shared" si="1"/>
        <v>7559.7560756075609</v>
      </c>
      <c r="F44" s="90" t="str">
        <f t="shared" si="2"/>
        <v>#define NOTE_A2 7560</v>
      </c>
    </row>
    <row r="45" spans="2:6" x14ac:dyDescent="0.3">
      <c r="B45" s="56" t="s">
        <v>83</v>
      </c>
      <c r="C45" s="68" t="s">
        <v>139</v>
      </c>
      <c r="D45" s="72">
        <v>116.541</v>
      </c>
      <c r="E45" s="62">
        <f t="shared" si="1"/>
        <v>7135.3997933502524</v>
      </c>
      <c r="F45" s="90" t="str">
        <f t="shared" si="2"/>
        <v>#define NOTE_AS2 7135</v>
      </c>
    </row>
    <row r="46" spans="2:6" ht="15" thickBot="1" x14ac:dyDescent="0.35">
      <c r="B46" s="57" t="s">
        <v>84</v>
      </c>
      <c r="C46" s="69" t="s">
        <v>140</v>
      </c>
      <c r="D46" s="73">
        <v>123.471</v>
      </c>
      <c r="E46" s="64">
        <f t="shared" si="1"/>
        <v>6734.8583660684026</v>
      </c>
      <c r="F46" s="91" t="str">
        <f t="shared" si="2"/>
        <v>#define NOTE_B2 6735</v>
      </c>
    </row>
    <row r="47" spans="2:6" x14ac:dyDescent="0.3">
      <c r="B47" s="56" t="s">
        <v>73</v>
      </c>
      <c r="C47" s="68" t="s">
        <v>141</v>
      </c>
      <c r="D47" s="74">
        <v>130.81299999999999</v>
      </c>
      <c r="E47" s="62">
        <f t="shared" si="1"/>
        <v>6356.8021168907653</v>
      </c>
      <c r="F47" s="90" t="str">
        <f t="shared" si="2"/>
        <v>#define NOTE_C3 6357</v>
      </c>
    </row>
    <row r="48" spans="2:6" x14ac:dyDescent="0.3">
      <c r="B48" s="56" t="s">
        <v>74</v>
      </c>
      <c r="C48" s="68" t="s">
        <v>142</v>
      </c>
      <c r="D48" s="74">
        <v>138.59100000000001</v>
      </c>
      <c r="E48" s="62">
        <f t="shared" si="1"/>
        <v>5999.9897346640955</v>
      </c>
      <c r="F48" s="90" t="str">
        <f t="shared" si="2"/>
        <v>#define NOTE_CS3 6000</v>
      </c>
    </row>
    <row r="49" spans="2:6" x14ac:dyDescent="0.3">
      <c r="B49" s="56" t="s">
        <v>75</v>
      </c>
      <c r="C49" s="68" t="s">
        <v>143</v>
      </c>
      <c r="D49" s="74">
        <v>146.83199999999999</v>
      </c>
      <c r="E49" s="62">
        <f t="shared" si="1"/>
        <v>5663.1819788386165</v>
      </c>
      <c r="F49" s="90" t="str">
        <f t="shared" si="2"/>
        <v>#define NOTE_D3 5663</v>
      </c>
    </row>
    <row r="50" spans="2:6" x14ac:dyDescent="0.3">
      <c r="B50" s="56" t="s">
        <v>76</v>
      </c>
      <c r="C50" s="68" t="s">
        <v>144</v>
      </c>
      <c r="D50" s="74">
        <v>155.56299999999999</v>
      </c>
      <c r="E50" s="62">
        <f t="shared" si="1"/>
        <v>5345.2787958372601</v>
      </c>
      <c r="F50" s="90" t="str">
        <f t="shared" si="2"/>
        <v>#define NOTE_DS3 5345</v>
      </c>
    </row>
    <row r="51" spans="2:6" x14ac:dyDescent="0.3">
      <c r="B51" s="56" t="s">
        <v>77</v>
      </c>
      <c r="C51" s="68" t="s">
        <v>145</v>
      </c>
      <c r="D51" s="74">
        <v>164.81399999999999</v>
      </c>
      <c r="E51" s="62">
        <f t="shared" si="1"/>
        <v>5045.1924855705929</v>
      </c>
      <c r="F51" s="90" t="str">
        <f t="shared" si="2"/>
        <v>#define NOTE_E3 5045</v>
      </c>
    </row>
    <row r="52" spans="2:6" x14ac:dyDescent="0.3">
      <c r="B52" s="56" t="s">
        <v>78</v>
      </c>
      <c r="C52" s="68" t="s">
        <v>146</v>
      </c>
      <c r="D52" s="74">
        <v>174.614</v>
      </c>
      <c r="E52" s="62">
        <f t="shared" si="1"/>
        <v>4761.9810228093493</v>
      </c>
      <c r="F52" s="90" t="str">
        <f t="shared" si="2"/>
        <v>#define NOTE_F3 4762</v>
      </c>
    </row>
    <row r="53" spans="2:6" x14ac:dyDescent="0.3">
      <c r="B53" s="56" t="s">
        <v>79</v>
      </c>
      <c r="C53" s="68" t="s">
        <v>147</v>
      </c>
      <c r="D53" s="74">
        <v>184.99700000000001</v>
      </c>
      <c r="E53" s="62">
        <f t="shared" si="1"/>
        <v>4494.6575961601093</v>
      </c>
      <c r="F53" s="90" t="str">
        <f t="shared" si="2"/>
        <v>#define NOTE_FS3 4495</v>
      </c>
    </row>
    <row r="54" spans="2:6" x14ac:dyDescent="0.3">
      <c r="B54" s="56" t="s">
        <v>80</v>
      </c>
      <c r="C54" s="68" t="s">
        <v>148</v>
      </c>
      <c r="D54" s="74">
        <v>195.99799999999999</v>
      </c>
      <c r="E54" s="62">
        <f t="shared" si="1"/>
        <v>4242.3247702365925</v>
      </c>
      <c r="F54" s="90" t="str">
        <f t="shared" si="2"/>
        <v>#define NOTE_G3 4242</v>
      </c>
    </row>
    <row r="55" spans="2:6" x14ac:dyDescent="0.3">
      <c r="B55" s="56" t="s">
        <v>81</v>
      </c>
      <c r="C55" s="68" t="s">
        <v>149</v>
      </c>
      <c r="D55" s="74">
        <v>207.65199999999999</v>
      </c>
      <c r="E55" s="62">
        <f t="shared" si="1"/>
        <v>4004.1777412056313</v>
      </c>
      <c r="F55" s="90" t="str">
        <f t="shared" si="2"/>
        <v>#define NOTE_GS3 4004</v>
      </c>
    </row>
    <row r="56" spans="2:6" x14ac:dyDescent="0.3">
      <c r="B56" s="56" t="s">
        <v>82</v>
      </c>
      <c r="C56" s="68" t="s">
        <v>150</v>
      </c>
      <c r="D56" s="74">
        <v>220</v>
      </c>
      <c r="E56" s="62">
        <f t="shared" si="1"/>
        <v>3779.3780378037804</v>
      </c>
      <c r="F56" s="90" t="str">
        <f t="shared" si="2"/>
        <v>#define NOTE_A3 3779</v>
      </c>
    </row>
    <row r="57" spans="2:6" x14ac:dyDescent="0.3">
      <c r="B57" s="56" t="s">
        <v>83</v>
      </c>
      <c r="C57" s="68" t="s">
        <v>151</v>
      </c>
      <c r="D57" s="74">
        <v>233.08199999999999</v>
      </c>
      <c r="E57" s="62">
        <f t="shared" si="1"/>
        <v>3567.1998966751262</v>
      </c>
      <c r="F57" s="90" t="str">
        <f t="shared" si="2"/>
        <v>#define NOTE_AS3 3567</v>
      </c>
    </row>
    <row r="58" spans="2:6" ht="15" thickBot="1" x14ac:dyDescent="0.35">
      <c r="B58" s="57" t="s">
        <v>84</v>
      </c>
      <c r="C58" s="69" t="s">
        <v>152</v>
      </c>
      <c r="D58" s="75">
        <v>246.94200000000001</v>
      </c>
      <c r="E58" s="64">
        <f t="shared" si="1"/>
        <v>3366.9291830342013</v>
      </c>
      <c r="F58" s="91" t="str">
        <f t="shared" si="2"/>
        <v>#define NOTE_B3 3367</v>
      </c>
    </row>
    <row r="59" spans="2:6" x14ac:dyDescent="0.3">
      <c r="B59" s="56" t="s">
        <v>73</v>
      </c>
      <c r="C59" s="68" t="s">
        <v>153</v>
      </c>
      <c r="D59" s="76">
        <v>261.62599999999998</v>
      </c>
      <c r="E59" s="62">
        <f t="shared" si="1"/>
        <v>3177.9010584453827</v>
      </c>
      <c r="F59" s="90" t="str">
        <f t="shared" si="2"/>
        <v>#define NOTE_C4 3178</v>
      </c>
    </row>
    <row r="60" spans="2:6" x14ac:dyDescent="0.3">
      <c r="B60" s="56" t="s">
        <v>74</v>
      </c>
      <c r="C60" s="68" t="s">
        <v>154</v>
      </c>
      <c r="D60" s="76">
        <v>277.18299999999999</v>
      </c>
      <c r="E60" s="62">
        <f t="shared" si="1"/>
        <v>2999.4840423721212</v>
      </c>
      <c r="F60" s="90" t="str">
        <f t="shared" si="2"/>
        <v>#define NOTE_CS4 2999</v>
      </c>
    </row>
    <row r="61" spans="2:6" x14ac:dyDescent="0.3">
      <c r="B61" s="56" t="s">
        <v>75</v>
      </c>
      <c r="C61" s="68" t="s">
        <v>155</v>
      </c>
      <c r="D61" s="76">
        <v>293.66500000000002</v>
      </c>
      <c r="E61" s="62">
        <f t="shared" si="1"/>
        <v>2831.0813454679028</v>
      </c>
      <c r="F61" s="90" t="str">
        <f t="shared" si="2"/>
        <v>#define NOTE_D4 2831</v>
      </c>
    </row>
    <row r="62" spans="2:6" x14ac:dyDescent="0.3">
      <c r="B62" s="56" t="s">
        <v>76</v>
      </c>
      <c r="C62" s="68" t="s">
        <v>156</v>
      </c>
      <c r="D62" s="76">
        <v>311.12700000000001</v>
      </c>
      <c r="E62" s="62">
        <f t="shared" si="1"/>
        <v>2672.1308061236459</v>
      </c>
      <c r="F62" s="90" t="str">
        <f t="shared" si="2"/>
        <v>#define NOTE_DS4 2672</v>
      </c>
    </row>
    <row r="63" spans="2:6" x14ac:dyDescent="0.3">
      <c r="B63" s="56" t="s">
        <v>77</v>
      </c>
      <c r="C63" s="68" t="s">
        <v>157</v>
      </c>
      <c r="D63" s="76">
        <v>329.62799999999999</v>
      </c>
      <c r="E63" s="62">
        <f t="shared" si="1"/>
        <v>2522.0962427852965</v>
      </c>
      <c r="F63" s="90" t="str">
        <f t="shared" si="2"/>
        <v>#define NOTE_E4 2522</v>
      </c>
    </row>
    <row r="64" spans="2:6" x14ac:dyDescent="0.3">
      <c r="B64" s="56" t="s">
        <v>78</v>
      </c>
      <c r="C64" s="68" t="s">
        <v>158</v>
      </c>
      <c r="D64" s="76">
        <v>349.22800000000001</v>
      </c>
      <c r="E64" s="62">
        <f t="shared" si="1"/>
        <v>2380.4905114046746</v>
      </c>
      <c r="F64" s="90" t="str">
        <f t="shared" si="2"/>
        <v>#define NOTE_F4 2380</v>
      </c>
    </row>
    <row r="65" spans="2:6" x14ac:dyDescent="0.3">
      <c r="B65" s="56" t="s">
        <v>79</v>
      </c>
      <c r="C65" s="68" t="s">
        <v>159</v>
      </c>
      <c r="D65" s="76">
        <v>369.99400000000003</v>
      </c>
      <c r="E65" s="62">
        <f t="shared" si="1"/>
        <v>2246.8287980800546</v>
      </c>
      <c r="F65" s="90" t="str">
        <f t="shared" si="2"/>
        <v>#define NOTE_FS4 2247</v>
      </c>
    </row>
    <row r="66" spans="2:6" x14ac:dyDescent="0.3">
      <c r="B66" s="56" t="s">
        <v>80</v>
      </c>
      <c r="C66" s="68" t="s">
        <v>160</v>
      </c>
      <c r="D66" s="76">
        <v>391.995</v>
      </c>
      <c r="E66" s="62">
        <f t="shared" si="1"/>
        <v>2120.6677975913767</v>
      </c>
      <c r="F66" s="90" t="str">
        <f t="shared" si="2"/>
        <v>#define NOTE_G4 2121</v>
      </c>
    </row>
    <row r="67" spans="2:6" x14ac:dyDescent="0.3">
      <c r="B67" s="56" t="s">
        <v>81</v>
      </c>
      <c r="C67" s="68" t="s">
        <v>161</v>
      </c>
      <c r="D67" s="76">
        <v>415.30500000000001</v>
      </c>
      <c r="E67" s="62">
        <f t="shared" si="1"/>
        <v>2001.5840486313232</v>
      </c>
      <c r="F67" s="90" t="str">
        <f t="shared" si="2"/>
        <v>#define NOTE_GS4 2002</v>
      </c>
    </row>
    <row r="68" spans="2:6" x14ac:dyDescent="0.3">
      <c r="B68" s="56" t="s">
        <v>82</v>
      </c>
      <c r="C68" s="68" t="s">
        <v>162</v>
      </c>
      <c r="D68" s="76">
        <v>440</v>
      </c>
      <c r="E68" s="62">
        <f t="shared" si="1"/>
        <v>1889.1890189018902</v>
      </c>
      <c r="F68" s="90" t="str">
        <f t="shared" si="2"/>
        <v>#define NOTE_A4 1889</v>
      </c>
    </row>
    <row r="69" spans="2:6" x14ac:dyDescent="0.3">
      <c r="B69" s="56" t="s">
        <v>83</v>
      </c>
      <c r="C69" s="68" t="s">
        <v>163</v>
      </c>
      <c r="D69" s="76">
        <v>466.16399999999999</v>
      </c>
      <c r="E69" s="62">
        <f t="shared" si="1"/>
        <v>1783.0999483375631</v>
      </c>
      <c r="F69" s="90" t="str">
        <f t="shared" si="2"/>
        <v>#define NOTE_AS4 1783</v>
      </c>
    </row>
    <row r="70" spans="2:6" ht="15" thickBot="1" x14ac:dyDescent="0.35">
      <c r="B70" s="57" t="s">
        <v>84</v>
      </c>
      <c r="C70" s="69" t="s">
        <v>164</v>
      </c>
      <c r="D70" s="77">
        <v>493.88299999999998</v>
      </c>
      <c r="E70" s="64">
        <f t="shared" si="1"/>
        <v>1682.9680011598532</v>
      </c>
      <c r="F70" s="91" t="str">
        <f t="shared" si="2"/>
        <v>#define NOTE_B4 1683</v>
      </c>
    </row>
    <row r="71" spans="2:6" x14ac:dyDescent="0.3">
      <c r="B71" s="56" t="s">
        <v>73</v>
      </c>
      <c r="C71" s="68" t="s">
        <v>165</v>
      </c>
      <c r="D71" s="78">
        <v>523.25099999999998</v>
      </c>
      <c r="E71" s="62">
        <f t="shared" si="1"/>
        <v>1588.4535668672047</v>
      </c>
      <c r="F71" s="90" t="str">
        <f t="shared" si="2"/>
        <v>#define NOTE_C5 1588</v>
      </c>
    </row>
    <row r="72" spans="2:6" x14ac:dyDescent="0.3">
      <c r="B72" s="56" t="s">
        <v>74</v>
      </c>
      <c r="C72" s="68" t="s">
        <v>166</v>
      </c>
      <c r="D72" s="78">
        <v>554.36500000000001</v>
      </c>
      <c r="E72" s="62">
        <f t="shared" si="1"/>
        <v>1499.2447274211606</v>
      </c>
      <c r="F72" s="90" t="str">
        <f t="shared" si="2"/>
        <v>#define NOTE_CS5 1499</v>
      </c>
    </row>
    <row r="73" spans="2:6" x14ac:dyDescent="0.3">
      <c r="B73" s="56" t="s">
        <v>75</v>
      </c>
      <c r="C73" s="68" t="s">
        <v>167</v>
      </c>
      <c r="D73" s="78">
        <v>587.33000000000004</v>
      </c>
      <c r="E73" s="62">
        <f t="shared" si="1"/>
        <v>1415.0406727339514</v>
      </c>
      <c r="F73" s="90" t="str">
        <f t="shared" si="2"/>
        <v>#define NOTE_D5 1415</v>
      </c>
    </row>
    <row r="74" spans="2:6" x14ac:dyDescent="0.3">
      <c r="B74" s="56" t="s">
        <v>76</v>
      </c>
      <c r="C74" s="68" t="s">
        <v>168</v>
      </c>
      <c r="D74" s="78">
        <v>622.25400000000002</v>
      </c>
      <c r="E74" s="62">
        <f t="shared" si="1"/>
        <v>1335.565403061823</v>
      </c>
      <c r="F74" s="90" t="str">
        <f t="shared" si="2"/>
        <v>#define NOTE_DS5 1336</v>
      </c>
    </row>
    <row r="75" spans="2:6" x14ac:dyDescent="0.3">
      <c r="B75" s="56" t="s">
        <v>77</v>
      </c>
      <c r="C75" s="68" t="s">
        <v>169</v>
      </c>
      <c r="D75" s="78">
        <v>659.255</v>
      </c>
      <c r="E75" s="62">
        <f t="shared" si="1"/>
        <v>1260.5500349892404</v>
      </c>
      <c r="F75" s="90" t="str">
        <f t="shared" si="2"/>
        <v>#define NOTE_E5 1261</v>
      </c>
    </row>
    <row r="76" spans="2:6" x14ac:dyDescent="0.3">
      <c r="B76" s="56" t="s">
        <v>78</v>
      </c>
      <c r="C76" s="68" t="s">
        <v>170</v>
      </c>
      <c r="D76" s="78">
        <v>698.45600000000002</v>
      </c>
      <c r="E76" s="62">
        <f t="shared" ref="E76:E130" si="3">($C$3/(($C$5+1)*D76)-1)</f>
        <v>1189.7452557023373</v>
      </c>
      <c r="F76" s="90" t="str">
        <f t="shared" ref="F76:F130" si="4">"#define "&amp;C76&amp;" "&amp;ROUND(E76,0)</f>
        <v>#define NOTE_F5 1190</v>
      </c>
    </row>
    <row r="77" spans="2:6" x14ac:dyDescent="0.3">
      <c r="B77" s="56" t="s">
        <v>79</v>
      </c>
      <c r="C77" s="68" t="s">
        <v>171</v>
      </c>
      <c r="D77" s="78">
        <v>739.98900000000003</v>
      </c>
      <c r="E77" s="62">
        <f t="shared" si="3"/>
        <v>1122.9128802142079</v>
      </c>
      <c r="F77" s="90" t="str">
        <f t="shared" si="4"/>
        <v>#define NOTE_FS5 1123</v>
      </c>
    </row>
    <row r="78" spans="2:6" x14ac:dyDescent="0.3">
      <c r="B78" s="56" t="s">
        <v>80</v>
      </c>
      <c r="C78" s="68" t="s">
        <v>172</v>
      </c>
      <c r="D78" s="78">
        <v>783.99099999999999</v>
      </c>
      <c r="E78" s="62">
        <f t="shared" si="3"/>
        <v>1059.8325456756922</v>
      </c>
      <c r="F78" s="90" t="str">
        <f t="shared" si="4"/>
        <v>#define NOTE_G5 1060</v>
      </c>
    </row>
    <row r="79" spans="2:6" x14ac:dyDescent="0.3">
      <c r="B79" s="56" t="s">
        <v>81</v>
      </c>
      <c r="C79" s="68" t="s">
        <v>173</v>
      </c>
      <c r="D79" s="78">
        <v>830.60900000000004</v>
      </c>
      <c r="E79" s="62">
        <f t="shared" si="3"/>
        <v>1000.2932298070833</v>
      </c>
      <c r="F79" s="90" t="str">
        <f t="shared" si="4"/>
        <v>#define NOTE_GS5 1000</v>
      </c>
    </row>
    <row r="80" spans="2:6" x14ac:dyDescent="0.3">
      <c r="B80" s="56" t="s">
        <v>82</v>
      </c>
      <c r="C80" s="68" t="s">
        <v>174</v>
      </c>
      <c r="D80" s="78">
        <v>880</v>
      </c>
      <c r="E80" s="62">
        <f t="shared" si="3"/>
        <v>944.09450945094511</v>
      </c>
      <c r="F80" s="90" t="str">
        <f t="shared" si="4"/>
        <v>#define NOTE_A5 944</v>
      </c>
    </row>
    <row r="81" spans="2:6" x14ac:dyDescent="0.3">
      <c r="B81" s="56" t="s">
        <v>83</v>
      </c>
      <c r="C81" s="68" t="s">
        <v>175</v>
      </c>
      <c r="D81" s="78">
        <v>932.32799999999997</v>
      </c>
      <c r="E81" s="62">
        <f t="shared" si="3"/>
        <v>891.04997416878155</v>
      </c>
      <c r="F81" s="90" t="str">
        <f t="shared" si="4"/>
        <v>#define NOTE_AS5 891</v>
      </c>
    </row>
    <row r="82" spans="2:6" ht="15" thickBot="1" x14ac:dyDescent="0.35">
      <c r="B82" s="57" t="s">
        <v>84</v>
      </c>
      <c r="C82" s="69" t="s">
        <v>176</v>
      </c>
      <c r="D82" s="79">
        <v>987.76700000000005</v>
      </c>
      <c r="E82" s="64">
        <f t="shared" si="3"/>
        <v>840.98314816837535</v>
      </c>
      <c r="F82" s="91" t="str">
        <f t="shared" si="4"/>
        <v>#define NOTE_B5 841</v>
      </c>
    </row>
    <row r="83" spans="2:6" x14ac:dyDescent="0.3">
      <c r="B83" s="56" t="s">
        <v>73</v>
      </c>
      <c r="C83" s="68" t="s">
        <v>177</v>
      </c>
      <c r="D83" s="80">
        <v>1046.5</v>
      </c>
      <c r="E83" s="62">
        <f t="shared" si="3"/>
        <v>793.72830226166434</v>
      </c>
      <c r="F83" s="90" t="str">
        <f t="shared" si="4"/>
        <v>#define NOTE_C6 794</v>
      </c>
    </row>
    <row r="84" spans="2:6" x14ac:dyDescent="0.3">
      <c r="B84" s="56" t="s">
        <v>74</v>
      </c>
      <c r="C84" s="68" t="s">
        <v>178</v>
      </c>
      <c r="D84" s="80">
        <v>1108.73</v>
      </c>
      <c r="E84" s="62">
        <f t="shared" si="3"/>
        <v>749.12236371058032</v>
      </c>
      <c r="F84" s="90" t="str">
        <f t="shared" si="4"/>
        <v>#define NOTE_CS6 749</v>
      </c>
    </row>
    <row r="85" spans="2:6" x14ac:dyDescent="0.3">
      <c r="B85" s="56" t="s">
        <v>75</v>
      </c>
      <c r="C85" s="68" t="s">
        <v>179</v>
      </c>
      <c r="D85" s="80">
        <v>1174.6600000000001</v>
      </c>
      <c r="E85" s="62">
        <f t="shared" si="3"/>
        <v>707.0203363669757</v>
      </c>
      <c r="F85" s="90" t="str">
        <f t="shared" si="4"/>
        <v>#define NOTE_D6 707</v>
      </c>
    </row>
    <row r="86" spans="2:6" x14ac:dyDescent="0.3">
      <c r="B86" s="56" t="s">
        <v>76</v>
      </c>
      <c r="C86" s="68" t="s">
        <v>180</v>
      </c>
      <c r="D86" s="80">
        <v>1244.51</v>
      </c>
      <c r="E86" s="62">
        <f t="shared" si="3"/>
        <v>667.28162756171639</v>
      </c>
      <c r="F86" s="90" t="str">
        <f t="shared" si="4"/>
        <v>#define NOTE_DS6 667</v>
      </c>
    </row>
    <row r="87" spans="2:6" x14ac:dyDescent="0.3">
      <c r="B87" s="56" t="s">
        <v>77</v>
      </c>
      <c r="C87" s="68" t="s">
        <v>181</v>
      </c>
      <c r="D87" s="80">
        <v>1318.51</v>
      </c>
      <c r="E87" s="62">
        <f t="shared" si="3"/>
        <v>629.77501749462022</v>
      </c>
      <c r="F87" s="90" t="str">
        <f t="shared" si="4"/>
        <v>#define NOTE_E6 630</v>
      </c>
    </row>
    <row r="88" spans="2:6" x14ac:dyDescent="0.3">
      <c r="B88" s="56" t="s">
        <v>78</v>
      </c>
      <c r="C88" s="68" t="s">
        <v>182</v>
      </c>
      <c r="D88" s="80">
        <v>1396.91</v>
      </c>
      <c r="E88" s="62">
        <f t="shared" si="3"/>
        <v>594.37348026489303</v>
      </c>
      <c r="F88" s="90" t="str">
        <f t="shared" si="4"/>
        <v>#define NOTE_F6 594</v>
      </c>
    </row>
    <row r="89" spans="2:6" x14ac:dyDescent="0.3">
      <c r="B89" s="56" t="s">
        <v>79</v>
      </c>
      <c r="C89" s="68" t="s">
        <v>183</v>
      </c>
      <c r="D89" s="80">
        <v>1479.98</v>
      </c>
      <c r="E89" s="62">
        <f t="shared" si="3"/>
        <v>560.95568069624699</v>
      </c>
      <c r="F89" s="90" t="str">
        <f t="shared" si="4"/>
        <v>#define NOTE_FS6 561</v>
      </c>
    </row>
    <row r="90" spans="2:6" x14ac:dyDescent="0.3">
      <c r="B90" s="56" t="s">
        <v>80</v>
      </c>
      <c r="C90" s="68" t="s">
        <v>184</v>
      </c>
      <c r="D90" s="80">
        <v>1567.98</v>
      </c>
      <c r="E90" s="62">
        <f t="shared" si="3"/>
        <v>529.41694939784418</v>
      </c>
      <c r="F90" s="90" t="str">
        <f t="shared" si="4"/>
        <v>#define NOTE_G6 529</v>
      </c>
    </row>
    <row r="91" spans="2:6" x14ac:dyDescent="0.3">
      <c r="B91" s="56" t="s">
        <v>81</v>
      </c>
      <c r="C91" s="68" t="s">
        <v>185</v>
      </c>
      <c r="D91" s="80">
        <v>1661.22</v>
      </c>
      <c r="E91" s="62">
        <f t="shared" si="3"/>
        <v>499.6460121578308</v>
      </c>
      <c r="F91" s="90" t="str">
        <f t="shared" si="4"/>
        <v>#define NOTE_GS6 500</v>
      </c>
    </row>
    <row r="92" spans="2:6" x14ac:dyDescent="0.3">
      <c r="B92" s="56" t="s">
        <v>82</v>
      </c>
      <c r="C92" s="68" t="s">
        <v>186</v>
      </c>
      <c r="D92" s="80">
        <v>1760</v>
      </c>
      <c r="E92" s="62">
        <f t="shared" si="3"/>
        <v>471.54725472547256</v>
      </c>
      <c r="F92" s="90" t="str">
        <f t="shared" si="4"/>
        <v>#define NOTE_A6 472</v>
      </c>
    </row>
    <row r="93" spans="2:6" x14ac:dyDescent="0.3">
      <c r="B93" s="56" t="s">
        <v>83</v>
      </c>
      <c r="C93" s="68" t="s">
        <v>187</v>
      </c>
      <c r="D93" s="80">
        <v>1864.66</v>
      </c>
      <c r="E93" s="62">
        <f t="shared" si="3"/>
        <v>445.02403028800512</v>
      </c>
      <c r="F93" s="90" t="str">
        <f t="shared" si="4"/>
        <v>#define NOTE_AS6 445</v>
      </c>
    </row>
    <row r="94" spans="2:6" ht="15" thickBot="1" x14ac:dyDescent="0.35">
      <c r="B94" s="57" t="s">
        <v>84</v>
      </c>
      <c r="C94" s="69" t="s">
        <v>188</v>
      </c>
      <c r="D94" s="81">
        <v>1975.53</v>
      </c>
      <c r="E94" s="64">
        <f t="shared" si="3"/>
        <v>419.99242649660175</v>
      </c>
      <c r="F94" s="91" t="str">
        <f t="shared" si="4"/>
        <v>#define NOTE_B6 420</v>
      </c>
    </row>
    <row r="95" spans="2:6" x14ac:dyDescent="0.3">
      <c r="B95" s="56" t="s">
        <v>73</v>
      </c>
      <c r="C95" s="68" t="s">
        <v>189</v>
      </c>
      <c r="D95" s="82">
        <v>2093</v>
      </c>
      <c r="E95" s="62">
        <f t="shared" si="3"/>
        <v>396.36415113083217</v>
      </c>
      <c r="F95" s="90" t="str">
        <f t="shared" si="4"/>
        <v>#define NOTE_C7 396</v>
      </c>
    </row>
    <row r="96" spans="2:6" x14ac:dyDescent="0.3">
      <c r="B96" s="56" t="s">
        <v>74</v>
      </c>
      <c r="C96" s="68" t="s">
        <v>190</v>
      </c>
      <c r="D96" s="82">
        <v>2217.46</v>
      </c>
      <c r="E96" s="62">
        <f t="shared" si="3"/>
        <v>374.06118185529016</v>
      </c>
      <c r="F96" s="90" t="str">
        <f t="shared" si="4"/>
        <v>#define NOTE_CS7 374</v>
      </c>
    </row>
    <row r="97" spans="2:6" x14ac:dyDescent="0.3">
      <c r="B97" s="56" t="s">
        <v>75</v>
      </c>
      <c r="C97" s="68" t="s">
        <v>191</v>
      </c>
      <c r="D97" s="82">
        <v>2349.3200000000002</v>
      </c>
      <c r="E97" s="62">
        <f t="shared" si="3"/>
        <v>353.01016818348785</v>
      </c>
      <c r="F97" s="90" t="str">
        <f t="shared" si="4"/>
        <v>#define NOTE_D7 353</v>
      </c>
    </row>
    <row r="98" spans="2:6" x14ac:dyDescent="0.3">
      <c r="B98" s="56" t="s">
        <v>76</v>
      </c>
      <c r="C98" s="68" t="s">
        <v>192</v>
      </c>
      <c r="D98" s="82">
        <v>2489.02</v>
      </c>
      <c r="E98" s="62">
        <f t="shared" si="3"/>
        <v>333.1408137808582</v>
      </c>
      <c r="F98" s="90" t="str">
        <f t="shared" si="4"/>
        <v>#define NOTE_DS7 333</v>
      </c>
    </row>
    <row r="99" spans="2:6" x14ac:dyDescent="0.3">
      <c r="B99" s="56" t="s">
        <v>77</v>
      </c>
      <c r="C99" s="68" t="s">
        <v>193</v>
      </c>
      <c r="D99" s="82">
        <v>2637.02</v>
      </c>
      <c r="E99" s="62">
        <f t="shared" si="3"/>
        <v>314.38750874731011</v>
      </c>
      <c r="F99" s="90" t="str">
        <f t="shared" si="4"/>
        <v>#define NOTE_E7 314</v>
      </c>
    </row>
    <row r="100" spans="2:6" x14ac:dyDescent="0.3">
      <c r="B100" s="56" t="s">
        <v>78</v>
      </c>
      <c r="C100" s="68" t="s">
        <v>194</v>
      </c>
      <c r="D100" s="82">
        <v>2793.83</v>
      </c>
      <c r="E100" s="62">
        <f t="shared" si="3"/>
        <v>296.68567461757931</v>
      </c>
      <c r="F100" s="90" t="str">
        <f t="shared" si="4"/>
        <v>#define NOTE_F7 297</v>
      </c>
    </row>
    <row r="101" spans="2:6" x14ac:dyDescent="0.3">
      <c r="B101" s="56" t="s">
        <v>79</v>
      </c>
      <c r="C101" s="68" t="s">
        <v>195</v>
      </c>
      <c r="D101" s="82">
        <v>2959.96</v>
      </c>
      <c r="E101" s="62">
        <f t="shared" si="3"/>
        <v>279.97784034812349</v>
      </c>
      <c r="F101" s="90" t="str">
        <f t="shared" si="4"/>
        <v>#define NOTE_FS7 280</v>
      </c>
    </row>
    <row r="102" spans="2:6" x14ac:dyDescent="0.3">
      <c r="B102" s="56" t="s">
        <v>80</v>
      </c>
      <c r="C102" s="68" t="s">
        <v>196</v>
      </c>
      <c r="D102" s="82">
        <v>3135.96</v>
      </c>
      <c r="E102" s="62">
        <f t="shared" si="3"/>
        <v>264.20847469892209</v>
      </c>
      <c r="F102" s="90" t="str">
        <f t="shared" si="4"/>
        <v>#define NOTE_G7 264</v>
      </c>
    </row>
    <row r="103" spans="2:6" x14ac:dyDescent="0.3">
      <c r="B103" s="56" t="s">
        <v>81</v>
      </c>
      <c r="C103" s="68" t="s">
        <v>197</v>
      </c>
      <c r="D103" s="82">
        <v>3322.44</v>
      </c>
      <c r="E103" s="62">
        <f t="shared" si="3"/>
        <v>249.3230060789154</v>
      </c>
      <c r="F103" s="90" t="str">
        <f t="shared" si="4"/>
        <v>#define NOTE_GS7 249</v>
      </c>
    </row>
    <row r="104" spans="2:6" x14ac:dyDescent="0.3">
      <c r="B104" s="56" t="s">
        <v>82</v>
      </c>
      <c r="C104" s="68" t="s">
        <v>198</v>
      </c>
      <c r="D104" s="82">
        <v>3520</v>
      </c>
      <c r="E104" s="62">
        <f t="shared" si="3"/>
        <v>235.27362736273628</v>
      </c>
      <c r="F104" s="90" t="str">
        <f t="shared" si="4"/>
        <v>#define NOTE_A7 235</v>
      </c>
    </row>
    <row r="105" spans="2:6" x14ac:dyDescent="0.3">
      <c r="B105" s="56" t="s">
        <v>83</v>
      </c>
      <c r="C105" s="68" t="s">
        <v>199</v>
      </c>
      <c r="D105" s="82">
        <v>3729.31</v>
      </c>
      <c r="E105" s="62">
        <f t="shared" si="3"/>
        <v>222.01261314206425</v>
      </c>
      <c r="F105" s="90" t="str">
        <f t="shared" si="4"/>
        <v>#define NOTE_AS7 222</v>
      </c>
    </row>
    <row r="106" spans="2:6" ht="15" thickBot="1" x14ac:dyDescent="0.35">
      <c r="B106" s="57" t="s">
        <v>84</v>
      </c>
      <c r="C106" s="69" t="s">
        <v>200</v>
      </c>
      <c r="D106" s="83">
        <v>3951.07</v>
      </c>
      <c r="E106" s="64">
        <f t="shared" si="3"/>
        <v>209.49568049081176</v>
      </c>
      <c r="F106" s="91" t="str">
        <f t="shared" si="4"/>
        <v>#define NOTE_B7 209</v>
      </c>
    </row>
    <row r="107" spans="2:6" x14ac:dyDescent="0.3">
      <c r="B107" s="56" t="s">
        <v>73</v>
      </c>
      <c r="C107" s="68" t="s">
        <v>201</v>
      </c>
      <c r="D107" s="84">
        <v>4186.01</v>
      </c>
      <c r="E107" s="62">
        <f t="shared" si="3"/>
        <v>197.68160093187348</v>
      </c>
      <c r="F107" s="90" t="str">
        <f t="shared" si="4"/>
        <v>#define NOTE_C8 198</v>
      </c>
    </row>
    <row r="108" spans="2:6" x14ac:dyDescent="0.3">
      <c r="B108" s="56" t="s">
        <v>74</v>
      </c>
      <c r="C108" s="68" t="s">
        <v>202</v>
      </c>
      <c r="D108" s="84">
        <v>4434.92</v>
      </c>
      <c r="E108" s="62">
        <f t="shared" si="3"/>
        <v>186.53059092764508</v>
      </c>
      <c r="F108" s="90" t="str">
        <f t="shared" si="4"/>
        <v>#define NOTE_CS8 187</v>
      </c>
    </row>
    <row r="109" spans="2:6" x14ac:dyDescent="0.3">
      <c r="B109" s="56" t="s">
        <v>75</v>
      </c>
      <c r="C109" s="68" t="s">
        <v>203</v>
      </c>
      <c r="D109" s="84">
        <v>4698.6899999999996</v>
      </c>
      <c r="E109" s="62">
        <f t="shared" si="3"/>
        <v>176.00320053394282</v>
      </c>
      <c r="F109" s="90" t="str">
        <f t="shared" si="4"/>
        <v>#define NOTE_D8 176</v>
      </c>
    </row>
    <row r="110" spans="2:6" x14ac:dyDescent="0.3">
      <c r="B110" s="56" t="s">
        <v>76</v>
      </c>
      <c r="C110" s="68" t="s">
        <v>204</v>
      </c>
      <c r="D110" s="84">
        <v>4978.04</v>
      </c>
      <c r="E110" s="62">
        <f t="shared" si="3"/>
        <v>166.0704068904291</v>
      </c>
      <c r="F110" s="90" t="str">
        <f t="shared" si="4"/>
        <v>#define NOTE_DS8 166</v>
      </c>
    </row>
    <row r="111" spans="2:6" x14ac:dyDescent="0.3">
      <c r="B111" s="56" t="s">
        <v>77</v>
      </c>
      <c r="C111" s="68" t="s">
        <v>205</v>
      </c>
      <c r="D111" s="84">
        <v>5274.04</v>
      </c>
      <c r="E111" s="62">
        <f t="shared" si="3"/>
        <v>156.69375437365505</v>
      </c>
      <c r="F111" s="90" t="str">
        <f t="shared" si="4"/>
        <v>#define NOTE_E8 157</v>
      </c>
    </row>
    <row r="112" spans="2:6" x14ac:dyDescent="0.3">
      <c r="B112" s="56" t="s">
        <v>78</v>
      </c>
      <c r="C112" s="68" t="s">
        <v>206</v>
      </c>
      <c r="D112" s="84">
        <v>5587.65</v>
      </c>
      <c r="E112" s="62">
        <f t="shared" si="3"/>
        <v>147.84310368702975</v>
      </c>
      <c r="F112" s="90" t="str">
        <f t="shared" si="4"/>
        <v>#define NOTE_F8 148</v>
      </c>
    </row>
    <row r="113" spans="2:6" x14ac:dyDescent="0.3">
      <c r="B113" s="56" t="s">
        <v>79</v>
      </c>
      <c r="C113" s="68" t="s">
        <v>207</v>
      </c>
      <c r="D113" s="84">
        <v>5919.92</v>
      </c>
      <c r="E113" s="62">
        <f t="shared" si="3"/>
        <v>139.48892017406175</v>
      </c>
      <c r="F113" s="90" t="str">
        <f t="shared" si="4"/>
        <v>#define NOTE_FS8 139</v>
      </c>
    </row>
    <row r="114" spans="2:6" x14ac:dyDescent="0.3">
      <c r="B114" s="56" t="s">
        <v>80</v>
      </c>
      <c r="C114" s="68" t="s">
        <v>208</v>
      </c>
      <c r="D114" s="84">
        <v>6271.92</v>
      </c>
      <c r="E114" s="62">
        <f t="shared" si="3"/>
        <v>131.60423734946104</v>
      </c>
      <c r="F114" s="90" t="str">
        <f t="shared" si="4"/>
        <v>#define NOTE_G8 132</v>
      </c>
    </row>
    <row r="115" spans="2:6" x14ac:dyDescent="0.3">
      <c r="B115" s="56" t="s">
        <v>81</v>
      </c>
      <c r="C115" s="68" t="s">
        <v>209</v>
      </c>
      <c r="D115" s="84">
        <v>6644.88</v>
      </c>
      <c r="E115" s="62">
        <f t="shared" si="3"/>
        <v>124.1615030394577</v>
      </c>
      <c r="F115" s="90" t="str">
        <f t="shared" si="4"/>
        <v>#define NOTE_GS8 124</v>
      </c>
    </row>
    <row r="116" spans="2:6" x14ac:dyDescent="0.3">
      <c r="B116" s="56" t="s">
        <v>82</v>
      </c>
      <c r="C116" s="68" t="s">
        <v>210</v>
      </c>
      <c r="D116" s="84">
        <v>7040</v>
      </c>
      <c r="E116" s="62">
        <f t="shared" si="3"/>
        <v>117.13681368136814</v>
      </c>
      <c r="F116" s="90" t="str">
        <f t="shared" si="4"/>
        <v>#define NOTE_A8 117</v>
      </c>
    </row>
    <row r="117" spans="2:6" x14ac:dyDescent="0.3">
      <c r="B117" s="56" t="s">
        <v>83</v>
      </c>
      <c r="C117" s="68" t="s">
        <v>211</v>
      </c>
      <c r="D117" s="84">
        <v>7458.62</v>
      </c>
      <c r="E117" s="62">
        <f t="shared" si="3"/>
        <v>110.50630657103213</v>
      </c>
      <c r="F117" s="90" t="str">
        <f t="shared" si="4"/>
        <v>#define NOTE_AS8 111</v>
      </c>
    </row>
    <row r="118" spans="2:6" ht="15" thickBot="1" x14ac:dyDescent="0.35">
      <c r="B118" s="57" t="s">
        <v>84</v>
      </c>
      <c r="C118" s="69" t="s">
        <v>212</v>
      </c>
      <c r="D118" s="85">
        <v>7902.14</v>
      </c>
      <c r="E118" s="64">
        <f t="shared" si="3"/>
        <v>104.24784024540588</v>
      </c>
      <c r="F118" s="91" t="str">
        <f t="shared" si="4"/>
        <v>#define NOTE_B8 104</v>
      </c>
    </row>
    <row r="119" spans="2:6" x14ac:dyDescent="0.3">
      <c r="B119" s="56" t="s">
        <v>73</v>
      </c>
      <c r="C119" s="68" t="s">
        <v>213</v>
      </c>
      <c r="D119" s="86">
        <v>8372.018</v>
      </c>
      <c r="E119" s="62">
        <f t="shared" si="3"/>
        <v>98.340824197562853</v>
      </c>
      <c r="F119" s="90" t="str">
        <f t="shared" si="4"/>
        <v>#define NOTE_C9 98</v>
      </c>
    </row>
    <row r="120" spans="2:6" x14ac:dyDescent="0.3">
      <c r="B120" s="56" t="s">
        <v>74</v>
      </c>
      <c r="C120" s="68" t="s">
        <v>214</v>
      </c>
      <c r="D120" s="87">
        <v>8869.884</v>
      </c>
      <c r="E120" s="62">
        <f t="shared" si="3"/>
        <v>92.764830331133041</v>
      </c>
      <c r="F120" s="90" t="str">
        <f t="shared" si="4"/>
        <v>#define NOTE_CS9 93</v>
      </c>
    </row>
    <row r="121" spans="2:6" x14ac:dyDescent="0.3">
      <c r="B121" s="56" t="s">
        <v>75</v>
      </c>
      <c r="C121" s="68" t="s">
        <v>215</v>
      </c>
      <c r="D121" s="87">
        <v>9397.2729999999992</v>
      </c>
      <c r="E121" s="62">
        <f t="shared" si="3"/>
        <v>87.502607971145636</v>
      </c>
      <c r="F121" s="90" t="str">
        <f t="shared" si="4"/>
        <v>#define NOTE_D9 88</v>
      </c>
    </row>
    <row r="122" spans="2:6" x14ac:dyDescent="0.3">
      <c r="B122" s="56" t="s">
        <v>76</v>
      </c>
      <c r="C122" s="68" t="s">
        <v>216</v>
      </c>
      <c r="D122" s="87">
        <v>9956.0630000000001</v>
      </c>
      <c r="E122" s="62">
        <f t="shared" si="3"/>
        <v>82.535346081762611</v>
      </c>
      <c r="F122" s="90" t="str">
        <f t="shared" si="4"/>
        <v>#define NOTE_DS9 83</v>
      </c>
    </row>
    <row r="123" spans="2:6" x14ac:dyDescent="0.3">
      <c r="B123" s="56" t="s">
        <v>77</v>
      </c>
      <c r="C123" s="68" t="s">
        <v>217</v>
      </c>
      <c r="D123" s="87">
        <v>10548.082</v>
      </c>
      <c r="E123" s="62">
        <f t="shared" si="3"/>
        <v>77.846862236834298</v>
      </c>
      <c r="F123" s="90" t="str">
        <f t="shared" si="4"/>
        <v>#define NOTE_E9 78</v>
      </c>
    </row>
    <row r="124" spans="2:6" x14ac:dyDescent="0.3">
      <c r="B124" s="56" t="s">
        <v>78</v>
      </c>
      <c r="C124" s="68" t="s">
        <v>218</v>
      </c>
      <c r="D124" s="87">
        <v>11175.303</v>
      </c>
      <c r="E124" s="62">
        <f t="shared" si="3"/>
        <v>73.421531865116478</v>
      </c>
      <c r="F124" s="90" t="str">
        <f t="shared" si="4"/>
        <v>#define NOTE_F9 73</v>
      </c>
    </row>
    <row r="125" spans="2:6" x14ac:dyDescent="0.3">
      <c r="B125" s="56" t="s">
        <v>79</v>
      </c>
      <c r="C125" s="68" t="s">
        <v>219</v>
      </c>
      <c r="D125" s="87">
        <v>11839.822</v>
      </c>
      <c r="E125" s="62">
        <f t="shared" si="3"/>
        <v>69.24456687920069</v>
      </c>
      <c r="F125" s="90" t="str">
        <f t="shared" si="4"/>
        <v>#define NOTE_FS9 69</v>
      </c>
    </row>
    <row r="126" spans="2:6" x14ac:dyDescent="0.3">
      <c r="B126" s="56" t="s">
        <v>80</v>
      </c>
      <c r="C126" s="68" t="s">
        <v>220</v>
      </c>
      <c r="D126" s="87">
        <v>12543.853999999999</v>
      </c>
      <c r="E126" s="62">
        <f t="shared" si="3"/>
        <v>65.302044675968943</v>
      </c>
      <c r="F126" s="90" t="str">
        <f t="shared" si="4"/>
        <v>#define NOTE_G9 65</v>
      </c>
    </row>
    <row r="127" spans="2:6" x14ac:dyDescent="0.3">
      <c r="B127" s="56" t="s">
        <v>81</v>
      </c>
      <c r="C127" s="68" t="s">
        <v>221</v>
      </c>
      <c r="D127" s="87">
        <v>13289.75</v>
      </c>
      <c r="E127" s="62">
        <f t="shared" si="3"/>
        <v>61.580798609216252</v>
      </c>
      <c r="F127" s="90" t="str">
        <f t="shared" si="4"/>
        <v>#define NOTE_GS9 62</v>
      </c>
    </row>
    <row r="128" spans="2:6" x14ac:dyDescent="0.3">
      <c r="B128" s="56" t="s">
        <v>82</v>
      </c>
      <c r="C128" s="68" t="s">
        <v>222</v>
      </c>
      <c r="D128" s="87">
        <v>14080</v>
      </c>
      <c r="E128" s="62">
        <f t="shared" si="3"/>
        <v>58.068406840684069</v>
      </c>
      <c r="F128" s="90" t="str">
        <f t="shared" si="4"/>
        <v>#define NOTE_A9 58</v>
      </c>
    </row>
    <row r="129" spans="2:6" x14ac:dyDescent="0.3">
      <c r="B129" s="56" t="s">
        <v>83</v>
      </c>
      <c r="C129" s="68" t="s">
        <v>223</v>
      </c>
      <c r="D129" s="87">
        <v>14917.24</v>
      </c>
      <c r="E129" s="62">
        <f t="shared" si="3"/>
        <v>54.753153285516063</v>
      </c>
      <c r="F129" s="90" t="str">
        <f t="shared" si="4"/>
        <v>#define NOTE_AS9 55</v>
      </c>
    </row>
    <row r="130" spans="2:6" ht="15" thickBot="1" x14ac:dyDescent="0.35">
      <c r="B130" s="57" t="s">
        <v>84</v>
      </c>
      <c r="C130" s="69" t="s">
        <v>224</v>
      </c>
      <c r="D130" s="88">
        <v>15804.266</v>
      </c>
      <c r="E130" s="64">
        <f t="shared" si="3"/>
        <v>51.623966738906553</v>
      </c>
      <c r="F130" s="91" t="str">
        <f t="shared" si="4"/>
        <v>#define NOTE_B9 52</v>
      </c>
    </row>
  </sheetData>
  <mergeCells count="32">
    <mergeCell ref="P15:Q15"/>
    <mergeCell ref="Y2:AI2"/>
    <mergeCell ref="O2:R2"/>
    <mergeCell ref="P3:R3"/>
    <mergeCell ref="O6:R6"/>
    <mergeCell ref="P7:R7"/>
    <mergeCell ref="P8:Q8"/>
    <mergeCell ref="P29:Q29"/>
    <mergeCell ref="V29:W29"/>
    <mergeCell ref="U23:X23"/>
    <mergeCell ref="P24:R24"/>
    <mergeCell ref="V24:W24"/>
    <mergeCell ref="P25:Q25"/>
    <mergeCell ref="V25:W25"/>
    <mergeCell ref="V26:W26"/>
    <mergeCell ref="O23:R23"/>
    <mergeCell ref="B2:B3"/>
    <mergeCell ref="C5:D5"/>
    <mergeCell ref="O27:R27"/>
    <mergeCell ref="U27:X27"/>
    <mergeCell ref="P28:Q28"/>
    <mergeCell ref="V28:W28"/>
    <mergeCell ref="P16:Q16"/>
    <mergeCell ref="O18:R18"/>
    <mergeCell ref="P19:Q19"/>
    <mergeCell ref="P20:Q20"/>
    <mergeCell ref="P21:Q21"/>
    <mergeCell ref="O9:R9"/>
    <mergeCell ref="P10:Q10"/>
    <mergeCell ref="P11:Q11"/>
    <mergeCell ref="O13:R13"/>
    <mergeCell ref="P14:R14"/>
  </mergeCells>
  <phoneticPr fontId="1" type="noConversion"/>
  <dataValidations count="1">
    <dataValidation type="list" allowBlank="1" showInputMessage="1" showErrorMessage="1" sqref="P3:R3" xr:uid="{D9E06524-6221-4E09-8C31-13A8714EAF9F}">
      <formula1>$O$4:$O$17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PINOUT</vt:lpstr>
      <vt:lpstr>Timer</vt:lpstr>
      <vt:lpstr>PWM</vt:lpstr>
      <vt:lpstr>BUZZER</vt:lpstr>
      <vt:lpstr>TIM1_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fernandez</dc:creator>
  <cp:lastModifiedBy>GOMEZ GARCIA, ERVIN GABRIEL</cp:lastModifiedBy>
  <dcterms:created xsi:type="dcterms:W3CDTF">2026-03-05T05:23:39Z</dcterms:created>
  <dcterms:modified xsi:type="dcterms:W3CDTF">2026-04-22T01:57:33Z</dcterms:modified>
</cp:coreProperties>
</file>