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66925"/>
  <mc:AlternateContent xmlns:mc="http://schemas.openxmlformats.org/markup-compatibility/2006">
    <mc:Choice Requires="x15">
      <x15ac:absPath xmlns:x15ac="http://schemas.microsoft.com/office/spreadsheetml/2010/11/ac" url="C:\Users\eryaj\OneDrive\Desktop\Projects\"/>
    </mc:Choice>
  </mc:AlternateContent>
  <xr:revisionPtr revIDLastSave="0" documentId="8_{CAED4CFB-3D76-4A81-89D2-842BC73AB846}" xr6:coauthVersionLast="47" xr6:coauthVersionMax="47" xr10:uidLastSave="{00000000-0000-0000-0000-000000000000}"/>
  <bookViews>
    <workbookView xWindow="-108" yWindow="-108" windowWidth="23256" windowHeight="12456" activeTab="3" xr2:uid="{33403DA5-C642-42C2-AC61-1ED85DAFD708}"/>
  </bookViews>
  <sheets>
    <sheet name="HC-Consolidated Balance Sheet-A" sheetId="3" r:id="rId1"/>
    <sheet name="Balance Sheet" sheetId="5" r:id="rId2"/>
    <sheet name="Ops Risk" sheetId="6" r:id="rId3"/>
    <sheet name="AOCI Difference" sheetId="7"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8" i="5" l="1"/>
  <c r="P53" i="3"/>
  <c r="S65" i="3"/>
  <c r="R53" i="3"/>
  <c r="Q43" i="3"/>
  <c r="Q35" i="3"/>
  <c r="R35" i="3"/>
  <c r="R34" i="3"/>
  <c r="S34" i="3" s="1"/>
  <c r="T34" i="3" s="1"/>
  <c r="T13" i="3"/>
  <c r="Q53" i="3"/>
  <c r="R65" i="3"/>
  <c r="L63" i="3"/>
  <c r="L65" i="3" s="1"/>
  <c r="N63" i="3"/>
  <c r="N65" i="3"/>
  <c r="P52" i="3"/>
  <c r="M44" i="3"/>
  <c r="M29" i="3"/>
  <c r="A41" i="3"/>
  <c r="A30" i="3"/>
  <c r="A22" i="3"/>
  <c r="A9" i="3"/>
  <c r="A43" i="3"/>
  <c r="A33" i="3"/>
  <c r="A25" i="3"/>
  <c r="A13" i="3"/>
  <c r="I58" i="3"/>
  <c r="I60" i="3" s="1"/>
  <c r="J63" i="3"/>
  <c r="I63" i="3"/>
  <c r="I65" i="3" s="1"/>
  <c r="H63" i="3"/>
  <c r="H65" i="3" s="1"/>
  <c r="M31" i="3"/>
  <c r="G63" i="3"/>
  <c r="G65" i="3" s="1"/>
  <c r="C63" i="3"/>
  <c r="C65" i="3" s="1"/>
  <c r="Q63" i="3"/>
  <c r="Q65" i="3" s="1"/>
  <c r="P63" i="3"/>
  <c r="O63" i="3"/>
  <c r="O65" i="3" s="1"/>
  <c r="M63" i="3"/>
  <c r="M65" i="3" s="1"/>
  <c r="K63" i="3"/>
  <c r="K65" i="3" s="1"/>
  <c r="R58" i="3"/>
  <c r="J65" i="3"/>
  <c r="P56" i="3"/>
  <c r="M32" i="3"/>
  <c r="J56" i="3"/>
  <c r="D63" i="3"/>
  <c r="P65" i="3"/>
  <c r="M28" i="3"/>
  <c r="M34" i="3"/>
  <c r="M33" i="3"/>
  <c r="J28" i="3"/>
  <c r="F31" i="5"/>
  <c r="F37" i="5" s="1"/>
  <c r="F9" i="5"/>
  <c r="F45" i="3"/>
  <c r="J32" i="3"/>
  <c r="F96" i="5"/>
  <c r="F97" i="5" s="1"/>
  <c r="J29" i="3"/>
  <c r="M35" i="3"/>
  <c r="J30" i="3"/>
  <c r="J31" i="3"/>
  <c r="J33" i="3"/>
  <c r="J34" i="3"/>
  <c r="M36" i="3"/>
  <c r="J2" i="5"/>
  <c r="J3" i="5"/>
  <c r="E4" i="5"/>
  <c r="J4" i="5"/>
  <c r="X4" i="5"/>
  <c r="X5" i="5" s="1"/>
  <c r="E5" i="5"/>
  <c r="J5" i="5"/>
  <c r="E6" i="5"/>
  <c r="J6" i="5"/>
  <c r="E7" i="5"/>
  <c r="J7" i="5"/>
  <c r="X7" i="5"/>
  <c r="E8" i="5"/>
  <c r="J8" i="5"/>
  <c r="X8" i="5"/>
  <c r="X9" i="5"/>
  <c r="X10" i="5"/>
  <c r="X19" i="5"/>
  <c r="X20" i="5"/>
  <c r="G21" i="5"/>
  <c r="X21" i="5"/>
  <c r="G22" i="5"/>
  <c r="G23" i="5"/>
  <c r="G24" i="5"/>
  <c r="H24" i="5" s="1"/>
  <c r="I28" i="5"/>
  <c r="K28" i="5"/>
  <c r="D31" i="5"/>
  <c r="H31" i="5"/>
  <c r="I31" i="5"/>
  <c r="K32" i="5"/>
  <c r="H34" i="5"/>
  <c r="I30" i="5" s="1"/>
  <c r="I34" i="5"/>
  <c r="K38" i="5"/>
  <c r="I39" i="5"/>
  <c r="G58" i="5"/>
  <c r="F59" i="5"/>
  <c r="G59" i="5"/>
  <c r="F60" i="5"/>
  <c r="X62" i="5"/>
  <c r="F76" i="5"/>
  <c r="F95" i="5"/>
  <c r="J52" i="3"/>
  <c r="S14" i="3"/>
  <c r="R14" i="3"/>
  <c r="S7" i="3"/>
  <c r="C58" i="3" s="1"/>
  <c r="R7" i="3"/>
  <c r="H58" i="3" s="1"/>
  <c r="H60" i="3" s="1"/>
  <c r="Q7" i="3"/>
  <c r="G58" i="3" s="1"/>
  <c r="F65" i="3"/>
  <c r="E65" i="3"/>
  <c r="F60" i="3"/>
  <c r="E60" i="3"/>
  <c r="K58" i="3"/>
  <c r="K60" i="3" s="1"/>
  <c r="J58" i="3"/>
  <c r="J60" i="3" s="1"/>
  <c r="D58" i="3"/>
  <c r="D60" i="3" s="1"/>
  <c r="P55" i="3"/>
  <c r="J55" i="3"/>
  <c r="P54" i="3"/>
  <c r="J54" i="3"/>
  <c r="J53" i="3"/>
  <c r="P51" i="3"/>
  <c r="J51" i="3"/>
  <c r="J43" i="3"/>
  <c r="M43" i="3" s="1"/>
  <c r="M42" i="3"/>
  <c r="J42" i="3"/>
  <c r="M41" i="3"/>
  <c r="J41" i="3"/>
  <c r="M40" i="3"/>
  <c r="J40" i="3"/>
  <c r="M39" i="3"/>
  <c r="J39" i="3"/>
  <c r="M38" i="3"/>
  <c r="J38" i="3"/>
  <c r="M37" i="3"/>
  <c r="J37" i="3"/>
  <c r="M27" i="3"/>
  <c r="J27" i="3"/>
  <c r="M26" i="3"/>
  <c r="J26" i="3"/>
  <c r="M25" i="3"/>
  <c r="J25" i="3"/>
  <c r="M24" i="3"/>
  <c r="J24" i="3"/>
  <c r="M23" i="3"/>
  <c r="J23" i="3"/>
  <c r="M22" i="3"/>
  <c r="J22" i="3"/>
  <c r="M21" i="3"/>
  <c r="J21" i="3"/>
  <c r="M20" i="3"/>
  <c r="J20" i="3"/>
  <c r="M19" i="3"/>
  <c r="J19" i="3"/>
  <c r="M18" i="3"/>
  <c r="J18" i="3"/>
  <c r="M17" i="3"/>
  <c r="J17" i="3"/>
  <c r="M16" i="3"/>
  <c r="R25" i="3" s="1"/>
  <c r="J16" i="3"/>
  <c r="M15" i="3"/>
  <c r="J15" i="3"/>
  <c r="Q25" i="3" s="1"/>
  <c r="M14" i="3"/>
  <c r="J14" i="3"/>
  <c r="M13" i="3"/>
  <c r="J13" i="3"/>
  <c r="M12" i="3"/>
  <c r="J12" i="3"/>
  <c r="M11" i="3"/>
  <c r="J11" i="3"/>
  <c r="M10" i="3"/>
  <c r="J10" i="3"/>
  <c r="M9" i="3"/>
  <c r="J9" i="3"/>
  <c r="M8" i="3"/>
  <c r="J8" i="3"/>
  <c r="M7" i="3"/>
  <c r="J7" i="3"/>
  <c r="J6" i="3"/>
  <c r="M5" i="3"/>
  <c r="J5" i="3"/>
  <c r="Q13" i="3" s="1"/>
  <c r="R63" i="3" l="1"/>
  <c r="D65" i="3"/>
  <c r="Q34" i="3"/>
  <c r="R13" i="3"/>
  <c r="S13" i="3" s="1"/>
  <c r="G60" i="5"/>
  <c r="Q29" i="3"/>
  <c r="J44" i="3"/>
  <c r="S60" i="3" s="1"/>
  <c r="G60" i="3"/>
  <c r="C60" i="3"/>
  <c r="U60" i="3" l="1"/>
  <c r="R6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tc={1E65DF13-14DA-314D-B9C5-83425221EFDB}</author>
    <author>Microsoft Office User</author>
  </authors>
  <commentList>
    <comment ref="C4" authorId="0" shapeId="0" xr:uid="{1E65DF13-14DA-314D-B9C5-83425221EFDB}">
      <text>
        <t>[Threaded comment]
Your version of Excel allows you to read this threaded comment; however, any edits to it will get removed if the file is opened in a newer version of Excel. Learn more: https://go.microsoft.com/fwlink/?linkid=870924
Comment:
    numbers are from
Schedule HC—Consolidated Balance Sheet</t>
      </text>
    </comment>
    <comment ref="D15" authorId="1" shapeId="0" xr:uid="{C8380A03-718B-CC42-AF10-3311B72A5006}">
      <text>
        <r>
          <rPr>
            <b/>
            <sz val="10"/>
            <color rgb="FF000000"/>
            <rFont val="Tahoma"/>
            <family val="2"/>
          </rPr>
          <t>Microsoft Office User:</t>
        </r>
        <r>
          <rPr>
            <sz val="10"/>
            <color rgb="FF000000"/>
            <rFont val="Tahoma"/>
            <family val="2"/>
          </rPr>
          <t xml:space="preserve">
</t>
        </r>
        <r>
          <rPr>
            <sz val="10"/>
            <color rgb="FF000000"/>
            <rFont val="Tahoma"/>
            <family val="2"/>
          </rPr>
          <t>Data are from HC-B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tc={238978E6-38AE-A449-8795-FB362BDAD9B3}</author>
    <author>tc={8C7A4A89-80C6-C144-A87A-90282F165452}</author>
  </authors>
  <commentList>
    <comment ref="C1" authorId="0" shapeId="0" xr:uid="{238978E6-38AE-A449-8795-FB362BDAD9B3}">
      <text>
        <t>[Threaded comment]
Your version of Excel allows you to read this threaded comment; however, any edits to it will get removed if the file is opened in a newer version of Excel. Learn more: https://go.microsoft.com/fwlink/?linkid=870924
Comment:
    numbers are from
Schedule HC—Consolidated Balance Sheet</t>
      </text>
    </comment>
    <comment ref="C11" authorId="1" shapeId="0" xr:uid="{8C7A4A89-80C6-C144-A87A-90282F165452}">
      <text>
        <t>[Threaded comment]
Your version of Excel allows you to read this threaded comment; however, any edits to it will get removed if the file is opened in a newer version of Excel. Learn more: https://go.microsoft.com/fwlink/?linkid=870924
Comment:
    numbers are from
Schedule HC—Consolidated Balance Sheet</t>
      </text>
    </comment>
  </commentList>
</comments>
</file>

<file path=xl/sharedStrings.xml><?xml version="1.0" encoding="utf-8"?>
<sst xmlns="http://schemas.openxmlformats.org/spreadsheetml/2006/main" count="507" uniqueCount="369">
  <si>
    <t>Exposure(dollar amounts in thousands)</t>
    <phoneticPr fontId="3" type="noConversion"/>
  </si>
  <si>
    <t>Subitem</t>
    <phoneticPr fontId="3" type="noConversion"/>
  </si>
  <si>
    <t>Exposure Type</t>
    <phoneticPr fontId="3" type="noConversion"/>
  </si>
  <si>
    <t>Risk Weight</t>
    <phoneticPr fontId="3" type="noConversion"/>
  </si>
  <si>
    <t>Risk-weighted asset</t>
    <phoneticPr fontId="3" type="noConversion"/>
  </si>
  <si>
    <t>Assumption</t>
    <phoneticPr fontId="3" type="noConversion"/>
  </si>
  <si>
    <t>A1</t>
  </si>
  <si>
    <t>Assume these are all GSEs Non-equity exposures</t>
  </si>
  <si>
    <t xml:space="preserve">Assume that 59000 is from 1.A2 CRC 0-1, 43000 is from 1.A2 CRC 2, 640000 is from 1.A2 CRC 3, and 126000 is from 1.A2 CRC 4-6 </t>
  </si>
  <si>
    <t>8. All other assets</t>
  </si>
  <si>
    <t>a. Separate account bank-owned life</t>
  </si>
  <si>
    <t>Derivatives, Off-Balance
Sheet Items, and Other
Items Subject to Risk
Weighting (Excluding
Securitization
Exposure)</t>
  </si>
  <si>
    <t>17. All other off-balance
sheet liabilities</t>
  </si>
  <si>
    <t>CCF</t>
  </si>
  <si>
    <t>18. Unused commitments:
(exclude unused
commitments to
asset-backed
commercial paper
conduits):</t>
  </si>
  <si>
    <t>b. Original maturity
exceeding one
year</t>
  </si>
  <si>
    <t>HC Item</t>
  </si>
  <si>
    <t>20. Over-the-counter
derivatives</t>
  </si>
  <si>
    <t>21. Centrally cleared
derivatives</t>
  </si>
  <si>
    <t>19. Unconditionally
cancelable
commitments</t>
  </si>
  <si>
    <t>Unconditionally callable, so CCF=0</t>
  </si>
  <si>
    <t xml:space="preserve">Other assets, so risk weight is 100%. </t>
  </si>
  <si>
    <t>Type of Off-Balance Sheet Exposures</t>
  </si>
  <si>
    <t>Guarantees, off-balance sheet repurchaseagreements and securities lending andborrowing transactions,credit-enhancingrepresentations and warranties that are notsecuritization exposures,financial standbyletters of credit and forward agreements, so CCF is 1.</t>
  </si>
  <si>
    <t xml:space="preserve">Transaction-related contigent items, so CCF=0.5. </t>
  </si>
  <si>
    <t xml:space="preserve">Assume that these over-the-counter derivatives are from 1.A1 conditionally guaranteed exposures, 1.A2 CRC 2, 1.D1, 1.D2 CRC 0-1, 1.E1 general obligation exposures, or 1.E2 CRC 0-1 general obligation. </t>
  </si>
  <si>
    <t>1.A, 1.D, 1.E</t>
  </si>
  <si>
    <t>23. Total assets, derivatives,
off-balance sheet items,
and other items subject
to risk weighting by risk
weight category (for
each of columns C
through P, sum of items
11 through 22; for
column Q, sum of items
10 through 22)</t>
  </si>
  <si>
    <t xml:space="preserve">24. Risk weight factor </t>
  </si>
  <si>
    <t>25. Risk-weighted assets
by risk-weight
category (for each
column, item 23
multiplied by
item 24)</t>
  </si>
  <si>
    <t>1.F</t>
  </si>
  <si>
    <t>Assume that these centrally cleared derivatives are from 1.F for certain cash collateral posted to a QCCP with risk weight of 2%</t>
  </si>
  <si>
    <t>Mapping to HC-R Risk-weighted Assets</t>
  </si>
  <si>
    <t>RWA</t>
  </si>
  <si>
    <t>Assume these are all GSEs Non-equity exposures.</t>
  </si>
  <si>
    <t>Pillar 3 disclosure shows its exposures to sovereign entities (A2) is 308, assuming Amex has no intention to have sovereign exposure to countries with CRC 3 or higher, the 308 miilions should be calculated by 20% risk weight, which imply a nominal amount with 1540,000 thousands dollar</t>
  </si>
  <si>
    <t>A2</t>
  </si>
  <si>
    <t>Assets Type</t>
  </si>
  <si>
    <t>sub-type</t>
  </si>
  <si>
    <t>Amount (in thousands dollar)</t>
  </si>
  <si>
    <t xml:space="preserve">Assumptions </t>
  </si>
  <si>
    <t xml:space="preserve">Exposure Type </t>
  </si>
  <si>
    <t xml:space="preserve">Risk weight(SA) </t>
  </si>
  <si>
    <t>Risk weighted asset (SA)</t>
  </si>
  <si>
    <t xml:space="preserve">Risk weight(ERBA) </t>
  </si>
  <si>
    <t>Risk weighted asset (ERBA)</t>
  </si>
  <si>
    <t>assumptions</t>
  </si>
  <si>
    <t xml:space="preserve">1. Cash and balances due from depository institutions: </t>
  </si>
  <si>
    <t>1.a. Noninterest-bearing balances and currency and coin （3，120，000）</t>
  </si>
  <si>
    <t>We can assume 10% Vault Cash/ currency or  coin intransit</t>
  </si>
  <si>
    <t>L</t>
  </si>
  <si>
    <t>assume the rest of the cash and foreign sovereign exposures is the US  reservesat Fed</t>
  </si>
  <si>
    <t>1.b. Interest-bearing balances(54,620,000)</t>
  </si>
  <si>
    <t>in US offices （52，049，000）</t>
  </si>
  <si>
    <t xml:space="preserve">Finally, after considering all the risky exposure, we assign the rest US office exposure to the Fed, which is also align with AmEx's main products characteristics. </t>
  </si>
  <si>
    <t xml:space="preserve">After considering the obvious high risky exposures, we aissgn the rest exposure of 20% caategory to US banks. </t>
  </si>
  <si>
    <t>D1</t>
  </si>
  <si>
    <t>assuming Amex only have exposure to grade A banks</t>
  </si>
  <si>
    <t>in foreign offices, Edge and Agreement subsidiaries, and IBFs（2，571，000）</t>
  </si>
  <si>
    <t>considering Amex's main service is around payment network and loans, it should not have much interbank placements but clearing balances at different countries. Thus, we first assign all the high risk weighted amount to foreign bank nostro deposits.</t>
  </si>
  <si>
    <t>D2(exposure to foreign banks)</t>
  </si>
  <si>
    <t>It's reasonable assumption that most of Amex's exposure is to grade A banks, assuming the banks in countries with CRC 3 be Grade B banks and banks in coutries with CRC 4-7 be Grade C banks. (or 80-18-2 ratio if more reasonable)</t>
  </si>
  <si>
    <t>D2</t>
  </si>
  <si>
    <t xml:space="preserve">2. Securities: </t>
  </si>
  <si>
    <t>2.a Held-to-maturity securities</t>
  </si>
  <si>
    <t>2.b Available-for-sale debt securities （1，314，000）</t>
  </si>
  <si>
    <t>U.S. Treasury securities（302，000）</t>
  </si>
  <si>
    <t xml:space="preserve">direct exposure </t>
  </si>
  <si>
    <t>U.S. government agency and sponsored agency obligations
(exclude mortgage-backed securities)</t>
  </si>
  <si>
    <t>C</t>
  </si>
  <si>
    <t>Senior, non-equity GSE debt (Fannie, Freddie, FHLB, Farmer Mac, etc.) Remain 20%</t>
  </si>
  <si>
    <t>Securities issued by states and political subdivisions in the U.S</t>
  </si>
  <si>
    <t xml:space="preserve"> Assume that they are general obligation exposures </t>
  </si>
  <si>
    <t>E1</t>
  </si>
  <si>
    <t>Mortgage-backed securities (MBS)</t>
  </si>
  <si>
    <t>Residential pass-through securities: Garanteed by GNMA</t>
  </si>
  <si>
    <t>direct exposure, unconditionally guaranteed exposures and covered PPP loans</t>
  </si>
  <si>
    <t>US government sovereign exposure</t>
  </si>
  <si>
    <t>Residential pass-through securities: Issued by FNMA and FHLMC</t>
  </si>
  <si>
    <t>Asset-backed securities and structured financial products</t>
  </si>
  <si>
    <t>ABS</t>
  </si>
  <si>
    <t xml:space="preserve">Structured financial products </t>
  </si>
  <si>
    <t>Other debt securities</t>
  </si>
  <si>
    <t>other domestic debt securities</t>
  </si>
  <si>
    <t xml:space="preserve"> Assume they are all from 1.A1 direct exposures, unconditionally guaranteed exposres </t>
  </si>
  <si>
    <t>other foreign debt securities</t>
  </si>
  <si>
    <t>Unallocated portfolio layer fair value hedge basis adjustments</t>
  </si>
  <si>
    <t>2.c Equity securities with readily determinable fair values not held for trading（141，000）</t>
  </si>
  <si>
    <t xml:space="preserve"> Since it is not listed, we assume that it is MDBs </t>
  </si>
  <si>
    <t>3. Federal funds sold and securities purchased under agreements to resell</t>
  </si>
  <si>
    <t>3.a. Federal funds sold in domestic offices</t>
  </si>
  <si>
    <t>3.b. Securities purchased under agreements to resell</t>
  </si>
  <si>
    <t>4. Loans and lease financing receivables</t>
  </si>
  <si>
    <t>4.a. Loans and leases held for sale（2,405,000）</t>
  </si>
  <si>
    <t>K</t>
  </si>
  <si>
    <t>ERBA leaves low quality exposures at 150%.</t>
  </si>
  <si>
    <t>40% (if Grade A)
ERBA floor.</t>
  </si>
  <si>
    <t>No change</t>
  </si>
  <si>
    <t>CCF ERBA</t>
  </si>
  <si>
    <t>1.F, 1.D</t>
  </si>
  <si>
    <t>retail (consumer &amp; SME revolving credit lines)</t>
  </si>
  <si>
    <t>Allocation by Risk-Weight Category(SA)</t>
  </si>
  <si>
    <t>4b. Loans and leases, held for investment, net of allowance （210,602,000）</t>
  </si>
  <si>
    <t>132000(0%), 1626000(100%)</t>
  </si>
  <si>
    <t>RWA SA</t>
  </si>
  <si>
    <t>RWA ERBA</t>
  </si>
  <si>
    <t>Change</t>
  </si>
  <si>
    <t>change in percentage</t>
  </si>
  <si>
    <t>non-us</t>
  </si>
  <si>
    <t>us</t>
  </si>
  <si>
    <t>government</t>
  </si>
  <si>
    <t>bank</t>
  </si>
  <si>
    <t>corporate</t>
  </si>
  <si>
    <t>other</t>
  </si>
  <si>
    <t>hfi</t>
  </si>
  <si>
    <t>hfs</t>
  </si>
  <si>
    <t>&lt;1year</t>
  </si>
  <si>
    <t>1-5 years</t>
  </si>
  <si>
    <t>over 5 years</t>
  </si>
  <si>
    <t xml:space="preserve">from pillar 3 disclosure, we can assume that these part is all US, retail loans and leases which has remaining contractual maturity less than 1 year. </t>
  </si>
  <si>
    <t xml:space="preserve">total loans and card member receiveibles </t>
  </si>
  <si>
    <t>0% bucket bank exposures: 66,000
Retail(1,626,000): transactor exposures(360000, 55%), regulatory retail exposure(but not a transactor)(1140000, 85%), other retail exposure(0, 110%) Corporate(126000):</t>
  </si>
  <si>
    <t>other loans, exclude consumer loans</t>
  </si>
  <si>
    <t xml:space="preserve">loans to nondepository finanical institutions </t>
  </si>
  <si>
    <t>loans to foreign governments and official institutions</t>
  </si>
  <si>
    <t>retail loans, single payment, installment, all student loans</t>
  </si>
  <si>
    <t>retail loans, revolving credit plans</t>
  </si>
  <si>
    <t>reatial loans, credit cards</t>
  </si>
  <si>
    <t>Commercial and industrial loans, non-us</t>
  </si>
  <si>
    <t>Commercial and industrial loans, US</t>
  </si>
  <si>
    <t>Loans to depository institutions and acceptances of other banks, foreign</t>
  </si>
  <si>
    <t xml:space="preserve"> Loans to depository institutions and acceptances of other banks, US</t>
  </si>
  <si>
    <t>foreign</t>
  </si>
  <si>
    <t>revolving credit plans</t>
  </si>
  <si>
    <t>loans to foreigndepository institutions with CRC-2</t>
  </si>
  <si>
    <t xml:space="preserve">we assume most of the coporates that Amex borrow loans to are not investment grade, and thus we assume all the commercial and industrial loans and nondepository financial institutions as general corporates project finance under operational phrase with 100% rw, </t>
  </si>
  <si>
    <t>75%, 100%,130%,</t>
  </si>
  <si>
    <t>D2, F, retail</t>
  </si>
  <si>
    <t xml:space="preserve">29000 are loans to foreign depository insitutions with CRC 3, 55223000 are US commercial and industrial loans, 13764000 are non us commercial and industrial loans, 2234000 from loans to nondepository financial institutions, 1592000 from other loans exclude consumer loans, 32093000 from retail loans including single payment, installment and all student loans, and the rest 105381000 are from card member loans. </t>
  </si>
  <si>
    <t>20%, 40%</t>
  </si>
  <si>
    <t>A2, D1, D2</t>
  </si>
  <si>
    <t>118000 from loans to foreignments with CRC 2, 60,000 from loans to depository institutions in us banks, and 46000 from loans to foreign depository institutions with CRC 0-1</t>
  </si>
  <si>
    <t xml:space="preserve"> Loans to foreign governments and official insitutions with CRC 0-1</t>
  </si>
  <si>
    <t xml:space="preserve"> past due, most probably come from card member loans and card member receivables plus retail loans like student loans</t>
  </si>
  <si>
    <t>retail</t>
  </si>
  <si>
    <t>assuming all are credit card member loans</t>
  </si>
  <si>
    <t xml:space="preserve">Assumption </t>
  </si>
  <si>
    <t>55%
85%
110%</t>
  </si>
  <si>
    <t>20%
40%</t>
  </si>
  <si>
    <t>75%
100%
130%
55%
85%
110%</t>
  </si>
  <si>
    <t>We assume Assume loans to all the banks in US Grade A banks and loans to CRC0-2 foreign banks are Grade A banks</t>
  </si>
  <si>
    <t xml:space="preserve">According to 10K, we calculate the proportion of card member receivables from the total amount of card member receivables and loans to retail as 23.98%, and we assume this portion as transactors. Then for the rest of the card member loans, assume half as regulatory retail exposure and half as other retail exposure. </t>
  </si>
  <si>
    <t>no change under urba</t>
  </si>
  <si>
    <t>no change under erba</t>
  </si>
  <si>
    <t xml:space="preserve">Assume only banks in countries with CRC-3 are Grade B banks .Considering the product composition of Amex, assume few exposure to investment grade companies. For the loans to commercial and industrial purposes and to non depository financial institutions, assume they go to project finance exposure, where half is operational phase project and half is operational phase project. </t>
  </si>
  <si>
    <t xml:space="preserve"> loans to CRC0-2 foreign banks are Grade A banks</t>
  </si>
  <si>
    <t>4b. Loans and leases, held for investment, net of allowance</t>
  </si>
  <si>
    <t>Asset</t>
  </si>
  <si>
    <t>SA RWA</t>
  </si>
  <si>
    <t>ERBA RWA</t>
  </si>
  <si>
    <t>132000(0%), 126000(100%),360000(55%),570000(85%),570000(110%)</t>
  </si>
  <si>
    <t>38348000(100%),109706000(55%),173881500(85%), 173881500(110%)</t>
  </si>
  <si>
    <t>Operational Risk RWA Calculation</t>
  </si>
  <si>
    <t>Your bank</t>
  </si>
  <si>
    <t>As of 9/30/2025</t>
  </si>
  <si>
    <t xml:space="preserve"> Most Recent Quarter (MRQ) Data FR Y-9C's</t>
  </si>
  <si>
    <t>FR Y-9C Data Source mapping</t>
  </si>
  <si>
    <t>MRQ-13</t>
  </si>
  <si>
    <t>MRQ-12</t>
  </si>
  <si>
    <t>MRQ-11</t>
  </si>
  <si>
    <t>MRQ-10</t>
  </si>
  <si>
    <t>MRQ-9</t>
  </si>
  <si>
    <t>MRQ-8</t>
  </si>
  <si>
    <t>MRQ-7</t>
  </si>
  <si>
    <t>MRQ-6</t>
  </si>
  <si>
    <t>MRQ-5</t>
  </si>
  <si>
    <t>MRQ-4</t>
  </si>
  <si>
    <t>MRQ-3</t>
  </si>
  <si>
    <t>MRQ-2</t>
  </si>
  <si>
    <t>MRQ-1</t>
  </si>
  <si>
    <t>Components</t>
  </si>
  <si>
    <t>Amount in Thousands USD</t>
  </si>
  <si>
    <t>Formula</t>
  </si>
  <si>
    <t>MRQ 1-4</t>
  </si>
  <si>
    <t>MRQ 5-8</t>
  </si>
  <si>
    <t>MRQ 9-13</t>
  </si>
  <si>
    <t>Schedule</t>
  </si>
  <si>
    <t>MDRM</t>
  </si>
  <si>
    <t>Total Interest Income</t>
  </si>
  <si>
    <t>AVERAGE(F4:H4)</t>
  </si>
  <si>
    <t>Schedule HI</t>
  </si>
  <si>
    <t>BHCK4107</t>
  </si>
  <si>
    <t>Total Interest Income-Dividend Income</t>
  </si>
  <si>
    <t>=BHCK4107 - Dividend Income</t>
  </si>
  <si>
    <t>Total Interest Expense</t>
  </si>
  <si>
    <t>AVERAGE(F6:H6)</t>
  </si>
  <si>
    <t>BHCK4073</t>
  </si>
  <si>
    <t>Net Interest Income</t>
  </si>
  <si>
    <t>AVERAGE(F7:H7)</t>
  </si>
  <si>
    <t>=BHCK4107 - Dividend Income - BHCK4073</t>
  </si>
  <si>
    <t>Interest Earning Assets</t>
  </si>
  <si>
    <t>AVERAGE(F8:H8)</t>
  </si>
  <si>
    <t>Schedule HC</t>
  </si>
  <si>
    <t>=BHCK0395+BHCK0397+BHCK5369+BHCKB528+BHDMB987+BHCK3545+BHCKB989+BHCKJJ34+BHCK1773</t>
  </si>
  <si>
    <t xml:space="preserve">    (1) In U.S. offices</t>
  </si>
  <si>
    <t>AVERAGE(F9:H9)</t>
  </si>
  <si>
    <t>BHCK0395</t>
  </si>
  <si>
    <t xml:space="preserve">    (2) In foreign offices, Edge and Agreement subsidiaries, and IBFs</t>
  </si>
  <si>
    <t>AVERAGE(F10:H10)</t>
  </si>
  <si>
    <t>BHCK0397</t>
  </si>
  <si>
    <t xml:space="preserve">    (3) Loans &amp; Leases Held for Sale</t>
  </si>
  <si>
    <t>AVERAGE(F11:H11)</t>
  </si>
  <si>
    <t>BHCK5369</t>
  </si>
  <si>
    <t xml:space="preserve">    (4) Total Loans &amp; Leases (Excl HFS)</t>
  </si>
  <si>
    <t>AVERAGE(F12:H12)</t>
  </si>
  <si>
    <t>BHCKB528</t>
  </si>
  <si>
    <t xml:space="preserve">    (5) Fed Funds Sold</t>
  </si>
  <si>
    <t>AVERAGE(F13:H13)</t>
  </si>
  <si>
    <t>BHDMB987</t>
  </si>
  <si>
    <t xml:space="preserve">    (6) Total Trading Assets</t>
  </si>
  <si>
    <t>AVERAGE(F14:H14)</t>
  </si>
  <si>
    <t>BHCK3545</t>
  </si>
  <si>
    <t xml:space="preserve">    (7) Reverse Repurch Agreements</t>
  </si>
  <si>
    <t>AVERAGE(F15:H15)</t>
  </si>
  <si>
    <t>BHCKB989</t>
  </si>
  <si>
    <t xml:space="preserve">    (8) Held-to-Maturity Securities</t>
  </si>
  <si>
    <t>AVERAGE(F16:H16)</t>
  </si>
  <si>
    <t>BHCKJJ34</t>
  </si>
  <si>
    <t xml:space="preserve">    (9) Total Available-for-sale Debt Securities (FV)</t>
  </si>
  <si>
    <t>AVERAGE(F17:H17)</t>
  </si>
  <si>
    <t>BHCK1773</t>
  </si>
  <si>
    <t>Dividend income</t>
  </si>
  <si>
    <t>AVERAGE(F18:H18)</t>
  </si>
  <si>
    <t>=BHCKB488+BHCKB489+BHCK4060</t>
  </si>
  <si>
    <t xml:space="preserve">   (1) U.S. Treasury securities and U.S. government agency obligations</t>
  </si>
  <si>
    <t>AVERAGE(F19:H19)</t>
  </si>
  <si>
    <t>BHCKB488</t>
  </si>
  <si>
    <t xml:space="preserve">   (2) Mortgage-backed securities</t>
  </si>
  <si>
    <t>AVERAGE(F20:H20)</t>
  </si>
  <si>
    <t>BHCKB489</t>
  </si>
  <si>
    <t xml:space="preserve">   (3) All other securities</t>
  </si>
  <si>
    <t>AVERAGE(F21:H21)</t>
  </si>
  <si>
    <t>BHCK4060</t>
  </si>
  <si>
    <t>Interest and Dividend component (ILDC)</t>
  </si>
  <si>
    <t>MAX(MIN(ABS(NII),2.25%*IEA)+DIV,0)</t>
  </si>
  <si>
    <t>Fees and commission income</t>
  </si>
  <si>
    <t>AVERAGE(F23:H23)</t>
  </si>
  <si>
    <t>=BHCK4070+BHCK4483+BHCKC886+BHCKC888+BHCKC887+BHCKC386+BHCKC387+BHCKKX47+BHCKB492</t>
  </si>
  <si>
    <t xml:space="preserve">   Fiduciary Activities</t>
  </si>
  <si>
    <t>AVERAGE(F24:H24)</t>
  </si>
  <si>
    <t>BHCK4070</t>
  </si>
  <si>
    <t xml:space="preserve">   Service Charges on Deposit Accounts</t>
  </si>
  <si>
    <t>AVERAGE(F25:H25)</t>
  </si>
  <si>
    <t>BHCK4483</t>
  </si>
  <si>
    <t xml:space="preserve">   Fees and commissions from securities brokerage</t>
  </si>
  <si>
    <t>AVERAGE(F26:H26)</t>
  </si>
  <si>
    <t>BHCKC886</t>
  </si>
  <si>
    <t xml:space="preserve">   Investment banking, advisory, and underwriting fees and commissions</t>
  </si>
  <si>
    <t>AVERAGE(F27:H27)</t>
  </si>
  <si>
    <t>BHCKC888</t>
  </si>
  <si>
    <t xml:space="preserve">   Fees and commissions from annuity sales</t>
  </si>
  <si>
    <t>AVERAGE(F28:H28)</t>
  </si>
  <si>
    <t>BHCKC887</t>
  </si>
  <si>
    <t xml:space="preserve">   Underwriting income from insurance and reinsurance activities</t>
  </si>
  <si>
    <t>AVERAGE(F29:H29)</t>
  </si>
  <si>
    <t>BHCKC386</t>
  </si>
  <si>
    <t xml:space="preserve">   Income from other insurance activities</t>
  </si>
  <si>
    <t>AVERAGE(F30:H30)</t>
  </si>
  <si>
    <t>BHCKC387</t>
  </si>
  <si>
    <t xml:space="preserve">   Income from insurance activities</t>
  </si>
  <si>
    <t>AVERAGE(F31:H31)</t>
  </si>
  <si>
    <t>BHCKKX47</t>
  </si>
  <si>
    <t xml:space="preserve">   Net servicing fees</t>
  </si>
  <si>
    <t>AVERAGE(F32:H32)</t>
  </si>
  <si>
    <t>BHCKB492</t>
  </si>
  <si>
    <t>Fees and commission expense</t>
  </si>
  <si>
    <t>AVERAGE(F33:H33)</t>
  </si>
  <si>
    <t>=BHCK0497+BHCK4141+BHCK4146+BHCKF556+BHCKF557+BHCKF558</t>
  </si>
  <si>
    <t>Advertising &amp; Marketing Expenses</t>
  </si>
  <si>
    <t>AVERAGE(F34:H34)</t>
  </si>
  <si>
    <t>BHCK0497</t>
  </si>
  <si>
    <t>Oth NIE: Legal Fees &amp; Expenses</t>
  </si>
  <si>
    <t>AVERAGE(F35:H35)</t>
  </si>
  <si>
    <t>BHCK4141</t>
  </si>
  <si>
    <t>Oth NIE: FDIC Dep Insurance Assessments</t>
  </si>
  <si>
    <t>AVERAGE(F36:H36)</t>
  </si>
  <si>
    <t>BHCK4146</t>
  </si>
  <si>
    <t>Oth NIE: Accounting &amp; Auditing Expenses</t>
  </si>
  <si>
    <t>AVERAGE(F37:H37)</t>
  </si>
  <si>
    <t>BHCKF556</t>
  </si>
  <si>
    <t>Oth NIE: Consulting &amp; Advisory Expenses</t>
  </si>
  <si>
    <t>AVERAGE(F38:H38)</t>
  </si>
  <si>
    <t>BHCKF557</t>
  </si>
  <si>
    <t>Oth NIE: ATM &amp; Interchange Expenses</t>
  </si>
  <si>
    <t>AVERAGE(F39:H39)</t>
  </si>
  <si>
    <t>BHCKF558</t>
  </si>
  <si>
    <t>Other operating income</t>
  </si>
  <si>
    <t>AVERAGE(F40:H40)</t>
  </si>
  <si>
    <t>BHCKB497</t>
  </si>
  <si>
    <t>Other operating expense</t>
  </si>
  <si>
    <t>AVERAGE(F41:H41)</t>
  </si>
  <si>
    <t>=BHCK4092-Fees and commission expense</t>
  </si>
  <si>
    <t>Other Nonint Expense</t>
  </si>
  <si>
    <t>AVERAGE(F42:H42)</t>
  </si>
  <si>
    <t>BHCK4092</t>
  </si>
  <si>
    <t>Service Component (SC)</t>
  </si>
  <si>
    <t>MAX((FeeInc-FeeExp)+(OOI-OOE),0)</t>
  </si>
  <si>
    <t>Trading revenue</t>
  </si>
  <si>
    <t>AVERAGE(F44:H44)</t>
  </si>
  <si>
    <t>BHCKA220</t>
  </si>
  <si>
    <t>Net profit or loss on assets and liabilities not held for trading</t>
  </si>
  <si>
    <t>AVERAGE(F45:H45)</t>
  </si>
  <si>
    <t>=BHCK3521+BHCK3196+BHCK8560+BHCK8561+BHCKB496+BHCKB491+BHCKB493</t>
  </si>
  <si>
    <t xml:space="preserve">  realized gains (losses) on held-to-maturity securities,</t>
  </si>
  <si>
    <t>AVERAGE(F46:H46)</t>
  </si>
  <si>
    <t>BHCK3521</t>
  </si>
  <si>
    <t xml:space="preserve">  realized gains (losses) on available-for-sale securities, </t>
  </si>
  <si>
    <t>AVERAGE(F47:H47)</t>
  </si>
  <si>
    <t>BHCK3196</t>
  </si>
  <si>
    <t xml:space="preserve">  net gains (losses) on sales of loans and leases, </t>
  </si>
  <si>
    <t>AVERAGE(F48:H48)</t>
  </si>
  <si>
    <t>BHCK8560</t>
  </si>
  <si>
    <t xml:space="preserve">  net gains (losses) on sales of other real estate owned, </t>
  </si>
  <si>
    <t>AVERAGE(F49:H49)</t>
  </si>
  <si>
    <t>BHCK8561</t>
  </si>
  <si>
    <t xml:space="preserve">  net gains (losses) on sales of other assets,</t>
  </si>
  <si>
    <t>AVERAGE(F50:H50)</t>
  </si>
  <si>
    <t>BHCKB496</t>
  </si>
  <si>
    <t xml:space="preserve">  venture capital revenue, and </t>
  </si>
  <si>
    <t>AVERAGE(F51:H51)</t>
  </si>
  <si>
    <t>BHCKB491</t>
  </si>
  <si>
    <t xml:space="preserve">  net securitization income</t>
  </si>
  <si>
    <t>AVERAGE(F52:H52)</t>
  </si>
  <si>
    <t>BHCKB493</t>
  </si>
  <si>
    <t>Financial Component (FC)</t>
  </si>
  <si>
    <t>ABS(Trading)+ABS(BankingBook)</t>
  </si>
  <si>
    <t>Line Item</t>
  </si>
  <si>
    <t>Description</t>
  </si>
  <si>
    <t>Current (3.a=0) (AOCI INCLUDED)</t>
  </si>
  <si>
    <t>Adjusted (3.a=1) (AOCI EXCLUDED)</t>
  </si>
  <si>
    <t>Difference</t>
  </si>
  <si>
    <t>3.a</t>
  </si>
  <si>
    <t>AOCI opt-out election (1=Yes, 0=No)</t>
  </si>
  <si>
    <t>0(No)</t>
  </si>
  <si>
    <t>Yes(1)</t>
  </si>
  <si>
    <t>AOCI included in CET1 (amount)</t>
  </si>
  <si>
    <t>5</t>
  </si>
  <si>
    <t>CET1 Capital before adjustments/deductions</t>
  </si>
  <si>
    <t>12</t>
  </si>
  <si>
    <t>CET1 Capital (after deductions)</t>
  </si>
  <si>
    <t>19</t>
  </si>
  <si>
    <t xml:space="preserve">CET 1 Capital </t>
  </si>
  <si>
    <t>26</t>
  </si>
  <si>
    <t>Tier 1 Capital</t>
  </si>
  <si>
    <t>30</t>
  </si>
  <si>
    <t>Total Assets for the leverage ratio</t>
  </si>
  <si>
    <t>31</t>
  </si>
  <si>
    <t>Leverage Ratio</t>
  </si>
  <si>
    <t>44</t>
  </si>
  <si>
    <t>Tier 2 Capital</t>
  </si>
  <si>
    <t>45.a</t>
  </si>
  <si>
    <t>Total Capital</t>
  </si>
  <si>
    <t>47</t>
  </si>
  <si>
    <t>CET 1 Capital Ratio</t>
  </si>
  <si>
    <t>48</t>
  </si>
  <si>
    <t>Tier 1 Capital Ratio</t>
  </si>
  <si>
    <t>49</t>
  </si>
  <si>
    <t>Total Capital Ratio</t>
  </si>
  <si>
    <t>RWA (backed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</si>
</sst>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8" formatCode="&quot;$&quot;#,##0.00_);[Red]\(&quot;$&quot;#,##0.00\)"/>
    <numFmt numFmtId="44" formatCode="_(&quot;$&quot;* #,##0.00_);_(&quot;$&quot;* \(#,##0.00\);_(&quot;$&quot;* &quot;-&quot;??_);_(@_)"/>
    <numFmt numFmtId="43" formatCode="_(* #,##0.00_);_(* \(#,##0.00\);_(* &quot;-&quot;??_);_(@_)"/>
    <numFmt numFmtId="164" formatCode="_ * #,##0.00_ ;_ * \-#,##0.00_ ;_ * &quot;-&quot;??_ ;_ @_ "/>
    <numFmt numFmtId="165" formatCode="&quot;$&quot;#,##0"/>
    <numFmt numFmtId="174" formatCode="[$$-409]#,##0"/>
    <numFmt numFmtId="175" formatCode="&quot;$&quot;#,##0.00"/>
    <numFmt numFmtId="177" formatCode="0.0000"/>
  </numFmts>
  <fonts count="20">
    <font>
      <sz val="11"/>
      <color theme="1"/>
      <name val="Calibri"/>
      <family val="2"/>
      <charset val="134"/>
      <scheme val="minor"/>
    </font>
    <font>
      <sz val="11"/>
      <color theme="1"/>
      <name val="Calibri"/>
      <family val="2"/>
      <scheme val="minor"/>
    </font>
    <font>
      <sz val="11"/>
      <color theme="1"/>
      <name val="Calibri"/>
      <family val="2"/>
      <charset val="134"/>
      <scheme val="minor"/>
    </font>
    <font>
      <sz val="9"/>
      <name val="Calibri"/>
      <family val="2"/>
      <charset val="134"/>
      <scheme val="minor"/>
    </font>
    <font>
      <sz val="11"/>
      <color theme="1"/>
      <name val="Times New Roman"/>
      <family val="1"/>
    </font>
    <font>
      <sz val="11"/>
      <color rgb="FF000000"/>
      <name val="Times New Roman"/>
      <family val="1"/>
    </font>
    <font>
      <b/>
      <sz val="10"/>
      <color rgb="FF000000"/>
      <name val="Tahoma"/>
      <family val="2"/>
    </font>
    <font>
      <sz val="10"/>
      <color rgb="FF000000"/>
      <name val="Tahoma"/>
      <family val="2"/>
    </font>
    <font>
      <sz val="12"/>
      <color rgb="FF000000"/>
      <name val="Arial"/>
      <family val="2"/>
    </font>
    <font>
      <sz val="9"/>
      <color rgb="FF000000"/>
      <name val="Arial"/>
      <family val="2"/>
    </font>
    <font>
      <sz val="12"/>
      <color theme="1"/>
      <name val="Calibri"/>
      <family val="2"/>
      <charset val="134"/>
      <scheme val="minor"/>
    </font>
    <font>
      <sz val="12"/>
      <color rgb="FF000000"/>
      <name val="Calibri"/>
      <family val="2"/>
      <charset val="134"/>
      <scheme val="minor"/>
    </font>
    <font>
      <b/>
      <sz val="11"/>
      <color theme="1"/>
      <name val="Calibri"/>
      <family val="2"/>
      <scheme val="minor"/>
    </font>
    <font>
      <sz val="10"/>
      <color rgb="FF000000"/>
      <name val="Calibri"/>
      <scheme val="minor"/>
    </font>
    <font>
      <b/>
      <sz val="11"/>
      <color theme="0"/>
      <name val="Times New Roman"/>
      <family val="1"/>
    </font>
    <font>
      <b/>
      <sz val="11"/>
      <color theme="1"/>
      <name val="Times New Roman"/>
      <family val="1"/>
    </font>
    <font>
      <b/>
      <sz val="11"/>
      <color rgb="FFFFFFFF"/>
      <name val="Times New Roman"/>
      <family val="1"/>
    </font>
    <font>
      <b/>
      <i/>
      <sz val="11"/>
      <color theme="1"/>
      <name val="Times New Roman"/>
      <family val="1"/>
    </font>
    <font>
      <b/>
      <sz val="11"/>
      <color rgb="FF44546A"/>
      <name val="Times New Roman"/>
      <family val="1"/>
    </font>
    <font>
      <sz val="10"/>
      <color rgb="FF000000"/>
      <name val="Calibri"/>
      <family val="2"/>
      <scheme val="minor"/>
    </font>
  </fonts>
  <fills count="20">
    <fill>
      <patternFill patternType="none"/>
    </fill>
    <fill>
      <patternFill patternType="gray125"/>
    </fill>
    <fill>
      <patternFill patternType="solid">
        <fgColor theme="5" tint="0.79998168889431442"/>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rgb="FFBDD6EE"/>
        <bgColor rgb="FFBDD6EE"/>
      </patternFill>
    </fill>
    <fill>
      <patternFill patternType="solid">
        <fgColor rgb="FFE7E6E6"/>
        <bgColor rgb="FFE7E6E6"/>
      </patternFill>
    </fill>
    <fill>
      <patternFill patternType="solid">
        <fgColor rgb="FFF7CAAC"/>
        <bgColor rgb="FFF7CAAC"/>
      </patternFill>
    </fill>
    <fill>
      <patternFill patternType="solid">
        <fgColor rgb="FFD0CECE"/>
        <bgColor rgb="FFD0CECE"/>
      </patternFill>
    </fill>
    <fill>
      <patternFill patternType="solid">
        <fgColor theme="4"/>
        <bgColor theme="4"/>
      </patternFill>
    </fill>
    <fill>
      <patternFill patternType="solid">
        <fgColor rgb="FFFEF2CB"/>
        <bgColor rgb="FFFEF2CB"/>
      </patternFill>
    </fill>
    <fill>
      <patternFill patternType="solid">
        <fgColor rgb="FFE2EFD9"/>
        <bgColor rgb="FFE2EFD9"/>
      </patternFill>
    </fill>
    <fill>
      <patternFill patternType="solid">
        <fgColor theme="0"/>
        <bgColor theme="0"/>
      </patternFill>
    </fill>
    <fill>
      <patternFill patternType="solid">
        <fgColor rgb="FFC5E0B3"/>
        <bgColor rgb="FFC5E0B3"/>
      </patternFill>
    </fill>
    <fill>
      <patternFill patternType="solid">
        <fgColor rgb="FF548135"/>
        <bgColor rgb="FF548135"/>
      </patternFill>
    </fill>
    <fill>
      <patternFill patternType="solid">
        <fgColor rgb="FFDEEAF6"/>
        <bgColor rgb="FFDEEAF6"/>
      </patternFill>
    </fill>
    <fill>
      <patternFill patternType="solid">
        <fgColor rgb="FFFFD965"/>
        <bgColor rgb="FFFFD965"/>
      </patternFill>
    </fill>
    <fill>
      <patternFill patternType="solid">
        <fgColor theme="3"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1">
    <xf numFmtId="0" fontId="0" fillId="0" borderId="0">
      <alignment vertical="center"/>
    </xf>
    <xf numFmtId="44" fontId="2" fillId="0" borderId="0" applyFont="0" applyFill="0" applyBorder="0" applyAlignment="0" applyProtection="0"/>
    <xf numFmtId="0" fontId="2" fillId="0" borderId="0"/>
    <xf numFmtId="9"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13" fillId="0" borderId="0"/>
    <xf numFmtId="44" fontId="19" fillId="0" borderId="0" applyFont="0" applyFill="0" applyBorder="0" applyAlignment="0" applyProtection="0"/>
    <xf numFmtId="9" fontId="19" fillId="0" borderId="0" applyFont="0" applyFill="0" applyBorder="0" applyAlignment="0" applyProtection="0"/>
    <xf numFmtId="0" fontId="1" fillId="0" borderId="0"/>
  </cellStyleXfs>
  <cellXfs count="186">
    <xf numFmtId="0" fontId="0" fillId="0" borderId="0" xfId="0">
      <alignment vertical="center"/>
    </xf>
    <xf numFmtId="44" fontId="4" fillId="0" borderId="1" xfId="1" applyFont="1" applyBorder="1" applyAlignment="1">
      <alignment vertical="center" wrapText="1"/>
    </xf>
    <xf numFmtId="44" fontId="4" fillId="0" borderId="1" xfId="1" applyFont="1" applyFill="1" applyBorder="1" applyAlignment="1">
      <alignment horizontal="center" vertical="center" wrapText="1"/>
    </xf>
    <xf numFmtId="44" fontId="4" fillId="3" borderId="1" xfId="1" applyFont="1" applyFill="1" applyBorder="1" applyAlignment="1">
      <alignment horizontal="center" vertical="center" wrapText="1"/>
    </xf>
    <xf numFmtId="44" fontId="4" fillId="0" borderId="1" xfId="1" applyFont="1" applyBorder="1" applyAlignment="1">
      <alignment horizontal="left" vertical="center" wrapText="1"/>
    </xf>
    <xf numFmtId="0" fontId="2" fillId="4" borderId="1" xfId="2" applyFill="1" applyBorder="1" applyAlignment="1">
      <alignment horizontal="left" vertical="center"/>
    </xf>
    <xf numFmtId="0" fontId="2" fillId="4" borderId="1" xfId="2" applyFill="1" applyBorder="1" applyAlignment="1">
      <alignment horizontal="left" vertical="center" wrapText="1"/>
    </xf>
    <xf numFmtId="0" fontId="2" fillId="4" borderId="1" xfId="2" applyFill="1" applyBorder="1" applyAlignment="1">
      <alignment vertical="center" wrapText="1"/>
    </xf>
    <xf numFmtId="0" fontId="2" fillId="4" borderId="1" xfId="2" applyFill="1" applyBorder="1" applyAlignment="1">
      <alignment horizontal="center" vertical="center" wrapText="1"/>
    </xf>
    <xf numFmtId="44" fontId="0" fillId="4" borderId="1" xfId="1" applyFont="1" applyFill="1" applyBorder="1"/>
    <xf numFmtId="0" fontId="2" fillId="4" borderId="1" xfId="2" applyFill="1" applyBorder="1" applyAlignment="1">
      <alignment wrapText="1"/>
    </xf>
    <xf numFmtId="0" fontId="2" fillId="4" borderId="1" xfId="2" applyFill="1" applyBorder="1"/>
    <xf numFmtId="9" fontId="0" fillId="4" borderId="1" xfId="3" applyFont="1" applyFill="1" applyBorder="1"/>
    <xf numFmtId="0" fontId="2" fillId="0" borderId="0" xfId="2"/>
    <xf numFmtId="0" fontId="2" fillId="0" borderId="1" xfId="2" applyBorder="1" applyAlignment="1">
      <alignment horizontal="center" vertical="center" wrapText="1"/>
    </xf>
    <xf numFmtId="44" fontId="0" fillId="0" borderId="1" xfId="1" applyFont="1" applyBorder="1"/>
    <xf numFmtId="0" fontId="2" fillId="0" borderId="1" xfId="2" applyBorder="1" applyAlignment="1">
      <alignment wrapText="1"/>
    </xf>
    <xf numFmtId="0" fontId="2" fillId="0" borderId="1" xfId="2" applyBorder="1"/>
    <xf numFmtId="9" fontId="0" fillId="0" borderId="1" xfId="3" applyFont="1" applyBorder="1"/>
    <xf numFmtId="44" fontId="2" fillId="0" borderId="1" xfId="2" applyNumberFormat="1" applyBorder="1"/>
    <xf numFmtId="0" fontId="2" fillId="0" borderId="1" xfId="2" applyBorder="1" applyAlignment="1">
      <alignment vertical="center" wrapText="1"/>
    </xf>
    <xf numFmtId="0" fontId="2" fillId="0" borderId="1" xfId="2" applyBorder="1" applyAlignment="1">
      <alignment horizontal="center" wrapText="1"/>
    </xf>
    <xf numFmtId="0" fontId="2" fillId="0" borderId="1" xfId="2" applyBorder="1" applyAlignment="1">
      <alignment horizontal="left" vertical="center" wrapText="1"/>
    </xf>
    <xf numFmtId="8" fontId="0" fillId="0" borderId="1" xfId="1" applyNumberFormat="1" applyFont="1" applyBorder="1"/>
    <xf numFmtId="9" fontId="0" fillId="0" borderId="1" xfId="3" applyFont="1" applyBorder="1" applyAlignment="1">
      <alignment wrapText="1"/>
    </xf>
    <xf numFmtId="0" fontId="2" fillId="0" borderId="0" xfId="2" applyAlignment="1">
      <alignment horizontal="left" vertical="center"/>
    </xf>
    <xf numFmtId="0" fontId="2" fillId="0" borderId="0" xfId="2" applyAlignment="1">
      <alignment horizontal="left" vertical="center" wrapText="1"/>
    </xf>
    <xf numFmtId="0" fontId="2" fillId="0" borderId="0" xfId="2" applyAlignment="1">
      <alignment vertical="center" wrapText="1"/>
    </xf>
    <xf numFmtId="0" fontId="2" fillId="0" borderId="0" xfId="2" applyAlignment="1">
      <alignment horizontal="center" vertical="center" wrapText="1"/>
    </xf>
    <xf numFmtId="44" fontId="0" fillId="0" borderId="0" xfId="1" applyFont="1"/>
    <xf numFmtId="0" fontId="2" fillId="0" borderId="0" xfId="2" applyAlignment="1">
      <alignment wrapText="1"/>
    </xf>
    <xf numFmtId="9" fontId="0" fillId="0" borderId="0" xfId="3" applyFont="1"/>
    <xf numFmtId="44" fontId="2" fillId="0" borderId="0" xfId="2" applyNumberFormat="1"/>
    <xf numFmtId="0" fontId="4" fillId="2" borderId="0" xfId="2" applyFont="1" applyFill="1" applyAlignment="1">
      <alignment vertical="center" wrapText="1"/>
    </xf>
    <xf numFmtId="0" fontId="4" fillId="3" borderId="1" xfId="2" applyFont="1" applyFill="1" applyBorder="1" applyAlignment="1">
      <alignment horizontal="center" vertical="center" wrapText="1"/>
    </xf>
    <xf numFmtId="164" fontId="4" fillId="3" borderId="1" xfId="4" applyFont="1" applyFill="1" applyBorder="1" applyAlignment="1">
      <alignment horizontal="center" vertical="center" wrapText="1"/>
    </xf>
    <xf numFmtId="2" fontId="4" fillId="3" borderId="1" xfId="3" applyNumberFormat="1" applyFont="1" applyFill="1" applyBorder="1" applyAlignment="1">
      <alignment horizontal="center" vertical="center" wrapText="1"/>
    </xf>
    <xf numFmtId="9" fontId="4" fillId="3" borderId="1" xfId="3" applyFont="1" applyFill="1" applyBorder="1" applyAlignment="1">
      <alignment horizontal="center" vertical="center" wrapText="1"/>
    </xf>
    <xf numFmtId="0" fontId="4" fillId="0" borderId="0" xfId="2" applyFont="1" applyAlignment="1">
      <alignment vertical="center" wrapText="1"/>
    </xf>
    <xf numFmtId="0" fontId="5" fillId="0" borderId="1" xfId="2" applyFont="1" applyBorder="1" applyAlignment="1">
      <alignment vertical="center" wrapText="1"/>
    </xf>
    <xf numFmtId="0" fontId="4" fillId="0" borderId="1" xfId="2" applyFont="1" applyBorder="1" applyAlignment="1">
      <alignment vertical="center" wrapText="1"/>
    </xf>
    <xf numFmtId="0" fontId="4" fillId="0" borderId="1" xfId="2" applyFont="1" applyBorder="1" applyAlignment="1">
      <alignment vertical="distributed" wrapText="1"/>
    </xf>
    <xf numFmtId="0" fontId="4" fillId="0" borderId="1" xfId="2" applyFont="1" applyBorder="1" applyAlignment="1">
      <alignment horizontal="left" vertical="center" wrapText="1"/>
    </xf>
    <xf numFmtId="2" fontId="4" fillId="0" borderId="1" xfId="3" applyNumberFormat="1" applyFont="1" applyBorder="1" applyAlignment="1">
      <alignment horizontal="center" vertical="center" wrapText="1"/>
    </xf>
    <xf numFmtId="9" fontId="4" fillId="0" borderId="1" xfId="2" applyNumberFormat="1" applyFont="1" applyBorder="1" applyAlignment="1">
      <alignment horizontal="center" vertical="center" wrapText="1"/>
    </xf>
    <xf numFmtId="164" fontId="4" fillId="0" borderId="1" xfId="2" applyNumberFormat="1" applyFont="1" applyBorder="1" applyAlignment="1">
      <alignment vertical="center" wrapText="1"/>
    </xf>
    <xf numFmtId="164" fontId="4" fillId="0" borderId="0" xfId="2" applyNumberFormat="1" applyFont="1" applyAlignment="1">
      <alignment vertical="center" wrapText="1"/>
    </xf>
    <xf numFmtId="0" fontId="4" fillId="0" borderId="1" xfId="2" applyFont="1" applyBorder="1" applyAlignment="1">
      <alignment horizontal="center" vertical="center" wrapText="1"/>
    </xf>
    <xf numFmtId="164" fontId="4" fillId="0" borderId="1" xfId="4" applyFont="1" applyBorder="1" applyAlignment="1">
      <alignment vertical="center" wrapText="1"/>
    </xf>
    <xf numFmtId="0" fontId="4" fillId="3" borderId="1" xfId="2" applyFont="1" applyFill="1" applyBorder="1" applyAlignment="1">
      <alignment vertical="center" wrapText="1"/>
    </xf>
    <xf numFmtId="164" fontId="4" fillId="0" borderId="1" xfId="2" applyNumberFormat="1" applyFont="1" applyBorder="1" applyAlignment="1">
      <alignment horizontal="center" vertical="center" wrapText="1"/>
    </xf>
    <xf numFmtId="164" fontId="4" fillId="0" borderId="1" xfId="4" applyFont="1" applyFill="1" applyBorder="1" applyAlignment="1">
      <alignment horizontal="center" vertical="center" wrapText="1"/>
    </xf>
    <xf numFmtId="44" fontId="4" fillId="0" borderId="1" xfId="2" applyNumberFormat="1" applyFont="1" applyBorder="1" applyAlignment="1">
      <alignment horizontal="center" vertical="center" wrapText="1"/>
    </xf>
    <xf numFmtId="9" fontId="5" fillId="0" borderId="1" xfId="2" applyNumberFormat="1" applyFont="1" applyBorder="1" applyAlignment="1">
      <alignment vertical="center" wrapText="1"/>
    </xf>
    <xf numFmtId="9" fontId="5" fillId="0" borderId="1" xfId="3" applyFont="1" applyBorder="1" applyAlignment="1">
      <alignment vertical="center" wrapText="1"/>
    </xf>
    <xf numFmtId="43" fontId="4" fillId="0" borderId="1" xfId="2" applyNumberFormat="1" applyFont="1" applyBorder="1" applyAlignment="1">
      <alignment vertical="center" wrapText="1"/>
    </xf>
    <xf numFmtId="43" fontId="2" fillId="0" borderId="0" xfId="2" applyNumberFormat="1"/>
    <xf numFmtId="8" fontId="2" fillId="0" borderId="0" xfId="2" applyNumberFormat="1"/>
    <xf numFmtId="0" fontId="2" fillId="5" borderId="0" xfId="2" applyFill="1"/>
    <xf numFmtId="0" fontId="2" fillId="5" borderId="1" xfId="2" applyFill="1" applyBorder="1" applyAlignment="1">
      <alignment wrapText="1"/>
    </xf>
    <xf numFmtId="164" fontId="4" fillId="5" borderId="1" xfId="2" applyNumberFormat="1" applyFont="1" applyFill="1" applyBorder="1" applyAlignment="1">
      <alignment horizontal="center" vertical="center" wrapText="1"/>
    </xf>
    <xf numFmtId="44" fontId="4" fillId="5" borderId="1" xfId="1" applyFont="1" applyFill="1" applyBorder="1" applyAlignment="1">
      <alignment horizontal="center" vertical="center" wrapText="1"/>
    </xf>
    <xf numFmtId="0" fontId="2" fillId="5" borderId="1" xfId="2" applyFill="1" applyBorder="1"/>
    <xf numFmtId="0" fontId="5" fillId="5" borderId="1" xfId="2" applyFont="1" applyFill="1" applyBorder="1" applyAlignment="1">
      <alignment vertical="center" wrapText="1"/>
    </xf>
    <xf numFmtId="164" fontId="0" fillId="0" borderId="0" xfId="3" applyNumberFormat="1" applyFont="1" applyAlignment="1">
      <alignment wrapText="1"/>
    </xf>
    <xf numFmtId="10" fontId="2" fillId="0" borderId="0" xfId="5" applyNumberFormat="1"/>
    <xf numFmtId="0" fontId="2" fillId="0" borderId="6" xfId="2" applyBorder="1" applyAlignment="1">
      <alignment horizontal="center" vertical="center"/>
    </xf>
    <xf numFmtId="0" fontId="2" fillId="0" borderId="6" xfId="2" applyBorder="1" applyAlignment="1">
      <alignment horizontal="center" vertical="center" wrapText="1"/>
    </xf>
    <xf numFmtId="0" fontId="0" fillId="3" borderId="0" xfId="0" applyFill="1">
      <alignment vertical="center"/>
    </xf>
    <xf numFmtId="0" fontId="0" fillId="5" borderId="0" xfId="0" applyFill="1">
      <alignment vertical="center"/>
    </xf>
    <xf numFmtId="3" fontId="0" fillId="0" borderId="0" xfId="0" applyNumberFormat="1">
      <alignment vertical="center"/>
    </xf>
    <xf numFmtId="8" fontId="0" fillId="0" borderId="0" xfId="0" applyNumberFormat="1">
      <alignment vertical="center"/>
    </xf>
    <xf numFmtId="0" fontId="8" fillId="3" borderId="0" xfId="0" applyFont="1" applyFill="1">
      <alignment vertical="center"/>
    </xf>
    <xf numFmtId="0" fontId="9" fillId="0" borderId="0" xfId="0" applyFont="1">
      <alignment vertical="center"/>
    </xf>
    <xf numFmtId="0" fontId="10" fillId="3" borderId="0" xfId="0" applyFont="1" applyFill="1">
      <alignment vertical="center"/>
    </xf>
    <xf numFmtId="44" fontId="0" fillId="0" borderId="0" xfId="0" applyNumberFormat="1">
      <alignment vertical="center"/>
    </xf>
    <xf numFmtId="10" fontId="0" fillId="0" borderId="0" xfId="0" applyNumberFormat="1">
      <alignment vertical="center"/>
    </xf>
    <xf numFmtId="10" fontId="0" fillId="0" borderId="0" xfId="3" applyNumberFormat="1" applyFont="1" applyAlignment="1">
      <alignment vertical="center"/>
    </xf>
    <xf numFmtId="0" fontId="0" fillId="0" borderId="0" xfId="0" applyAlignment="1">
      <alignment vertical="center" wrapText="1"/>
    </xf>
    <xf numFmtId="10" fontId="2" fillId="0" borderId="1" xfId="3" applyNumberFormat="1" applyBorder="1" applyAlignment="1">
      <alignment horizontal="center" vertical="center" wrapText="1"/>
    </xf>
    <xf numFmtId="44" fontId="2" fillId="0" borderId="0" xfId="2" applyNumberFormat="1" applyAlignment="1">
      <alignment wrapText="1"/>
    </xf>
    <xf numFmtId="0" fontId="2" fillId="6" borderId="1" xfId="2" applyFill="1" applyBorder="1"/>
    <xf numFmtId="0" fontId="11" fillId="0" borderId="0" xfId="0" applyFont="1">
      <alignment vertical="center"/>
    </xf>
    <xf numFmtId="0" fontId="2" fillId="6" borderId="1" xfId="2" applyFill="1" applyBorder="1" applyAlignment="1">
      <alignment vertical="center" wrapText="1"/>
    </xf>
    <xf numFmtId="0" fontId="2" fillId="4" borderId="0" xfId="2" applyFill="1"/>
    <xf numFmtId="0" fontId="2" fillId="0" borderId="5" xfId="2" applyBorder="1" applyAlignment="1">
      <alignment wrapText="1"/>
    </xf>
    <xf numFmtId="44" fontId="2" fillId="0" borderId="0" xfId="2" applyNumberFormat="1" applyAlignment="1">
      <alignment horizontal="center" vertical="center" wrapText="1"/>
    </xf>
    <xf numFmtId="44" fontId="2" fillId="0" borderId="5" xfId="2" applyNumberFormat="1" applyBorder="1"/>
    <xf numFmtId="44" fontId="2" fillId="0" borderId="6" xfId="2" applyNumberFormat="1" applyBorder="1"/>
    <xf numFmtId="44" fontId="2" fillId="0" borderId="7" xfId="2" applyNumberFormat="1" applyBorder="1"/>
    <xf numFmtId="44" fontId="4" fillId="0" borderId="0" xfId="2" applyNumberFormat="1" applyFont="1" applyAlignment="1">
      <alignment horizontal="center" vertical="center" wrapText="1"/>
    </xf>
    <xf numFmtId="9" fontId="5" fillId="0" borderId="0" xfId="2" applyNumberFormat="1" applyFont="1" applyAlignment="1">
      <alignment vertical="center" wrapText="1"/>
    </xf>
    <xf numFmtId="164" fontId="2" fillId="0" borderId="0" xfId="2" applyNumberFormat="1"/>
    <xf numFmtId="43" fontId="2" fillId="0" borderId="0" xfId="6" applyAlignment="1">
      <alignment wrapText="1"/>
    </xf>
    <xf numFmtId="9" fontId="0" fillId="0" borderId="0" xfId="3" applyFont="1" applyAlignment="1">
      <alignment wrapText="1"/>
    </xf>
    <xf numFmtId="164" fontId="2" fillId="0" borderId="0" xfId="2" applyNumberFormat="1" applyAlignment="1">
      <alignment wrapText="1"/>
    </xf>
    <xf numFmtId="0" fontId="2" fillId="0" borderId="0" xfId="2" applyAlignment="1">
      <alignment horizontal="left" vertical="center" wrapText="1"/>
    </xf>
    <xf numFmtId="0" fontId="4" fillId="3" borderId="2" xfId="2" applyFont="1" applyFill="1" applyBorder="1" applyAlignment="1">
      <alignment horizontal="center" vertical="center" wrapText="1"/>
    </xf>
    <xf numFmtId="0" fontId="4" fillId="3" borderId="3" xfId="2" applyFont="1" applyFill="1" applyBorder="1" applyAlignment="1">
      <alignment horizontal="center" vertical="center" wrapText="1"/>
    </xf>
    <xf numFmtId="0" fontId="4" fillId="3" borderId="4" xfId="2" applyFont="1" applyFill="1" applyBorder="1" applyAlignment="1">
      <alignment horizontal="center" vertical="center" wrapText="1"/>
    </xf>
    <xf numFmtId="0" fontId="2" fillId="0" borderId="1" xfId="2" applyBorder="1" applyAlignment="1">
      <alignment horizontal="left" vertical="center" wrapText="1"/>
    </xf>
    <xf numFmtId="0" fontId="2" fillId="0" borderId="1" xfId="2" applyBorder="1" applyAlignment="1">
      <alignment horizontal="center" vertical="center"/>
    </xf>
    <xf numFmtId="0" fontId="2" fillId="0" borderId="5" xfId="2" applyBorder="1" applyAlignment="1">
      <alignment horizontal="center" wrapText="1"/>
    </xf>
    <xf numFmtId="0" fontId="2" fillId="0" borderId="6" xfId="2" applyBorder="1" applyAlignment="1">
      <alignment horizontal="center" wrapText="1"/>
    </xf>
    <xf numFmtId="0" fontId="2" fillId="0" borderId="7" xfId="2" applyBorder="1" applyAlignment="1">
      <alignment horizontal="center" wrapText="1"/>
    </xf>
    <xf numFmtId="0" fontId="2" fillId="0" borderId="5" xfId="2" applyBorder="1" applyAlignment="1">
      <alignment horizontal="center" vertical="center"/>
    </xf>
    <xf numFmtId="0" fontId="2" fillId="0" borderId="7" xfId="2" applyBorder="1" applyAlignment="1">
      <alignment horizontal="center" vertical="center"/>
    </xf>
    <xf numFmtId="0" fontId="2" fillId="0" borderId="6" xfId="2" applyBorder="1" applyAlignment="1">
      <alignment horizontal="center" vertical="center"/>
    </xf>
    <xf numFmtId="0" fontId="2" fillId="0" borderId="5" xfId="2" applyBorder="1" applyAlignment="1">
      <alignment horizontal="center" vertical="center" wrapText="1"/>
    </xf>
    <xf numFmtId="0" fontId="2" fillId="0" borderId="7" xfId="2" applyBorder="1" applyAlignment="1">
      <alignment horizontal="center" vertical="center" wrapText="1"/>
    </xf>
    <xf numFmtId="0" fontId="2" fillId="0" borderId="6" xfId="2" applyBorder="1" applyAlignment="1">
      <alignment horizontal="center" vertical="center" wrapText="1"/>
    </xf>
    <xf numFmtId="0" fontId="2" fillId="0" borderId="1" xfId="2" applyBorder="1" applyAlignment="1">
      <alignment horizontal="center" vertical="center" wrapText="1"/>
    </xf>
    <xf numFmtId="0" fontId="2" fillId="0" borderId="1" xfId="2" applyBorder="1" applyAlignment="1">
      <alignment horizontal="center" wrapText="1"/>
    </xf>
    <xf numFmtId="0" fontId="2" fillId="0" borderId="1" xfId="2" applyBorder="1" applyAlignment="1">
      <alignment horizontal="left" vertical="center"/>
    </xf>
    <xf numFmtId="0" fontId="2" fillId="0" borderId="2" xfId="2" applyBorder="1" applyAlignment="1">
      <alignment horizontal="center" vertical="center" wrapText="1"/>
    </xf>
    <xf numFmtId="0" fontId="2" fillId="0" borderId="4" xfId="2" applyBorder="1" applyAlignment="1">
      <alignment horizontal="center" vertical="center" wrapText="1"/>
    </xf>
    <xf numFmtId="0" fontId="4" fillId="0" borderId="0" xfId="7" applyFont="1" applyAlignment="1">
      <alignment vertical="center"/>
    </xf>
    <xf numFmtId="0" fontId="15" fillId="8" borderId="8" xfId="7" applyFont="1" applyFill="1" applyBorder="1" applyAlignment="1">
      <alignment vertical="center" wrapText="1"/>
    </xf>
    <xf numFmtId="0" fontId="15" fillId="0" borderId="0" xfId="7" applyFont="1" applyAlignment="1">
      <alignment vertical="center" wrapText="1"/>
    </xf>
    <xf numFmtId="0" fontId="4" fillId="0" borderId="0" xfId="7" applyFont="1" applyAlignment="1">
      <alignment horizontal="right" vertical="center" wrapText="1"/>
    </xf>
    <xf numFmtId="0" fontId="15" fillId="9" borderId="13" xfId="7" applyFont="1" applyFill="1" applyBorder="1" applyAlignment="1">
      <alignment vertical="center"/>
    </xf>
    <xf numFmtId="0" fontId="15" fillId="10" borderId="9" xfId="7" applyFont="1" applyFill="1" applyBorder="1" applyAlignment="1">
      <alignment horizontal="center" vertical="center"/>
    </xf>
    <xf numFmtId="0" fontId="15" fillId="10" borderId="11" xfId="7" applyFont="1" applyFill="1" applyBorder="1" applyAlignment="1">
      <alignment horizontal="center" vertical="center"/>
    </xf>
    <xf numFmtId="0" fontId="14" fillId="11" borderId="9" xfId="7" applyFont="1" applyFill="1" applyBorder="1" applyAlignment="1">
      <alignment horizontal="left" vertical="center"/>
    </xf>
    <xf numFmtId="0" fontId="14" fillId="11" borderId="10" xfId="7" applyFont="1" applyFill="1" applyBorder="1" applyAlignment="1">
      <alignment horizontal="center" vertical="center"/>
    </xf>
    <xf numFmtId="0" fontId="14" fillId="11" borderId="11" xfId="7" applyFont="1" applyFill="1" applyBorder="1" applyAlignment="1">
      <alignment horizontal="center" vertical="center"/>
    </xf>
    <xf numFmtId="0" fontId="15" fillId="12" borderId="9" xfId="7" applyFont="1" applyFill="1" applyBorder="1" applyAlignment="1">
      <alignment horizontal="left" vertical="center"/>
    </xf>
    <xf numFmtId="0" fontId="4" fillId="12" borderId="11" xfId="7" applyFont="1" applyFill="1" applyBorder="1" applyAlignment="1">
      <alignment vertical="center" wrapText="1"/>
    </xf>
    <xf numFmtId="0" fontId="18" fillId="0" borderId="8" xfId="7" applyFont="1" applyBorder="1" applyAlignment="1">
      <alignment horizontal="center" vertical="center" wrapText="1"/>
    </xf>
    <xf numFmtId="0" fontId="15" fillId="10" borderId="8" xfId="7" applyFont="1" applyFill="1" applyBorder="1" applyAlignment="1">
      <alignment horizontal="center" vertical="center"/>
    </xf>
    <xf numFmtId="0" fontId="14" fillId="11" borderId="8" xfId="7" applyFont="1" applyFill="1" applyBorder="1" applyAlignment="1">
      <alignment horizontal="center" vertical="center"/>
    </xf>
    <xf numFmtId="0" fontId="16" fillId="11" borderId="8" xfId="7" applyFont="1" applyFill="1" applyBorder="1" applyAlignment="1">
      <alignment horizontal="center" vertical="center"/>
    </xf>
    <xf numFmtId="0" fontId="15" fillId="12" borderId="8" xfId="7" applyFont="1" applyFill="1" applyBorder="1" applyAlignment="1">
      <alignment horizontal="center" vertical="center"/>
    </xf>
    <xf numFmtId="0" fontId="15" fillId="12" borderId="8" xfId="7" applyFont="1" applyFill="1" applyBorder="1" applyAlignment="1">
      <alignment horizontal="center" vertical="center" wrapText="1"/>
    </xf>
    <xf numFmtId="14" fontId="4" fillId="10" borderId="8" xfId="7" applyNumberFormat="1" applyFont="1" applyFill="1" applyBorder="1" applyAlignment="1">
      <alignment horizontal="center" vertical="center" wrapText="1"/>
    </xf>
    <xf numFmtId="0" fontId="4" fillId="13" borderId="8" xfId="7" applyFont="1" applyFill="1" applyBorder="1" applyAlignment="1">
      <alignment vertical="center"/>
    </xf>
    <xf numFmtId="174" fontId="4" fillId="13" borderId="8" xfId="7" applyNumberFormat="1" applyFont="1" applyFill="1" applyBorder="1" applyAlignment="1">
      <alignment horizontal="center" vertical="center"/>
    </xf>
    <xf numFmtId="165" fontId="4" fillId="0" borderId="8" xfId="7" applyNumberFormat="1" applyFont="1" applyBorder="1" applyAlignment="1">
      <alignment vertical="center"/>
    </xf>
    <xf numFmtId="165" fontId="4" fillId="0" borderId="8" xfId="7" applyNumberFormat="1" applyFont="1" applyBorder="1" applyAlignment="1">
      <alignment horizontal="center" vertical="center" wrapText="1"/>
    </xf>
    <xf numFmtId="165" fontId="4" fillId="14" borderId="8" xfId="7" applyNumberFormat="1" applyFont="1" applyFill="1" applyBorder="1" applyAlignment="1">
      <alignment horizontal="left" vertical="center"/>
    </xf>
    <xf numFmtId="165" fontId="4" fillId="0" borderId="8" xfId="7" quotePrefix="1" applyNumberFormat="1" applyFont="1" applyBorder="1" applyAlignment="1">
      <alignment horizontal="center" vertical="center" wrapText="1"/>
    </xf>
    <xf numFmtId="0" fontId="17" fillId="15" borderId="8" xfId="7" applyFont="1" applyFill="1" applyBorder="1" applyAlignment="1">
      <alignment vertical="center"/>
    </xf>
    <xf numFmtId="174" fontId="15" fillId="15" borderId="8" xfId="7" applyNumberFormat="1" applyFont="1" applyFill="1" applyBorder="1" applyAlignment="1">
      <alignment horizontal="center" vertical="center"/>
    </xf>
    <xf numFmtId="165" fontId="15" fillId="0" borderId="8" xfId="7" applyNumberFormat="1" applyFont="1" applyBorder="1" applyAlignment="1">
      <alignment vertical="center"/>
    </xf>
    <xf numFmtId="165" fontId="15" fillId="0" borderId="8" xfId="7" quotePrefix="1" applyNumberFormat="1" applyFont="1" applyBorder="1" applyAlignment="1">
      <alignment horizontal="center" vertical="center" wrapText="1"/>
    </xf>
    <xf numFmtId="165" fontId="15" fillId="14" borderId="8" xfId="7" applyNumberFormat="1" applyFont="1" applyFill="1" applyBorder="1" applyAlignment="1">
      <alignment horizontal="left" vertical="center"/>
    </xf>
    <xf numFmtId="0" fontId="15" fillId="0" borderId="8" xfId="7" quotePrefix="1" applyFont="1" applyBorder="1" applyAlignment="1">
      <alignment horizontal="center" vertical="center" wrapText="1"/>
    </xf>
    <xf numFmtId="174" fontId="4" fillId="13" borderId="13" xfId="7" applyNumberFormat="1" applyFont="1" applyFill="1" applyBorder="1" applyAlignment="1">
      <alignment horizontal="center" vertical="center"/>
    </xf>
    <xf numFmtId="0" fontId="14" fillId="16" borderId="9" xfId="7" applyFont="1" applyFill="1" applyBorder="1" applyAlignment="1">
      <alignment vertical="center"/>
    </xf>
    <xf numFmtId="174" fontId="14" fillId="16" borderId="8" xfId="7" applyNumberFormat="1" applyFont="1" applyFill="1" applyBorder="1" applyAlignment="1">
      <alignment horizontal="center" vertical="center"/>
    </xf>
    <xf numFmtId="165" fontId="14" fillId="0" borderId="8" xfId="7" applyNumberFormat="1" applyFont="1" applyBorder="1" applyAlignment="1">
      <alignment vertical="center"/>
    </xf>
    <xf numFmtId="165" fontId="14" fillId="0" borderId="8" xfId="7" applyNumberFormat="1" applyFont="1" applyBorder="1" applyAlignment="1">
      <alignment horizontal="center" vertical="center" wrapText="1"/>
    </xf>
    <xf numFmtId="0" fontId="17" fillId="7" borderId="8" xfId="7" applyFont="1" applyFill="1" applyBorder="1" applyAlignment="1">
      <alignment vertical="center"/>
    </xf>
    <xf numFmtId="174" fontId="15" fillId="7" borderId="12" xfId="7" applyNumberFormat="1" applyFont="1" applyFill="1" applyBorder="1" applyAlignment="1">
      <alignment horizontal="center" vertical="center"/>
    </xf>
    <xf numFmtId="0" fontId="4" fillId="17" borderId="8" xfId="7" applyFont="1" applyFill="1" applyBorder="1" applyAlignment="1">
      <alignment vertical="center"/>
    </xf>
    <xf numFmtId="174" fontId="4" fillId="17" borderId="8" xfId="7" applyNumberFormat="1" applyFont="1" applyFill="1" applyBorder="1" applyAlignment="1">
      <alignment horizontal="center" vertical="center"/>
    </xf>
    <xf numFmtId="174" fontId="4" fillId="17" borderId="8" xfId="7" applyNumberFormat="1" applyFont="1" applyFill="1" applyBorder="1" applyAlignment="1">
      <alignment horizontal="center" vertical="center" wrapText="1"/>
    </xf>
    <xf numFmtId="174" fontId="15" fillId="7" borderId="8" xfId="7" applyNumberFormat="1" applyFont="1" applyFill="1" applyBorder="1" applyAlignment="1">
      <alignment horizontal="center" vertical="center"/>
    </xf>
    <xf numFmtId="0" fontId="4" fillId="17" borderId="8" xfId="7" applyFont="1" applyFill="1" applyBorder="1" applyAlignment="1">
      <alignment horizontal="left" vertical="center"/>
    </xf>
    <xf numFmtId="165" fontId="15" fillId="0" borderId="8" xfId="7" applyNumberFormat="1" applyFont="1" applyBorder="1" applyAlignment="1">
      <alignment horizontal="center" vertical="center" wrapText="1"/>
    </xf>
    <xf numFmtId="0" fontId="14" fillId="16" borderId="8" xfId="7" applyFont="1" applyFill="1" applyBorder="1" applyAlignment="1">
      <alignment vertical="center"/>
    </xf>
    <xf numFmtId="174" fontId="14" fillId="16" borderId="0" xfId="7" applyNumberFormat="1" applyFont="1" applyFill="1" applyBorder="1" applyAlignment="1">
      <alignment horizontal="center" vertical="center"/>
    </xf>
    <xf numFmtId="0" fontId="17" fillId="18" borderId="8" xfId="7" applyFont="1" applyFill="1" applyBorder="1" applyAlignment="1">
      <alignment vertical="center"/>
    </xf>
    <xf numFmtId="174" fontId="15" fillId="18" borderId="8" xfId="7" applyNumberFormat="1" applyFont="1" applyFill="1" applyBorder="1" applyAlignment="1">
      <alignment horizontal="center" vertical="center"/>
    </xf>
    <xf numFmtId="0" fontId="17" fillId="18" borderId="8" xfId="7" applyFont="1" applyFill="1" applyBorder="1" applyAlignment="1">
      <alignment vertical="center" wrapText="1"/>
    </xf>
    <xf numFmtId="0" fontId="4" fillId="12" borderId="8" xfId="7" applyFont="1" applyFill="1" applyBorder="1" applyAlignment="1">
      <alignment vertical="center"/>
    </xf>
    <xf numFmtId="0" fontId="4" fillId="0" borderId="8" xfId="7" applyFont="1" applyBorder="1" applyAlignment="1">
      <alignment vertical="center"/>
    </xf>
    <xf numFmtId="0" fontId="14" fillId="0" borderId="8" xfId="7" applyFont="1" applyBorder="1" applyAlignment="1">
      <alignment vertical="center"/>
    </xf>
    <xf numFmtId="0" fontId="14" fillId="0" borderId="8" xfId="7" applyFont="1" applyBorder="1" applyAlignment="1">
      <alignment vertical="center" wrapText="1"/>
    </xf>
    <xf numFmtId="175" fontId="4" fillId="14" borderId="8" xfId="7" applyNumberFormat="1" applyFont="1" applyFill="1" applyBorder="1" applyAlignment="1">
      <alignment horizontal="left" vertical="center"/>
    </xf>
    <xf numFmtId="174" fontId="4" fillId="15" borderId="8" xfId="7" applyNumberFormat="1" applyFont="1" applyFill="1" applyBorder="1" applyAlignment="1">
      <alignment horizontal="center" vertical="center"/>
    </xf>
    <xf numFmtId="0" fontId="1" fillId="0" borderId="0" xfId="10"/>
    <xf numFmtId="0" fontId="1" fillId="0" borderId="0" xfId="10" applyAlignment="1">
      <alignment horizontal="left" vertical="top"/>
    </xf>
    <xf numFmtId="0" fontId="1" fillId="0" borderId="0" xfId="10" applyAlignment="1">
      <alignment horizontal="right" vertical="top"/>
    </xf>
    <xf numFmtId="0" fontId="12" fillId="19" borderId="1" xfId="10" applyFont="1" applyFill="1" applyBorder="1" applyAlignment="1">
      <alignment horizontal="center" vertical="top"/>
    </xf>
    <xf numFmtId="0" fontId="1" fillId="0" borderId="14" xfId="10" applyBorder="1" applyAlignment="1">
      <alignment horizontal="left" vertical="top"/>
    </xf>
    <xf numFmtId="0" fontId="1" fillId="0" borderId="15" xfId="10" applyBorder="1" applyAlignment="1">
      <alignment horizontal="right" vertical="top"/>
    </xf>
    <xf numFmtId="0" fontId="1" fillId="0" borderId="14" xfId="10" applyBorder="1"/>
    <xf numFmtId="0" fontId="1" fillId="0" borderId="15" xfId="10" applyBorder="1"/>
    <xf numFmtId="177" fontId="1" fillId="0" borderId="0" xfId="10" applyNumberFormat="1"/>
    <xf numFmtId="177" fontId="1" fillId="0" borderId="15" xfId="10" applyNumberFormat="1" applyBorder="1"/>
    <xf numFmtId="0" fontId="1" fillId="0" borderId="16" xfId="10" applyBorder="1"/>
    <xf numFmtId="0" fontId="1" fillId="0" borderId="17" xfId="10" applyBorder="1"/>
    <xf numFmtId="0" fontId="1" fillId="0" borderId="18" xfId="10" applyBorder="1"/>
    <xf numFmtId="0" fontId="12" fillId="19" borderId="6" xfId="10" applyFont="1" applyFill="1" applyBorder="1" applyAlignment="1">
      <alignment horizontal="center" vertical="center" wrapText="1"/>
    </xf>
    <xf numFmtId="0" fontId="12" fillId="19" borderId="1" xfId="10" applyFont="1" applyFill="1" applyBorder="1" applyAlignment="1">
      <alignment horizontal="center" vertical="center"/>
    </xf>
  </cellXfs>
  <cellStyles count="11">
    <cellStyle name="Comma" xfId="6" builtinId="3"/>
    <cellStyle name="Comma 2" xfId="4" xr:uid="{3F998793-EEC8-1D4F-8857-78A361AD8282}"/>
    <cellStyle name="Currency" xfId="1" builtinId="4"/>
    <cellStyle name="Currency 2" xfId="8" xr:uid="{DE88A0AE-445E-44A4-9090-4543F17DD4C4}"/>
    <cellStyle name="Normal" xfId="0" builtinId="0"/>
    <cellStyle name="Normal 2" xfId="2" xr:uid="{F9BBC87D-AFC4-8E46-B082-1979E961FDB6}"/>
    <cellStyle name="Normal 3" xfId="7" xr:uid="{A6365682-7078-4578-A33F-7E554B487DEC}"/>
    <cellStyle name="Normal 4" xfId="10" xr:uid="{BC5A2627-86A1-484D-8CCB-69B4E48954FB}"/>
    <cellStyle name="Percent" xfId="5" builtinId="5"/>
    <cellStyle name="Percent 2" xfId="3" xr:uid="{A8F616F0-7442-924C-B052-46B4F744C6EB}"/>
    <cellStyle name="Percent 3" xfId="9" xr:uid="{6F2C1677-E678-441D-8648-E52551E083CB}"/>
  </cellStyles>
  <dxfs count="24">
    <dxf>
      <fill>
        <patternFill patternType="solid">
          <fgColor rgb="FFF3F3F3"/>
          <bgColor rgb="FFF3F3F3"/>
        </patternFill>
      </fill>
    </dxf>
    <dxf>
      <fill>
        <patternFill patternType="solid">
          <fgColor rgb="FFFFFFFF"/>
          <bgColor rgb="FFFFFFFF"/>
        </patternFill>
      </fill>
    </dxf>
    <dxf>
      <fill>
        <patternFill patternType="solid">
          <fgColor rgb="FF20124D"/>
          <bgColor rgb="FF20124D"/>
        </patternFill>
      </fill>
    </dxf>
    <dxf>
      <fill>
        <patternFill patternType="solid">
          <fgColor rgb="FFF3F3F3"/>
          <bgColor rgb="FFF3F3F3"/>
        </patternFill>
      </fill>
    </dxf>
    <dxf>
      <fill>
        <patternFill patternType="solid">
          <fgColor rgb="FFFFFFFF"/>
          <bgColor rgb="FFFFFFFF"/>
        </patternFill>
      </fill>
    </dxf>
    <dxf>
      <fill>
        <patternFill patternType="solid">
          <fgColor rgb="FF20124D"/>
          <bgColor rgb="FF20124D"/>
        </patternFill>
      </fill>
    </dxf>
    <dxf>
      <fill>
        <patternFill patternType="solid">
          <fgColor rgb="FFF3F3F3"/>
          <bgColor rgb="FFF3F3F3"/>
        </patternFill>
      </fill>
    </dxf>
    <dxf>
      <fill>
        <patternFill patternType="solid">
          <fgColor rgb="FFFFFFFF"/>
          <bgColor rgb="FFFFFFFF"/>
        </patternFill>
      </fill>
    </dxf>
    <dxf>
      <fill>
        <patternFill patternType="solid">
          <fgColor rgb="FF20124D"/>
          <bgColor rgb="FF20124D"/>
        </patternFill>
      </fill>
    </dxf>
    <dxf>
      <fill>
        <patternFill patternType="solid">
          <fgColor rgb="FFF3F3F3"/>
          <bgColor rgb="FFF3F3F3"/>
        </patternFill>
      </fill>
    </dxf>
    <dxf>
      <fill>
        <patternFill patternType="solid">
          <fgColor rgb="FFFFFFFF"/>
          <bgColor rgb="FFFFFFFF"/>
        </patternFill>
      </fill>
    </dxf>
    <dxf>
      <fill>
        <patternFill patternType="solid">
          <fgColor rgb="FF20124D"/>
          <bgColor rgb="FF20124D"/>
        </patternFill>
      </fill>
    </dxf>
    <dxf>
      <fill>
        <patternFill patternType="solid">
          <fgColor rgb="FFF3F3F3"/>
          <bgColor rgb="FFF3F3F3"/>
        </patternFill>
      </fill>
    </dxf>
    <dxf>
      <fill>
        <patternFill patternType="solid">
          <fgColor rgb="FFFFFFFF"/>
          <bgColor rgb="FFFFFFFF"/>
        </patternFill>
      </fill>
    </dxf>
    <dxf>
      <fill>
        <patternFill patternType="solid">
          <fgColor rgb="FF20124D"/>
          <bgColor rgb="FF20124D"/>
        </patternFill>
      </fill>
    </dxf>
    <dxf>
      <fill>
        <patternFill patternType="solid">
          <fgColor rgb="FFF3F3F3"/>
          <bgColor rgb="FFF3F3F3"/>
        </patternFill>
      </fill>
    </dxf>
    <dxf>
      <fill>
        <patternFill patternType="solid">
          <fgColor rgb="FFFFFFFF"/>
          <bgColor rgb="FFFFFFFF"/>
        </patternFill>
      </fill>
    </dxf>
    <dxf>
      <fill>
        <patternFill patternType="solid">
          <fgColor rgb="FF20124D"/>
          <bgColor rgb="FF20124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8" defaultTableStyle="TableStyleMedium2" defaultPivotStyle="PivotStyleLight16">
    <tableStyle name="CET1-style" pivot="0" count="3" xr9:uid="{47A69A01-64B8-4C4E-AD39-3D0625E9F7F8}">
      <tableStyleElement type="headerRow" dxfId="23"/>
      <tableStyleElement type="firstRowStripe" dxfId="22"/>
      <tableStyleElement type="secondRowStripe" dxfId="21"/>
    </tableStyle>
    <tableStyle name="Credit RWA - Summary Report-style" pivot="0" count="3" xr9:uid="{389FF362-6EA2-41A4-8ADD-2567E4FEBFF5}">
      <tableStyleElement type="headerRow" dxfId="20"/>
      <tableStyleElement type="firstRowStripe" dxfId="19"/>
      <tableStyleElement type="secondRowStripe" dxfId="18"/>
    </tableStyle>
    <tableStyle name="Credit RWA - Assumptions-style" pivot="0" count="3" xr9:uid="{1B06333C-F9FC-47FF-9240-2D7981DD51E8}">
      <tableStyleElement type="headerRow" dxfId="17"/>
      <tableStyleElement type="firstRowStripe" dxfId="16"/>
      <tableStyleElement type="secondRowStripe" dxfId="15"/>
    </tableStyle>
    <tableStyle name="Credit RWA - Loans and Leases B-style" pivot="0" count="3" xr9:uid="{54867E74-08D1-482E-B1D5-7259BC4AC0E3}">
      <tableStyleElement type="headerRow" dxfId="14"/>
      <tableStyleElement type="firstRowStripe" dxfId="13"/>
      <tableStyleElement type="secondRowStripe" dxfId="12"/>
    </tableStyle>
    <tableStyle name="Credit RWA - Loans and Leases B-style 2" pivot="0" count="3" xr9:uid="{C373FB4D-4A8D-4ADD-8D9A-EAD3A30ACE6C}">
      <tableStyleElement type="headerRow" dxfId="11"/>
      <tableStyleElement type="firstRowStripe" dxfId="10"/>
      <tableStyleElement type="secondRowStripe" dxfId="9"/>
    </tableStyle>
    <tableStyle name="Credit RWA - Loans and Leases B-style 3" pivot="0" count="3" xr9:uid="{2624178A-FCFC-4C3B-9F6A-59097161B021}">
      <tableStyleElement type="headerRow" dxfId="8"/>
      <tableStyleElement type="firstRowStripe" dxfId="7"/>
      <tableStyleElement type="secondRowStripe" dxfId="6"/>
    </tableStyle>
    <tableStyle name="Market Risk RWA-style" pivot="0" count="3" xr9:uid="{745180F9-3682-4A62-B5C0-A654AF4A3CAF}">
      <tableStyleElement type="headerRow" dxfId="5"/>
      <tableStyleElement type="firstRowStripe" dxfId="4"/>
      <tableStyleElement type="secondRowStripe" dxfId="3"/>
    </tableStyle>
    <tableStyle name="Fifth Third FR Y-9C-style" pivot="0" count="3" xr9:uid="{858A56BA-F7C5-4099-8F3F-E13EF937467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25</xdr:col>
      <xdr:colOff>655935</xdr:colOff>
      <xdr:row>0</xdr:row>
      <xdr:rowOff>0</xdr:rowOff>
    </xdr:from>
    <xdr:ext cx="7840183" cy="4596005"/>
    <xdr:pic>
      <xdr:nvPicPr>
        <xdr:cNvPr id="2" name="Picture 1">
          <a:extLst>
            <a:ext uri="{FF2B5EF4-FFF2-40B4-BE49-F238E27FC236}">
              <a16:creationId xmlns:a16="http://schemas.microsoft.com/office/drawing/2014/main" id="{A355BF95-55E2-B947-935B-92CE2DF4C4FF}"/>
            </a:ext>
          </a:extLst>
        </xdr:cNvPr>
        <xdr:cNvPicPr>
          <a:picLocks noChangeAspect="1"/>
        </xdr:cNvPicPr>
      </xdr:nvPicPr>
      <xdr:blipFill>
        <a:blip xmlns:r="http://schemas.openxmlformats.org/officeDocument/2006/relationships" r:embed="rId1"/>
        <a:stretch>
          <a:fillRect/>
        </a:stretch>
      </xdr:blipFill>
      <xdr:spPr>
        <a:xfrm>
          <a:off x="21293435" y="0"/>
          <a:ext cx="7840183" cy="4596005"/>
        </a:xfrm>
        <a:prstGeom prst="rect">
          <a:avLst/>
        </a:prstGeom>
      </xdr:spPr>
    </xdr:pic>
    <xdr:clientData/>
  </xdr:oneCellAnchor>
  <xdr:oneCellAnchor>
    <xdr:from>
      <xdr:col>25</xdr:col>
      <xdr:colOff>605414</xdr:colOff>
      <xdr:row>5</xdr:row>
      <xdr:rowOff>1853083</xdr:rowOff>
    </xdr:from>
    <xdr:ext cx="7840183" cy="4610197"/>
    <xdr:pic>
      <xdr:nvPicPr>
        <xdr:cNvPr id="3" name="Picture 2">
          <a:extLst>
            <a:ext uri="{FF2B5EF4-FFF2-40B4-BE49-F238E27FC236}">
              <a16:creationId xmlns:a16="http://schemas.microsoft.com/office/drawing/2014/main" id="{355F4E19-3108-D248-A324-9F04152C963C}"/>
            </a:ext>
          </a:extLst>
        </xdr:cNvPr>
        <xdr:cNvPicPr>
          <a:picLocks noChangeAspect="1"/>
        </xdr:cNvPicPr>
      </xdr:nvPicPr>
      <xdr:blipFill>
        <a:blip xmlns:r="http://schemas.openxmlformats.org/officeDocument/2006/relationships" r:embed="rId2"/>
        <a:stretch>
          <a:fillRect/>
        </a:stretch>
      </xdr:blipFill>
      <xdr:spPr>
        <a:xfrm>
          <a:off x="21242914" y="1141883"/>
          <a:ext cx="7840183" cy="4610197"/>
        </a:xfrm>
        <a:prstGeom prst="rect">
          <a:avLst/>
        </a:prstGeom>
      </xdr:spPr>
    </xdr:pic>
    <xdr:clientData/>
  </xdr:oneCellAnchor>
  <xdr:oneCellAnchor>
    <xdr:from>
      <xdr:col>25</xdr:col>
      <xdr:colOff>464737</xdr:colOff>
      <xdr:row>11</xdr:row>
      <xdr:rowOff>787958</xdr:rowOff>
    </xdr:from>
    <xdr:ext cx="7831520" cy="4308818"/>
    <xdr:pic>
      <xdr:nvPicPr>
        <xdr:cNvPr id="4" name="Picture 3">
          <a:extLst>
            <a:ext uri="{FF2B5EF4-FFF2-40B4-BE49-F238E27FC236}">
              <a16:creationId xmlns:a16="http://schemas.microsoft.com/office/drawing/2014/main" id="{E3406709-732D-0645-91E3-99D1CE6C6947}"/>
            </a:ext>
          </a:extLst>
        </xdr:cNvPr>
        <xdr:cNvPicPr>
          <a:picLocks noChangeAspect="1"/>
        </xdr:cNvPicPr>
      </xdr:nvPicPr>
      <xdr:blipFill>
        <a:blip xmlns:r="http://schemas.openxmlformats.org/officeDocument/2006/relationships" r:embed="rId3"/>
        <a:stretch>
          <a:fillRect/>
        </a:stretch>
      </xdr:blipFill>
      <xdr:spPr>
        <a:xfrm>
          <a:off x="21102237" y="2286558"/>
          <a:ext cx="7831520" cy="4308818"/>
        </a:xfrm>
        <a:prstGeom prst="rect">
          <a:avLst/>
        </a:prstGeom>
      </xdr:spPr>
    </xdr:pic>
    <xdr:clientData/>
  </xdr:oneCellAnchor>
  <xdr:oneCellAnchor>
    <xdr:from>
      <xdr:col>12</xdr:col>
      <xdr:colOff>319313</xdr:colOff>
      <xdr:row>34</xdr:row>
      <xdr:rowOff>906</xdr:rowOff>
    </xdr:from>
    <xdr:ext cx="7833203" cy="5868990"/>
    <xdr:pic>
      <xdr:nvPicPr>
        <xdr:cNvPr id="5" name="Picture 4">
          <a:extLst>
            <a:ext uri="{FF2B5EF4-FFF2-40B4-BE49-F238E27FC236}">
              <a16:creationId xmlns:a16="http://schemas.microsoft.com/office/drawing/2014/main" id="{9F8DA108-0644-414C-AE6E-52BDF592DC1E}"/>
            </a:ext>
          </a:extLst>
        </xdr:cNvPr>
        <xdr:cNvPicPr>
          <a:picLocks noChangeAspect="1"/>
        </xdr:cNvPicPr>
      </xdr:nvPicPr>
      <xdr:blipFill>
        <a:blip xmlns:r="http://schemas.openxmlformats.org/officeDocument/2006/relationships" r:embed="rId4"/>
        <a:stretch>
          <a:fillRect/>
        </a:stretch>
      </xdr:blipFill>
      <xdr:spPr>
        <a:xfrm>
          <a:off x="10225313" y="6477906"/>
          <a:ext cx="7833203" cy="5868990"/>
        </a:xfrm>
        <a:prstGeom prst="rect">
          <a:avLst/>
        </a:prstGeom>
      </xdr:spPr>
    </xdr:pic>
    <xdr:clientData/>
  </xdr:oneCellAnchor>
  <xdr:oneCellAnchor>
    <xdr:from>
      <xdr:col>12</xdr:col>
      <xdr:colOff>114300</xdr:colOff>
      <xdr:row>68</xdr:row>
      <xdr:rowOff>38100</xdr:rowOff>
    </xdr:from>
    <xdr:ext cx="21652945" cy="2745681"/>
    <xdr:pic>
      <xdr:nvPicPr>
        <xdr:cNvPr id="6" name="Picture 5">
          <a:extLst>
            <a:ext uri="{FF2B5EF4-FFF2-40B4-BE49-F238E27FC236}">
              <a16:creationId xmlns:a16="http://schemas.microsoft.com/office/drawing/2014/main" id="{F9B730A5-CCF8-C649-A611-41027ADFCE38}"/>
            </a:ext>
          </a:extLst>
        </xdr:cNvPr>
        <xdr:cNvPicPr>
          <a:picLocks noChangeAspect="1"/>
        </xdr:cNvPicPr>
      </xdr:nvPicPr>
      <xdr:blipFill>
        <a:blip xmlns:r="http://schemas.openxmlformats.org/officeDocument/2006/relationships" r:embed="rId5"/>
        <a:stretch>
          <a:fillRect/>
        </a:stretch>
      </xdr:blipFill>
      <xdr:spPr>
        <a:xfrm>
          <a:off x="10020300" y="12992100"/>
          <a:ext cx="21652945" cy="2745681"/>
        </a:xfrm>
        <a:prstGeom prst="rect">
          <a:avLst/>
        </a:prstGeom>
      </xdr:spPr>
    </xdr:pic>
    <xdr:clientData/>
  </xdr:oneCellAnchor>
  <xdr:oneCellAnchor>
    <xdr:from>
      <xdr:col>11</xdr:col>
      <xdr:colOff>774700</xdr:colOff>
      <xdr:row>84</xdr:row>
      <xdr:rowOff>139700</xdr:rowOff>
    </xdr:from>
    <xdr:ext cx="21658377" cy="3643731"/>
    <xdr:pic>
      <xdr:nvPicPr>
        <xdr:cNvPr id="7" name="Picture 6">
          <a:extLst>
            <a:ext uri="{FF2B5EF4-FFF2-40B4-BE49-F238E27FC236}">
              <a16:creationId xmlns:a16="http://schemas.microsoft.com/office/drawing/2014/main" id="{8B52D4D8-BC74-654C-8DA0-53CF00B5CA7B}"/>
            </a:ext>
          </a:extLst>
        </xdr:cNvPr>
        <xdr:cNvPicPr>
          <a:picLocks noChangeAspect="1"/>
        </xdr:cNvPicPr>
      </xdr:nvPicPr>
      <xdr:blipFill>
        <a:blip xmlns:r="http://schemas.openxmlformats.org/officeDocument/2006/relationships" r:embed="rId6"/>
        <a:stretch>
          <a:fillRect/>
        </a:stretch>
      </xdr:blipFill>
      <xdr:spPr>
        <a:xfrm>
          <a:off x="9855200" y="16141700"/>
          <a:ext cx="21658377" cy="3643731"/>
        </a:xfrm>
        <a:prstGeom prst="rect">
          <a:avLst/>
        </a:prstGeom>
      </xdr:spPr>
    </xdr:pic>
    <xdr:clientData/>
  </xdr:oneCellAnchor>
  <xdr:oneCellAnchor>
    <xdr:from>
      <xdr:col>23</xdr:col>
      <xdr:colOff>10553</xdr:colOff>
      <xdr:row>49</xdr:row>
      <xdr:rowOff>139700</xdr:rowOff>
    </xdr:from>
    <xdr:ext cx="15030188" cy="1783401"/>
    <xdr:pic>
      <xdr:nvPicPr>
        <xdr:cNvPr id="8" name="Picture 7">
          <a:extLst>
            <a:ext uri="{FF2B5EF4-FFF2-40B4-BE49-F238E27FC236}">
              <a16:creationId xmlns:a16="http://schemas.microsoft.com/office/drawing/2014/main" id="{19648C5A-A358-4740-B277-BB2DED1FBD69}"/>
            </a:ext>
          </a:extLst>
        </xdr:cNvPr>
        <xdr:cNvPicPr>
          <a:picLocks noChangeAspect="1"/>
        </xdr:cNvPicPr>
      </xdr:nvPicPr>
      <xdr:blipFill>
        <a:blip xmlns:r="http://schemas.openxmlformats.org/officeDocument/2006/relationships" r:embed="rId7"/>
        <a:stretch>
          <a:fillRect/>
        </a:stretch>
      </xdr:blipFill>
      <xdr:spPr>
        <a:xfrm>
          <a:off x="18997053" y="9474200"/>
          <a:ext cx="15030188" cy="1783401"/>
        </a:xfrm>
        <a:prstGeom prst="rect">
          <a:avLst/>
        </a:prstGeom>
      </xdr:spPr>
    </xdr:pic>
    <xdr:clientData/>
  </xdr:oneCellAnchor>
  <xdr:oneCellAnchor>
    <xdr:from>
      <xdr:col>1</xdr:col>
      <xdr:colOff>30480</xdr:colOff>
      <xdr:row>22</xdr:row>
      <xdr:rowOff>101600</xdr:rowOff>
    </xdr:from>
    <xdr:ext cx="6131648" cy="6709250"/>
    <xdr:pic>
      <xdr:nvPicPr>
        <xdr:cNvPr id="9" name="Picture 8">
          <a:extLst>
            <a:ext uri="{FF2B5EF4-FFF2-40B4-BE49-F238E27FC236}">
              <a16:creationId xmlns:a16="http://schemas.microsoft.com/office/drawing/2014/main" id="{80D22791-9AEE-2A45-904C-08ABA16A54E7}"/>
            </a:ext>
          </a:extLst>
        </xdr:cNvPr>
        <xdr:cNvPicPr>
          <a:picLocks noChangeAspect="1"/>
        </xdr:cNvPicPr>
      </xdr:nvPicPr>
      <xdr:blipFill>
        <a:blip xmlns:r="http://schemas.openxmlformats.org/officeDocument/2006/relationships" r:embed="rId8"/>
        <a:stretch>
          <a:fillRect/>
        </a:stretch>
      </xdr:blipFill>
      <xdr:spPr>
        <a:xfrm>
          <a:off x="855980" y="4292600"/>
          <a:ext cx="6131648" cy="6709250"/>
        </a:xfrm>
        <a:prstGeom prst="rect">
          <a:avLst/>
        </a:prstGeom>
      </xdr:spPr>
    </xdr:pic>
    <xdr:clientData/>
  </xdr:oneCellAnchor>
  <xdr:oneCellAnchor>
    <xdr:from>
      <xdr:col>1</xdr:col>
      <xdr:colOff>0</xdr:colOff>
      <xdr:row>59</xdr:row>
      <xdr:rowOff>0</xdr:rowOff>
    </xdr:from>
    <xdr:ext cx="5903048" cy="2884652"/>
    <xdr:pic>
      <xdr:nvPicPr>
        <xdr:cNvPr id="10" name="Picture 9">
          <a:extLst>
            <a:ext uri="{FF2B5EF4-FFF2-40B4-BE49-F238E27FC236}">
              <a16:creationId xmlns:a16="http://schemas.microsoft.com/office/drawing/2014/main" id="{D459860B-B169-8B43-81FA-63403744C43B}"/>
            </a:ext>
          </a:extLst>
        </xdr:cNvPr>
        <xdr:cNvPicPr>
          <a:picLocks noChangeAspect="1"/>
        </xdr:cNvPicPr>
      </xdr:nvPicPr>
      <xdr:blipFill>
        <a:blip xmlns:r="http://schemas.openxmlformats.org/officeDocument/2006/relationships" r:embed="rId9"/>
        <a:stretch>
          <a:fillRect/>
        </a:stretch>
      </xdr:blipFill>
      <xdr:spPr>
        <a:xfrm>
          <a:off x="825500" y="11239500"/>
          <a:ext cx="5903048" cy="2884652"/>
        </a:xfrm>
        <a:prstGeom prst="rect">
          <a:avLst/>
        </a:prstGeom>
      </xdr:spPr>
    </xdr:pic>
    <xdr:clientData/>
  </xdr:oneCellAnchor>
  <xdr:oneCellAnchor>
    <xdr:from>
      <xdr:col>2</xdr:col>
      <xdr:colOff>3465479</xdr:colOff>
      <xdr:row>68</xdr:row>
      <xdr:rowOff>182394</xdr:rowOff>
    </xdr:from>
    <xdr:ext cx="7785678" cy="871577"/>
    <xdr:pic>
      <xdr:nvPicPr>
        <xdr:cNvPr id="11" name="Picture 10">
          <a:extLst>
            <a:ext uri="{FF2B5EF4-FFF2-40B4-BE49-F238E27FC236}">
              <a16:creationId xmlns:a16="http://schemas.microsoft.com/office/drawing/2014/main" id="{E26A0BBE-87A4-1849-A560-3F31A49A827E}"/>
            </a:ext>
          </a:extLst>
        </xdr:cNvPr>
        <xdr:cNvPicPr>
          <a:picLocks noChangeAspect="1"/>
        </xdr:cNvPicPr>
      </xdr:nvPicPr>
      <xdr:blipFill>
        <a:blip xmlns:r="http://schemas.openxmlformats.org/officeDocument/2006/relationships" r:embed="rId10"/>
        <a:stretch>
          <a:fillRect/>
        </a:stretch>
      </xdr:blipFill>
      <xdr:spPr>
        <a:xfrm>
          <a:off x="2474879" y="13136394"/>
          <a:ext cx="7785678" cy="871577"/>
        </a:xfrm>
        <a:prstGeom prst="rect">
          <a:avLst/>
        </a:prstGeom>
      </xdr:spPr>
    </xdr:pic>
    <xdr:clientData/>
  </xdr:oneCellAnchor>
  <xdr:oneCellAnchor>
    <xdr:from>
      <xdr:col>1</xdr:col>
      <xdr:colOff>81064</xdr:colOff>
      <xdr:row>78</xdr:row>
      <xdr:rowOff>6755</xdr:rowOff>
    </xdr:from>
    <xdr:ext cx="7774186" cy="3970589"/>
    <xdr:pic>
      <xdr:nvPicPr>
        <xdr:cNvPr id="12" name="Picture 11">
          <a:extLst>
            <a:ext uri="{FF2B5EF4-FFF2-40B4-BE49-F238E27FC236}">
              <a16:creationId xmlns:a16="http://schemas.microsoft.com/office/drawing/2014/main" id="{3246773B-D5B4-E24E-B1F0-E97E44609F46}"/>
            </a:ext>
          </a:extLst>
        </xdr:cNvPr>
        <xdr:cNvPicPr>
          <a:picLocks noChangeAspect="1"/>
        </xdr:cNvPicPr>
      </xdr:nvPicPr>
      <xdr:blipFill>
        <a:blip xmlns:r="http://schemas.openxmlformats.org/officeDocument/2006/relationships" r:embed="rId11"/>
        <a:stretch>
          <a:fillRect/>
        </a:stretch>
      </xdr:blipFill>
      <xdr:spPr>
        <a:xfrm>
          <a:off x="906564" y="14865755"/>
          <a:ext cx="7774186" cy="3970589"/>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自然 郭" id="{225B4E86-ECB4-C146-B142-1329B620999A}" userId="0f8e8f58f3f9f0f8"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4" dT="2025-10-06T05:26:38.91" personId="{225B4E86-ECB4-C146-B142-1329B620999A}" id="{1E65DF13-14DA-314D-B9C5-83425221EFDB}">
    <text>numbers are from
Schedule HC—Consolidated Balance Sheet</text>
  </threadedComment>
</ThreadedComments>
</file>

<file path=xl/threadedComments/threadedComment2.xml><?xml version="1.0" encoding="utf-8"?>
<ThreadedComments xmlns="http://schemas.microsoft.com/office/spreadsheetml/2018/threadedcomments" xmlns:x="http://schemas.openxmlformats.org/spreadsheetml/2006/main">
  <threadedComment ref="C1" dT="2025-10-06T05:26:38.91" personId="{225B4E86-ECB4-C146-B142-1329B620999A}" id="{238978E6-38AE-A449-8795-FB362BDAD9B3}">
    <text>numbers are from
Schedule HC—Consolidated Balance Sheet</text>
  </threadedComment>
  <threadedComment ref="C11" dT="2025-10-06T05:26:38.91" personId="{225B4E86-ECB4-C146-B142-1329B620999A}" id="{8C7A4A89-80C6-C144-A87A-90282F165452}">
    <text>numbers are from
Schedule HC—Consolidated Balance Sheet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40DC7-77EC-2742-9561-567263886946}">
  <dimension ref="A4:U65"/>
  <sheetViews>
    <sheetView topLeftCell="F23" zoomScale="91" workbookViewId="0">
      <selection activeCell="B53" sqref="B53"/>
    </sheetView>
  </sheetViews>
  <sheetFormatPr defaultColWidth="10.77734375" defaultRowHeight="14.4"/>
  <cols>
    <col min="1" max="1" width="16.33203125" style="13" bestFit="1" customWidth="1"/>
    <col min="2" max="2" width="56.44140625" style="25" bestFit="1" customWidth="1"/>
    <col min="3" max="3" width="17.77734375" style="26" customWidth="1"/>
    <col min="4" max="4" width="30" style="27" customWidth="1"/>
    <col min="5" max="5" width="16.77734375" style="28" customWidth="1"/>
    <col min="6" max="6" width="25.33203125" style="29" bestFit="1" customWidth="1"/>
    <col min="7" max="7" width="41.6640625" style="30" customWidth="1"/>
    <col min="8" max="8" width="47.33203125" style="13" customWidth="1"/>
    <col min="9" max="9" width="16.33203125" style="31" bestFit="1" customWidth="1"/>
    <col min="10" max="10" width="23.109375" style="13" bestFit="1" customWidth="1"/>
    <col min="11" max="12" width="23" style="13" customWidth="1"/>
    <col min="13" max="13" width="22" style="31" bestFit="1" customWidth="1"/>
    <col min="14" max="15" width="22" style="31" customWidth="1"/>
    <col min="16" max="16" width="46.77734375" style="30" customWidth="1"/>
    <col min="17" max="17" width="21.6640625" style="13" customWidth="1"/>
    <col min="18" max="18" width="16" style="13" bestFit="1" customWidth="1"/>
    <col min="19" max="19" width="15.77734375" style="13" bestFit="1" customWidth="1"/>
    <col min="20" max="20" width="10.77734375" style="13"/>
    <col min="21" max="21" width="16" style="13" bestFit="1" customWidth="1"/>
    <col min="22" max="16384" width="10.77734375" style="13"/>
  </cols>
  <sheetData>
    <row r="4" spans="1:20">
      <c r="B4" s="5" t="s">
        <v>37</v>
      </c>
      <c r="C4" s="6" t="s">
        <v>38</v>
      </c>
      <c r="D4" s="7"/>
      <c r="E4" s="8"/>
      <c r="F4" s="9" t="s">
        <v>39</v>
      </c>
      <c r="G4" s="10" t="s">
        <v>40</v>
      </c>
      <c r="H4" s="11" t="s">
        <v>41</v>
      </c>
      <c r="I4" s="12" t="s">
        <v>42</v>
      </c>
      <c r="J4" s="11" t="s">
        <v>43</v>
      </c>
      <c r="K4" s="12" t="s">
        <v>44</v>
      </c>
      <c r="L4" s="12"/>
      <c r="M4" s="11" t="s">
        <v>45</v>
      </c>
      <c r="N4" s="11"/>
      <c r="O4" s="11"/>
      <c r="P4" s="10" t="s">
        <v>46</v>
      </c>
    </row>
    <row r="5" spans="1:20" ht="28.8">
      <c r="B5" s="111" t="s">
        <v>47</v>
      </c>
      <c r="C5" s="111" t="s">
        <v>48</v>
      </c>
      <c r="D5" s="111"/>
      <c r="E5" s="14"/>
      <c r="F5" s="15">
        <v>312000</v>
      </c>
      <c r="G5" s="16" t="s">
        <v>49</v>
      </c>
      <c r="H5" s="17" t="s">
        <v>50</v>
      </c>
      <c r="I5" s="18">
        <v>0</v>
      </c>
      <c r="J5" s="19">
        <f t="shared" ref="J5:J17" si="0">I5*F5</f>
        <v>0</v>
      </c>
      <c r="K5" s="18">
        <v>0</v>
      </c>
      <c r="L5" s="18"/>
      <c r="M5" s="19">
        <f>K5*F5</f>
        <v>0</v>
      </c>
      <c r="N5" s="19"/>
      <c r="O5" s="19"/>
      <c r="P5" s="16"/>
    </row>
    <row r="6" spans="1:20" ht="28.8">
      <c r="B6" s="111"/>
      <c r="C6" s="111"/>
      <c r="D6" s="111"/>
      <c r="E6" s="14"/>
      <c r="F6" s="15">
        <v>1268000</v>
      </c>
      <c r="G6" s="16" t="s">
        <v>51</v>
      </c>
      <c r="H6" s="17" t="s">
        <v>6</v>
      </c>
      <c r="I6" s="18">
        <v>0</v>
      </c>
      <c r="J6" s="19">
        <f t="shared" si="0"/>
        <v>0</v>
      </c>
      <c r="K6" s="18">
        <v>0</v>
      </c>
      <c r="L6" s="18"/>
      <c r="M6" s="17"/>
      <c r="N6" s="17"/>
      <c r="O6" s="17"/>
      <c r="P6" s="16"/>
      <c r="Q6" s="58">
        <v>20</v>
      </c>
      <c r="R6" s="58">
        <v>50</v>
      </c>
      <c r="S6" s="58">
        <v>0</v>
      </c>
    </row>
    <row r="7" spans="1:20" ht="100.8">
      <c r="B7" s="111"/>
      <c r="C7" s="111"/>
      <c r="D7" s="111"/>
      <c r="E7" s="14"/>
      <c r="F7" s="15">
        <v>1540000</v>
      </c>
      <c r="G7" s="20" t="s">
        <v>35</v>
      </c>
      <c r="H7" s="16" t="s">
        <v>36</v>
      </c>
      <c r="I7" s="18">
        <v>0.2</v>
      </c>
      <c r="J7" s="19">
        <f t="shared" si="0"/>
        <v>308000</v>
      </c>
      <c r="K7" s="18">
        <v>0.2</v>
      </c>
      <c r="L7" s="18"/>
      <c r="M7" s="19">
        <f t="shared" ref="M7:M22" si="1">K7*F7</f>
        <v>308000</v>
      </c>
      <c r="N7" s="19"/>
      <c r="O7" s="19"/>
      <c r="P7" s="16"/>
      <c r="Q7" s="32">
        <f>SUM(F7,F9:F10)</f>
        <v>4399000</v>
      </c>
      <c r="R7" s="32">
        <f>F11</f>
        <v>465000</v>
      </c>
      <c r="S7" s="32">
        <f>F5+F6+F8</f>
        <v>51816000</v>
      </c>
    </row>
    <row r="8" spans="1:20" ht="57.6">
      <c r="A8" s="13" t="s">
        <v>159</v>
      </c>
      <c r="B8" s="111"/>
      <c r="C8" s="111" t="s">
        <v>52</v>
      </c>
      <c r="D8" s="111" t="s">
        <v>53</v>
      </c>
      <c r="E8" s="14"/>
      <c r="F8" s="15">
        <v>50236000</v>
      </c>
      <c r="G8" s="20" t="s">
        <v>54</v>
      </c>
      <c r="H8" s="16" t="s">
        <v>6</v>
      </c>
      <c r="I8" s="18">
        <v>0</v>
      </c>
      <c r="J8" s="19">
        <f t="shared" si="0"/>
        <v>0</v>
      </c>
      <c r="K8" s="18">
        <v>0</v>
      </c>
      <c r="L8" s="18"/>
      <c r="M8" s="19">
        <f t="shared" si="1"/>
        <v>0</v>
      </c>
      <c r="N8" s="19"/>
      <c r="O8" s="19"/>
      <c r="P8" s="16"/>
    </row>
    <row r="9" spans="1:20" ht="43.2">
      <c r="A9" s="32">
        <f>SUM(M5:M13)</f>
        <v>2542850</v>
      </c>
      <c r="B9" s="111"/>
      <c r="C9" s="111"/>
      <c r="D9" s="111"/>
      <c r="E9" s="14"/>
      <c r="F9" s="15">
        <v>1813000</v>
      </c>
      <c r="G9" s="20" t="s">
        <v>55</v>
      </c>
      <c r="H9" s="59" t="s">
        <v>56</v>
      </c>
      <c r="I9" s="18">
        <v>0.2</v>
      </c>
      <c r="J9" s="19">
        <f t="shared" si="0"/>
        <v>362600</v>
      </c>
      <c r="K9" s="18">
        <v>0.4</v>
      </c>
      <c r="L9" s="18"/>
      <c r="M9" s="19">
        <f t="shared" si="1"/>
        <v>725200</v>
      </c>
      <c r="N9" s="19"/>
      <c r="O9" s="19"/>
      <c r="P9" s="16" t="s">
        <v>57</v>
      </c>
    </row>
    <row r="10" spans="1:20">
      <c r="A10" s="13" t="s">
        <v>158</v>
      </c>
      <c r="B10" s="111"/>
      <c r="C10" s="111"/>
      <c r="D10" s="111" t="s">
        <v>58</v>
      </c>
      <c r="E10" s="14"/>
      <c r="F10" s="15">
        <v>1046000</v>
      </c>
      <c r="G10" s="111" t="s">
        <v>59</v>
      </c>
      <c r="H10" s="59" t="s">
        <v>60</v>
      </c>
      <c r="I10" s="18">
        <v>0.2</v>
      </c>
      <c r="J10" s="19">
        <f t="shared" si="0"/>
        <v>209200</v>
      </c>
      <c r="K10" s="18">
        <v>0.4</v>
      </c>
      <c r="L10" s="18"/>
      <c r="M10" s="19">
        <f t="shared" si="1"/>
        <v>418400</v>
      </c>
      <c r="N10" s="19"/>
      <c r="O10" s="19"/>
      <c r="P10" s="112" t="s">
        <v>61</v>
      </c>
    </row>
    <row r="11" spans="1:20">
      <c r="B11" s="111"/>
      <c r="C11" s="111"/>
      <c r="D11" s="111"/>
      <c r="E11" s="14"/>
      <c r="F11" s="15">
        <v>465000</v>
      </c>
      <c r="G11" s="111"/>
      <c r="H11" s="59" t="s">
        <v>62</v>
      </c>
      <c r="I11" s="18">
        <v>0.5</v>
      </c>
      <c r="J11" s="19">
        <f t="shared" si="0"/>
        <v>232500</v>
      </c>
      <c r="K11" s="18">
        <v>0.4</v>
      </c>
      <c r="L11" s="18"/>
      <c r="M11" s="19">
        <f t="shared" si="1"/>
        <v>186000</v>
      </c>
      <c r="N11" s="19"/>
      <c r="O11" s="19"/>
      <c r="P11" s="112"/>
    </row>
    <row r="12" spans="1:20">
      <c r="A12" s="13" t="s">
        <v>157</v>
      </c>
      <c r="B12" s="111"/>
      <c r="C12" s="111"/>
      <c r="D12" s="111"/>
      <c r="E12" s="14"/>
      <c r="F12" s="15">
        <v>913000</v>
      </c>
      <c r="G12" s="111"/>
      <c r="H12" s="59" t="s">
        <v>62</v>
      </c>
      <c r="I12" s="18">
        <v>1</v>
      </c>
      <c r="J12" s="19">
        <f t="shared" si="0"/>
        <v>913000</v>
      </c>
      <c r="K12" s="18">
        <v>0.75</v>
      </c>
      <c r="L12" s="18"/>
      <c r="M12" s="19">
        <f t="shared" si="1"/>
        <v>684750</v>
      </c>
      <c r="N12" s="19"/>
      <c r="O12" s="19"/>
      <c r="P12" s="112"/>
      <c r="Q12" s="13" t="s">
        <v>104</v>
      </c>
      <c r="R12" s="13" t="s">
        <v>105</v>
      </c>
      <c r="S12" s="13" t="s">
        <v>106</v>
      </c>
      <c r="T12" s="13" t="s">
        <v>107</v>
      </c>
    </row>
    <row r="13" spans="1:20">
      <c r="A13" s="32">
        <f>SUM(F5:F13)</f>
        <v>57740000</v>
      </c>
      <c r="B13" s="111"/>
      <c r="C13" s="111"/>
      <c r="D13" s="111"/>
      <c r="E13" s="14"/>
      <c r="F13" s="15">
        <v>147000</v>
      </c>
      <c r="G13" s="111"/>
      <c r="H13" s="59" t="s">
        <v>62</v>
      </c>
      <c r="I13" s="18">
        <v>1.5</v>
      </c>
      <c r="J13" s="19">
        <f t="shared" si="0"/>
        <v>220500</v>
      </c>
      <c r="K13" s="18">
        <v>1.5</v>
      </c>
      <c r="L13" s="18"/>
      <c r="M13" s="19">
        <f t="shared" si="1"/>
        <v>220500</v>
      </c>
      <c r="N13" s="19"/>
      <c r="O13" s="19"/>
      <c r="P13" s="112"/>
      <c r="Q13" s="32">
        <f>SUM(J5:J13)</f>
        <v>2245800</v>
      </c>
      <c r="R13" s="32">
        <f>SUM(M7:M13)</f>
        <v>2542850</v>
      </c>
      <c r="S13" s="32">
        <f>R13-Q13</f>
        <v>297050</v>
      </c>
      <c r="T13" s="65">
        <f>S13/R60</f>
        <v>1.1928057560554974E-3</v>
      </c>
    </row>
    <row r="14" spans="1:20" ht="28.8">
      <c r="B14" s="113" t="s">
        <v>63</v>
      </c>
      <c r="C14" s="22" t="s">
        <v>64</v>
      </c>
      <c r="D14" s="14"/>
      <c r="E14" s="14"/>
      <c r="F14" s="15">
        <v>0</v>
      </c>
      <c r="G14" s="16"/>
      <c r="H14" s="17"/>
      <c r="I14" s="18"/>
      <c r="J14" s="19">
        <f t="shared" si="0"/>
        <v>0</v>
      </c>
      <c r="K14" s="18"/>
      <c r="L14" s="18"/>
      <c r="M14" s="19">
        <f t="shared" si="1"/>
        <v>0</v>
      </c>
      <c r="N14" s="19"/>
      <c r="O14" s="19"/>
      <c r="P14" s="16"/>
      <c r="Q14" s="32">
        <v>1</v>
      </c>
      <c r="R14" s="13">
        <f>640000</f>
        <v>640000</v>
      </c>
      <c r="S14" s="32">
        <f>F15+F18+F22+59000+F25</f>
        <v>592000</v>
      </c>
    </row>
    <row r="15" spans="1:20" ht="28.8">
      <c r="B15" s="113"/>
      <c r="C15" s="100" t="s">
        <v>65</v>
      </c>
      <c r="D15" s="14" t="s">
        <v>66</v>
      </c>
      <c r="E15" s="14"/>
      <c r="F15" s="15">
        <v>302000</v>
      </c>
      <c r="G15" s="16" t="s">
        <v>67</v>
      </c>
      <c r="H15" s="17" t="s">
        <v>6</v>
      </c>
      <c r="I15" s="18">
        <v>0</v>
      </c>
      <c r="J15" s="19">
        <f t="shared" si="0"/>
        <v>0</v>
      </c>
      <c r="K15" s="18">
        <v>0</v>
      </c>
      <c r="L15" s="18"/>
      <c r="M15" s="19">
        <f t="shared" si="1"/>
        <v>0</v>
      </c>
      <c r="N15" s="19"/>
      <c r="O15" s="19"/>
      <c r="P15" s="16"/>
    </row>
    <row r="16" spans="1:20" ht="57.6">
      <c r="B16" s="113"/>
      <c r="C16" s="100"/>
      <c r="D16" s="14" t="s">
        <v>68</v>
      </c>
      <c r="E16" s="14"/>
      <c r="F16" s="15">
        <v>4000</v>
      </c>
      <c r="G16" s="16" t="s">
        <v>7</v>
      </c>
      <c r="H16" s="59" t="s">
        <v>69</v>
      </c>
      <c r="I16" s="18">
        <v>0.2</v>
      </c>
      <c r="J16" s="19">
        <f t="shared" si="0"/>
        <v>800</v>
      </c>
      <c r="K16" s="18">
        <v>0.2</v>
      </c>
      <c r="L16" s="18"/>
      <c r="M16" s="19">
        <f t="shared" si="1"/>
        <v>800</v>
      </c>
      <c r="N16" s="19"/>
      <c r="O16" s="19"/>
      <c r="P16" s="16" t="s">
        <v>70</v>
      </c>
    </row>
    <row r="17" spans="1:20" ht="28.8">
      <c r="B17" s="113"/>
      <c r="C17" s="100"/>
      <c r="D17" s="14" t="s">
        <v>71</v>
      </c>
      <c r="E17" s="14"/>
      <c r="F17" s="15">
        <v>49000</v>
      </c>
      <c r="G17" s="16" t="s">
        <v>72</v>
      </c>
      <c r="H17" s="16" t="s">
        <v>73</v>
      </c>
      <c r="I17" s="18">
        <v>0.2</v>
      </c>
      <c r="J17" s="19">
        <f t="shared" si="0"/>
        <v>9800</v>
      </c>
      <c r="K17" s="18">
        <v>0.2</v>
      </c>
      <c r="L17" s="18"/>
      <c r="M17" s="19">
        <f t="shared" si="1"/>
        <v>9800</v>
      </c>
      <c r="N17" s="19"/>
      <c r="O17" s="19"/>
      <c r="P17" s="16"/>
    </row>
    <row r="18" spans="1:20" ht="57.6">
      <c r="B18" s="113"/>
      <c r="C18" s="100"/>
      <c r="D18" s="111" t="s">
        <v>74</v>
      </c>
      <c r="E18" s="14" t="s">
        <v>75</v>
      </c>
      <c r="F18" s="15">
        <v>9000</v>
      </c>
      <c r="G18" s="16" t="s">
        <v>76</v>
      </c>
      <c r="H18" s="17" t="s">
        <v>77</v>
      </c>
      <c r="I18" s="18">
        <v>0</v>
      </c>
      <c r="J18" s="19">
        <f t="shared" ref="J18:J42" si="2">I18*F18</f>
        <v>0</v>
      </c>
      <c r="K18" s="18">
        <v>0</v>
      </c>
      <c r="L18" s="18"/>
      <c r="M18" s="19">
        <f t="shared" si="1"/>
        <v>0</v>
      </c>
      <c r="N18" s="19"/>
      <c r="O18" s="19"/>
      <c r="P18" s="16"/>
    </row>
    <row r="19" spans="1:20" ht="57.6">
      <c r="B19" s="113"/>
      <c r="C19" s="100"/>
      <c r="D19" s="111"/>
      <c r="E19" s="14" t="s">
        <v>78</v>
      </c>
      <c r="F19" s="15">
        <v>1000</v>
      </c>
      <c r="G19" s="16" t="s">
        <v>34</v>
      </c>
      <c r="H19" s="62" t="s">
        <v>69</v>
      </c>
      <c r="I19" s="18">
        <v>0.2</v>
      </c>
      <c r="J19" s="19">
        <f t="shared" si="2"/>
        <v>200</v>
      </c>
      <c r="K19" s="18">
        <v>0.2</v>
      </c>
      <c r="L19" s="18"/>
      <c r="M19" s="19">
        <f t="shared" si="1"/>
        <v>200</v>
      </c>
      <c r="N19" s="19"/>
      <c r="O19" s="19"/>
      <c r="P19" s="16"/>
    </row>
    <row r="20" spans="1:20">
      <c r="B20" s="113"/>
      <c r="C20" s="100"/>
      <c r="D20" s="111" t="s">
        <v>79</v>
      </c>
      <c r="E20" s="14" t="s">
        <v>80</v>
      </c>
      <c r="F20" s="15">
        <v>0</v>
      </c>
      <c r="G20" s="16"/>
      <c r="H20" s="17"/>
      <c r="I20" s="18"/>
      <c r="J20" s="19">
        <f t="shared" si="2"/>
        <v>0</v>
      </c>
      <c r="K20" s="18"/>
      <c r="L20" s="18"/>
      <c r="M20" s="19">
        <f t="shared" si="1"/>
        <v>0</v>
      </c>
      <c r="N20" s="19"/>
      <c r="O20" s="19"/>
      <c r="P20" s="16"/>
    </row>
    <row r="21" spans="1:20" ht="28.8">
      <c r="B21" s="113"/>
      <c r="C21" s="100"/>
      <c r="D21" s="111"/>
      <c r="E21" s="14" t="s">
        <v>81</v>
      </c>
      <c r="F21" s="15">
        <v>0</v>
      </c>
      <c r="G21" s="16"/>
      <c r="H21" s="17"/>
      <c r="I21" s="18"/>
      <c r="J21" s="19">
        <f t="shared" si="2"/>
        <v>0</v>
      </c>
      <c r="K21" s="18"/>
      <c r="L21" s="18"/>
      <c r="M21" s="19">
        <f t="shared" si="1"/>
        <v>0</v>
      </c>
      <c r="N21" s="19"/>
      <c r="O21" s="19"/>
      <c r="P21" s="16"/>
    </row>
    <row r="22" spans="1:20" ht="28.8">
      <c r="A22" s="32">
        <f>SUM(M14:M25)</f>
        <v>465400</v>
      </c>
      <c r="B22" s="113"/>
      <c r="C22" s="100"/>
      <c r="D22" s="111" t="s">
        <v>82</v>
      </c>
      <c r="E22" s="14" t="s">
        <v>83</v>
      </c>
      <c r="F22" s="15">
        <v>81000</v>
      </c>
      <c r="G22" s="16" t="s">
        <v>84</v>
      </c>
      <c r="H22" s="17" t="s">
        <v>6</v>
      </c>
      <c r="I22" s="18">
        <v>0</v>
      </c>
      <c r="J22" s="19">
        <f t="shared" si="2"/>
        <v>0</v>
      </c>
      <c r="K22" s="18">
        <v>0</v>
      </c>
      <c r="L22" s="18"/>
      <c r="M22" s="19">
        <f t="shared" si="1"/>
        <v>0</v>
      </c>
      <c r="N22" s="19"/>
      <c r="O22" s="19"/>
      <c r="P22" s="16"/>
    </row>
    <row r="23" spans="1:20" ht="43.2">
      <c r="B23" s="113"/>
      <c r="C23" s="100"/>
      <c r="D23" s="111"/>
      <c r="E23" s="14" t="s">
        <v>85</v>
      </c>
      <c r="F23" s="15">
        <v>868000</v>
      </c>
      <c r="G23" s="16" t="s">
        <v>8</v>
      </c>
      <c r="H23" s="17" t="s">
        <v>36</v>
      </c>
      <c r="I23" s="18"/>
      <c r="J23" s="19">
        <f>59000*0+43000*0.2+640000*0.5+126000*1</f>
        <v>454600</v>
      </c>
      <c r="K23" s="18"/>
      <c r="L23" s="18"/>
      <c r="M23" s="19">
        <f>59000*0+43000*0.2+640000*0.5+126000*1</f>
        <v>454600</v>
      </c>
      <c r="N23" s="19"/>
      <c r="O23" s="19"/>
      <c r="P23" s="16"/>
    </row>
    <row r="24" spans="1:20" ht="28.8">
      <c r="B24" s="113"/>
      <c r="C24" s="100"/>
      <c r="D24" s="20" t="s">
        <v>86</v>
      </c>
      <c r="E24" s="14"/>
      <c r="F24" s="15">
        <v>0</v>
      </c>
      <c r="G24" s="16"/>
      <c r="H24" s="17"/>
      <c r="I24" s="18"/>
      <c r="J24" s="19">
        <f t="shared" si="2"/>
        <v>0</v>
      </c>
      <c r="K24" s="18"/>
      <c r="L24" s="18"/>
      <c r="M24" s="19">
        <f t="shared" ref="M24:M42" si="3">K24*F24</f>
        <v>0</v>
      </c>
      <c r="N24" s="19"/>
      <c r="O24" s="19"/>
      <c r="P24" s="16"/>
      <c r="Q24" s="13" t="s">
        <v>104</v>
      </c>
      <c r="R24" s="13" t="s">
        <v>105</v>
      </c>
      <c r="S24" s="13" t="s">
        <v>106</v>
      </c>
      <c r="T24" s="13" t="s">
        <v>107</v>
      </c>
    </row>
    <row r="25" spans="1:20" ht="86.4">
      <c r="A25" s="32">
        <f>SUM(F14:F25)</f>
        <v>1455000</v>
      </c>
      <c r="B25" s="113"/>
      <c r="C25" s="22" t="s">
        <v>87</v>
      </c>
      <c r="D25" s="20"/>
      <c r="E25" s="14"/>
      <c r="F25" s="15">
        <v>141000</v>
      </c>
      <c r="G25" s="16" t="s">
        <v>88</v>
      </c>
      <c r="H25" s="17"/>
      <c r="I25" s="18">
        <v>0</v>
      </c>
      <c r="J25" s="19">
        <f t="shared" si="2"/>
        <v>0</v>
      </c>
      <c r="K25" s="18">
        <v>0</v>
      </c>
      <c r="L25" s="18"/>
      <c r="M25" s="19">
        <f t="shared" si="3"/>
        <v>0</v>
      </c>
      <c r="N25" s="19"/>
      <c r="O25" s="19"/>
      <c r="P25" s="16"/>
      <c r="Q25" s="32">
        <f>SUM(J15:J24)</f>
        <v>465400</v>
      </c>
      <c r="R25" s="32">
        <f>SUM(M16:M25)</f>
        <v>465400</v>
      </c>
      <c r="S25" s="13">
        <v>0</v>
      </c>
      <c r="T25" s="13">
        <v>0</v>
      </c>
    </row>
    <row r="26" spans="1:20" ht="43.2">
      <c r="B26" s="100" t="s">
        <v>89</v>
      </c>
      <c r="C26" s="22" t="s">
        <v>90</v>
      </c>
      <c r="D26" s="20"/>
      <c r="E26" s="14"/>
      <c r="F26" s="15">
        <v>0</v>
      </c>
      <c r="G26" s="16"/>
      <c r="H26" s="17"/>
      <c r="I26" s="18"/>
      <c r="J26" s="19">
        <f t="shared" si="2"/>
        <v>0</v>
      </c>
      <c r="K26" s="18"/>
      <c r="L26" s="18"/>
      <c r="M26" s="19">
        <f t="shared" si="3"/>
        <v>0</v>
      </c>
      <c r="N26" s="19"/>
      <c r="O26" s="19"/>
      <c r="P26" s="16"/>
    </row>
    <row r="27" spans="1:20" ht="43.2">
      <c r="B27" s="100"/>
      <c r="C27" s="22" t="s">
        <v>91</v>
      </c>
      <c r="D27" s="20"/>
      <c r="E27" s="14"/>
      <c r="F27" s="15">
        <v>0</v>
      </c>
      <c r="G27" s="16"/>
      <c r="H27" s="17"/>
      <c r="I27" s="18"/>
      <c r="J27" s="19">
        <f t="shared" si="2"/>
        <v>0</v>
      </c>
      <c r="K27" s="18"/>
      <c r="L27" s="18"/>
      <c r="M27" s="19">
        <f t="shared" si="3"/>
        <v>0</v>
      </c>
      <c r="N27" s="19"/>
      <c r="O27" s="19"/>
      <c r="P27" s="16"/>
    </row>
    <row r="28" spans="1:20" ht="100.8">
      <c r="B28" s="105" t="s">
        <v>92</v>
      </c>
      <c r="C28" s="22" t="s">
        <v>93</v>
      </c>
      <c r="D28" s="20"/>
      <c r="E28" s="19"/>
      <c r="F28" s="15">
        <v>2405000</v>
      </c>
      <c r="G28" s="16" t="s">
        <v>145</v>
      </c>
      <c r="H28" s="83" t="s">
        <v>144</v>
      </c>
      <c r="I28" s="18">
        <v>1</v>
      </c>
      <c r="J28" s="19">
        <f>I28*F28</f>
        <v>2405000</v>
      </c>
      <c r="K28" s="24" t="s">
        <v>147</v>
      </c>
      <c r="L28" s="24"/>
      <c r="M28" s="19">
        <f>F28*0.2398*0.55+F28*0.3801*0.85+F28*0.3801*1.1</f>
        <v>2099769.4249999998</v>
      </c>
      <c r="N28" s="19"/>
      <c r="O28" s="19"/>
      <c r="P28" s="16" t="s">
        <v>151</v>
      </c>
    </row>
    <row r="29" spans="1:20" ht="43.2">
      <c r="A29" s="57"/>
      <c r="B29" s="106"/>
      <c r="C29" s="108" t="s">
        <v>156</v>
      </c>
      <c r="D29" s="20"/>
      <c r="E29" s="19"/>
      <c r="F29" s="23">
        <v>1440000</v>
      </c>
      <c r="G29" s="16" t="s">
        <v>143</v>
      </c>
      <c r="H29" s="81" t="s">
        <v>94</v>
      </c>
      <c r="I29" s="18">
        <v>1.5</v>
      </c>
      <c r="J29" s="19">
        <f>I29*F29</f>
        <v>2160000</v>
      </c>
      <c r="K29" s="18">
        <v>1.5</v>
      </c>
      <c r="L29" s="18"/>
      <c r="M29" s="19">
        <f>F29*K29</f>
        <v>2160000</v>
      </c>
      <c r="N29" s="19"/>
      <c r="O29" s="19"/>
      <c r="P29" s="16" t="s">
        <v>153</v>
      </c>
      <c r="Q29" s="32">
        <f>SUM(J29:J34)</f>
        <v>212524800</v>
      </c>
    </row>
    <row r="30" spans="1:20" ht="15.6">
      <c r="A30" s="32">
        <f>SUM(M28:M34)</f>
        <v>207671608.03500003</v>
      </c>
      <c r="B30" s="106"/>
      <c r="C30" s="109"/>
      <c r="D30" s="20"/>
      <c r="E30" s="19"/>
      <c r="F30" s="23">
        <v>56000</v>
      </c>
      <c r="G30" s="82" t="s">
        <v>142</v>
      </c>
      <c r="H30" s="81" t="s">
        <v>36</v>
      </c>
      <c r="I30" s="18">
        <v>0</v>
      </c>
      <c r="J30" s="19">
        <f t="shared" ref="J30:J34" si="4">I30*F30</f>
        <v>0</v>
      </c>
      <c r="K30" s="18">
        <v>0</v>
      </c>
      <c r="L30" s="18"/>
      <c r="M30" s="19"/>
      <c r="N30" s="19"/>
      <c r="O30" s="19"/>
      <c r="P30" s="16" t="s">
        <v>152</v>
      </c>
    </row>
    <row r="31" spans="1:20" ht="57.6">
      <c r="B31" s="106"/>
      <c r="C31" s="109"/>
      <c r="D31" s="20"/>
      <c r="E31" s="19"/>
      <c r="F31" s="23">
        <v>224000</v>
      </c>
      <c r="G31" s="16" t="s">
        <v>141</v>
      </c>
      <c r="H31" s="81" t="s">
        <v>140</v>
      </c>
      <c r="I31" s="18">
        <v>0.2</v>
      </c>
      <c r="J31" s="19">
        <f t="shared" si="4"/>
        <v>44800</v>
      </c>
      <c r="K31" s="24" t="s">
        <v>148</v>
      </c>
      <c r="L31" s="24"/>
      <c r="M31" s="19">
        <f>118000*0.2+106000*0.4</f>
        <v>66000</v>
      </c>
      <c r="N31" s="19"/>
      <c r="O31" s="19"/>
      <c r="P31" s="16" t="s">
        <v>150</v>
      </c>
    </row>
    <row r="32" spans="1:20" ht="144">
      <c r="B32" s="106"/>
      <c r="C32" s="109"/>
      <c r="D32" s="20"/>
      <c r="E32" s="19"/>
      <c r="F32" s="15">
        <v>210316000</v>
      </c>
      <c r="G32" s="16" t="s">
        <v>138</v>
      </c>
      <c r="H32" s="17" t="s">
        <v>137</v>
      </c>
      <c r="I32" s="18">
        <v>1</v>
      </c>
      <c r="J32" s="19">
        <f>I32*F32</f>
        <v>210316000</v>
      </c>
      <c r="K32" s="24" t="s">
        <v>149</v>
      </c>
      <c r="L32" s="24"/>
      <c r="M32" s="19">
        <f>29000*0.75+(55223000+13764000+2234000)*0.5*1+(55223000+13764000+2234000)*0.5*1.3+(1592000+32093000+105381000)*0.2398*0.55+(1592000+32093000+105381000)*0.3801*0.85+(1592000+32093000+105381000)*0.3801*1.1</f>
        <v>203342338.61000001</v>
      </c>
      <c r="N32" s="19"/>
      <c r="O32" s="19"/>
      <c r="P32" s="16" t="s">
        <v>154</v>
      </c>
    </row>
    <row r="33" spans="1:20" ht="28.8">
      <c r="A33" s="32">
        <f>SUM(F28:F34)-66000</f>
        <v>214381000</v>
      </c>
      <c r="B33" s="106"/>
      <c r="C33" s="109"/>
      <c r="D33" s="20"/>
      <c r="E33" s="19"/>
      <c r="F33" s="15">
        <v>5000</v>
      </c>
      <c r="G33" s="16" t="s">
        <v>134</v>
      </c>
      <c r="H33" s="17" t="s">
        <v>62</v>
      </c>
      <c r="I33" s="18">
        <v>0.5</v>
      </c>
      <c r="J33" s="19">
        <f t="shared" si="4"/>
        <v>2500</v>
      </c>
      <c r="K33" s="18">
        <v>0.4</v>
      </c>
      <c r="L33" s="18"/>
      <c r="M33" s="19">
        <f>K33*F33</f>
        <v>2000</v>
      </c>
      <c r="N33" s="19"/>
      <c r="O33" s="19"/>
      <c r="P33" s="16" t="s">
        <v>155</v>
      </c>
      <c r="Q33" s="13" t="s">
        <v>104</v>
      </c>
      <c r="R33" s="13" t="s">
        <v>105</v>
      </c>
      <c r="S33" s="13" t="s">
        <v>106</v>
      </c>
      <c r="T33" s="13" t="s">
        <v>107</v>
      </c>
    </row>
    <row r="34" spans="1:20">
      <c r="A34" s="32"/>
      <c r="B34" s="107"/>
      <c r="C34" s="110"/>
      <c r="D34" s="20"/>
      <c r="E34" s="19"/>
      <c r="F34" s="15">
        <v>1000</v>
      </c>
      <c r="G34" s="16" t="s">
        <v>133</v>
      </c>
      <c r="H34" s="21"/>
      <c r="I34" s="24">
        <v>1.5</v>
      </c>
      <c r="J34" s="19">
        <f t="shared" si="4"/>
        <v>1500</v>
      </c>
      <c r="K34" s="18">
        <v>1.5</v>
      </c>
      <c r="L34" s="18"/>
      <c r="M34" s="19">
        <f>K34*F34</f>
        <v>1500</v>
      </c>
      <c r="N34" s="19"/>
      <c r="O34" s="19"/>
      <c r="P34" s="16" t="s">
        <v>95</v>
      </c>
      <c r="Q34" s="32">
        <f>SUM(J28:J34)</f>
        <v>214929800</v>
      </c>
      <c r="R34" s="32">
        <f>SUM(M28:M34)</f>
        <v>207671608.03500003</v>
      </c>
      <c r="S34" s="32">
        <f>R34-Q34</f>
        <v>-7258191.9649999738</v>
      </c>
      <c r="T34" s="65">
        <f>S34/R60</f>
        <v>-2.9145306023927724E-2</v>
      </c>
    </row>
    <row r="35" spans="1:20">
      <c r="A35" s="32"/>
      <c r="B35" s="66"/>
      <c r="C35" s="67"/>
      <c r="D35" s="20"/>
      <c r="E35" s="19"/>
      <c r="F35" s="15"/>
      <c r="G35" s="16"/>
      <c r="H35" s="21"/>
      <c r="I35" s="24"/>
      <c r="J35" s="19"/>
      <c r="K35" s="18"/>
      <c r="L35" s="18"/>
      <c r="M35" s="19">
        <f t="shared" ref="M35" si="5">K35*E35</f>
        <v>0</v>
      </c>
      <c r="N35" s="87"/>
      <c r="O35" s="87"/>
      <c r="P35" s="85"/>
      <c r="Q35" s="32">
        <f>23.6+12+54.2+55223+2234+32093+1592+109880+1.5</f>
        <v>201113.3</v>
      </c>
      <c r="R35" s="32">
        <f>23.6+24+53.4+81904.15+123458.58+2161.5</f>
        <v>207625.22999999998</v>
      </c>
      <c r="S35" s="32"/>
      <c r="T35" s="65"/>
    </row>
    <row r="36" spans="1:20">
      <c r="B36" s="66"/>
      <c r="C36" s="67"/>
      <c r="D36" s="20"/>
      <c r="E36" s="19"/>
      <c r="F36" s="15"/>
      <c r="G36" s="16"/>
      <c r="H36" s="21"/>
      <c r="I36" s="24"/>
      <c r="J36" s="19"/>
      <c r="K36" s="18"/>
      <c r="L36" s="18"/>
      <c r="M36" s="19">
        <f>K36*E36</f>
        <v>0</v>
      </c>
      <c r="N36" s="87"/>
      <c r="O36" s="87"/>
      <c r="P36" s="85"/>
      <c r="Q36" s="32"/>
      <c r="R36" s="32"/>
      <c r="S36" s="32"/>
      <c r="T36" s="65"/>
    </row>
    <row r="37" spans="1:20">
      <c r="B37" s="101" t="s">
        <v>9</v>
      </c>
      <c r="C37" s="22"/>
      <c r="D37" s="20"/>
      <c r="E37" s="14"/>
      <c r="F37" s="15">
        <v>227000</v>
      </c>
      <c r="G37" s="16"/>
      <c r="H37" s="17"/>
      <c r="I37" s="18">
        <v>0</v>
      </c>
      <c r="J37" s="19">
        <f t="shared" si="2"/>
        <v>0</v>
      </c>
      <c r="K37" s="18">
        <v>0.4</v>
      </c>
      <c r="L37" s="18"/>
      <c r="M37" s="19">
        <f t="shared" si="3"/>
        <v>90800</v>
      </c>
      <c r="N37" s="87"/>
      <c r="O37" s="87"/>
      <c r="P37" s="102" t="s">
        <v>96</v>
      </c>
    </row>
    <row r="38" spans="1:20">
      <c r="B38" s="101"/>
      <c r="C38" s="22"/>
      <c r="D38" s="20"/>
      <c r="E38" s="14"/>
      <c r="F38" s="15">
        <v>142000</v>
      </c>
      <c r="G38" s="16"/>
      <c r="H38" s="17"/>
      <c r="I38" s="18">
        <v>0.2</v>
      </c>
      <c r="J38" s="19">
        <f t="shared" si="2"/>
        <v>28400</v>
      </c>
      <c r="K38" s="18">
        <v>0.4</v>
      </c>
      <c r="L38" s="18"/>
      <c r="M38" s="19">
        <f t="shared" si="3"/>
        <v>56800</v>
      </c>
      <c r="N38" s="88"/>
      <c r="O38" s="88"/>
      <c r="P38" s="103"/>
    </row>
    <row r="39" spans="1:20">
      <c r="B39" s="101"/>
      <c r="C39" s="22"/>
      <c r="D39" s="20"/>
      <c r="E39" s="14"/>
      <c r="F39" s="15">
        <v>16000</v>
      </c>
      <c r="G39" s="16"/>
      <c r="H39" s="17"/>
      <c r="I39" s="18">
        <v>0.5</v>
      </c>
      <c r="J39" s="19">
        <f t="shared" si="2"/>
        <v>8000</v>
      </c>
      <c r="K39" s="18">
        <v>0.5</v>
      </c>
      <c r="L39" s="18"/>
      <c r="M39" s="19">
        <f t="shared" si="3"/>
        <v>8000</v>
      </c>
      <c r="N39" s="87"/>
      <c r="O39" s="87"/>
      <c r="P39" s="102" t="s">
        <v>97</v>
      </c>
    </row>
    <row r="40" spans="1:20">
      <c r="B40" s="101"/>
      <c r="C40" s="22"/>
      <c r="D40" s="20"/>
      <c r="E40" s="14"/>
      <c r="F40" s="15">
        <v>16700000</v>
      </c>
      <c r="G40" s="16"/>
      <c r="H40" s="17"/>
      <c r="I40" s="18">
        <v>1</v>
      </c>
      <c r="J40" s="19">
        <f t="shared" si="2"/>
        <v>16700000</v>
      </c>
      <c r="K40" s="18">
        <v>1</v>
      </c>
      <c r="L40" s="18"/>
      <c r="M40" s="19">
        <f t="shared" si="3"/>
        <v>16700000</v>
      </c>
      <c r="N40" s="89"/>
      <c r="O40" s="89"/>
      <c r="P40" s="104"/>
    </row>
    <row r="41" spans="1:20">
      <c r="A41" s="32">
        <f>SUM(M37:M43)</f>
        <v>30723600</v>
      </c>
      <c r="B41" s="101"/>
      <c r="C41" s="22"/>
      <c r="D41" s="20"/>
      <c r="E41" s="14"/>
      <c r="F41" s="15">
        <v>473000</v>
      </c>
      <c r="G41" s="16"/>
      <c r="H41" s="17"/>
      <c r="I41" s="18">
        <v>1.5</v>
      </c>
      <c r="J41" s="19">
        <f t="shared" si="2"/>
        <v>709500</v>
      </c>
      <c r="K41" s="18">
        <v>1.5</v>
      </c>
      <c r="L41" s="18"/>
      <c r="M41" s="19">
        <f t="shared" si="3"/>
        <v>709500</v>
      </c>
      <c r="N41" s="89"/>
      <c r="O41" s="89"/>
      <c r="P41" s="104"/>
    </row>
    <row r="42" spans="1:20">
      <c r="B42" s="101"/>
      <c r="C42" s="22"/>
      <c r="D42" s="20"/>
      <c r="E42" s="14"/>
      <c r="F42" s="15">
        <v>5175000</v>
      </c>
      <c r="G42" s="16"/>
      <c r="H42" s="17"/>
      <c r="I42" s="18">
        <v>2.5</v>
      </c>
      <c r="J42" s="19">
        <f t="shared" si="2"/>
        <v>12937500</v>
      </c>
      <c r="K42" s="18">
        <v>2.5</v>
      </c>
      <c r="L42" s="18"/>
      <c r="M42" s="19">
        <f t="shared" si="3"/>
        <v>12937500</v>
      </c>
      <c r="N42" s="88"/>
      <c r="O42" s="88"/>
      <c r="P42" s="103"/>
    </row>
    <row r="43" spans="1:20" ht="43.2">
      <c r="A43" s="32">
        <f>SUM(F37:F43)</f>
        <v>22888000</v>
      </c>
      <c r="B43" s="101"/>
      <c r="C43" s="22" t="s">
        <v>10</v>
      </c>
      <c r="D43" s="20"/>
      <c r="E43" s="14"/>
      <c r="F43" s="15">
        <v>155000</v>
      </c>
      <c r="G43" s="16"/>
      <c r="H43" s="17"/>
      <c r="I43" s="18"/>
      <c r="J43" s="19">
        <f>221000</f>
        <v>221000</v>
      </c>
      <c r="K43" s="18"/>
      <c r="L43" s="18"/>
      <c r="M43" s="19">
        <f>J43</f>
        <v>221000</v>
      </c>
      <c r="N43" s="19"/>
      <c r="O43" s="19"/>
      <c r="P43" s="16"/>
      <c r="Q43" s="32">
        <f>SUM(J37:J43)</f>
        <v>30604400</v>
      </c>
    </row>
    <row r="44" spans="1:20">
      <c r="I44" s="31" t="s">
        <v>33</v>
      </c>
      <c r="J44" s="32">
        <f>SUM(J5:J43)</f>
        <v>248245400</v>
      </c>
      <c r="K44" s="32"/>
      <c r="L44" s="32"/>
      <c r="M44" s="32">
        <f>SUM(M5:M43)</f>
        <v>241403458.03500003</v>
      </c>
      <c r="N44" s="32"/>
      <c r="O44" s="32"/>
    </row>
    <row r="45" spans="1:20">
      <c r="E45" s="86"/>
      <c r="F45" s="29">
        <f>SUM(F5:F43)-974000</f>
        <v>295556000</v>
      </c>
    </row>
    <row r="48" spans="1:20">
      <c r="C48" s="96"/>
    </row>
    <row r="49" spans="1:21">
      <c r="C49" s="96"/>
    </row>
    <row r="50" spans="1:21" ht="138">
      <c r="A50" s="33" t="s">
        <v>11</v>
      </c>
      <c r="B50" s="34" t="s">
        <v>16</v>
      </c>
      <c r="C50" s="34" t="s">
        <v>1</v>
      </c>
      <c r="D50" s="34" t="s">
        <v>2</v>
      </c>
      <c r="E50" s="34" t="s">
        <v>22</v>
      </c>
      <c r="F50" s="35" t="s">
        <v>0</v>
      </c>
      <c r="G50" s="3" t="s">
        <v>5</v>
      </c>
      <c r="H50" s="36" t="s">
        <v>13</v>
      </c>
      <c r="I50" s="37" t="s">
        <v>3</v>
      </c>
      <c r="J50" s="34" t="s">
        <v>4</v>
      </c>
      <c r="K50" s="34" t="s">
        <v>98</v>
      </c>
      <c r="L50" s="34"/>
      <c r="M50" s="34" t="s">
        <v>44</v>
      </c>
      <c r="N50" s="34"/>
      <c r="O50" s="34"/>
      <c r="P50" s="34" t="s">
        <v>45</v>
      </c>
    </row>
    <row r="51" spans="1:21" ht="220.8">
      <c r="A51" s="38"/>
      <c r="B51" s="39" t="s">
        <v>12</v>
      </c>
      <c r="C51" s="40"/>
      <c r="D51" s="41" t="s">
        <v>30</v>
      </c>
      <c r="E51" s="42" t="s">
        <v>23</v>
      </c>
      <c r="F51" s="1">
        <v>172000</v>
      </c>
      <c r="G51" s="4" t="s">
        <v>21</v>
      </c>
      <c r="H51" s="43">
        <v>1</v>
      </c>
      <c r="I51" s="44">
        <v>1</v>
      </c>
      <c r="J51" s="45">
        <f>F51*I51</f>
        <v>172000</v>
      </c>
      <c r="K51" s="46">
        <v>1</v>
      </c>
      <c r="L51" s="46"/>
      <c r="M51" s="31">
        <v>1</v>
      </c>
      <c r="P51" s="30">
        <f>M51*K51*F51</f>
        <v>172000</v>
      </c>
    </row>
    <row r="52" spans="1:21" ht="82.8">
      <c r="A52" s="38"/>
      <c r="B52" s="40" t="s">
        <v>14</v>
      </c>
      <c r="C52" s="40" t="s">
        <v>15</v>
      </c>
      <c r="D52" s="41" t="s">
        <v>99</v>
      </c>
      <c r="E52" s="42" t="s">
        <v>24</v>
      </c>
      <c r="F52" s="1">
        <v>1758000</v>
      </c>
      <c r="G52" s="4" t="s">
        <v>121</v>
      </c>
      <c r="H52" s="43">
        <v>0.5</v>
      </c>
      <c r="I52" s="47" t="s">
        <v>103</v>
      </c>
      <c r="J52" s="48">
        <f>(132000*0%+1626000*100%)*0.5</f>
        <v>813000</v>
      </c>
      <c r="K52" s="38">
        <v>0.4</v>
      </c>
      <c r="L52" s="38"/>
      <c r="M52" s="64" t="s">
        <v>160</v>
      </c>
      <c r="N52" s="64"/>
      <c r="O52" s="64"/>
      <c r="P52" s="30">
        <f>(132000*0%+126000*100%+360000*55%+570000*85%+570000*110%)*0.4</f>
        <v>574200</v>
      </c>
    </row>
    <row r="53" spans="1:21" ht="43.2">
      <c r="A53" s="38"/>
      <c r="B53" s="63" t="s">
        <v>19</v>
      </c>
      <c r="C53" s="40"/>
      <c r="D53" s="41" t="s">
        <v>100</v>
      </c>
      <c r="E53" s="42" t="s">
        <v>20</v>
      </c>
      <c r="F53" s="1">
        <v>495817000</v>
      </c>
      <c r="G53" s="4"/>
      <c r="H53" s="43">
        <v>0</v>
      </c>
      <c r="I53" s="47">
        <v>0</v>
      </c>
      <c r="J53" s="45">
        <f>F53*H53*I53</f>
        <v>0</v>
      </c>
      <c r="K53" s="46">
        <v>0.1</v>
      </c>
      <c r="L53" s="46"/>
      <c r="M53" s="94" t="s">
        <v>161</v>
      </c>
      <c r="P53" s="95">
        <f>(38348000*100%+109706000*55%+173881500*85%+173881500*110%)*K53</f>
        <v>43775522.5</v>
      </c>
      <c r="Q53" s="65">
        <f>P53/R60</f>
        <v>0.17578082885822904</v>
      </c>
      <c r="R53" s="65">
        <f>P53/S65</f>
        <v>1.1893007973201388</v>
      </c>
    </row>
    <row r="54" spans="1:21" ht="220.8">
      <c r="A54" s="38"/>
      <c r="B54" s="39" t="s">
        <v>17</v>
      </c>
      <c r="C54" s="40"/>
      <c r="D54" s="41" t="s">
        <v>26</v>
      </c>
      <c r="E54" s="42" t="s">
        <v>23</v>
      </c>
      <c r="F54" s="1">
        <v>210000</v>
      </c>
      <c r="G54" s="4" t="s">
        <v>25</v>
      </c>
      <c r="H54" s="43">
        <v>1</v>
      </c>
      <c r="I54" s="44">
        <v>0.2</v>
      </c>
      <c r="J54" s="45">
        <f>F54*H54*I54</f>
        <v>42000</v>
      </c>
      <c r="K54" s="46">
        <v>1</v>
      </c>
      <c r="L54" s="46"/>
      <c r="M54" s="31">
        <v>0.2</v>
      </c>
      <c r="P54" s="30">
        <f>M54*K54*F54</f>
        <v>42000</v>
      </c>
    </row>
    <row r="55" spans="1:21" ht="220.8">
      <c r="A55" s="38"/>
      <c r="B55" s="39" t="s">
        <v>18</v>
      </c>
      <c r="C55" s="40"/>
      <c r="D55" s="41" t="s">
        <v>30</v>
      </c>
      <c r="E55" s="42" t="s">
        <v>23</v>
      </c>
      <c r="F55" s="1">
        <v>134000</v>
      </c>
      <c r="G55" s="4" t="s">
        <v>31</v>
      </c>
      <c r="H55" s="43">
        <v>1</v>
      </c>
      <c r="I55" s="44">
        <v>0.02</v>
      </c>
      <c r="J55" s="45">
        <f>F55*H55*I55</f>
        <v>2680</v>
      </c>
      <c r="K55" s="46">
        <v>1</v>
      </c>
      <c r="L55" s="46"/>
      <c r="M55" s="31">
        <v>0.02</v>
      </c>
      <c r="P55" s="30">
        <f>M55*K55*F55</f>
        <v>2680</v>
      </c>
    </row>
    <row r="56" spans="1:21">
      <c r="J56" s="92">
        <f>SUM(J51:J55)</f>
        <v>1029680</v>
      </c>
      <c r="P56" s="93">
        <f>SUM(P51:P55)</f>
        <v>44566402.5</v>
      </c>
    </row>
    <row r="57" spans="1:21" ht="41.4">
      <c r="A57" s="38" t="s">
        <v>32</v>
      </c>
      <c r="B57" s="49" t="s">
        <v>16</v>
      </c>
      <c r="C57" s="97" t="s">
        <v>101</v>
      </c>
      <c r="D57" s="98"/>
      <c r="E57" s="98"/>
      <c r="F57" s="98"/>
      <c r="G57" s="98"/>
      <c r="H57" s="98"/>
      <c r="I57" s="98"/>
      <c r="J57" s="98"/>
      <c r="K57" s="98"/>
      <c r="L57" s="98"/>
      <c r="M57" s="98"/>
      <c r="N57" s="98"/>
      <c r="O57" s="98"/>
      <c r="P57" s="99"/>
    </row>
    <row r="58" spans="1:21" ht="138">
      <c r="A58" s="38"/>
      <c r="B58" s="39" t="s">
        <v>27</v>
      </c>
      <c r="C58" s="60">
        <f>S7+S14+F30+F37+66000</f>
        <v>52757000</v>
      </c>
      <c r="D58" s="50">
        <f>H55*F55</f>
        <v>134000</v>
      </c>
      <c r="E58" s="51">
        <v>0</v>
      </c>
      <c r="F58" s="51">
        <v>0</v>
      </c>
      <c r="G58" s="61">
        <f>Q7+Q14+F31+F38+F54*H54</f>
        <v>4975001</v>
      </c>
      <c r="H58" s="52">
        <f>R7+R14+F33+F39</f>
        <v>1126000</v>
      </c>
      <c r="I58" s="60">
        <f>F12+F28+126000+F32+F40+F51+1626000*0.5</f>
        <v>231445000</v>
      </c>
      <c r="J58" s="50">
        <f>F41+F34+F29+F13</f>
        <v>2061000</v>
      </c>
      <c r="K58" s="52">
        <f>F42</f>
        <v>5175000</v>
      </c>
      <c r="L58" s="90"/>
      <c r="M58" s="32"/>
      <c r="N58" s="32"/>
      <c r="O58" s="32"/>
      <c r="P58" s="13"/>
      <c r="R58" s="92">
        <f>SUM(C58:K58)</f>
        <v>297673001</v>
      </c>
    </row>
    <row r="59" spans="1:21">
      <c r="A59" s="38"/>
      <c r="B59" s="39" t="s">
        <v>28</v>
      </c>
      <c r="C59" s="53">
        <v>0</v>
      </c>
      <c r="D59" s="53">
        <v>0.02</v>
      </c>
      <c r="E59" s="53">
        <v>0.04</v>
      </c>
      <c r="F59" s="53">
        <v>0.1</v>
      </c>
      <c r="G59" s="54">
        <v>0.2</v>
      </c>
      <c r="H59" s="53">
        <v>0.5</v>
      </c>
      <c r="I59" s="53">
        <v>1</v>
      </c>
      <c r="J59" s="53">
        <v>1.5</v>
      </c>
      <c r="K59" s="53">
        <v>2.5</v>
      </c>
      <c r="L59" s="91"/>
      <c r="M59" s="13"/>
      <c r="N59" s="13"/>
      <c r="O59" s="13"/>
      <c r="P59" s="13"/>
    </row>
    <row r="60" spans="1:21" ht="82.8">
      <c r="A60" s="38"/>
      <c r="B60" s="39" t="s">
        <v>29</v>
      </c>
      <c r="C60" s="55">
        <f>C58*C59</f>
        <v>0</v>
      </c>
      <c r="D60" s="45">
        <f t="shared" ref="D60:J60" si="6">D58*D59</f>
        <v>2680</v>
      </c>
      <c r="E60" s="45">
        <f t="shared" si="6"/>
        <v>0</v>
      </c>
      <c r="F60" s="45">
        <f t="shared" si="6"/>
        <v>0</v>
      </c>
      <c r="G60" s="1">
        <f t="shared" si="6"/>
        <v>995000.20000000007</v>
      </c>
      <c r="H60" s="45">
        <f t="shared" si="6"/>
        <v>563000</v>
      </c>
      <c r="I60" s="45">
        <f>I58*I59</f>
        <v>231445000</v>
      </c>
      <c r="J60" s="45">
        <f t="shared" si="6"/>
        <v>3091500</v>
      </c>
      <c r="K60" s="45">
        <f>K58*K59</f>
        <v>12937500</v>
      </c>
      <c r="L60" s="46"/>
      <c r="M60" s="13"/>
      <c r="N60" s="13"/>
      <c r="O60" s="13"/>
      <c r="P60" s="13"/>
      <c r="R60" s="56">
        <f>SUM(C60:K60)</f>
        <v>249034680.19999999</v>
      </c>
      <c r="S60" s="56">
        <f>J56+J44</f>
        <v>249275080</v>
      </c>
      <c r="U60" s="32">
        <f>P56+M44</f>
        <v>285969860.53500003</v>
      </c>
    </row>
    <row r="62" spans="1:21" ht="41.4">
      <c r="A62" s="38" t="s">
        <v>32</v>
      </c>
      <c r="B62" s="49" t="s">
        <v>16</v>
      </c>
      <c r="C62" s="97" t="s">
        <v>101</v>
      </c>
      <c r="D62" s="98"/>
      <c r="E62" s="98"/>
      <c r="F62" s="98"/>
      <c r="G62" s="98"/>
      <c r="H62" s="98"/>
      <c r="I62" s="98"/>
      <c r="J62" s="98"/>
      <c r="K62" s="98"/>
      <c r="L62" s="98"/>
      <c r="M62" s="98"/>
      <c r="N62" s="98"/>
      <c r="O62" s="98"/>
      <c r="P62" s="99"/>
    </row>
    <row r="63" spans="1:21" ht="138">
      <c r="A63" s="38"/>
      <c r="B63" s="39" t="s">
        <v>27</v>
      </c>
      <c r="C63" s="50">
        <f>F5+F6+F8+F15+F18+F22+59000+F25+F30+66000</f>
        <v>52530000</v>
      </c>
      <c r="D63" s="50">
        <f>F55</f>
        <v>134000</v>
      </c>
      <c r="E63" s="51">
        <v>0</v>
      </c>
      <c r="F63" s="51"/>
      <c r="G63" s="2">
        <f>F7+F16+F17+F19+43000+118000+F54</f>
        <v>1965000</v>
      </c>
      <c r="H63" s="52">
        <f>F9+F10+F11+106000+F33+F37+F38</f>
        <v>3804000</v>
      </c>
      <c r="I63" s="50">
        <f>640000+F39</f>
        <v>656000</v>
      </c>
      <c r="J63" s="50">
        <f>F28*0.2398+(1592000+32093000+105381000)*0.2398+360000*0.4+10970600</f>
        <v>45039345.799999997</v>
      </c>
      <c r="K63" s="50">
        <f>F12+29000</f>
        <v>942000</v>
      </c>
      <c r="L63" s="50">
        <f>F28*0.3801+(1592000+32093000+105381000)*0.3801+570000*0.4+17388150</f>
        <v>71389277.099999994</v>
      </c>
      <c r="M63" s="50">
        <f>126000+(55223000+13764000+2234000)*0.5+F40+F51+360000*0.4+38348000*0.1</f>
        <v>56587300</v>
      </c>
      <c r="N63" s="50">
        <f>F28*0.3801+(1592000+32093000+105381000)*0.3801+570000*0.4+17388150</f>
        <v>71389277.099999994</v>
      </c>
      <c r="O63" s="50">
        <f>(55223000+13764000+2234000)*0.5</f>
        <v>35610500</v>
      </c>
      <c r="P63" s="52">
        <f>F13+F29+F34+F41</f>
        <v>2061000</v>
      </c>
      <c r="Q63" s="32">
        <f>F42</f>
        <v>5175000</v>
      </c>
      <c r="R63" s="92">
        <f>SUM(C63:Q63)</f>
        <v>347282700</v>
      </c>
    </row>
    <row r="64" spans="1:21">
      <c r="A64" s="38"/>
      <c r="B64" s="39" t="s">
        <v>28</v>
      </c>
      <c r="C64" s="53">
        <v>0</v>
      </c>
      <c r="D64" s="53">
        <v>0.02</v>
      </c>
      <c r="E64" s="53">
        <v>0.04</v>
      </c>
      <c r="F64" s="53">
        <v>0.1</v>
      </c>
      <c r="G64" s="54">
        <v>0.2</v>
      </c>
      <c r="H64" s="53">
        <v>0.4</v>
      </c>
      <c r="I64" s="53">
        <v>0.5</v>
      </c>
      <c r="J64" s="53">
        <v>0.55000000000000004</v>
      </c>
      <c r="K64" s="53">
        <v>0.75</v>
      </c>
      <c r="L64" s="53">
        <v>0.85</v>
      </c>
      <c r="M64" s="53">
        <v>1</v>
      </c>
      <c r="N64" s="53">
        <v>1.1000000000000001</v>
      </c>
      <c r="O64" s="53">
        <v>1.3</v>
      </c>
      <c r="P64" s="53">
        <v>1.5</v>
      </c>
      <c r="Q64" s="53">
        <v>2.5</v>
      </c>
    </row>
    <row r="65" spans="1:19" ht="82.8">
      <c r="A65" s="38"/>
      <c r="B65" s="39" t="s">
        <v>29</v>
      </c>
      <c r="C65" s="55">
        <f t="shared" ref="C65:P65" si="7">C63*C64</f>
        <v>0</v>
      </c>
      <c r="D65" s="45">
        <f t="shared" si="7"/>
        <v>2680</v>
      </c>
      <c r="E65" s="45">
        <f t="shared" si="7"/>
        <v>0</v>
      </c>
      <c r="F65" s="45">
        <f t="shared" si="7"/>
        <v>0</v>
      </c>
      <c r="G65" s="1">
        <f t="shared" si="7"/>
        <v>393000</v>
      </c>
      <c r="H65" s="45">
        <f t="shared" si="7"/>
        <v>1521600</v>
      </c>
      <c r="I65" s="45">
        <f t="shared" si="7"/>
        <v>328000</v>
      </c>
      <c r="J65" s="45">
        <f t="shared" si="7"/>
        <v>24771640.190000001</v>
      </c>
      <c r="K65" s="45">
        <f t="shared" si="7"/>
        <v>706500</v>
      </c>
      <c r="L65" s="45">
        <f t="shared" si="7"/>
        <v>60680885.534999996</v>
      </c>
      <c r="M65" s="45">
        <f t="shared" si="7"/>
        <v>56587300</v>
      </c>
      <c r="N65" s="45">
        <f t="shared" si="7"/>
        <v>78528204.810000002</v>
      </c>
      <c r="O65" s="45">
        <f t="shared" si="7"/>
        <v>46293650</v>
      </c>
      <c r="P65" s="45">
        <f t="shared" si="7"/>
        <v>3091500</v>
      </c>
      <c r="Q65" s="45">
        <f>Q63*Q64</f>
        <v>12937500</v>
      </c>
      <c r="R65" s="56">
        <f>SUM(C65:Q65)</f>
        <v>285842460.53499997</v>
      </c>
      <c r="S65" s="56">
        <f>R65-R60</f>
        <v>36807780.334999979</v>
      </c>
    </row>
  </sheetData>
  <mergeCells count="22">
    <mergeCell ref="G10:G13"/>
    <mergeCell ref="P10:P13"/>
    <mergeCell ref="B14:B25"/>
    <mergeCell ref="C15:C24"/>
    <mergeCell ref="D18:D19"/>
    <mergeCell ref="D20:D21"/>
    <mergeCell ref="D22:D23"/>
    <mergeCell ref="B5:B13"/>
    <mergeCell ref="C5:C7"/>
    <mergeCell ref="D5:D7"/>
    <mergeCell ref="C8:C13"/>
    <mergeCell ref="D8:D9"/>
    <mergeCell ref="D10:D13"/>
    <mergeCell ref="C48:C49"/>
    <mergeCell ref="C57:P57"/>
    <mergeCell ref="C62:P62"/>
    <mergeCell ref="B26:B27"/>
    <mergeCell ref="B37:B43"/>
    <mergeCell ref="P37:P38"/>
    <mergeCell ref="P39:P42"/>
    <mergeCell ref="B28:B34"/>
    <mergeCell ref="C29:C34"/>
  </mergeCells>
  <pageMargins left="0.7" right="0.7" top="0.75" bottom="0.75" header="0.3" footer="0.3"/>
  <pageSetup orientation="portrait" horizontalDpi="0" verticalDpi="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3A6F1-CB93-BA49-942F-18F587F7D8A9}">
  <dimension ref="A1:Y97"/>
  <sheetViews>
    <sheetView zoomScale="78" zoomScaleNormal="78" workbookViewId="0">
      <selection activeCell="H29" sqref="H29"/>
    </sheetView>
  </sheetViews>
  <sheetFormatPr defaultColWidth="11.5546875" defaultRowHeight="14.4"/>
  <cols>
    <col min="2" max="2" width="31" bestFit="1" customWidth="1"/>
    <col min="3" max="3" width="60.109375" bestFit="1" customWidth="1"/>
    <col min="4" max="4" width="11.109375" bestFit="1" customWidth="1"/>
    <col min="6" max="6" width="24.44140625" bestFit="1" customWidth="1"/>
    <col min="7" max="7" width="67.44140625" bestFit="1" customWidth="1"/>
    <col min="8" max="8" width="15.6640625" bestFit="1" customWidth="1"/>
    <col min="9" max="9" width="12.77734375" bestFit="1" customWidth="1"/>
    <col min="10" max="10" width="18.77734375" bestFit="1" customWidth="1"/>
    <col min="11" max="11" width="40.33203125" customWidth="1"/>
    <col min="13" max="13" width="48.6640625" customWidth="1"/>
  </cols>
  <sheetData>
    <row r="1" spans="1:25">
      <c r="B1" s="5" t="s">
        <v>37</v>
      </c>
      <c r="C1" s="6" t="s">
        <v>38</v>
      </c>
      <c r="D1" s="7"/>
      <c r="E1" s="8"/>
      <c r="F1" s="9" t="s">
        <v>39</v>
      </c>
      <c r="G1" s="10" t="s">
        <v>40</v>
      </c>
      <c r="H1" s="11" t="s">
        <v>41</v>
      </c>
      <c r="I1" s="12" t="s">
        <v>42</v>
      </c>
      <c r="J1" s="11" t="s">
        <v>43</v>
      </c>
      <c r="K1" s="12" t="s">
        <v>44</v>
      </c>
      <c r="L1" s="11" t="s">
        <v>45</v>
      </c>
      <c r="M1" s="84" t="s">
        <v>146</v>
      </c>
    </row>
    <row r="2" spans="1:25" ht="117" customHeight="1">
      <c r="B2" s="105" t="s">
        <v>92</v>
      </c>
      <c r="C2" s="22" t="s">
        <v>93</v>
      </c>
      <c r="D2" s="114" t="s">
        <v>119</v>
      </c>
      <c r="E2" s="115"/>
      <c r="F2" s="15">
        <v>2405000</v>
      </c>
      <c r="G2" s="16" t="s">
        <v>145</v>
      </c>
      <c r="H2" s="83" t="s">
        <v>144</v>
      </c>
      <c r="I2" s="18">
        <v>1</v>
      </c>
      <c r="J2" s="19">
        <f t="shared" ref="J2:J8" si="0">I2*F2</f>
        <v>2405000</v>
      </c>
      <c r="K2" s="18"/>
      <c r="L2" s="19"/>
      <c r="M2" s="80"/>
    </row>
    <row r="3" spans="1:25" ht="28.8">
      <c r="B3" s="106"/>
      <c r="C3" s="108" t="s">
        <v>102</v>
      </c>
      <c r="D3" s="20"/>
      <c r="E3" s="14"/>
      <c r="F3" s="23">
        <v>1440000</v>
      </c>
      <c r="G3" s="16" t="s">
        <v>143</v>
      </c>
      <c r="H3" s="81" t="s">
        <v>94</v>
      </c>
      <c r="I3" s="18">
        <v>1.5</v>
      </c>
      <c r="J3" s="19">
        <f t="shared" si="0"/>
        <v>2160000</v>
      </c>
      <c r="K3" s="18">
        <v>1.5</v>
      </c>
      <c r="L3" s="19"/>
      <c r="M3" s="80"/>
      <c r="X3" t="s">
        <v>114</v>
      </c>
      <c r="Y3" t="s">
        <v>115</v>
      </c>
    </row>
    <row r="4" spans="1:25" ht="15.6">
      <c r="B4" s="106"/>
      <c r="C4" s="109"/>
      <c r="D4" s="20"/>
      <c r="E4" s="79">
        <f>F4/A8</f>
        <v>2.6590440736555206E-4</v>
      </c>
      <c r="F4" s="23">
        <v>56000</v>
      </c>
      <c r="G4" s="82" t="s">
        <v>142</v>
      </c>
      <c r="H4" s="81" t="s">
        <v>36</v>
      </c>
      <c r="I4" s="18">
        <v>0</v>
      </c>
      <c r="J4" s="19">
        <f t="shared" si="0"/>
        <v>0</v>
      </c>
      <c r="K4" s="18">
        <v>0</v>
      </c>
      <c r="L4" s="19"/>
      <c r="M4" s="80"/>
      <c r="W4" t="s">
        <v>108</v>
      </c>
      <c r="X4" s="77">
        <f>39066/208384</f>
        <v>0.18747120700245701</v>
      </c>
      <c r="Y4">
        <v>0</v>
      </c>
    </row>
    <row r="5" spans="1:25" ht="43.2">
      <c r="B5" s="106"/>
      <c r="C5" s="109"/>
      <c r="D5" s="20"/>
      <c r="E5" s="79">
        <f>F5/A8</f>
        <v>1.0636176294622083E-3</v>
      </c>
      <c r="F5" s="23">
        <v>224000</v>
      </c>
      <c r="G5" s="16" t="s">
        <v>141</v>
      </c>
      <c r="H5" s="81" t="s">
        <v>140</v>
      </c>
      <c r="I5" s="18">
        <v>0.2</v>
      </c>
      <c r="J5" s="19">
        <f t="shared" si="0"/>
        <v>44800</v>
      </c>
      <c r="K5" s="18" t="s">
        <v>139</v>
      </c>
      <c r="L5" s="19"/>
      <c r="M5" s="80"/>
      <c r="W5" t="s">
        <v>109</v>
      </c>
      <c r="X5" s="77">
        <f>1-X4</f>
        <v>0.81252879299754299</v>
      </c>
      <c r="Y5">
        <v>1</v>
      </c>
    </row>
    <row r="6" spans="1:25" ht="86.4">
      <c r="B6" s="106"/>
      <c r="C6" s="109"/>
      <c r="D6" s="20"/>
      <c r="E6" s="79">
        <f>F6/A8</f>
        <v>0.99864198820524019</v>
      </c>
      <c r="F6" s="15">
        <v>210316000</v>
      </c>
      <c r="G6" s="16" t="s">
        <v>138</v>
      </c>
      <c r="H6" s="17" t="s">
        <v>137</v>
      </c>
      <c r="I6" s="18">
        <v>1</v>
      </c>
      <c r="J6" s="19">
        <f t="shared" si="0"/>
        <v>210316000</v>
      </c>
      <c r="K6" s="18" t="s">
        <v>136</v>
      </c>
      <c r="L6" s="19"/>
      <c r="M6" s="78" t="s">
        <v>135</v>
      </c>
    </row>
    <row r="7" spans="1:25">
      <c r="B7" s="106"/>
      <c r="C7" s="109"/>
      <c r="D7" s="20"/>
      <c r="E7" s="79">
        <f>F7/A8</f>
        <v>2.3741464943352866E-5</v>
      </c>
      <c r="F7" s="15">
        <v>5000</v>
      </c>
      <c r="G7" s="16" t="s">
        <v>134</v>
      </c>
      <c r="H7" s="17" t="s">
        <v>62</v>
      </c>
      <c r="I7" s="18">
        <v>0.5</v>
      </c>
      <c r="J7" s="19">
        <f t="shared" si="0"/>
        <v>2500</v>
      </c>
      <c r="K7" s="18">
        <v>0.4</v>
      </c>
      <c r="L7" s="19"/>
      <c r="M7" s="80"/>
      <c r="W7" t="s">
        <v>110</v>
      </c>
      <c r="X7" s="77">
        <f>86/208384</f>
        <v>4.1269963144963145E-4</v>
      </c>
      <c r="Y7">
        <v>0</v>
      </c>
    </row>
    <row r="8" spans="1:25">
      <c r="A8">
        <v>210602000</v>
      </c>
      <c r="B8" s="107"/>
      <c r="C8" s="110"/>
      <c r="D8" s="20"/>
      <c r="E8" s="79">
        <f>F8/A8</f>
        <v>4.7482929886705726E-6</v>
      </c>
      <c r="F8" s="15">
        <v>1000</v>
      </c>
      <c r="G8" s="16" t="s">
        <v>133</v>
      </c>
      <c r="H8" s="21"/>
      <c r="I8" s="24">
        <v>1.5</v>
      </c>
      <c r="J8" s="19">
        <f t="shared" si="0"/>
        <v>1500</v>
      </c>
      <c r="K8" s="24">
        <v>1.5</v>
      </c>
      <c r="L8" s="19"/>
      <c r="M8" s="78"/>
      <c r="W8" t="s">
        <v>111</v>
      </c>
      <c r="X8" s="77">
        <f>65/208384</f>
        <v>3.1192414004914003E-4</v>
      </c>
      <c r="Y8">
        <v>0</v>
      </c>
    </row>
    <row r="9" spans="1:25">
      <c r="F9" s="75">
        <f>SUM(F2:F8)-66000</f>
        <v>214381000</v>
      </c>
      <c r="W9" t="s">
        <v>112</v>
      </c>
      <c r="X9" s="77">
        <f>19111/208384</f>
        <v>9.1710496007371009E-2</v>
      </c>
      <c r="Y9">
        <v>0</v>
      </c>
    </row>
    <row r="10" spans="1:25">
      <c r="W10" t="s">
        <v>113</v>
      </c>
      <c r="X10" s="77">
        <f>189122/208394</f>
        <v>0.90752132978876554</v>
      </c>
      <c r="Y10">
        <v>1</v>
      </c>
    </row>
    <row r="11" spans="1:25">
      <c r="B11" s="5" t="s">
        <v>37</v>
      </c>
      <c r="C11" s="6" t="s">
        <v>38</v>
      </c>
      <c r="D11" s="7"/>
      <c r="E11" s="8"/>
      <c r="F11" s="9" t="s">
        <v>39</v>
      </c>
      <c r="G11" s="10" t="s">
        <v>40</v>
      </c>
      <c r="H11" s="11" t="s">
        <v>41</v>
      </c>
      <c r="I11" s="12" t="s">
        <v>44</v>
      </c>
      <c r="J11" s="11" t="s">
        <v>45</v>
      </c>
      <c r="K11" s="84" t="s">
        <v>146</v>
      </c>
    </row>
    <row r="12" spans="1:25" ht="97.05" customHeight="1">
      <c r="B12" s="105" t="s">
        <v>92</v>
      </c>
      <c r="C12" s="22" t="s">
        <v>93</v>
      </c>
      <c r="D12" s="114" t="s">
        <v>119</v>
      </c>
      <c r="E12" s="115"/>
      <c r="F12" s="15">
        <v>2405000</v>
      </c>
      <c r="G12" s="16" t="s">
        <v>145</v>
      </c>
      <c r="H12" s="83" t="s">
        <v>144</v>
      </c>
      <c r="I12" s="18"/>
      <c r="J12" s="19"/>
      <c r="K12" s="80"/>
    </row>
    <row r="13" spans="1:25" ht="76.05" customHeight="1">
      <c r="B13" s="106"/>
      <c r="C13" s="108" t="s">
        <v>102</v>
      </c>
      <c r="D13" s="20"/>
      <c r="E13" s="14"/>
      <c r="F13" s="23">
        <v>1440000</v>
      </c>
      <c r="G13" s="16" t="s">
        <v>143</v>
      </c>
      <c r="H13" s="81" t="s">
        <v>94</v>
      </c>
      <c r="I13" s="18">
        <v>1.5</v>
      </c>
      <c r="J13" s="19"/>
      <c r="K13" s="80"/>
    </row>
    <row r="14" spans="1:25" ht="15.6">
      <c r="B14" s="106"/>
      <c r="C14" s="109"/>
      <c r="D14" s="20"/>
      <c r="E14" s="79">
        <v>2.6590440736555206E-4</v>
      </c>
      <c r="F14" s="23">
        <v>56000</v>
      </c>
      <c r="G14" s="82" t="s">
        <v>142</v>
      </c>
      <c r="H14" s="81" t="s">
        <v>36</v>
      </c>
      <c r="I14" s="18">
        <v>0</v>
      </c>
      <c r="J14" s="19"/>
      <c r="K14" s="80"/>
    </row>
    <row r="15" spans="1:25" ht="43.2">
      <c r="B15" s="106"/>
      <c r="C15" s="109"/>
      <c r="D15" s="20"/>
      <c r="E15" s="79">
        <v>1.0636176294622083E-3</v>
      </c>
      <c r="F15" s="23">
        <v>224000</v>
      </c>
      <c r="G15" s="16" t="s">
        <v>141</v>
      </c>
      <c r="H15" s="81" t="s">
        <v>140</v>
      </c>
      <c r="I15" s="18" t="s">
        <v>139</v>
      </c>
      <c r="J15" s="19"/>
      <c r="K15" s="80"/>
    </row>
    <row r="16" spans="1:25" ht="100.8">
      <c r="B16" s="106"/>
      <c r="C16" s="109"/>
      <c r="D16" s="20"/>
      <c r="E16" s="79">
        <v>0.99864198820524019</v>
      </c>
      <c r="F16" s="15">
        <v>210316000</v>
      </c>
      <c r="G16" s="16" t="s">
        <v>138</v>
      </c>
      <c r="H16" s="17" t="s">
        <v>137</v>
      </c>
      <c r="I16" s="18" t="s">
        <v>136</v>
      </c>
      <c r="J16" s="19"/>
      <c r="K16" s="78" t="s">
        <v>135</v>
      </c>
    </row>
    <row r="17" spans="2:25">
      <c r="B17" s="106"/>
      <c r="C17" s="109"/>
      <c r="D17" s="20"/>
      <c r="E17" s="79">
        <v>2.3741464943352866E-5</v>
      </c>
      <c r="F17" s="15">
        <v>5000</v>
      </c>
      <c r="G17" s="16" t="s">
        <v>134</v>
      </c>
      <c r="H17" s="17" t="s">
        <v>62</v>
      </c>
      <c r="I17" s="18">
        <v>0.4</v>
      </c>
      <c r="J17" s="19"/>
      <c r="K17" s="80"/>
    </row>
    <row r="18" spans="2:25">
      <c r="B18" s="107"/>
      <c r="C18" s="110"/>
      <c r="D18" s="20"/>
      <c r="E18" s="79">
        <v>4.7482929886705726E-6</v>
      </c>
      <c r="F18" s="15">
        <v>1000</v>
      </c>
      <c r="G18" s="16" t="s">
        <v>133</v>
      </c>
      <c r="H18" s="21"/>
      <c r="I18" s="24">
        <v>1.5</v>
      </c>
      <c r="J18" s="19"/>
      <c r="K18" s="78"/>
    </row>
    <row r="19" spans="2:25">
      <c r="J19" s="75"/>
      <c r="W19" t="s">
        <v>116</v>
      </c>
      <c r="X19" s="77">
        <f>199041/208384</f>
        <v>0.95516450399262898</v>
      </c>
      <c r="Y19">
        <v>1</v>
      </c>
    </row>
    <row r="20" spans="2:25">
      <c r="W20" t="s">
        <v>117</v>
      </c>
      <c r="X20" s="77">
        <f>9310/208384</f>
        <v>4.4677134520884523E-2</v>
      </c>
      <c r="Y20">
        <v>0</v>
      </c>
    </row>
    <row r="21" spans="2:25">
      <c r="F21" s="76">
        <v>0.2213</v>
      </c>
      <c r="G21" s="75">
        <f>F21*$F$16*0.55</f>
        <v>25598611.940000001</v>
      </c>
      <c r="W21" t="s">
        <v>118</v>
      </c>
      <c r="X21" s="77">
        <f>33/208384</f>
        <v>1.583614864864865E-4</v>
      </c>
      <c r="Y21">
        <v>0</v>
      </c>
    </row>
    <row r="22" spans="2:25">
      <c r="F22" s="76">
        <v>0.70140000000000002</v>
      </c>
      <c r="G22" s="75">
        <f>F22*$F$16*0.85</f>
        <v>125388296.04000001</v>
      </c>
    </row>
    <row r="23" spans="2:25">
      <c r="F23" s="76">
        <v>7.7299999999999994E-2</v>
      </c>
      <c r="G23" s="75">
        <f>F23*$F$16*1</f>
        <v>16257426.799999999</v>
      </c>
    </row>
    <row r="24" spans="2:25">
      <c r="G24" s="75">
        <f>SUM(G21:G23)</f>
        <v>167244334.78000003</v>
      </c>
      <c r="H24" s="75">
        <f>G24+J2+J3+J7+J8+J5</f>
        <v>171858134.78000003</v>
      </c>
    </row>
    <row r="27" spans="2:25" ht="15.6">
      <c r="F27">
        <v>60000</v>
      </c>
      <c r="G27" s="74" t="s">
        <v>131</v>
      </c>
      <c r="H27">
        <v>60000</v>
      </c>
      <c r="K27" t="s">
        <v>132</v>
      </c>
    </row>
    <row r="28" spans="2:25" ht="15">
      <c r="E28" s="73"/>
      <c r="F28">
        <v>80000</v>
      </c>
      <c r="G28" s="72" t="s">
        <v>130</v>
      </c>
      <c r="H28">
        <f>46000+5000+29000</f>
        <v>80000</v>
      </c>
      <c r="I28">
        <f>46*20%+50*50%+20*100%</f>
        <v>54.2</v>
      </c>
      <c r="K28">
        <f>F28+F34+F30</f>
        <v>14018000</v>
      </c>
    </row>
    <row r="29" spans="2:25">
      <c r="F29">
        <v>55223000</v>
      </c>
      <c r="G29" s="68" t="s">
        <v>129</v>
      </c>
    </row>
    <row r="30" spans="2:25">
      <c r="F30">
        <v>13764000</v>
      </c>
      <c r="G30" s="68" t="s">
        <v>128</v>
      </c>
      <c r="I30" s="71">
        <f>F5-H34</f>
        <v>50000</v>
      </c>
    </row>
    <row r="31" spans="2:25">
      <c r="D31" s="70">
        <f>SUM(F31:F33)</f>
        <v>141320000</v>
      </c>
      <c r="F31" s="70">
        <f>66000+109160000</f>
        <v>109226000</v>
      </c>
      <c r="G31" s="69" t="s">
        <v>127</v>
      </c>
      <c r="H31">
        <f>2405+105381-66</f>
        <v>107720</v>
      </c>
      <c r="I31">
        <f>107720*100%+
1440*150%</f>
        <v>109880</v>
      </c>
    </row>
    <row r="32" spans="2:25">
      <c r="F32">
        <v>1000</v>
      </c>
      <c r="G32" s="68" t="s">
        <v>126</v>
      </c>
      <c r="K32">
        <f>(55223+13764+2234)*0.5*100%+
(55223+13764+2234)*0.5*130%</f>
        <v>81904.149999999994</v>
      </c>
    </row>
    <row r="33" spans="6:11">
      <c r="F33">
        <v>32093000</v>
      </c>
      <c r="G33" s="69" t="s">
        <v>125</v>
      </c>
    </row>
    <row r="34" spans="6:11">
      <c r="F34">
        <v>174000</v>
      </c>
      <c r="G34" s="68" t="s">
        <v>124</v>
      </c>
      <c r="H34">
        <f>56000+118000</f>
        <v>174000</v>
      </c>
      <c r="I34">
        <f>118*0.2</f>
        <v>23.6</v>
      </c>
    </row>
    <row r="35" spans="6:11">
      <c r="F35">
        <v>2234000</v>
      </c>
      <c r="G35" s="68" t="s">
        <v>123</v>
      </c>
    </row>
    <row r="36" spans="6:11">
      <c r="F36">
        <v>1592000</v>
      </c>
      <c r="G36" t="s">
        <v>122</v>
      </c>
    </row>
    <row r="37" spans="6:11">
      <c r="F37">
        <f>SUM(F27:F36)</f>
        <v>214447000</v>
      </c>
    </row>
    <row r="38" spans="6:11">
      <c r="K38">
        <f>1441*150%</f>
        <v>2161.5</v>
      </c>
    </row>
    <row r="39" spans="6:11">
      <c r="I39">
        <f>96*40%+
20*100%</f>
        <v>58.400000000000006</v>
      </c>
    </row>
    <row r="45" spans="6:11">
      <c r="G45" t="s">
        <v>131</v>
      </c>
    </row>
    <row r="46" spans="6:11">
      <c r="G46" t="s">
        <v>130</v>
      </c>
    </row>
    <row r="47" spans="6:11">
      <c r="G47" t="s">
        <v>129</v>
      </c>
    </row>
    <row r="48" spans="6:11">
      <c r="G48" t="s">
        <v>128</v>
      </c>
    </row>
    <row r="49" spans="6:24">
      <c r="G49" t="s">
        <v>127</v>
      </c>
    </row>
    <row r="50" spans="6:24">
      <c r="G50" t="s">
        <v>126</v>
      </c>
    </row>
    <row r="51" spans="6:24">
      <c r="G51" t="s">
        <v>125</v>
      </c>
    </row>
    <row r="52" spans="6:24">
      <c r="G52" t="s">
        <v>124</v>
      </c>
    </row>
    <row r="53" spans="6:24">
      <c r="G53" t="s">
        <v>123</v>
      </c>
    </row>
    <row r="54" spans="6:24">
      <c r="G54" t="s">
        <v>122</v>
      </c>
    </row>
    <row r="58" spans="6:24">
      <c r="G58">
        <f>23.6+12+54.2+55223+13764+2234+32093+1592+109880+1.5</f>
        <v>214877.3</v>
      </c>
    </row>
    <row r="59" spans="6:24">
      <c r="F59">
        <f>32093+1592+107720</f>
        <v>141405</v>
      </c>
      <c r="G59">
        <f>23.6+24+58.4+81904.15+110235.8+2161.5</f>
        <v>194407.45</v>
      </c>
    </row>
    <row r="60" spans="6:24">
      <c r="F60">
        <f>141405*23.98%*55%+
141405*35.01%*85%+
141405*35.01%*100%</f>
        <v>110235.80287499999</v>
      </c>
      <c r="G60">
        <f>G59-G58</f>
        <v>-20469.849999999977</v>
      </c>
    </row>
    <row r="61" spans="6:24">
      <c r="X61" t="s">
        <v>120</v>
      </c>
    </row>
    <row r="62" spans="6:24">
      <c r="X62">
        <f>59411+139674+9038+194</f>
        <v>208317</v>
      </c>
    </row>
    <row r="76" spans="6:6">
      <c r="F76">
        <f>2405000+205744000</f>
        <v>208149000</v>
      </c>
    </row>
    <row r="95" spans="6:6">
      <c r="F95">
        <f>56000+224000+5000+210316000+1000-66000</f>
        <v>210536000</v>
      </c>
    </row>
    <row r="96" spans="6:6">
      <c r="F96">
        <f>210536000+1440000</f>
        <v>211976000</v>
      </c>
    </row>
    <row r="97" spans="6:6">
      <c r="F97">
        <f>F96+2405000</f>
        <v>214381000</v>
      </c>
    </row>
  </sheetData>
  <mergeCells count="6">
    <mergeCell ref="B2:B8"/>
    <mergeCell ref="D2:E2"/>
    <mergeCell ref="C3:C8"/>
    <mergeCell ref="B12:B18"/>
    <mergeCell ref="D12:E12"/>
    <mergeCell ref="C13:C18"/>
  </mergeCells>
  <pageMargins left="0.7" right="0.7" top="0.75" bottom="0.75" header="0.3" footer="0.3"/>
  <pageSetup orientation="portrait" horizontalDpi="0" verticalDpi="0"/>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6F29-5579-4E1D-A83C-12D0C8A15C27}">
  <dimension ref="A1:U53"/>
  <sheetViews>
    <sheetView workbookViewId="0">
      <selection sqref="A1:U53"/>
    </sheetView>
  </sheetViews>
  <sheetFormatPr defaultRowHeight="14.4"/>
  <cols>
    <col min="2" max="2" width="16.109375" customWidth="1"/>
    <col min="4" max="4" width="12.21875" customWidth="1"/>
    <col min="5" max="5" width="17.77734375" customWidth="1"/>
    <col min="6" max="6" width="12.44140625" customWidth="1"/>
    <col min="9" max="9" width="12.44140625" customWidth="1"/>
    <col min="10" max="10" width="14" customWidth="1"/>
    <col min="11" max="11" width="13.77734375" customWidth="1"/>
    <col min="12" max="12" width="10.44140625" customWidth="1"/>
    <col min="13" max="13" width="11.44140625" customWidth="1"/>
    <col min="14" max="14" width="11.88671875" customWidth="1"/>
    <col min="15" max="15" width="10.44140625" customWidth="1"/>
  </cols>
  <sheetData>
    <row r="1" spans="1:21" ht="69">
      <c r="A1" s="117" t="s">
        <v>162</v>
      </c>
      <c r="B1" s="118"/>
      <c r="C1" s="118"/>
      <c r="D1" s="116"/>
      <c r="E1" s="116"/>
      <c r="F1" s="116"/>
      <c r="G1" s="116"/>
      <c r="H1" s="119"/>
      <c r="I1" s="116"/>
      <c r="J1" s="116"/>
      <c r="K1" s="116"/>
      <c r="L1" s="116"/>
      <c r="M1" s="116"/>
      <c r="N1" s="116"/>
      <c r="O1" s="116"/>
      <c r="P1" s="116"/>
      <c r="Q1" s="116"/>
      <c r="R1" s="116"/>
      <c r="S1" s="116"/>
      <c r="T1" s="116"/>
      <c r="U1" s="116"/>
    </row>
    <row r="2" spans="1:21">
      <c r="A2" s="120" t="s">
        <v>163</v>
      </c>
      <c r="B2" s="121" t="s">
        <v>164</v>
      </c>
      <c r="C2" s="122"/>
      <c r="D2" s="123" t="s">
        <v>165</v>
      </c>
      <c r="E2" s="124"/>
      <c r="F2" s="125"/>
      <c r="G2" s="126" t="s">
        <v>166</v>
      </c>
      <c r="H2" s="127"/>
      <c r="I2" s="128" t="s">
        <v>167</v>
      </c>
      <c r="J2" s="128" t="s">
        <v>168</v>
      </c>
      <c r="K2" s="128" t="s">
        <v>169</v>
      </c>
      <c r="L2" s="128" t="s">
        <v>170</v>
      </c>
      <c r="M2" s="128" t="s">
        <v>171</v>
      </c>
      <c r="N2" s="128" t="s">
        <v>172</v>
      </c>
      <c r="O2" s="128" t="s">
        <v>173</v>
      </c>
      <c r="P2" s="128" t="s">
        <v>174</v>
      </c>
      <c r="Q2" s="128" t="s">
        <v>175</v>
      </c>
      <c r="R2" s="128" t="s">
        <v>176</v>
      </c>
      <c r="S2" s="128" t="s">
        <v>177</v>
      </c>
      <c r="T2" s="128" t="s">
        <v>178</v>
      </c>
      <c r="U2" s="128" t="s">
        <v>179</v>
      </c>
    </row>
    <row r="3" spans="1:21">
      <c r="A3" s="129" t="s">
        <v>180</v>
      </c>
      <c r="B3" s="129" t="s">
        <v>181</v>
      </c>
      <c r="C3" s="129" t="s">
        <v>182</v>
      </c>
      <c r="D3" s="130" t="s">
        <v>183</v>
      </c>
      <c r="E3" s="131" t="s">
        <v>184</v>
      </c>
      <c r="F3" s="130" t="s">
        <v>185</v>
      </c>
      <c r="G3" s="132" t="s">
        <v>186</v>
      </c>
      <c r="H3" s="133" t="s">
        <v>187</v>
      </c>
      <c r="I3" s="134">
        <v>44834</v>
      </c>
      <c r="J3" s="134">
        <v>44926</v>
      </c>
      <c r="K3" s="134">
        <v>45016</v>
      </c>
      <c r="L3" s="134">
        <v>45107</v>
      </c>
      <c r="M3" s="134">
        <v>45199</v>
      </c>
      <c r="N3" s="134">
        <v>45291</v>
      </c>
      <c r="O3" s="134">
        <v>45382</v>
      </c>
      <c r="P3" s="134">
        <v>45473</v>
      </c>
      <c r="Q3" s="134">
        <v>45565</v>
      </c>
      <c r="R3" s="134">
        <v>45657</v>
      </c>
      <c r="S3" s="134">
        <v>45747</v>
      </c>
      <c r="T3" s="134">
        <v>45838</v>
      </c>
      <c r="U3" s="134">
        <v>45930</v>
      </c>
    </row>
    <row r="4" spans="1:21" ht="27.6">
      <c r="A4" s="135" t="s">
        <v>188</v>
      </c>
      <c r="B4" s="136">
        <v>13051383.333333334</v>
      </c>
      <c r="C4" s="136" t="s">
        <v>189</v>
      </c>
      <c r="D4" s="137">
        <v>15516250</v>
      </c>
      <c r="E4" s="137">
        <v>13760500</v>
      </c>
      <c r="F4" s="137">
        <v>9877400</v>
      </c>
      <c r="G4" s="137" t="s">
        <v>190</v>
      </c>
      <c r="H4" s="138" t="s">
        <v>191</v>
      </c>
      <c r="I4" s="139">
        <v>8693000</v>
      </c>
      <c r="J4" s="139">
        <v>12658000</v>
      </c>
      <c r="K4" s="139">
        <v>4416000</v>
      </c>
      <c r="L4" s="139">
        <v>9190000</v>
      </c>
      <c r="M4" s="139">
        <v>14430000</v>
      </c>
      <c r="N4" s="139">
        <v>19982000</v>
      </c>
      <c r="O4" s="139">
        <v>5774000</v>
      </c>
      <c r="P4" s="139">
        <v>11569000</v>
      </c>
      <c r="Q4" s="139">
        <v>17717000</v>
      </c>
      <c r="R4" s="139">
        <v>23795000</v>
      </c>
      <c r="S4" s="139">
        <v>6135000</v>
      </c>
      <c r="T4" s="139">
        <v>12399000</v>
      </c>
      <c r="U4" s="139">
        <v>19736000</v>
      </c>
    </row>
    <row r="5" spans="1:21" ht="55.2">
      <c r="A5" s="135" t="s">
        <v>192</v>
      </c>
      <c r="B5" s="136">
        <v>13051383.333333334</v>
      </c>
      <c r="C5" s="136" t="s">
        <v>189</v>
      </c>
      <c r="D5" s="137">
        <v>15516250</v>
      </c>
      <c r="E5" s="137">
        <v>13760500</v>
      </c>
      <c r="F5" s="137">
        <v>9877400</v>
      </c>
      <c r="G5" s="137" t="s">
        <v>190</v>
      </c>
      <c r="H5" s="140" t="s">
        <v>193</v>
      </c>
      <c r="I5" s="139">
        <v>8693000</v>
      </c>
      <c r="J5" s="139">
        <v>12658000</v>
      </c>
      <c r="K5" s="139">
        <v>4416000</v>
      </c>
      <c r="L5" s="139">
        <v>9190000</v>
      </c>
      <c r="M5" s="139">
        <v>14430000</v>
      </c>
      <c r="N5" s="139">
        <v>19982000</v>
      </c>
      <c r="O5" s="139">
        <v>5774000</v>
      </c>
      <c r="P5" s="139">
        <v>11569000</v>
      </c>
      <c r="Q5" s="139">
        <v>17717000</v>
      </c>
      <c r="R5" s="139">
        <v>23795000</v>
      </c>
      <c r="S5" s="139">
        <v>6135000</v>
      </c>
      <c r="T5" s="139">
        <v>12399000</v>
      </c>
      <c r="U5" s="139">
        <v>19736000</v>
      </c>
    </row>
    <row r="6" spans="1:21" ht="27.6">
      <c r="A6" s="135" t="s">
        <v>194</v>
      </c>
      <c r="B6" s="136">
        <v>4214400</v>
      </c>
      <c r="C6" s="136" t="s">
        <v>195</v>
      </c>
      <c r="D6" s="137">
        <v>5108750</v>
      </c>
      <c r="E6" s="137">
        <v>4784250</v>
      </c>
      <c r="F6" s="137">
        <v>2750200</v>
      </c>
      <c r="G6" s="137" t="s">
        <v>190</v>
      </c>
      <c r="H6" s="138" t="s">
        <v>196</v>
      </c>
      <c r="I6" s="139">
        <v>1556000</v>
      </c>
      <c r="J6" s="139">
        <v>2763000</v>
      </c>
      <c r="K6" s="139">
        <v>1432000</v>
      </c>
      <c r="L6" s="139">
        <v>3101000</v>
      </c>
      <c r="M6" s="139">
        <v>4899000</v>
      </c>
      <c r="N6" s="139">
        <v>6849000</v>
      </c>
      <c r="O6" s="139">
        <v>2005000</v>
      </c>
      <c r="P6" s="139">
        <v>4070000</v>
      </c>
      <c r="Q6" s="139">
        <v>6213000</v>
      </c>
      <c r="R6" s="139">
        <v>8252000</v>
      </c>
      <c r="S6" s="139">
        <v>1966000</v>
      </c>
      <c r="T6" s="139">
        <v>4043000</v>
      </c>
      <c r="U6" s="139">
        <v>6174000</v>
      </c>
    </row>
    <row r="7" spans="1:21" ht="96.6">
      <c r="A7" s="141" t="s">
        <v>197</v>
      </c>
      <c r="B7" s="136">
        <v>8836983.333333334</v>
      </c>
      <c r="C7" s="142" t="s">
        <v>198</v>
      </c>
      <c r="D7" s="137">
        <v>10407500</v>
      </c>
      <c r="E7" s="137">
        <v>8976250</v>
      </c>
      <c r="F7" s="137">
        <v>7127200</v>
      </c>
      <c r="G7" s="143" t="s">
        <v>190</v>
      </c>
      <c r="H7" s="144" t="s">
        <v>199</v>
      </c>
      <c r="I7" s="145">
        <v>7137000</v>
      </c>
      <c r="J7" s="145">
        <v>9895000</v>
      </c>
      <c r="K7" s="145">
        <v>2984000</v>
      </c>
      <c r="L7" s="145">
        <v>6089000</v>
      </c>
      <c r="M7" s="145">
        <v>9531000</v>
      </c>
      <c r="N7" s="145">
        <v>13133000</v>
      </c>
      <c r="O7" s="145">
        <v>3769000</v>
      </c>
      <c r="P7" s="145">
        <v>7499000</v>
      </c>
      <c r="Q7" s="145">
        <v>11504000</v>
      </c>
      <c r="R7" s="145">
        <v>15543000</v>
      </c>
      <c r="S7" s="145">
        <v>4169000</v>
      </c>
      <c r="T7" s="145">
        <v>8356000</v>
      </c>
      <c r="U7" s="145">
        <v>13562000</v>
      </c>
    </row>
    <row r="8" spans="1:21" ht="207">
      <c r="A8" s="141" t="s">
        <v>200</v>
      </c>
      <c r="B8" s="136">
        <v>238715333.33333334</v>
      </c>
      <c r="C8" s="142" t="s">
        <v>201</v>
      </c>
      <c r="D8" s="137">
        <v>261657500</v>
      </c>
      <c r="E8" s="137">
        <v>243235500</v>
      </c>
      <c r="F8" s="137">
        <v>211253000</v>
      </c>
      <c r="G8" s="143" t="s">
        <v>202</v>
      </c>
      <c r="H8" s="146" t="s">
        <v>203</v>
      </c>
      <c r="I8" s="145">
        <v>190940000</v>
      </c>
      <c r="J8" s="145">
        <v>203890000</v>
      </c>
      <c r="K8" s="145">
        <v>214054000</v>
      </c>
      <c r="L8" s="145">
        <v>222123000</v>
      </c>
      <c r="M8" s="145">
        <v>225258000</v>
      </c>
      <c r="N8" s="145">
        <v>235025000</v>
      </c>
      <c r="O8" s="145">
        <v>244044000</v>
      </c>
      <c r="P8" s="145">
        <v>245973000</v>
      </c>
      <c r="Q8" s="145">
        <v>247900000</v>
      </c>
      <c r="R8" s="145">
        <v>247412000</v>
      </c>
      <c r="S8" s="145">
        <v>258620000</v>
      </c>
      <c r="T8" s="145">
        <v>270315000</v>
      </c>
      <c r="U8" s="145">
        <v>270283000</v>
      </c>
    </row>
    <row r="9" spans="1:21" ht="27.6">
      <c r="A9" s="135" t="s">
        <v>204</v>
      </c>
      <c r="B9" s="136">
        <v>39791016.666666664</v>
      </c>
      <c r="C9" s="170" t="s">
        <v>205</v>
      </c>
      <c r="D9" s="137">
        <v>45485750</v>
      </c>
      <c r="E9" s="137">
        <v>42153500</v>
      </c>
      <c r="F9" s="137">
        <v>31733800</v>
      </c>
      <c r="G9" s="137" t="s">
        <v>202</v>
      </c>
      <c r="H9" s="138" t="s">
        <v>206</v>
      </c>
      <c r="I9" s="139">
        <v>25049000</v>
      </c>
      <c r="J9" s="139">
        <v>25348000</v>
      </c>
      <c r="K9" s="139">
        <v>35242000</v>
      </c>
      <c r="L9" s="139">
        <v>36646000</v>
      </c>
      <c r="M9" s="139">
        <v>36384000</v>
      </c>
      <c r="N9" s="139">
        <v>36822000</v>
      </c>
      <c r="O9" s="139">
        <v>45538000</v>
      </c>
      <c r="P9" s="139">
        <v>43867000</v>
      </c>
      <c r="Q9" s="139">
        <v>42387000</v>
      </c>
      <c r="R9" s="139">
        <v>35149000</v>
      </c>
      <c r="S9" s="139">
        <v>46846000</v>
      </c>
      <c r="T9" s="139">
        <v>52049000</v>
      </c>
      <c r="U9" s="139">
        <v>47899000</v>
      </c>
    </row>
    <row r="10" spans="1:21" ht="27.6">
      <c r="A10" s="135" t="s">
        <v>207</v>
      </c>
      <c r="B10" s="136">
        <v>2219933.3333333335</v>
      </c>
      <c r="C10" s="170" t="s">
        <v>208</v>
      </c>
      <c r="D10" s="137">
        <v>2261000</v>
      </c>
      <c r="E10" s="137">
        <v>2301000</v>
      </c>
      <c r="F10" s="137">
        <v>2097800</v>
      </c>
      <c r="G10" s="137" t="s">
        <v>202</v>
      </c>
      <c r="H10" s="138" t="s">
        <v>209</v>
      </c>
      <c r="I10" s="139">
        <v>1825000</v>
      </c>
      <c r="J10" s="139">
        <v>2431000</v>
      </c>
      <c r="K10" s="139">
        <v>1975000</v>
      </c>
      <c r="L10" s="139">
        <v>1909000</v>
      </c>
      <c r="M10" s="139">
        <v>2349000</v>
      </c>
      <c r="N10" s="139">
        <v>2490000</v>
      </c>
      <c r="O10" s="139">
        <v>2342000</v>
      </c>
      <c r="P10" s="139">
        <v>2166000</v>
      </c>
      <c r="Q10" s="139">
        <v>2206000</v>
      </c>
      <c r="R10" s="139">
        <v>1857000</v>
      </c>
      <c r="S10" s="139">
        <v>2377000</v>
      </c>
      <c r="T10" s="139">
        <v>2571000</v>
      </c>
      <c r="U10" s="139">
        <v>2239000</v>
      </c>
    </row>
    <row r="11" spans="1:21" ht="27.6">
      <c r="A11" s="135" t="s">
        <v>210</v>
      </c>
      <c r="B11" s="136">
        <v>531183.33333333337</v>
      </c>
      <c r="C11" s="170" t="s">
        <v>211</v>
      </c>
      <c r="D11" s="137">
        <v>1590750</v>
      </c>
      <c r="E11" s="137">
        <v>0</v>
      </c>
      <c r="F11" s="137">
        <v>2800</v>
      </c>
      <c r="G11" s="137" t="s">
        <v>202</v>
      </c>
      <c r="H11" s="138" t="s">
        <v>212</v>
      </c>
      <c r="I11" s="139">
        <v>9000</v>
      </c>
      <c r="J11" s="139">
        <v>5000</v>
      </c>
      <c r="K11" s="139">
        <v>0</v>
      </c>
      <c r="L11" s="139">
        <v>0</v>
      </c>
      <c r="M11" s="139">
        <v>0</v>
      </c>
      <c r="N11" s="139">
        <v>0</v>
      </c>
      <c r="O11" s="139">
        <v>0</v>
      </c>
      <c r="P11" s="139">
        <v>0</v>
      </c>
      <c r="Q11" s="139">
        <v>0</v>
      </c>
      <c r="R11" s="139">
        <v>758000</v>
      </c>
      <c r="S11" s="139">
        <v>776000</v>
      </c>
      <c r="T11" s="139">
        <v>2405000</v>
      </c>
      <c r="U11" s="139">
        <v>2424000</v>
      </c>
    </row>
    <row r="12" spans="1:21" ht="27.6">
      <c r="A12" s="135" t="s">
        <v>213</v>
      </c>
      <c r="B12" s="136">
        <v>193694683.33333334</v>
      </c>
      <c r="C12" s="170" t="s">
        <v>214</v>
      </c>
      <c r="D12" s="137">
        <v>211008000</v>
      </c>
      <c r="E12" s="137">
        <v>197050250</v>
      </c>
      <c r="F12" s="137">
        <v>173025800</v>
      </c>
      <c r="G12" s="137" t="s">
        <v>202</v>
      </c>
      <c r="H12" s="138" t="s">
        <v>215</v>
      </c>
      <c r="I12" s="139">
        <v>159146000</v>
      </c>
      <c r="J12" s="139">
        <v>170988000</v>
      </c>
      <c r="K12" s="139">
        <v>172445000</v>
      </c>
      <c r="L12" s="139">
        <v>179156000</v>
      </c>
      <c r="M12" s="139">
        <v>183394000</v>
      </c>
      <c r="N12" s="139">
        <v>193492000</v>
      </c>
      <c r="O12" s="139">
        <v>193995000</v>
      </c>
      <c r="P12" s="139">
        <v>198664000</v>
      </c>
      <c r="Q12" s="139">
        <v>202050000</v>
      </c>
      <c r="R12" s="139">
        <v>208317000</v>
      </c>
      <c r="S12" s="139">
        <v>207384000</v>
      </c>
      <c r="T12" s="139">
        <v>211976000</v>
      </c>
      <c r="U12" s="139">
        <v>216355000</v>
      </c>
    </row>
    <row r="13" spans="1:21" ht="27.6">
      <c r="A13" s="135" t="s">
        <v>216</v>
      </c>
      <c r="B13" s="136">
        <v>0</v>
      </c>
      <c r="C13" s="170" t="s">
        <v>217</v>
      </c>
      <c r="D13" s="137">
        <v>0</v>
      </c>
      <c r="E13" s="137">
        <v>0</v>
      </c>
      <c r="F13" s="137">
        <v>0</v>
      </c>
      <c r="G13" s="137" t="s">
        <v>202</v>
      </c>
      <c r="H13" s="138" t="s">
        <v>218</v>
      </c>
      <c r="I13" s="139">
        <v>0</v>
      </c>
      <c r="J13" s="139">
        <v>0</v>
      </c>
      <c r="K13" s="139">
        <v>0</v>
      </c>
      <c r="L13" s="139">
        <v>0</v>
      </c>
      <c r="M13" s="139">
        <v>0</v>
      </c>
      <c r="N13" s="139">
        <v>0</v>
      </c>
      <c r="O13" s="139">
        <v>0</v>
      </c>
      <c r="P13" s="139">
        <v>0</v>
      </c>
      <c r="Q13" s="139">
        <v>0</v>
      </c>
      <c r="R13" s="139">
        <v>0</v>
      </c>
      <c r="S13" s="139">
        <v>0</v>
      </c>
      <c r="T13" s="139">
        <v>0</v>
      </c>
      <c r="U13" s="139">
        <v>0</v>
      </c>
    </row>
    <row r="14" spans="1:21" ht="27.6">
      <c r="A14" s="135" t="s">
        <v>219</v>
      </c>
      <c r="B14" s="136">
        <v>3550</v>
      </c>
      <c r="C14" s="170" t="s">
        <v>220</v>
      </c>
      <c r="D14" s="137">
        <v>0</v>
      </c>
      <c r="E14" s="137">
        <v>250</v>
      </c>
      <c r="F14" s="137">
        <v>10400</v>
      </c>
      <c r="G14" s="137" t="s">
        <v>202</v>
      </c>
      <c r="H14" s="138" t="s">
        <v>221</v>
      </c>
      <c r="I14" s="139">
        <v>22000</v>
      </c>
      <c r="J14" s="139">
        <v>10000</v>
      </c>
      <c r="K14" s="139">
        <v>10000</v>
      </c>
      <c r="L14" s="139">
        <v>6000</v>
      </c>
      <c r="M14" s="139">
        <v>4000</v>
      </c>
      <c r="N14" s="139">
        <v>1000</v>
      </c>
      <c r="O14" s="139">
        <v>0</v>
      </c>
      <c r="P14" s="139">
        <v>0</v>
      </c>
      <c r="Q14" s="139">
        <v>0</v>
      </c>
      <c r="R14" s="139">
        <v>0</v>
      </c>
      <c r="S14" s="139">
        <v>0</v>
      </c>
      <c r="T14" s="139">
        <v>0</v>
      </c>
      <c r="U14" s="139">
        <v>0</v>
      </c>
    </row>
    <row r="15" spans="1:21" ht="27.6">
      <c r="A15" s="135" t="s">
        <v>222</v>
      </c>
      <c r="B15" s="136">
        <v>82733.333333333328</v>
      </c>
      <c r="C15" s="170" t="s">
        <v>223</v>
      </c>
      <c r="D15" s="137">
        <v>0</v>
      </c>
      <c r="E15" s="137">
        <v>0</v>
      </c>
      <c r="F15" s="137">
        <v>248200</v>
      </c>
      <c r="G15" s="137" t="s">
        <v>202</v>
      </c>
      <c r="H15" s="138" t="s">
        <v>224</v>
      </c>
      <c r="I15" s="139">
        <v>293000</v>
      </c>
      <c r="J15" s="139">
        <v>318000</v>
      </c>
      <c r="K15" s="139">
        <v>307000</v>
      </c>
      <c r="L15" s="139">
        <v>314000</v>
      </c>
      <c r="M15" s="139">
        <v>9000</v>
      </c>
      <c r="N15" s="139">
        <v>0</v>
      </c>
      <c r="O15" s="139">
        <v>0</v>
      </c>
      <c r="P15" s="139">
        <v>0</v>
      </c>
      <c r="Q15" s="139">
        <v>0</v>
      </c>
      <c r="R15" s="139">
        <v>0</v>
      </c>
      <c r="S15" s="139">
        <v>0</v>
      </c>
      <c r="T15" s="139">
        <v>0</v>
      </c>
      <c r="U15" s="139">
        <v>0</v>
      </c>
    </row>
    <row r="16" spans="1:21" ht="27.6">
      <c r="A16" s="135" t="s">
        <v>225</v>
      </c>
      <c r="B16" s="136">
        <v>0</v>
      </c>
      <c r="C16" s="170" t="s">
        <v>226</v>
      </c>
      <c r="D16" s="137">
        <v>0</v>
      </c>
      <c r="E16" s="137">
        <v>0</v>
      </c>
      <c r="F16" s="137">
        <v>0</v>
      </c>
      <c r="G16" s="137" t="s">
        <v>202</v>
      </c>
      <c r="H16" s="138" t="s">
        <v>227</v>
      </c>
      <c r="I16" s="139">
        <v>0</v>
      </c>
      <c r="J16" s="139">
        <v>0</v>
      </c>
      <c r="K16" s="139">
        <v>0</v>
      </c>
      <c r="L16" s="139">
        <v>0</v>
      </c>
      <c r="M16" s="139">
        <v>0</v>
      </c>
      <c r="N16" s="139">
        <v>0</v>
      </c>
      <c r="O16" s="139">
        <v>0</v>
      </c>
      <c r="P16" s="139">
        <v>0</v>
      </c>
      <c r="Q16" s="139">
        <v>0</v>
      </c>
      <c r="R16" s="139">
        <v>0</v>
      </c>
      <c r="S16" s="139">
        <v>0</v>
      </c>
      <c r="T16" s="139">
        <v>0</v>
      </c>
      <c r="U16" s="139">
        <v>0</v>
      </c>
    </row>
    <row r="17" spans="1:21" ht="27.6">
      <c r="A17" s="135" t="s">
        <v>228</v>
      </c>
      <c r="B17" s="136">
        <v>2392233.3333333335</v>
      </c>
      <c r="C17" s="170" t="s">
        <v>229</v>
      </c>
      <c r="D17" s="137">
        <v>1312000</v>
      </c>
      <c r="E17" s="137">
        <v>1730500</v>
      </c>
      <c r="F17" s="137">
        <v>4134200</v>
      </c>
      <c r="G17" s="137" t="s">
        <v>202</v>
      </c>
      <c r="H17" s="138" t="s">
        <v>230</v>
      </c>
      <c r="I17" s="139">
        <v>4596000</v>
      </c>
      <c r="J17" s="139">
        <v>4790000</v>
      </c>
      <c r="K17" s="139">
        <v>4075000</v>
      </c>
      <c r="L17" s="139">
        <v>4092000</v>
      </c>
      <c r="M17" s="139">
        <v>3118000</v>
      </c>
      <c r="N17" s="139">
        <v>2220000</v>
      </c>
      <c r="O17" s="139">
        <v>2169000</v>
      </c>
      <c r="P17" s="139">
        <v>1276000</v>
      </c>
      <c r="Q17" s="139">
        <v>1257000</v>
      </c>
      <c r="R17" s="139">
        <v>1331000</v>
      </c>
      <c r="S17" s="139">
        <v>1237000</v>
      </c>
      <c r="T17" s="139">
        <v>1314000</v>
      </c>
      <c r="U17" s="139">
        <v>1366000</v>
      </c>
    </row>
    <row r="18" spans="1:21" ht="69">
      <c r="A18" s="141" t="s">
        <v>231</v>
      </c>
      <c r="B18" s="136">
        <v>74650</v>
      </c>
      <c r="C18" s="170" t="s">
        <v>232</v>
      </c>
      <c r="D18" s="137">
        <v>67000</v>
      </c>
      <c r="E18" s="137">
        <v>75750</v>
      </c>
      <c r="F18" s="137">
        <v>81200</v>
      </c>
      <c r="G18" s="143" t="s">
        <v>190</v>
      </c>
      <c r="H18" s="146" t="s">
        <v>233</v>
      </c>
      <c r="I18" s="139">
        <v>67000</v>
      </c>
      <c r="J18" s="139">
        <v>105000</v>
      </c>
      <c r="K18" s="139">
        <v>38000</v>
      </c>
      <c r="L18" s="139">
        <v>78000</v>
      </c>
      <c r="M18" s="139">
        <v>118000</v>
      </c>
      <c r="N18" s="139">
        <v>150000</v>
      </c>
      <c r="O18" s="139">
        <v>27000</v>
      </c>
      <c r="P18" s="139">
        <v>54000</v>
      </c>
      <c r="Q18" s="139">
        <v>72000</v>
      </c>
      <c r="R18" s="139">
        <v>108000</v>
      </c>
      <c r="S18" s="139">
        <v>22000</v>
      </c>
      <c r="T18" s="139">
        <v>54000</v>
      </c>
      <c r="U18" s="139">
        <v>84000</v>
      </c>
    </row>
    <row r="19" spans="1:21" ht="27.6">
      <c r="A19" s="135" t="s">
        <v>234</v>
      </c>
      <c r="B19" s="136">
        <v>27600</v>
      </c>
      <c r="C19" s="136" t="s">
        <v>235</v>
      </c>
      <c r="D19" s="137">
        <v>9250</v>
      </c>
      <c r="E19" s="137">
        <v>29750</v>
      </c>
      <c r="F19" s="137">
        <v>43800</v>
      </c>
      <c r="G19" s="137" t="s">
        <v>190</v>
      </c>
      <c r="H19" s="138" t="s">
        <v>236</v>
      </c>
      <c r="I19" s="139">
        <v>40000</v>
      </c>
      <c r="J19" s="139">
        <v>63000</v>
      </c>
      <c r="K19" s="139">
        <v>20000</v>
      </c>
      <c r="L19" s="139">
        <v>38000</v>
      </c>
      <c r="M19" s="139">
        <v>58000</v>
      </c>
      <c r="N19" s="139">
        <v>71000</v>
      </c>
      <c r="O19" s="139">
        <v>10000</v>
      </c>
      <c r="P19" s="139">
        <v>18000</v>
      </c>
      <c r="Q19" s="139">
        <v>20000</v>
      </c>
      <c r="R19" s="139">
        <v>23000</v>
      </c>
      <c r="S19" s="139">
        <v>2000</v>
      </c>
      <c r="T19" s="139">
        <v>5000</v>
      </c>
      <c r="U19" s="139">
        <v>7000</v>
      </c>
    </row>
    <row r="20" spans="1:21" ht="27.6">
      <c r="A20" s="135" t="s">
        <v>237</v>
      </c>
      <c r="B20" s="136">
        <v>66.666666666666671</v>
      </c>
      <c r="C20" s="136" t="s">
        <v>238</v>
      </c>
      <c r="D20" s="137">
        <v>0</v>
      </c>
      <c r="E20" s="137">
        <v>0</v>
      </c>
      <c r="F20" s="137">
        <v>200</v>
      </c>
      <c r="G20" s="137" t="s">
        <v>190</v>
      </c>
      <c r="H20" s="138" t="s">
        <v>239</v>
      </c>
      <c r="I20" s="139">
        <v>0</v>
      </c>
      <c r="J20" s="139">
        <v>1000</v>
      </c>
      <c r="K20" s="139">
        <v>0</v>
      </c>
      <c r="L20" s="139">
        <v>0</v>
      </c>
      <c r="M20" s="139">
        <v>0</v>
      </c>
      <c r="N20" s="139">
        <v>0</v>
      </c>
      <c r="O20" s="139">
        <v>0</v>
      </c>
      <c r="P20" s="139">
        <v>0</v>
      </c>
      <c r="Q20" s="139">
        <v>0</v>
      </c>
      <c r="R20" s="139">
        <v>0</v>
      </c>
      <c r="S20" s="139">
        <v>0</v>
      </c>
      <c r="T20" s="139">
        <v>0</v>
      </c>
      <c r="U20" s="139">
        <v>0</v>
      </c>
    </row>
    <row r="21" spans="1:21" ht="27.6">
      <c r="A21" s="135" t="s">
        <v>240</v>
      </c>
      <c r="B21" s="136">
        <v>46983.333333333336</v>
      </c>
      <c r="C21" s="147" t="s">
        <v>241</v>
      </c>
      <c r="D21" s="137">
        <v>57750</v>
      </c>
      <c r="E21" s="137">
        <v>46000</v>
      </c>
      <c r="F21" s="137">
        <v>37200</v>
      </c>
      <c r="G21" s="137" t="s">
        <v>190</v>
      </c>
      <c r="H21" s="138" t="s">
        <v>242</v>
      </c>
      <c r="I21" s="139">
        <v>27000</v>
      </c>
      <c r="J21" s="139">
        <v>41000</v>
      </c>
      <c r="K21" s="139">
        <v>18000</v>
      </c>
      <c r="L21" s="139">
        <v>40000</v>
      </c>
      <c r="M21" s="139">
        <v>60000</v>
      </c>
      <c r="N21" s="139">
        <v>79000</v>
      </c>
      <c r="O21" s="139">
        <v>17000</v>
      </c>
      <c r="P21" s="139">
        <v>36000</v>
      </c>
      <c r="Q21" s="139">
        <v>52000</v>
      </c>
      <c r="R21" s="139">
        <v>85000</v>
      </c>
      <c r="S21" s="139">
        <v>20000</v>
      </c>
      <c r="T21" s="139">
        <v>49000</v>
      </c>
      <c r="U21" s="139">
        <v>77000</v>
      </c>
    </row>
    <row r="22" spans="1:21">
      <c r="A22" s="148" t="s">
        <v>243</v>
      </c>
      <c r="B22" s="136">
        <v>5445745</v>
      </c>
      <c r="C22" s="149" t="s">
        <v>244</v>
      </c>
      <c r="D22" s="137">
        <v>5954293.75</v>
      </c>
      <c r="E22" s="137">
        <v>5548548.75</v>
      </c>
      <c r="F22" s="137">
        <v>4834392.5</v>
      </c>
      <c r="G22" s="150"/>
      <c r="H22" s="151"/>
      <c r="I22" s="139"/>
      <c r="J22" s="139"/>
      <c r="K22" s="139"/>
      <c r="L22" s="139"/>
      <c r="M22" s="139"/>
      <c r="N22" s="139"/>
      <c r="O22" s="139"/>
      <c r="P22" s="139"/>
      <c r="Q22" s="139"/>
      <c r="R22" s="139"/>
      <c r="S22" s="139"/>
      <c r="T22" s="139"/>
      <c r="U22" s="139"/>
    </row>
    <row r="23" spans="1:21" ht="207">
      <c r="A23" s="152" t="s">
        <v>245</v>
      </c>
      <c r="B23" s="136">
        <v>171150</v>
      </c>
      <c r="C23" s="153" t="s">
        <v>246</v>
      </c>
      <c r="D23" s="137">
        <v>175750</v>
      </c>
      <c r="E23" s="137">
        <v>166500</v>
      </c>
      <c r="F23" s="137">
        <v>171200</v>
      </c>
      <c r="G23" s="143" t="s">
        <v>190</v>
      </c>
      <c r="H23" s="146" t="s">
        <v>247</v>
      </c>
      <c r="I23" s="139">
        <v>196000</v>
      </c>
      <c r="J23" s="139">
        <v>259000</v>
      </c>
      <c r="K23" s="139">
        <v>68000</v>
      </c>
      <c r="L23" s="139">
        <v>132000</v>
      </c>
      <c r="M23" s="139">
        <v>201000</v>
      </c>
      <c r="N23" s="139">
        <v>263000</v>
      </c>
      <c r="O23" s="139">
        <v>66000</v>
      </c>
      <c r="P23" s="139">
        <v>135000</v>
      </c>
      <c r="Q23" s="139">
        <v>202000</v>
      </c>
      <c r="R23" s="139">
        <v>271000</v>
      </c>
      <c r="S23" s="139">
        <v>71000</v>
      </c>
      <c r="T23" s="139">
        <v>144000</v>
      </c>
      <c r="U23" s="139">
        <v>217000</v>
      </c>
    </row>
    <row r="24" spans="1:21" ht="27.6">
      <c r="A24" s="154" t="s">
        <v>248</v>
      </c>
      <c r="B24" s="136">
        <v>0</v>
      </c>
      <c r="C24" s="155" t="s">
        <v>249</v>
      </c>
      <c r="D24" s="137">
        <v>0</v>
      </c>
      <c r="E24" s="137">
        <v>0</v>
      </c>
      <c r="F24" s="137">
        <v>0</v>
      </c>
      <c r="G24" s="137" t="s">
        <v>190</v>
      </c>
      <c r="H24" s="138" t="s">
        <v>250</v>
      </c>
      <c r="I24" s="139">
        <v>0</v>
      </c>
      <c r="J24" s="139">
        <v>0</v>
      </c>
      <c r="K24" s="139">
        <v>0</v>
      </c>
      <c r="L24" s="139">
        <v>0</v>
      </c>
      <c r="M24" s="139">
        <v>0</v>
      </c>
      <c r="N24" s="139">
        <v>0</v>
      </c>
      <c r="O24" s="139">
        <v>0</v>
      </c>
      <c r="P24" s="139">
        <v>0</v>
      </c>
      <c r="Q24" s="139">
        <v>0</v>
      </c>
      <c r="R24" s="139">
        <v>0</v>
      </c>
      <c r="S24" s="139">
        <v>0</v>
      </c>
      <c r="T24" s="139">
        <v>0</v>
      </c>
      <c r="U24" s="139">
        <v>0</v>
      </c>
    </row>
    <row r="25" spans="1:21" ht="27.6">
      <c r="A25" s="154" t="s">
        <v>251</v>
      </c>
      <c r="B25" s="136">
        <v>0</v>
      </c>
      <c r="C25" s="155" t="s">
        <v>252</v>
      </c>
      <c r="D25" s="137">
        <v>0</v>
      </c>
      <c r="E25" s="137">
        <v>0</v>
      </c>
      <c r="F25" s="137">
        <v>0</v>
      </c>
      <c r="G25" s="137" t="s">
        <v>190</v>
      </c>
      <c r="H25" s="138" t="s">
        <v>253</v>
      </c>
      <c r="I25" s="139">
        <v>0</v>
      </c>
      <c r="J25" s="139">
        <v>0</v>
      </c>
      <c r="K25" s="139">
        <v>0</v>
      </c>
      <c r="L25" s="139">
        <v>0</v>
      </c>
      <c r="M25" s="139">
        <v>0</v>
      </c>
      <c r="N25" s="139">
        <v>0</v>
      </c>
      <c r="O25" s="139">
        <v>0</v>
      </c>
      <c r="P25" s="139">
        <v>0</v>
      </c>
      <c r="Q25" s="139">
        <v>0</v>
      </c>
      <c r="R25" s="139">
        <v>0</v>
      </c>
      <c r="S25" s="139">
        <v>0</v>
      </c>
      <c r="T25" s="139">
        <v>0</v>
      </c>
      <c r="U25" s="139">
        <v>0</v>
      </c>
    </row>
    <row r="26" spans="1:21" ht="27.6">
      <c r="A26" s="154" t="s">
        <v>254</v>
      </c>
      <c r="B26" s="136">
        <v>0</v>
      </c>
      <c r="C26" s="155" t="s">
        <v>255</v>
      </c>
      <c r="D26" s="137">
        <v>0</v>
      </c>
      <c r="E26" s="137">
        <v>0</v>
      </c>
      <c r="F26" s="137">
        <v>0</v>
      </c>
      <c r="G26" s="137" t="s">
        <v>190</v>
      </c>
      <c r="H26" s="138" t="s">
        <v>256</v>
      </c>
      <c r="I26" s="139">
        <v>0</v>
      </c>
      <c r="J26" s="139">
        <v>0</v>
      </c>
      <c r="K26" s="139">
        <v>0</v>
      </c>
      <c r="L26" s="139">
        <v>0</v>
      </c>
      <c r="M26" s="139">
        <v>0</v>
      </c>
      <c r="N26" s="139">
        <v>0</v>
      </c>
      <c r="O26" s="139">
        <v>0</v>
      </c>
      <c r="P26" s="139">
        <v>0</v>
      </c>
      <c r="Q26" s="139">
        <v>0</v>
      </c>
      <c r="R26" s="139">
        <v>0</v>
      </c>
      <c r="S26" s="139">
        <v>0</v>
      </c>
      <c r="T26" s="139">
        <v>0</v>
      </c>
      <c r="U26" s="139">
        <v>0</v>
      </c>
    </row>
    <row r="27" spans="1:21" ht="27.6">
      <c r="A27" s="154" t="s">
        <v>257</v>
      </c>
      <c r="B27" s="136">
        <v>0</v>
      </c>
      <c r="C27" s="155" t="s">
        <v>258</v>
      </c>
      <c r="D27" s="137">
        <v>0</v>
      </c>
      <c r="E27" s="137">
        <v>0</v>
      </c>
      <c r="F27" s="137">
        <v>0</v>
      </c>
      <c r="G27" s="137" t="s">
        <v>190</v>
      </c>
      <c r="H27" s="138" t="s">
        <v>259</v>
      </c>
      <c r="I27" s="139">
        <v>0</v>
      </c>
      <c r="J27" s="139">
        <v>0</v>
      </c>
      <c r="K27" s="139">
        <v>0</v>
      </c>
      <c r="L27" s="139">
        <v>0</v>
      </c>
      <c r="M27" s="139">
        <v>0</v>
      </c>
      <c r="N27" s="139">
        <v>0</v>
      </c>
      <c r="O27" s="139">
        <v>0</v>
      </c>
      <c r="P27" s="139">
        <v>0</v>
      </c>
      <c r="Q27" s="139">
        <v>0</v>
      </c>
      <c r="R27" s="139">
        <v>0</v>
      </c>
      <c r="S27" s="139">
        <v>0</v>
      </c>
      <c r="T27" s="139">
        <v>0</v>
      </c>
      <c r="U27" s="139">
        <v>0</v>
      </c>
    </row>
    <row r="28" spans="1:21" ht="27.6">
      <c r="A28" s="154" t="s">
        <v>260</v>
      </c>
      <c r="B28" s="136">
        <v>0</v>
      </c>
      <c r="C28" s="155" t="s">
        <v>261</v>
      </c>
      <c r="D28" s="137">
        <v>0</v>
      </c>
      <c r="E28" s="137">
        <v>0</v>
      </c>
      <c r="F28" s="137">
        <v>0</v>
      </c>
      <c r="G28" s="137" t="s">
        <v>190</v>
      </c>
      <c r="H28" s="138" t="s">
        <v>262</v>
      </c>
      <c r="I28" s="139">
        <v>0</v>
      </c>
      <c r="J28" s="139">
        <v>0</v>
      </c>
      <c r="K28" s="139">
        <v>0</v>
      </c>
      <c r="L28" s="139">
        <v>0</v>
      </c>
      <c r="M28" s="139">
        <v>0</v>
      </c>
      <c r="N28" s="139">
        <v>0</v>
      </c>
      <c r="O28" s="139">
        <v>0</v>
      </c>
      <c r="P28" s="139">
        <v>0</v>
      </c>
      <c r="Q28" s="139">
        <v>0</v>
      </c>
      <c r="R28" s="139">
        <v>0</v>
      </c>
      <c r="S28" s="139">
        <v>0</v>
      </c>
      <c r="T28" s="139">
        <v>0</v>
      </c>
      <c r="U28" s="139">
        <v>0</v>
      </c>
    </row>
    <row r="29" spans="1:21" ht="27.6">
      <c r="A29" s="154" t="s">
        <v>263</v>
      </c>
      <c r="B29" s="136">
        <v>87183.333333333328</v>
      </c>
      <c r="C29" s="155" t="s">
        <v>264</v>
      </c>
      <c r="D29" s="137">
        <v>92250</v>
      </c>
      <c r="E29" s="137">
        <v>84500</v>
      </c>
      <c r="F29" s="137">
        <v>84800</v>
      </c>
      <c r="G29" s="137" t="s">
        <v>190</v>
      </c>
      <c r="H29" s="138" t="s">
        <v>265</v>
      </c>
      <c r="I29" s="139">
        <v>96000</v>
      </c>
      <c r="J29" s="139">
        <v>125000</v>
      </c>
      <c r="K29" s="139">
        <v>34000</v>
      </c>
      <c r="L29" s="139">
        <v>67000</v>
      </c>
      <c r="M29" s="139">
        <v>102000</v>
      </c>
      <c r="N29" s="139">
        <v>133000</v>
      </c>
      <c r="O29" s="139">
        <v>34000</v>
      </c>
      <c r="P29" s="139">
        <v>69000</v>
      </c>
      <c r="Q29" s="139">
        <v>102000</v>
      </c>
      <c r="R29" s="139">
        <v>139000</v>
      </c>
      <c r="S29" s="139">
        <v>38000</v>
      </c>
      <c r="T29" s="139">
        <v>77000</v>
      </c>
      <c r="U29" s="139">
        <v>115000</v>
      </c>
    </row>
    <row r="30" spans="1:21" ht="27.6">
      <c r="A30" s="154" t="s">
        <v>266</v>
      </c>
      <c r="B30" s="136">
        <v>82650</v>
      </c>
      <c r="C30" s="155" t="s">
        <v>267</v>
      </c>
      <c r="D30" s="137">
        <v>81250</v>
      </c>
      <c r="E30" s="137">
        <v>80500</v>
      </c>
      <c r="F30" s="137">
        <v>86200</v>
      </c>
      <c r="G30" s="137" t="s">
        <v>190</v>
      </c>
      <c r="H30" s="138" t="s">
        <v>268</v>
      </c>
      <c r="I30" s="139">
        <v>100000</v>
      </c>
      <c r="J30" s="139">
        <v>134000</v>
      </c>
      <c r="K30" s="139">
        <v>34000</v>
      </c>
      <c r="L30" s="139">
        <v>65000</v>
      </c>
      <c r="M30" s="139">
        <v>98000</v>
      </c>
      <c r="N30" s="139">
        <v>129000</v>
      </c>
      <c r="O30" s="139">
        <v>31000</v>
      </c>
      <c r="P30" s="139">
        <v>64000</v>
      </c>
      <c r="Q30" s="139">
        <v>98000</v>
      </c>
      <c r="R30" s="139">
        <v>129000</v>
      </c>
      <c r="S30" s="139">
        <v>32000</v>
      </c>
      <c r="T30" s="139">
        <v>65000</v>
      </c>
      <c r="U30" s="139">
        <v>99000</v>
      </c>
    </row>
    <row r="31" spans="1:21" ht="41.4">
      <c r="A31" s="154" t="s">
        <v>269</v>
      </c>
      <c r="B31" s="136">
        <v>0</v>
      </c>
      <c r="C31" s="156" t="s">
        <v>270</v>
      </c>
      <c r="D31" s="137">
        <v>0</v>
      </c>
      <c r="E31" s="137">
        <v>0</v>
      </c>
      <c r="F31" s="137">
        <v>0</v>
      </c>
      <c r="G31" s="137" t="s">
        <v>190</v>
      </c>
      <c r="H31" s="138" t="s">
        <v>271</v>
      </c>
      <c r="I31" s="139">
        <v>0</v>
      </c>
      <c r="J31" s="139">
        <v>0</v>
      </c>
      <c r="K31" s="139">
        <v>0</v>
      </c>
      <c r="L31" s="139">
        <v>0</v>
      </c>
      <c r="M31" s="139">
        <v>0</v>
      </c>
      <c r="N31" s="139">
        <v>0</v>
      </c>
      <c r="O31" s="139">
        <v>0</v>
      </c>
      <c r="P31" s="139">
        <v>0</v>
      </c>
      <c r="Q31" s="139">
        <v>0</v>
      </c>
      <c r="R31" s="139">
        <v>0</v>
      </c>
      <c r="S31" s="139">
        <v>0</v>
      </c>
      <c r="T31" s="139">
        <v>0</v>
      </c>
      <c r="U31" s="139">
        <v>0</v>
      </c>
    </row>
    <row r="32" spans="1:21" ht="41.4">
      <c r="A32" s="154" t="s">
        <v>272</v>
      </c>
      <c r="B32" s="136">
        <v>1316.6666666666667</v>
      </c>
      <c r="C32" s="156" t="s">
        <v>273</v>
      </c>
      <c r="D32" s="137">
        <v>2250</v>
      </c>
      <c r="E32" s="137">
        <v>1500</v>
      </c>
      <c r="F32" s="137">
        <v>200</v>
      </c>
      <c r="G32" s="137" t="s">
        <v>190</v>
      </c>
      <c r="H32" s="138" t="s">
        <v>274</v>
      </c>
      <c r="I32" s="139">
        <v>0</v>
      </c>
      <c r="J32" s="139">
        <v>0</v>
      </c>
      <c r="K32" s="139">
        <v>0</v>
      </c>
      <c r="L32" s="139">
        <v>0</v>
      </c>
      <c r="M32" s="139">
        <v>1000</v>
      </c>
      <c r="N32" s="139">
        <v>1000</v>
      </c>
      <c r="O32" s="139">
        <v>1000</v>
      </c>
      <c r="P32" s="139">
        <v>2000</v>
      </c>
      <c r="Q32" s="139">
        <v>2000</v>
      </c>
      <c r="R32" s="139">
        <v>3000</v>
      </c>
      <c r="S32" s="139">
        <v>1000</v>
      </c>
      <c r="T32" s="139">
        <v>2000</v>
      </c>
      <c r="U32" s="139">
        <v>3000</v>
      </c>
    </row>
    <row r="33" spans="1:21" ht="138">
      <c r="A33" s="152" t="s">
        <v>275</v>
      </c>
      <c r="B33" s="136">
        <v>7189483.333333333</v>
      </c>
      <c r="C33" s="157" t="s">
        <v>276</v>
      </c>
      <c r="D33" s="137">
        <v>7612250</v>
      </c>
      <c r="E33" s="137">
        <v>7037000</v>
      </c>
      <c r="F33" s="137">
        <v>6919200</v>
      </c>
      <c r="G33" s="143" t="s">
        <v>190</v>
      </c>
      <c r="H33" s="146" t="s">
        <v>277</v>
      </c>
      <c r="I33" s="139">
        <v>7813000</v>
      </c>
      <c r="J33" s="139">
        <v>10384000</v>
      </c>
      <c r="K33" s="139">
        <v>2729000</v>
      </c>
      <c r="L33" s="139">
        <v>5522000</v>
      </c>
      <c r="M33" s="139">
        <v>8148000</v>
      </c>
      <c r="N33" s="139">
        <v>10854000</v>
      </c>
      <c r="O33" s="139">
        <v>2864000</v>
      </c>
      <c r="P33" s="139">
        <v>5767000</v>
      </c>
      <c r="Q33" s="139">
        <v>8663000</v>
      </c>
      <c r="R33" s="139">
        <v>11910000</v>
      </c>
      <c r="S33" s="139">
        <v>3013000</v>
      </c>
      <c r="T33" s="139">
        <v>6158000</v>
      </c>
      <c r="U33" s="139">
        <v>9368000</v>
      </c>
    </row>
    <row r="34" spans="1:21" ht="27.6">
      <c r="A34" s="158" t="s">
        <v>278</v>
      </c>
      <c r="B34" s="136">
        <v>7189483.333333333</v>
      </c>
      <c r="C34" s="155" t="s">
        <v>279</v>
      </c>
      <c r="D34" s="137">
        <v>7612250</v>
      </c>
      <c r="E34" s="137">
        <v>7037000</v>
      </c>
      <c r="F34" s="137">
        <v>6919200</v>
      </c>
      <c r="G34" s="137" t="s">
        <v>190</v>
      </c>
      <c r="H34" s="138" t="s">
        <v>280</v>
      </c>
      <c r="I34" s="139">
        <v>7813000</v>
      </c>
      <c r="J34" s="139">
        <v>10384000</v>
      </c>
      <c r="K34" s="139">
        <v>2729000</v>
      </c>
      <c r="L34" s="139">
        <v>5522000</v>
      </c>
      <c r="M34" s="139">
        <v>8148000</v>
      </c>
      <c r="N34" s="139">
        <v>10854000</v>
      </c>
      <c r="O34" s="139">
        <v>2864000</v>
      </c>
      <c r="P34" s="139">
        <v>5767000</v>
      </c>
      <c r="Q34" s="139">
        <v>8663000</v>
      </c>
      <c r="R34" s="139">
        <v>11910000</v>
      </c>
      <c r="S34" s="139">
        <v>3013000</v>
      </c>
      <c r="T34" s="139">
        <v>6158000</v>
      </c>
      <c r="U34" s="139">
        <v>9368000</v>
      </c>
    </row>
    <row r="35" spans="1:21" ht="27.6">
      <c r="A35" s="158" t="s">
        <v>281</v>
      </c>
      <c r="B35" s="136">
        <v>0</v>
      </c>
      <c r="C35" s="155" t="s">
        <v>282</v>
      </c>
      <c r="D35" s="137">
        <v>0</v>
      </c>
      <c r="E35" s="137">
        <v>0</v>
      </c>
      <c r="F35" s="137">
        <v>0</v>
      </c>
      <c r="G35" s="137" t="s">
        <v>190</v>
      </c>
      <c r="H35" s="138" t="s">
        <v>283</v>
      </c>
      <c r="I35" s="139">
        <v>0</v>
      </c>
      <c r="J35" s="139">
        <v>0</v>
      </c>
      <c r="K35" s="139">
        <v>0</v>
      </c>
      <c r="L35" s="139">
        <v>0</v>
      </c>
      <c r="M35" s="139">
        <v>0</v>
      </c>
      <c r="N35" s="139">
        <v>0</v>
      </c>
      <c r="O35" s="139">
        <v>0</v>
      </c>
      <c r="P35" s="139">
        <v>0</v>
      </c>
      <c r="Q35" s="139">
        <v>0</v>
      </c>
      <c r="R35" s="139">
        <v>0</v>
      </c>
      <c r="S35" s="139">
        <v>0</v>
      </c>
      <c r="T35" s="139">
        <v>0</v>
      </c>
      <c r="U35" s="139">
        <v>0</v>
      </c>
    </row>
    <row r="36" spans="1:21" ht="27.6">
      <c r="A36" s="158" t="s">
        <v>284</v>
      </c>
      <c r="B36" s="136">
        <v>0</v>
      </c>
      <c r="C36" s="155" t="s">
        <v>285</v>
      </c>
      <c r="D36" s="137">
        <v>0</v>
      </c>
      <c r="E36" s="137">
        <v>0</v>
      </c>
      <c r="F36" s="137">
        <v>0</v>
      </c>
      <c r="G36" s="137" t="s">
        <v>190</v>
      </c>
      <c r="H36" s="138" t="s">
        <v>286</v>
      </c>
      <c r="I36" s="139">
        <v>0</v>
      </c>
      <c r="J36" s="139">
        <v>0</v>
      </c>
      <c r="K36" s="139">
        <v>0</v>
      </c>
      <c r="L36" s="139">
        <v>0</v>
      </c>
      <c r="M36" s="139">
        <v>0</v>
      </c>
      <c r="N36" s="139">
        <v>0</v>
      </c>
      <c r="O36" s="139">
        <v>0</v>
      </c>
      <c r="P36" s="139">
        <v>0</v>
      </c>
      <c r="Q36" s="139">
        <v>0</v>
      </c>
      <c r="R36" s="139">
        <v>0</v>
      </c>
      <c r="S36" s="139">
        <v>0</v>
      </c>
      <c r="T36" s="139">
        <v>0</v>
      </c>
      <c r="U36" s="139">
        <v>0</v>
      </c>
    </row>
    <row r="37" spans="1:21" ht="27.6">
      <c r="A37" s="158" t="s">
        <v>287</v>
      </c>
      <c r="B37" s="136">
        <v>0</v>
      </c>
      <c r="C37" s="155" t="s">
        <v>288</v>
      </c>
      <c r="D37" s="137">
        <v>0</v>
      </c>
      <c r="E37" s="137">
        <v>0</v>
      </c>
      <c r="F37" s="137">
        <v>0</v>
      </c>
      <c r="G37" s="137" t="s">
        <v>190</v>
      </c>
      <c r="H37" s="138" t="s">
        <v>289</v>
      </c>
      <c r="I37" s="139">
        <v>0</v>
      </c>
      <c r="J37" s="139">
        <v>0</v>
      </c>
      <c r="K37" s="139">
        <v>0</v>
      </c>
      <c r="L37" s="139">
        <v>0</v>
      </c>
      <c r="M37" s="139">
        <v>0</v>
      </c>
      <c r="N37" s="139">
        <v>0</v>
      </c>
      <c r="O37" s="139">
        <v>0</v>
      </c>
      <c r="P37" s="139">
        <v>0</v>
      </c>
      <c r="Q37" s="139">
        <v>0</v>
      </c>
      <c r="R37" s="139">
        <v>0</v>
      </c>
      <c r="S37" s="139">
        <v>0</v>
      </c>
      <c r="T37" s="139">
        <v>0</v>
      </c>
      <c r="U37" s="139">
        <v>0</v>
      </c>
    </row>
    <row r="38" spans="1:21" ht="27.6">
      <c r="A38" s="158" t="s">
        <v>290</v>
      </c>
      <c r="B38" s="136">
        <v>0</v>
      </c>
      <c r="C38" s="155" t="s">
        <v>291</v>
      </c>
      <c r="D38" s="137">
        <v>0</v>
      </c>
      <c r="E38" s="137">
        <v>0</v>
      </c>
      <c r="F38" s="137">
        <v>0</v>
      </c>
      <c r="G38" s="137" t="s">
        <v>190</v>
      </c>
      <c r="H38" s="138" t="s">
        <v>292</v>
      </c>
      <c r="I38" s="139">
        <v>0</v>
      </c>
      <c r="J38" s="139">
        <v>0</v>
      </c>
      <c r="K38" s="139">
        <v>0</v>
      </c>
      <c r="L38" s="139">
        <v>0</v>
      </c>
      <c r="M38" s="139">
        <v>0</v>
      </c>
      <c r="N38" s="139">
        <v>0</v>
      </c>
      <c r="O38" s="139">
        <v>0</v>
      </c>
      <c r="P38" s="139">
        <v>0</v>
      </c>
      <c r="Q38" s="139">
        <v>0</v>
      </c>
      <c r="R38" s="139">
        <v>0</v>
      </c>
      <c r="S38" s="139">
        <v>0</v>
      </c>
      <c r="T38" s="139">
        <v>0</v>
      </c>
      <c r="U38" s="139">
        <v>0</v>
      </c>
    </row>
    <row r="39" spans="1:21" ht="27.6">
      <c r="A39" s="158" t="s">
        <v>293</v>
      </c>
      <c r="B39" s="136">
        <v>0</v>
      </c>
      <c r="C39" s="155" t="s">
        <v>294</v>
      </c>
      <c r="D39" s="137">
        <v>0</v>
      </c>
      <c r="E39" s="137">
        <v>0</v>
      </c>
      <c r="F39" s="137">
        <v>0</v>
      </c>
      <c r="G39" s="137" t="s">
        <v>190</v>
      </c>
      <c r="H39" s="138" t="s">
        <v>295</v>
      </c>
      <c r="I39" s="139">
        <v>0</v>
      </c>
      <c r="J39" s="139">
        <v>0</v>
      </c>
      <c r="K39" s="139">
        <v>0</v>
      </c>
      <c r="L39" s="139">
        <v>0</v>
      </c>
      <c r="M39" s="139">
        <v>0</v>
      </c>
      <c r="N39" s="139">
        <v>0</v>
      </c>
      <c r="O39" s="139">
        <v>0</v>
      </c>
      <c r="P39" s="139">
        <v>0</v>
      </c>
      <c r="Q39" s="139">
        <v>0</v>
      </c>
      <c r="R39" s="139">
        <v>0</v>
      </c>
      <c r="S39" s="139">
        <v>0</v>
      </c>
      <c r="T39" s="139">
        <v>0</v>
      </c>
      <c r="U39" s="139">
        <v>0</v>
      </c>
    </row>
    <row r="40" spans="1:21" ht="27.6">
      <c r="A40" s="152" t="s">
        <v>296</v>
      </c>
      <c r="B40" s="136">
        <v>30303416.666666668</v>
      </c>
      <c r="C40" s="157" t="s">
        <v>297</v>
      </c>
      <c r="D40" s="137">
        <v>32159250</v>
      </c>
      <c r="E40" s="137">
        <v>30140000</v>
      </c>
      <c r="F40" s="137">
        <v>28611000</v>
      </c>
      <c r="G40" s="143" t="s">
        <v>190</v>
      </c>
      <c r="H40" s="159" t="s">
        <v>298</v>
      </c>
      <c r="I40" s="139">
        <v>31266000</v>
      </c>
      <c r="J40" s="139">
        <v>42596000</v>
      </c>
      <c r="K40" s="139">
        <v>11204000</v>
      </c>
      <c r="L40" s="139">
        <v>23063000</v>
      </c>
      <c r="M40" s="139">
        <v>34926000</v>
      </c>
      <c r="N40" s="139">
        <v>47055000</v>
      </c>
      <c r="O40" s="139">
        <v>11963000</v>
      </c>
      <c r="P40" s="139">
        <v>24489000</v>
      </c>
      <c r="Q40" s="139">
        <v>37053000</v>
      </c>
      <c r="R40" s="139">
        <v>50121000</v>
      </c>
      <c r="S40" s="139">
        <v>12724000</v>
      </c>
      <c r="T40" s="139">
        <v>26323000</v>
      </c>
      <c r="U40" s="139">
        <v>39469000</v>
      </c>
    </row>
    <row r="41" spans="1:21" ht="96.6">
      <c r="A41" s="152" t="s">
        <v>299</v>
      </c>
      <c r="B41" s="136">
        <v>16200200</v>
      </c>
      <c r="C41" s="157" t="s">
        <v>300</v>
      </c>
      <c r="D41" s="137">
        <v>17706250</v>
      </c>
      <c r="E41" s="137">
        <v>15838750</v>
      </c>
      <c r="F41" s="137">
        <v>15055600</v>
      </c>
      <c r="G41" s="143" t="s">
        <v>190</v>
      </c>
      <c r="H41" s="146" t="s">
        <v>301</v>
      </c>
      <c r="I41" s="145">
        <v>16164000</v>
      </c>
      <c r="J41" s="145">
        <v>22392000</v>
      </c>
      <c r="K41" s="145">
        <v>6028000</v>
      </c>
      <c r="L41" s="145">
        <v>12279000</v>
      </c>
      <c r="M41" s="145">
        <v>18415000</v>
      </c>
      <c r="N41" s="145">
        <v>25218000</v>
      </c>
      <c r="O41" s="145">
        <v>6237000</v>
      </c>
      <c r="P41" s="145">
        <v>12505000</v>
      </c>
      <c r="Q41" s="145">
        <v>19395000</v>
      </c>
      <c r="R41" s="145">
        <v>26948000</v>
      </c>
      <c r="S41" s="145">
        <v>7101000</v>
      </c>
      <c r="T41" s="145">
        <v>14571000</v>
      </c>
      <c r="U41" s="145">
        <v>22205000</v>
      </c>
    </row>
    <row r="42" spans="1:21" ht="27.6">
      <c r="A42" s="158" t="s">
        <v>302</v>
      </c>
      <c r="B42" s="136">
        <v>23389683.333333332</v>
      </c>
      <c r="C42" s="155" t="s">
        <v>303</v>
      </c>
      <c r="D42" s="137">
        <v>25318500</v>
      </c>
      <c r="E42" s="137">
        <v>22875750</v>
      </c>
      <c r="F42" s="137">
        <v>21974800</v>
      </c>
      <c r="G42" s="137" t="s">
        <v>190</v>
      </c>
      <c r="H42" s="138" t="s">
        <v>304</v>
      </c>
      <c r="I42" s="139">
        <v>23977000</v>
      </c>
      <c r="J42" s="139">
        <v>32776000</v>
      </c>
      <c r="K42" s="139">
        <v>8757000</v>
      </c>
      <c r="L42" s="139">
        <v>17801000</v>
      </c>
      <c r="M42" s="139">
        <v>26563000</v>
      </c>
      <c r="N42" s="139">
        <v>36072000</v>
      </c>
      <c r="O42" s="139">
        <v>9101000</v>
      </c>
      <c r="P42" s="139">
        <v>18272000</v>
      </c>
      <c r="Q42" s="139">
        <v>28058000</v>
      </c>
      <c r="R42" s="139">
        <v>38858000</v>
      </c>
      <c r="S42" s="139">
        <v>10114000</v>
      </c>
      <c r="T42" s="139">
        <v>20729000</v>
      </c>
      <c r="U42" s="139">
        <v>31573000</v>
      </c>
    </row>
    <row r="43" spans="1:21">
      <c r="A43" s="160" t="s">
        <v>305</v>
      </c>
      <c r="B43" s="149">
        <v>7084883.333333333</v>
      </c>
      <c r="C43" s="161" t="s">
        <v>306</v>
      </c>
      <c r="D43" s="137">
        <v>7016500</v>
      </c>
      <c r="E43" s="137">
        <v>7430750</v>
      </c>
      <c r="F43" s="137">
        <v>6807400</v>
      </c>
      <c r="G43" s="150"/>
      <c r="H43" s="151"/>
      <c r="I43" s="139"/>
      <c r="J43" s="139"/>
      <c r="K43" s="139"/>
      <c r="L43" s="139"/>
      <c r="M43" s="139"/>
      <c r="N43" s="139"/>
      <c r="O43" s="139"/>
      <c r="P43" s="139"/>
      <c r="Q43" s="139"/>
      <c r="R43" s="139"/>
      <c r="S43" s="139"/>
      <c r="T43" s="139"/>
      <c r="U43" s="139"/>
    </row>
    <row r="44" spans="1:21" ht="27.6">
      <c r="A44" s="162" t="s">
        <v>307</v>
      </c>
      <c r="B44" s="136">
        <v>48050</v>
      </c>
      <c r="C44" s="163" t="s">
        <v>308</v>
      </c>
      <c r="D44" s="137">
        <v>21500</v>
      </c>
      <c r="E44" s="137">
        <v>49250</v>
      </c>
      <c r="F44" s="137">
        <v>73400</v>
      </c>
      <c r="G44" s="143" t="s">
        <v>190</v>
      </c>
      <c r="H44" s="159" t="s">
        <v>309</v>
      </c>
      <c r="I44" s="139">
        <v>80000</v>
      </c>
      <c r="J44" s="139">
        <v>104000</v>
      </c>
      <c r="K44" s="139">
        <v>29000</v>
      </c>
      <c r="L44" s="139">
        <v>66000</v>
      </c>
      <c r="M44" s="139">
        <v>88000</v>
      </c>
      <c r="N44" s="139">
        <v>113000</v>
      </c>
      <c r="O44" s="139">
        <v>14000</v>
      </c>
      <c r="P44" s="139">
        <v>31000</v>
      </c>
      <c r="Q44" s="139">
        <v>39000</v>
      </c>
      <c r="R44" s="139">
        <v>48000</v>
      </c>
      <c r="S44" s="139">
        <v>11000</v>
      </c>
      <c r="T44" s="139">
        <v>13000</v>
      </c>
      <c r="U44" s="139">
        <v>14000</v>
      </c>
    </row>
    <row r="45" spans="1:21" ht="151.80000000000001">
      <c r="A45" s="164" t="s">
        <v>310</v>
      </c>
      <c r="B45" s="136">
        <v>-1483.3333333333333</v>
      </c>
      <c r="C45" s="163" t="s">
        <v>311</v>
      </c>
      <c r="D45" s="137">
        <v>-750</v>
      </c>
      <c r="E45" s="137">
        <v>-1500</v>
      </c>
      <c r="F45" s="137">
        <v>-2200</v>
      </c>
      <c r="G45" s="143" t="s">
        <v>190</v>
      </c>
      <c r="H45" s="146" t="s">
        <v>312</v>
      </c>
      <c r="I45" s="139">
        <v>-1000</v>
      </c>
      <c r="J45" s="139">
        <v>-5000</v>
      </c>
      <c r="K45" s="139">
        <v>-1000</v>
      </c>
      <c r="L45" s="139">
        <v>-2000</v>
      </c>
      <c r="M45" s="139">
        <v>-2000</v>
      </c>
      <c r="N45" s="139">
        <v>-6000</v>
      </c>
      <c r="O45" s="139">
        <v>1000</v>
      </c>
      <c r="P45" s="139">
        <v>0</v>
      </c>
      <c r="Q45" s="139">
        <v>-1000</v>
      </c>
      <c r="R45" s="139">
        <v>0</v>
      </c>
      <c r="S45" s="139">
        <v>0</v>
      </c>
      <c r="T45" s="139">
        <v>-1000</v>
      </c>
      <c r="U45" s="139">
        <v>-2000</v>
      </c>
    </row>
    <row r="46" spans="1:21" ht="27.6">
      <c r="A46" s="165" t="s">
        <v>313</v>
      </c>
      <c r="B46" s="136">
        <v>0</v>
      </c>
      <c r="C46" s="163" t="s">
        <v>314</v>
      </c>
      <c r="D46" s="137">
        <v>0</v>
      </c>
      <c r="E46" s="137">
        <v>0</v>
      </c>
      <c r="F46" s="137">
        <v>0</v>
      </c>
      <c r="G46" s="137" t="s">
        <v>190</v>
      </c>
      <c r="H46" s="138" t="s">
        <v>315</v>
      </c>
      <c r="I46" s="139">
        <v>0</v>
      </c>
      <c r="J46" s="139">
        <v>0</v>
      </c>
      <c r="K46" s="139">
        <v>0</v>
      </c>
      <c r="L46" s="139">
        <v>0</v>
      </c>
      <c r="M46" s="139">
        <v>0</v>
      </c>
      <c r="N46" s="139">
        <v>0</v>
      </c>
      <c r="O46" s="139">
        <v>0</v>
      </c>
      <c r="P46" s="139">
        <v>0</v>
      </c>
      <c r="Q46" s="139">
        <v>0</v>
      </c>
      <c r="R46" s="139">
        <v>0</v>
      </c>
      <c r="S46" s="139">
        <v>0</v>
      </c>
      <c r="T46" s="139">
        <v>0</v>
      </c>
      <c r="U46" s="139">
        <v>0</v>
      </c>
    </row>
    <row r="47" spans="1:21" ht="27.6">
      <c r="A47" s="165" t="s">
        <v>316</v>
      </c>
      <c r="B47" s="136">
        <v>0</v>
      </c>
      <c r="C47" s="163" t="s">
        <v>317</v>
      </c>
      <c r="D47" s="137">
        <v>0</v>
      </c>
      <c r="E47" s="137">
        <v>0</v>
      </c>
      <c r="F47" s="137">
        <v>0</v>
      </c>
      <c r="G47" s="137" t="s">
        <v>190</v>
      </c>
      <c r="H47" s="138" t="s">
        <v>318</v>
      </c>
      <c r="I47" s="139">
        <v>0</v>
      </c>
      <c r="J47" s="139">
        <v>0</v>
      </c>
      <c r="K47" s="139">
        <v>0</v>
      </c>
      <c r="L47" s="139">
        <v>0</v>
      </c>
      <c r="M47" s="139">
        <v>0</v>
      </c>
      <c r="N47" s="139">
        <v>0</v>
      </c>
      <c r="O47" s="139">
        <v>0</v>
      </c>
      <c r="P47" s="139">
        <v>0</v>
      </c>
      <c r="Q47" s="139">
        <v>0</v>
      </c>
      <c r="R47" s="139">
        <v>0</v>
      </c>
      <c r="S47" s="139">
        <v>0</v>
      </c>
      <c r="T47" s="139">
        <v>0</v>
      </c>
      <c r="U47" s="139">
        <v>0</v>
      </c>
    </row>
    <row r="48" spans="1:21" ht="27.6">
      <c r="A48" s="165" t="s">
        <v>319</v>
      </c>
      <c r="B48" s="136">
        <v>0</v>
      </c>
      <c r="C48" s="163" t="s">
        <v>320</v>
      </c>
      <c r="D48" s="137">
        <v>0</v>
      </c>
      <c r="E48" s="137">
        <v>0</v>
      </c>
      <c r="F48" s="137">
        <v>0</v>
      </c>
      <c r="G48" s="137" t="s">
        <v>190</v>
      </c>
      <c r="H48" s="138" t="s">
        <v>321</v>
      </c>
      <c r="I48" s="139">
        <v>0</v>
      </c>
      <c r="J48" s="139">
        <v>0</v>
      </c>
      <c r="K48" s="139">
        <v>0</v>
      </c>
      <c r="L48" s="139">
        <v>0</v>
      </c>
      <c r="M48" s="139">
        <v>0</v>
      </c>
      <c r="N48" s="139">
        <v>0</v>
      </c>
      <c r="O48" s="139">
        <v>0</v>
      </c>
      <c r="P48" s="139">
        <v>0</v>
      </c>
      <c r="Q48" s="139">
        <v>0</v>
      </c>
      <c r="R48" s="139">
        <v>0</v>
      </c>
      <c r="S48" s="139">
        <v>0</v>
      </c>
      <c r="T48" s="139">
        <v>0</v>
      </c>
      <c r="U48" s="139">
        <v>0</v>
      </c>
    </row>
    <row r="49" spans="1:21" ht="27.6">
      <c r="A49" s="165" t="s">
        <v>322</v>
      </c>
      <c r="B49" s="136">
        <v>0</v>
      </c>
      <c r="C49" s="163" t="s">
        <v>323</v>
      </c>
      <c r="D49" s="137">
        <v>0</v>
      </c>
      <c r="E49" s="137">
        <v>0</v>
      </c>
      <c r="F49" s="137">
        <v>0</v>
      </c>
      <c r="G49" s="137" t="s">
        <v>190</v>
      </c>
      <c r="H49" s="138" t="s">
        <v>324</v>
      </c>
      <c r="I49" s="139">
        <v>0</v>
      </c>
      <c r="J49" s="139">
        <v>0</v>
      </c>
      <c r="K49" s="139">
        <v>0</v>
      </c>
      <c r="L49" s="139">
        <v>0</v>
      </c>
      <c r="M49" s="139">
        <v>0</v>
      </c>
      <c r="N49" s="139">
        <v>0</v>
      </c>
      <c r="O49" s="139">
        <v>0</v>
      </c>
      <c r="P49" s="139">
        <v>0</v>
      </c>
      <c r="Q49" s="139">
        <v>0</v>
      </c>
      <c r="R49" s="139">
        <v>0</v>
      </c>
      <c r="S49" s="139">
        <v>0</v>
      </c>
      <c r="T49" s="139">
        <v>0</v>
      </c>
      <c r="U49" s="139">
        <v>0</v>
      </c>
    </row>
    <row r="50" spans="1:21" ht="27.6">
      <c r="A50" s="165" t="s">
        <v>325</v>
      </c>
      <c r="B50" s="136">
        <v>-1483.3333333333333</v>
      </c>
      <c r="C50" s="163" t="s">
        <v>326</v>
      </c>
      <c r="D50" s="137">
        <v>-750</v>
      </c>
      <c r="E50" s="137">
        <v>-1500</v>
      </c>
      <c r="F50" s="137">
        <v>-2200</v>
      </c>
      <c r="G50" s="137" t="s">
        <v>190</v>
      </c>
      <c r="H50" s="138" t="s">
        <v>327</v>
      </c>
      <c r="I50" s="139">
        <v>-1000</v>
      </c>
      <c r="J50" s="139">
        <v>-5000</v>
      </c>
      <c r="K50" s="139">
        <v>-1000</v>
      </c>
      <c r="L50" s="139">
        <v>-2000</v>
      </c>
      <c r="M50" s="139">
        <v>-2000</v>
      </c>
      <c r="N50" s="139">
        <v>-6000</v>
      </c>
      <c r="O50" s="139">
        <v>1000</v>
      </c>
      <c r="P50" s="139">
        <v>0</v>
      </c>
      <c r="Q50" s="139">
        <v>-1000</v>
      </c>
      <c r="R50" s="139">
        <v>0</v>
      </c>
      <c r="S50" s="139">
        <v>0</v>
      </c>
      <c r="T50" s="139">
        <v>-1000</v>
      </c>
      <c r="U50" s="139">
        <v>-2000</v>
      </c>
    </row>
    <row r="51" spans="1:21" ht="27.6">
      <c r="A51" s="165" t="s">
        <v>328</v>
      </c>
      <c r="B51" s="136">
        <v>0</v>
      </c>
      <c r="C51" s="163" t="s">
        <v>329</v>
      </c>
      <c r="D51" s="137">
        <v>0</v>
      </c>
      <c r="E51" s="137">
        <v>0</v>
      </c>
      <c r="F51" s="137">
        <v>0</v>
      </c>
      <c r="G51" s="137" t="s">
        <v>190</v>
      </c>
      <c r="H51" s="138" t="s">
        <v>330</v>
      </c>
      <c r="I51" s="139">
        <v>0</v>
      </c>
      <c r="J51" s="139">
        <v>0</v>
      </c>
      <c r="K51" s="139">
        <v>0</v>
      </c>
      <c r="L51" s="139">
        <v>0</v>
      </c>
      <c r="M51" s="139">
        <v>0</v>
      </c>
      <c r="N51" s="139">
        <v>0</v>
      </c>
      <c r="O51" s="139">
        <v>0</v>
      </c>
      <c r="P51" s="139">
        <v>0</v>
      </c>
      <c r="Q51" s="139">
        <v>0</v>
      </c>
      <c r="R51" s="139">
        <v>0</v>
      </c>
      <c r="S51" s="139">
        <v>0</v>
      </c>
      <c r="T51" s="139">
        <v>0</v>
      </c>
      <c r="U51" s="139">
        <v>0</v>
      </c>
    </row>
    <row r="52" spans="1:21" ht="27.6">
      <c r="A52" s="165" t="s">
        <v>331</v>
      </c>
      <c r="B52" s="136">
        <v>0</v>
      </c>
      <c r="C52" s="163" t="s">
        <v>332</v>
      </c>
      <c r="D52" s="137">
        <v>0</v>
      </c>
      <c r="E52" s="137">
        <v>0</v>
      </c>
      <c r="F52" s="137">
        <v>0</v>
      </c>
      <c r="G52" s="137" t="s">
        <v>190</v>
      </c>
      <c r="H52" s="138" t="s">
        <v>333</v>
      </c>
      <c r="I52" s="139">
        <v>0</v>
      </c>
      <c r="J52" s="139">
        <v>0</v>
      </c>
      <c r="K52" s="139">
        <v>0</v>
      </c>
      <c r="L52" s="139">
        <v>0</v>
      </c>
      <c r="M52" s="139">
        <v>0</v>
      </c>
      <c r="N52" s="139">
        <v>0</v>
      </c>
      <c r="O52" s="139">
        <v>0</v>
      </c>
      <c r="P52" s="139">
        <v>0</v>
      </c>
      <c r="Q52" s="139">
        <v>0</v>
      </c>
      <c r="R52" s="139">
        <v>0</v>
      </c>
      <c r="S52" s="139">
        <v>0</v>
      </c>
      <c r="T52" s="139">
        <v>0</v>
      </c>
      <c r="U52" s="139">
        <v>0</v>
      </c>
    </row>
    <row r="53" spans="1:21">
      <c r="A53" s="160" t="s">
        <v>334</v>
      </c>
      <c r="B53" s="149">
        <v>49533.333333333336</v>
      </c>
      <c r="C53" s="161" t="s">
        <v>335</v>
      </c>
      <c r="D53" s="137">
        <v>22250</v>
      </c>
      <c r="E53" s="166">
        <v>50750</v>
      </c>
      <c r="F53" s="166">
        <v>75600</v>
      </c>
      <c r="G53" s="167"/>
      <c r="H53" s="168"/>
      <c r="I53" s="169"/>
      <c r="J53" s="169"/>
      <c r="K53" s="169"/>
      <c r="L53" s="169"/>
      <c r="M53" s="169"/>
      <c r="N53" s="169"/>
      <c r="O53" s="169"/>
      <c r="P53" s="169"/>
      <c r="Q53" s="169"/>
      <c r="R53" s="169"/>
      <c r="S53" s="169"/>
      <c r="T53" s="169"/>
      <c r="U53" s="16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73B02-39C5-4BCD-949D-86B4F80DBC54}">
  <dimension ref="A1:E16"/>
  <sheetViews>
    <sheetView tabSelected="1" workbookViewId="0">
      <selection activeCell="H3" sqref="H3"/>
    </sheetView>
  </sheetViews>
  <sheetFormatPr defaultRowHeight="14.4"/>
  <cols>
    <col min="1" max="1" width="13.5546875" customWidth="1"/>
    <col min="2" max="2" width="38.44140625" customWidth="1"/>
    <col min="3" max="3" width="36.77734375" customWidth="1"/>
    <col min="4" max="4" width="23.44140625" customWidth="1"/>
    <col min="5" max="5" width="24.33203125" customWidth="1"/>
  </cols>
  <sheetData>
    <row r="1" spans="1:5" ht="72">
      <c r="A1" s="174" t="s">
        <v>336</v>
      </c>
      <c r="B1" s="185" t="s">
        <v>337</v>
      </c>
      <c r="C1" s="185" t="s">
        <v>338</v>
      </c>
      <c r="D1" s="184" t="s">
        <v>339</v>
      </c>
      <c r="E1" s="185" t="s">
        <v>340</v>
      </c>
    </row>
    <row r="2" spans="1:5">
      <c r="A2" s="175" t="s">
        <v>341</v>
      </c>
      <c r="B2" s="172" t="s">
        <v>342</v>
      </c>
      <c r="C2" s="173" t="s">
        <v>343</v>
      </c>
      <c r="D2" s="173" t="s">
        <v>344</v>
      </c>
      <c r="E2" s="176"/>
    </row>
    <row r="3" spans="1:5">
      <c r="A3" s="177" t="s">
        <v>341</v>
      </c>
      <c r="B3" s="171" t="s">
        <v>345</v>
      </c>
      <c r="C3" s="171">
        <v>-3249000</v>
      </c>
      <c r="D3" s="171">
        <v>-3249000</v>
      </c>
      <c r="E3" s="178">
        <v>0</v>
      </c>
    </row>
    <row r="4" spans="1:5">
      <c r="A4" s="177" t="s">
        <v>346</v>
      </c>
      <c r="B4" s="171" t="s">
        <v>347</v>
      </c>
      <c r="C4" s="171">
        <v>30833000</v>
      </c>
      <c r="D4" s="171">
        <v>34082000</v>
      </c>
      <c r="E4" s="178">
        <v>3249000</v>
      </c>
    </row>
    <row r="5" spans="1:5">
      <c r="A5" s="177" t="s">
        <v>348</v>
      </c>
      <c r="B5" s="171" t="s">
        <v>349</v>
      </c>
      <c r="C5" s="171">
        <v>26222000</v>
      </c>
      <c r="D5" s="171">
        <v>29471000</v>
      </c>
      <c r="E5" s="178">
        <v>3249000</v>
      </c>
    </row>
    <row r="6" spans="1:5">
      <c r="A6" s="177" t="s">
        <v>350</v>
      </c>
      <c r="B6" s="171" t="s">
        <v>351</v>
      </c>
      <c r="C6" s="171">
        <v>26222000</v>
      </c>
      <c r="D6" s="171">
        <v>29471000</v>
      </c>
      <c r="E6" s="178">
        <v>3249000</v>
      </c>
    </row>
    <row r="7" spans="1:5">
      <c r="A7" s="177" t="s">
        <v>352</v>
      </c>
      <c r="B7" s="171" t="s">
        <v>353</v>
      </c>
      <c r="C7" s="171">
        <v>27848000</v>
      </c>
      <c r="D7" s="171">
        <v>31097000</v>
      </c>
      <c r="E7" s="178">
        <v>3249000</v>
      </c>
    </row>
    <row r="8" spans="1:5">
      <c r="A8" s="177" t="s">
        <v>354</v>
      </c>
      <c r="B8" s="171" t="s">
        <v>355</v>
      </c>
      <c r="C8" s="171">
        <v>292883000</v>
      </c>
      <c r="D8" s="171">
        <v>292883000</v>
      </c>
      <c r="E8" s="178">
        <v>0</v>
      </c>
    </row>
    <row r="9" spans="1:5">
      <c r="A9" s="177" t="s">
        <v>356</v>
      </c>
      <c r="B9" s="171" t="s">
        <v>357</v>
      </c>
      <c r="C9" s="179">
        <v>9.5082336632716817</v>
      </c>
      <c r="D9" s="179">
        <v>10.617550352871282</v>
      </c>
      <c r="E9" s="180">
        <v>1.1093166895996003</v>
      </c>
    </row>
    <row r="10" spans="1:5">
      <c r="A10" s="177" t="s">
        <v>358</v>
      </c>
      <c r="B10" s="171" t="s">
        <v>359</v>
      </c>
      <c r="C10" s="171">
        <v>4915000</v>
      </c>
      <c r="D10" s="171">
        <v>4915000</v>
      </c>
      <c r="E10" s="178">
        <v>0</v>
      </c>
    </row>
    <row r="11" spans="1:5">
      <c r="A11" s="177" t="s">
        <v>360</v>
      </c>
      <c r="B11" s="171" t="s">
        <v>361</v>
      </c>
      <c r="C11" s="171">
        <v>32763000</v>
      </c>
      <c r="D11" s="171">
        <v>36012000</v>
      </c>
      <c r="E11" s="178">
        <v>3249000</v>
      </c>
    </row>
    <row r="12" spans="1:5">
      <c r="A12" s="177" t="s">
        <v>362</v>
      </c>
      <c r="B12" s="171" t="s">
        <v>363</v>
      </c>
      <c r="C12" s="171">
        <v>10.4619</v>
      </c>
      <c r="D12" s="171">
        <v>11.758166993364352</v>
      </c>
      <c r="E12" s="180">
        <v>1.2962669933643518</v>
      </c>
    </row>
    <row r="13" spans="1:5">
      <c r="A13" s="177" t="s">
        <v>364</v>
      </c>
      <c r="B13" s="171" t="s">
        <v>365</v>
      </c>
      <c r="C13" s="171">
        <v>11.1107</v>
      </c>
      <c r="D13" s="171">
        <v>12.406898951262301</v>
      </c>
      <c r="E13" s="180">
        <v>1.2961989512623013</v>
      </c>
    </row>
    <row r="14" spans="1:5">
      <c r="A14" s="177" t="s">
        <v>366</v>
      </c>
      <c r="B14" s="171" t="s">
        <v>367</v>
      </c>
      <c r="C14" s="171">
        <v>13.0716</v>
      </c>
      <c r="D14" s="171">
        <v>14.367856868278547</v>
      </c>
      <c r="E14" s="180">
        <v>1.2962568682785474</v>
      </c>
    </row>
    <row r="15" spans="1:5">
      <c r="A15" s="177"/>
      <c r="B15" s="171"/>
      <c r="C15" s="171"/>
      <c r="D15" s="171"/>
      <c r="E15" s="178"/>
    </row>
    <row r="16" spans="1:5">
      <c r="A16" s="181"/>
      <c r="B16" s="182" t="s">
        <v>368</v>
      </c>
      <c r="C16" s="182">
        <v>250642808.66764161</v>
      </c>
      <c r="D16" s="182">
        <v>250642808.66764161</v>
      </c>
      <c r="E16" s="18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HC-Consolidated Balance Sheet-A</vt:lpstr>
      <vt:lpstr>Balance Sheet</vt:lpstr>
      <vt:lpstr>Ops Risk</vt:lpstr>
      <vt:lpstr>AOCI Difference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子君 包</dc:creator>
  <cp:lastModifiedBy>Erya Jain</cp:lastModifiedBy>
  <dcterms:created xsi:type="dcterms:W3CDTF">2025-09-22T14:52:20Z</dcterms:created>
  <dcterms:modified xsi:type="dcterms:W3CDTF">2026-01-17T02:51:27Z</dcterms:modified>
</cp:coreProperties>
</file>