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eve_online\"/>
    </mc:Choice>
  </mc:AlternateContent>
  <xr:revisionPtr revIDLastSave="0" documentId="13_ncr:1_{54546838-A7BE-4119-B76A-0E42920CFF2E}" xr6:coauthVersionLast="47" xr6:coauthVersionMax="47" xr10:uidLastSave="{00000000-0000-0000-0000-000000000000}"/>
  <bookViews>
    <workbookView xWindow="-120" yWindow="-120" windowWidth="29040" windowHeight="15720" xr2:uid="{CA18D76C-983F-4C69-89BE-9B898509DA17}"/>
  </bookViews>
  <sheets>
    <sheet name="Towary_na_sprzedaż" sheetId="4" r:id="rId1"/>
    <sheet name="Zlecenia_sprzedaży" sheetId="3" r:id="rId2"/>
    <sheet name="zlecenia_kupna" sheetId="5" r:id="rId3"/>
    <sheet name="Testow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4" l="1" a="1"/>
  <c r="H15" i="4" s="1"/>
  <c r="H16" i="4" a="1"/>
  <c r="H16" i="4" s="1"/>
  <c r="H17" i="4" a="1"/>
  <c r="H17" i="4" s="1"/>
  <c r="H18" i="4" a="1"/>
  <c r="H18" i="4" s="1"/>
  <c r="H19" i="4" a="1"/>
  <c r="H19" i="4" s="1"/>
  <c r="F4" i="3" a="1"/>
  <c r="F4" i="3" s="1"/>
  <c r="A70" i="1" a="1"/>
  <c r="A70" i="1" s="1"/>
  <c r="E4" i="3" a="1"/>
  <c r="E4" i="3" s="1"/>
  <c r="E4" i="5" a="1"/>
  <c r="E4" i="5" s="1"/>
  <c r="F4" i="5" a="1"/>
  <c r="F4" i="5" s="1"/>
  <c r="D4" i="5" a="1"/>
  <c r="D4" i="5" s="1"/>
  <c r="C4" i="5" a="1"/>
  <c r="C4" i="5" s="1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H4" i="3" a="1"/>
  <c r="H4" i="3" s="1"/>
  <c r="G4" i="3" a="1"/>
  <c r="G4" i="3" s="1"/>
  <c r="D4" i="3" a="1"/>
  <c r="D4" i="3" s="1"/>
  <c r="C4" i="3" a="1"/>
  <c r="C4" i="3" s="1"/>
  <c r="C4" i="4" a="1"/>
  <c r="E4" i="4" a="1"/>
  <c r="E4" i="4" s="1"/>
  <c r="D4" i="4" a="1"/>
  <c r="D4" i="4" s="1"/>
  <c r="G4" i="5" a="1"/>
  <c r="G4" i="5" s="1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I14" i="3" a="1"/>
  <c r="I14" i="3" s="1"/>
  <c r="I15" i="3" a="1"/>
  <c r="I15" i="3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H4" i="5" a="1"/>
  <c r="H4" i="5" s="1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A33" i="1" a="1"/>
  <c r="A33" i="1" s="1"/>
  <c r="E15" i="1" a="1"/>
  <c r="E15" i="1" s="1"/>
  <c r="D49" i="1" a="1"/>
  <c r="D49" i="1" s="1"/>
  <c r="E49" i="1" s="1" a="1"/>
  <c r="E49" i="1" s="1"/>
  <c r="F49" i="1" s="1" a="1"/>
  <c r="F49" i="1" s="1"/>
  <c r="A43" i="1" a="1"/>
  <c r="A43" i="1" s="1"/>
  <c r="C49" i="1" a="1"/>
  <c r="C49" i="1" s="1"/>
  <c r="A14" i="1" a="1"/>
  <c r="A14" i="1" s="1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N15" i="4" a="1"/>
  <c r="N15" i="4" s="1"/>
  <c r="N16" i="4" a="1"/>
  <c r="N16" i="4" s="1"/>
  <c r="N17" i="4" a="1"/>
  <c r="N17" i="4" s="1"/>
  <c r="N18" i="4" a="1"/>
  <c r="N18" i="4" s="1"/>
  <c r="N19" i="4" a="1"/>
  <c r="N19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N28" i="4" a="1"/>
  <c r="N28" i="4" s="1"/>
  <c r="N29" i="4" a="1"/>
  <c r="N29" i="4" s="1"/>
  <c r="N30" i="4" a="1"/>
  <c r="N30" i="4" s="1"/>
  <c r="N31" i="4" a="1"/>
  <c r="N31" i="4" s="1"/>
  <c r="N32" i="4" a="1"/>
  <c r="N32" i="4" s="1"/>
  <c r="N33" i="4" a="1"/>
  <c r="N33" i="4" s="1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G30" i="1"/>
  <c r="B33" i="1" a="1"/>
  <c r="B33" i="1" s="1"/>
  <c r="G33" i="1" s="1" a="1"/>
  <c r="G33" i="1" s="1"/>
  <c r="H33" i="1" s="1"/>
  <c r="C33" i="1" a="1"/>
  <c r="C33" i="1" s="1"/>
  <c r="A2" i="1" a="1"/>
  <c r="A2" i="1" s="1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B30" i="1" a="1"/>
  <c r="B30" i="1" s="1"/>
  <c r="E30" i="1" s="1" a="1"/>
  <c r="E30" i="1" s="1"/>
  <c r="F2" i="1" a="1"/>
  <c r="F2" i="1" s="1"/>
  <c r="D2" i="1" a="1"/>
  <c r="D2" i="1" s="1"/>
  <c r="E2" i="1" a="1"/>
  <c r="E2" i="1" s="1"/>
  <c r="C2" i="1" a="1"/>
  <c r="C2" i="1" s="1"/>
  <c r="B2" i="1" a="1"/>
  <c r="B2" i="1" s="1"/>
  <c r="K12" i="4" l="1" a="1"/>
  <c r="K12" i="4" s="1"/>
  <c r="L12" i="4" s="1"/>
  <c r="M12" i="4" s="1"/>
  <c r="K14" i="4" a="1"/>
  <c r="K14" i="4" s="1"/>
  <c r="L14" i="4" s="1"/>
  <c r="M14" i="4" s="1"/>
  <c r="N14" i="4" a="1"/>
  <c r="N14" i="4" s="1"/>
  <c r="O14" i="4" s="1"/>
  <c r="N13" i="4" a="1"/>
  <c r="N13" i="4" s="1"/>
  <c r="O13" i="4" s="1"/>
  <c r="H14" i="4" a="1"/>
  <c r="H14" i="4" s="1"/>
  <c r="I14" i="4" s="1"/>
  <c r="J14" i="4" s="1"/>
  <c r="K13" i="4" a="1"/>
  <c r="K13" i="4" s="1"/>
  <c r="L13" i="4" s="1"/>
  <c r="M13" i="4" s="1"/>
  <c r="H13" i="4" a="1"/>
  <c r="H13" i="4" s="1"/>
  <c r="I13" i="4" s="1"/>
  <c r="J13" i="4" s="1"/>
  <c r="H12" i="4" a="1"/>
  <c r="H12" i="4" s="1"/>
  <c r="I12" i="4" s="1"/>
  <c r="J12" i="4" s="1"/>
  <c r="L16" i="5"/>
  <c r="L14" i="5"/>
  <c r="L15" i="5"/>
  <c r="K16" i="5"/>
  <c r="N12" i="4" a="1"/>
  <c r="N12" i="4" s="1"/>
  <c r="O12" i="4" s="1"/>
  <c r="K15" i="5"/>
  <c r="I15" i="5" a="1"/>
  <c r="I15" i="5" s="1"/>
  <c r="J15" i="5" s="1"/>
  <c r="I16" i="5" a="1"/>
  <c r="I16" i="5" s="1"/>
  <c r="J16" i="5" s="1"/>
  <c r="I14" i="5" a="1"/>
  <c r="I14" i="5" s="1"/>
  <c r="J14" i="5" s="1"/>
  <c r="I13" i="5" a="1"/>
  <c r="I13" i="5" s="1"/>
  <c r="J13" i="5" s="1"/>
  <c r="K14" i="5"/>
  <c r="L13" i="3"/>
  <c r="K13" i="3"/>
  <c r="I13" i="3" a="1"/>
  <c r="I13" i="3" s="1"/>
  <c r="J13" i="3" s="1"/>
  <c r="C4" i="4"/>
  <c r="K4" i="4" s="1" a="1"/>
  <c r="K4" i="4" s="1"/>
  <c r="L4" i="4" s="1"/>
  <c r="H8" i="4" a="1"/>
  <c r="H8" i="4" s="1"/>
  <c r="I8" i="4" s="1"/>
  <c r="J8" i="4" s="1"/>
  <c r="K8" i="4" a="1"/>
  <c r="K8" i="4" s="1"/>
  <c r="K9" i="4" a="1"/>
  <c r="K9" i="4" s="1"/>
  <c r="L9" i="4" s="1"/>
  <c r="M9" i="4" s="1"/>
  <c r="L11" i="3"/>
  <c r="I4" i="5" a="1"/>
  <c r="I4" i="5" s="1"/>
  <c r="J4" i="5" s="1"/>
  <c r="I4" i="3" a="1"/>
  <c r="I4" i="3" s="1"/>
  <c r="J4" i="3" s="1"/>
  <c r="H10" i="4" a="1"/>
  <c r="H10" i="4" s="1"/>
  <c r="I10" i="4" s="1"/>
  <c r="J10" i="4" s="1"/>
  <c r="I11" i="5" a="1"/>
  <c r="I11" i="5" s="1"/>
  <c r="J11" i="5" s="1"/>
  <c r="I8" i="5" a="1"/>
  <c r="I8" i="5" s="1"/>
  <c r="J8" i="5" s="1"/>
  <c r="G24" i="1"/>
  <c r="I8" i="3" a="1"/>
  <c r="I8" i="3" s="1"/>
  <c r="J8" i="3" s="1"/>
  <c r="K11" i="3"/>
  <c r="K10" i="3"/>
  <c r="N6" i="4" a="1"/>
  <c r="N6" i="4" s="1"/>
  <c r="O6" i="4" s="1"/>
  <c r="I7" i="5" a="1"/>
  <c r="I7" i="5" s="1"/>
  <c r="J7" i="5" s="1"/>
  <c r="I7" i="3" a="1"/>
  <c r="I7" i="3" s="1"/>
  <c r="J7" i="3" s="1"/>
  <c r="N7" i="4" a="1"/>
  <c r="N7" i="4" s="1"/>
  <c r="O7" i="4" s="1"/>
  <c r="N5" i="4" a="1"/>
  <c r="N5" i="4" s="1"/>
  <c r="O5" i="4" s="1"/>
  <c r="H7" i="4" a="1"/>
  <c r="H7" i="4" s="1"/>
  <c r="I7" i="4" s="1"/>
  <c r="J7" i="4" s="1"/>
  <c r="I6" i="5" a="1"/>
  <c r="I6" i="5" s="1"/>
  <c r="J6" i="5" s="1"/>
  <c r="H6" i="4" a="1"/>
  <c r="H6" i="4" s="1"/>
  <c r="I6" i="4" s="1"/>
  <c r="J6" i="4" s="1"/>
  <c r="I5" i="5" a="1"/>
  <c r="I5" i="5" s="1"/>
  <c r="J5" i="5" s="1"/>
  <c r="K5" i="4" a="1"/>
  <c r="K5" i="4" s="1"/>
  <c r="L5" i="4" s="1"/>
  <c r="M5" i="4" s="1"/>
  <c r="H5" i="4" a="1"/>
  <c r="H5" i="4" s="1"/>
  <c r="I5" i="4" s="1"/>
  <c r="J5" i="4" s="1"/>
  <c r="I12" i="3" a="1"/>
  <c r="I12" i="3" s="1"/>
  <c r="J12" i="3" s="1"/>
  <c r="L7" i="3"/>
  <c r="L6" i="3"/>
  <c r="L5" i="3"/>
  <c r="L8" i="3"/>
  <c r="K7" i="3"/>
  <c r="K12" i="3"/>
  <c r="I12" i="5" a="1"/>
  <c r="I12" i="5" s="1"/>
  <c r="J12" i="5" s="1"/>
  <c r="I10" i="3" a="1"/>
  <c r="I10" i="3" s="1"/>
  <c r="J10" i="3" s="1"/>
  <c r="K9" i="3"/>
  <c r="I9" i="3" a="1"/>
  <c r="I9" i="3" s="1"/>
  <c r="J9" i="3" s="1"/>
  <c r="K8" i="3"/>
  <c r="K10" i="4" a="1"/>
  <c r="K10" i="4" s="1"/>
  <c r="L10" i="4" s="1"/>
  <c r="M10" i="4" s="1"/>
  <c r="I6" i="3" a="1"/>
  <c r="I6" i="3" s="1"/>
  <c r="J6" i="3" s="1"/>
  <c r="K6" i="3"/>
  <c r="L10" i="3"/>
  <c r="I5" i="3" a="1"/>
  <c r="I5" i="3" s="1"/>
  <c r="J5" i="3" s="1"/>
  <c r="K5" i="3"/>
  <c r="I33" i="1"/>
  <c r="J33" i="1" s="1"/>
  <c r="K7" i="4" a="1"/>
  <c r="K7" i="4" s="1"/>
  <c r="L7" i="4" s="1"/>
  <c r="M7" i="4" s="1"/>
  <c r="K11" i="4" a="1"/>
  <c r="K11" i="4" s="1"/>
  <c r="L11" i="4" s="1"/>
  <c r="M11" i="4" s="1"/>
  <c r="L12" i="3"/>
  <c r="K6" i="4" a="1"/>
  <c r="K6" i="4" s="1"/>
  <c r="L6" i="4" s="1"/>
  <c r="M6" i="4" s="1"/>
  <c r="H11" i="4" a="1"/>
  <c r="H11" i="4" s="1"/>
  <c r="I11" i="4" s="1"/>
  <c r="J11" i="4" s="1"/>
  <c r="L9" i="3"/>
  <c r="H9" i="4" a="1"/>
  <c r="H9" i="4" s="1"/>
  <c r="I9" i="4" s="1"/>
  <c r="J9" i="4" s="1"/>
  <c r="I10" i="5" a="1"/>
  <c r="I10" i="5" s="1"/>
  <c r="J10" i="5" s="1"/>
  <c r="I9" i="5" a="1"/>
  <c r="I9" i="5" s="1"/>
  <c r="J9" i="5" s="1"/>
  <c r="I11" i="3" a="1"/>
  <c r="I11" i="3" s="1"/>
  <c r="J11" i="3" s="1"/>
  <c r="K4" i="5"/>
  <c r="K8" i="5"/>
  <c r="L11" i="5"/>
  <c r="L6" i="5"/>
  <c r="L4" i="5"/>
  <c r="K11" i="5"/>
  <c r="K5" i="5"/>
  <c r="L8" i="5"/>
  <c r="L5" i="5"/>
  <c r="K12" i="5"/>
  <c r="K9" i="5"/>
  <c r="L12" i="5"/>
  <c r="K6" i="5"/>
  <c r="L9" i="5"/>
  <c r="K13" i="5"/>
  <c r="K10" i="5"/>
  <c r="L13" i="5"/>
  <c r="K7" i="5"/>
  <c r="L10" i="5"/>
  <c r="L7" i="5"/>
  <c r="N11" i="4" a="1"/>
  <c r="N11" i="4" s="1"/>
  <c r="O11" i="4" s="1"/>
  <c r="N10" i="4" a="1"/>
  <c r="N10" i="4" s="1"/>
  <c r="O10" i="4" s="1"/>
  <c r="N9" i="4" a="1"/>
  <c r="N9" i="4" s="1"/>
  <c r="O9" i="4" s="1"/>
  <c r="N8" i="4" a="1"/>
  <c r="N8" i="4" s="1"/>
  <c r="O8" i="4" s="1"/>
  <c r="E397" i="1" a="1"/>
  <c r="E397" i="1" s="1"/>
  <c r="F397" i="1" s="1" a="1"/>
  <c r="F397" i="1" s="1"/>
  <c r="B23" i="1" a="1"/>
  <c r="B23" i="1" s="1"/>
  <c r="C23" i="1" s="1" a="1"/>
  <c r="C23" i="1" s="1"/>
  <c r="L4" i="3"/>
  <c r="F30" i="1" a="1"/>
  <c r="F30" i="1" s="1"/>
  <c r="I30" i="1" s="1"/>
  <c r="K4" i="3"/>
  <c r="G36" i="1" a="1"/>
  <c r="G36" i="1" s="1"/>
  <c r="H36" i="1" s="1"/>
  <c r="I36" i="1" s="1"/>
  <c r="J36" i="1" s="1"/>
  <c r="G34" i="1" a="1"/>
  <c r="G34" i="1" s="1"/>
  <c r="G35" i="1" a="1"/>
  <c r="G35" i="1" s="1"/>
  <c r="H35" i="1" s="1"/>
  <c r="I35" i="1" s="1"/>
  <c r="J35" i="1" s="1"/>
  <c r="G2" i="1" a="1"/>
  <c r="G2" i="1" s="1"/>
  <c r="H2" i="1" s="1"/>
  <c r="I4" i="1"/>
  <c r="I3" i="1"/>
  <c r="I10" i="1"/>
  <c r="I9" i="1"/>
  <c r="I8" i="1"/>
  <c r="I7" i="1"/>
  <c r="I6" i="1"/>
  <c r="I5" i="1"/>
  <c r="I2" i="1"/>
  <c r="G10" i="1" a="1"/>
  <c r="G10" i="1" s="1"/>
  <c r="H10" i="1" s="1"/>
  <c r="G9" i="1" a="1"/>
  <c r="G9" i="1" s="1"/>
  <c r="H9" i="1" s="1"/>
  <c r="G8" i="1" a="1"/>
  <c r="G8" i="1" s="1"/>
  <c r="H8" i="1" s="1"/>
  <c r="G7" i="1" a="1"/>
  <c r="G7" i="1" s="1"/>
  <c r="H7" i="1" s="1"/>
  <c r="G6" i="1" a="1"/>
  <c r="G6" i="1" s="1"/>
  <c r="H6" i="1" s="1"/>
  <c r="G5" i="1" a="1"/>
  <c r="G5" i="1" s="1"/>
  <c r="H5" i="1" s="1"/>
  <c r="G3" i="1" a="1"/>
  <c r="G3" i="1" s="1"/>
  <c r="H3" i="1" s="1"/>
  <c r="G4" i="1" a="1"/>
  <c r="G4" i="1" s="1"/>
  <c r="H4" i="1" s="1"/>
  <c r="J2" i="1"/>
  <c r="H4" i="4" l="1" a="1"/>
  <c r="H4" i="4" s="1"/>
  <c r="I4" i="4" s="1"/>
  <c r="J4" i="4" s="1"/>
  <c r="N4" i="4" a="1"/>
  <c r="N4" i="4" s="1"/>
  <c r="O4" i="4" s="1"/>
  <c r="L8" i="4"/>
  <c r="M8" i="4" s="1"/>
  <c r="J39" i="1"/>
  <c r="H39" i="1"/>
  <c r="I39" i="1"/>
  <c r="G39" i="1"/>
  <c r="H40" i="1"/>
  <c r="F42" i="1"/>
  <c r="H34" i="1"/>
  <c r="I34" i="1" s="1"/>
  <c r="J34" i="1" s="1"/>
  <c r="E39" i="1"/>
  <c r="D41" i="1" s="1"/>
  <c r="D42" i="1" s="1"/>
  <c r="M4" i="4"/>
  <c r="H30" i="1"/>
  <c r="J30" i="1"/>
  <c r="J4" i="1"/>
  <c r="J10" i="1"/>
  <c r="J7" i="1"/>
  <c r="J9" i="1"/>
  <c r="J3" i="1"/>
  <c r="J6" i="1"/>
  <c r="J8" i="1"/>
  <c r="J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sharedStrings.xml><?xml version="1.0" encoding="utf-8"?>
<sst xmlns="http://schemas.openxmlformats.org/spreadsheetml/2006/main" count="77" uniqueCount="49">
  <si>
    <t>kiedy się skończy</t>
  </si>
  <si>
    <t>ID</t>
  </si>
  <si>
    <t>informacje</t>
  </si>
  <si>
    <t>cena rynkowa</t>
  </si>
  <si>
    <t>ilosc jaka została</t>
  </si>
  <si>
    <t>ilość</t>
  </si>
  <si>
    <t>cena całkowita</t>
  </si>
  <si>
    <t>różnica (100% = sprzedany)</t>
  </si>
  <si>
    <t>ilość do sprzedania (%)</t>
  </si>
  <si>
    <t>cena na zleceniu</t>
  </si>
  <si>
    <t>przedmiot</t>
  </si>
  <si>
    <t>cena po jakiej chcę kupić</t>
  </si>
  <si>
    <t>cena po jakiej chce sprzedać</t>
  </si>
  <si>
    <t>cena sprzedaży aktualna</t>
  </si>
  <si>
    <t>cena kupna aktualna</t>
  </si>
  <si>
    <t>zysk na moich cenach (%)</t>
  </si>
  <si>
    <t>zysk na cenach rynkowych(%)</t>
  </si>
  <si>
    <t>broker</t>
  </si>
  <si>
    <t>sales</t>
  </si>
  <si>
    <t>Nazwa</t>
  </si>
  <si>
    <t>lp.</t>
  </si>
  <si>
    <t>Zlecenia Sprzedaży</t>
  </si>
  <si>
    <t>nazwa</t>
  </si>
  <si>
    <t>cena po której zostało zakupione/wyprodukowane</t>
  </si>
  <si>
    <t>zysk przy aktualnych cenach</t>
  </si>
  <si>
    <t>kupione przy pomocy brokera?</t>
  </si>
  <si>
    <t>sprzedaż z brokerem?</t>
  </si>
  <si>
    <t>sprz z broker</t>
  </si>
  <si>
    <t>kupione z broker</t>
  </si>
  <si>
    <t>obydwa</t>
  </si>
  <si>
    <t>bez brokera</t>
  </si>
  <si>
    <t>zysk przy aktualnych cenach(%)</t>
  </si>
  <si>
    <t>zysk*ilość</t>
  </si>
  <si>
    <t>Towary na sprzedaż</t>
  </si>
  <si>
    <t>zysk(%)</t>
  </si>
  <si>
    <t>zysk całkowity</t>
  </si>
  <si>
    <t>cena rynkowa kupna</t>
  </si>
  <si>
    <t>cena rynkowa sprzedaży</t>
  </si>
  <si>
    <t>zysk z br(%)</t>
  </si>
  <si>
    <t>zysk z br całkowity</t>
  </si>
  <si>
    <t>średnia ilość sprzedaży</t>
  </si>
  <si>
    <t>d</t>
  </si>
  <si>
    <t>średni czas sprzedaży(h)</t>
  </si>
  <si>
    <t>cena po której zostało zakupione</t>
  </si>
  <si>
    <t>towary-</t>
  </si>
  <si>
    <t>różnica (100% = kupiony)</t>
  </si>
  <si>
    <t>ilość do kupienia(%)</t>
  </si>
  <si>
    <t>shattered villard wheel</t>
  </si>
  <si>
    <t>Zlecenia Kupna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</si>
</sst>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5"/>
      <color theme="0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9" applyNumberFormat="0" applyAlignment="0" applyProtection="0"/>
    <xf numFmtId="0" fontId="8" fillId="8" borderId="0" applyNumberFormat="0" applyBorder="0" applyAlignment="0" applyProtection="0"/>
  </cellStyleXfs>
  <cellXfs count="63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0" fontId="1" fillId="2" borderId="0" xfId="1"/>
    <xf numFmtId="4" fontId="1" fillId="2" borderId="0" xfId="1" applyNumberFormat="1"/>
    <xf numFmtId="0" fontId="2" fillId="5" borderId="3" xfId="4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4" fontId="2" fillId="5" borderId="4" xfId="4" applyNumberFormat="1" applyBorder="1" applyAlignment="1">
      <alignment horizontal="center" vertical="center"/>
    </xf>
    <xf numFmtId="14" fontId="2" fillId="4" borderId="4" xfId="3" applyNumberFormat="1" applyBorder="1" applyAlignment="1">
      <alignment horizontal="center" vertical="center"/>
    </xf>
    <xf numFmtId="10" fontId="2" fillId="5" borderId="4" xfId="4" applyNumberFormat="1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4" fontId="2" fillId="5" borderId="1" xfId="4" applyNumberFormat="1" applyBorder="1" applyAlignment="1">
      <alignment horizontal="center" vertical="center"/>
    </xf>
    <xf numFmtId="14" fontId="2" fillId="4" borderId="1" xfId="3" applyNumberFormat="1" applyBorder="1" applyAlignment="1">
      <alignment horizontal="center" vertical="center"/>
    </xf>
    <xf numFmtId="4" fontId="2" fillId="4" borderId="1" xfId="3" applyNumberFormat="1" applyBorder="1" applyAlignment="1">
      <alignment horizontal="center" vertical="center"/>
    </xf>
    <xf numFmtId="10" fontId="2" fillId="5" borderId="1" xfId="4" applyNumberFormat="1" applyBorder="1" applyAlignment="1">
      <alignment horizontal="center" vertical="center"/>
    </xf>
    <xf numFmtId="10" fontId="2" fillId="4" borderId="1" xfId="3" applyNumberFormat="1" applyBorder="1" applyAlignment="1">
      <alignment horizontal="center" vertical="center"/>
    </xf>
    <xf numFmtId="4" fontId="2" fillId="5" borderId="6" xfId="4" applyNumberFormat="1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4" borderId="8" xfId="3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4" fontId="2" fillId="5" borderId="8" xfId="4" applyNumberFormat="1" applyBorder="1" applyAlignment="1">
      <alignment horizontal="center" vertical="center"/>
    </xf>
    <xf numFmtId="14" fontId="2" fillId="4" borderId="8" xfId="3" applyNumberFormat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4" fontId="4" fillId="6" borderId="2" xfId="5" applyNumberFormat="1" applyFont="1" applyBorder="1" applyAlignment="1">
      <alignment horizontal="center" vertical="center"/>
    </xf>
    <xf numFmtId="4" fontId="2" fillId="4" borderId="8" xfId="3" applyNumberFormat="1" applyBorder="1" applyAlignment="1">
      <alignment horizontal="center" vertical="center"/>
    </xf>
    <xf numFmtId="10" fontId="2" fillId="5" borderId="8" xfId="4" applyNumberFormat="1" applyBorder="1" applyAlignment="1">
      <alignment horizontal="center" vertical="center"/>
    </xf>
    <xf numFmtId="0" fontId="1" fillId="2" borderId="0" xfId="1" applyNumberFormat="1"/>
    <xf numFmtId="0" fontId="7" fillId="6" borderId="2" xfId="5" applyFont="1" applyBorder="1" applyAlignment="1">
      <alignment horizontal="center" vertical="center"/>
    </xf>
    <xf numFmtId="4" fontId="7" fillId="6" borderId="2" xfId="5" applyNumberFormat="1" applyFont="1" applyBorder="1" applyAlignment="1">
      <alignment horizontal="center" vertical="center"/>
    </xf>
    <xf numFmtId="14" fontId="7" fillId="6" borderId="2" xfId="5" applyNumberFormat="1" applyFont="1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5" borderId="11" xfId="4" applyBorder="1" applyAlignment="1">
      <alignment horizontal="center" vertical="center"/>
    </xf>
    <xf numFmtId="0" fontId="2" fillId="4" borderId="11" xfId="3" applyNumberFormat="1" applyBorder="1" applyAlignment="1">
      <alignment horizontal="center" vertical="center"/>
    </xf>
    <xf numFmtId="4" fontId="2" fillId="5" borderId="11" xfId="4" applyNumberFormat="1" applyBorder="1" applyAlignment="1">
      <alignment horizontal="center" vertical="center"/>
    </xf>
    <xf numFmtId="4" fontId="2" fillId="4" borderId="11" xfId="3" applyNumberFormat="1" applyBorder="1" applyAlignment="1">
      <alignment horizontal="center" vertical="center"/>
    </xf>
    <xf numFmtId="10" fontId="2" fillId="5" borderId="11" xfId="4" applyNumberFormat="1" applyBorder="1" applyAlignment="1">
      <alignment horizontal="center" vertical="center"/>
    </xf>
    <xf numFmtId="0" fontId="2" fillId="6" borderId="2" xfId="5" applyBorder="1" applyAlignment="1">
      <alignment horizontal="center" vertical="center"/>
    </xf>
    <xf numFmtId="0" fontId="2" fillId="5" borderId="10" xfId="4" applyBorder="1" applyAlignment="1">
      <alignment horizontal="center" vertical="center"/>
    </xf>
    <xf numFmtId="0" fontId="4" fillId="6" borderId="2" xfId="5" applyNumberFormat="1" applyFont="1" applyBorder="1" applyAlignment="1">
      <alignment horizontal="center" vertical="center"/>
    </xf>
    <xf numFmtId="10" fontId="2" fillId="4" borderId="11" xfId="3" applyNumberFormat="1" applyBorder="1" applyAlignment="1">
      <alignment horizontal="center" vertical="center"/>
    </xf>
    <xf numFmtId="10" fontId="4" fillId="6" borderId="2" xfId="5" applyNumberFormat="1" applyFont="1" applyBorder="1" applyAlignment="1">
      <alignment horizontal="center" vertical="center"/>
    </xf>
    <xf numFmtId="4" fontId="5" fillId="7" borderId="1" xfId="6" applyNumberFormat="1" applyBorder="1" applyAlignment="1">
      <alignment horizontal="center" vertical="center"/>
    </xf>
    <xf numFmtId="0" fontId="5" fillId="7" borderId="1" xfId="6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4" fontId="5" fillId="7" borderId="11" xfId="6" applyNumberFormat="1" applyBorder="1" applyAlignment="1">
      <alignment horizontal="center" vertical="center"/>
    </xf>
    <xf numFmtId="2" fontId="2" fillId="5" borderId="12" xfId="4" applyNumberFormat="1" applyBorder="1" applyAlignment="1">
      <alignment horizontal="center" vertical="center"/>
    </xf>
    <xf numFmtId="4" fontId="0" fillId="0" borderId="0" xfId="0" applyNumberFormat="1" applyAlignment="1">
      <alignment horizontal="right"/>
    </xf>
    <xf numFmtId="0" fontId="8" fillId="8" borderId="0" xfId="7"/>
    <xf numFmtId="4" fontId="2" fillId="4" borderId="4" xfId="3" applyNumberFormat="1" applyBorder="1" applyAlignment="1">
      <alignment horizontal="center" vertical="center"/>
    </xf>
    <xf numFmtId="10" fontId="2" fillId="4" borderId="4" xfId="3" applyNumberFormat="1" applyBorder="1" applyAlignment="1">
      <alignment horizontal="center" vertical="center"/>
    </xf>
    <xf numFmtId="4" fontId="2" fillId="5" borderId="13" xfId="4" applyNumberFormat="1" applyBorder="1" applyAlignment="1">
      <alignment horizontal="center" vertical="center"/>
    </xf>
    <xf numFmtId="10" fontId="2" fillId="4" borderId="8" xfId="3" applyNumberFormat="1" applyBorder="1" applyAlignment="1">
      <alignment horizontal="center" vertical="center"/>
    </xf>
    <xf numFmtId="4" fontId="2" fillId="5" borderId="14" xfId="4" applyNumberForma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2" xfId="2" applyFont="1" applyBorder="1" applyAlignment="1">
      <alignment horizontal="center"/>
    </xf>
  </cellXfs>
  <cellStyles count="8">
    <cellStyle name="20% — akcent 1" xfId="3" builtinId="30"/>
    <cellStyle name="40% — akcent 1" xfId="4" builtinId="31"/>
    <cellStyle name="60% — akcent 1" xfId="5" builtinId="32"/>
    <cellStyle name="Akcent 1" xfId="2" builtinId="29"/>
    <cellStyle name="Dane wejściowe" xfId="6" builtinId="20"/>
    <cellStyle name="Dobry" xfId="7" builtinId="26"/>
    <cellStyle name="Neutralny" xfId="1" builtinId="28"/>
    <cellStyle name="Normalny" xfId="0" builtinId="0"/>
  </cellStyles>
  <dxfs count="28"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">
  <rv s="0">
    <fb>34203</fb>
    <v>0</v>
  </rv>
  <rv s="0">
    <fb>25625</fb>
    <v>0</v>
  </rv>
  <rv s="0">
    <fb>4247</fb>
    <v>0</v>
  </rv>
  <rv s="0">
    <fb>52568</fb>
    <v>0</v>
  </rv>
  <rv s="0">
    <fb>37</fb>
    <v>0</v>
  </rv>
  <rv s="0">
    <fb>33101</fb>
    <v>0</v>
  </rv>
  <rv s="0">
    <fb>4403</fb>
    <v>0</v>
  </rv>
  <rv s="0">
    <fb>52313</fb>
    <v>0</v>
  </rv>
  <rv s="0">
    <fb>24438</fb>
    <v>0</v>
  </rv>
  <rv s="0">
    <fb>28668</fb>
    <v>0</v>
  </rv>
  <rv s="1">
    <v>12</v>
    <v>min</v>
    <v>0</v>
  </rv>
  <rv s="2">
    <v>12</v>
    <v>1</v>
  </rv>
  <rv s="1">
    <v>12</v>
    <v>type</v>
    <v>0</v>
  </rv>
  <rv s="1">
    <v>12</v>
    <v>id</v>
    <v>0</v>
  </rv>
  <rv s="1">
    <v>12</v>
    <v>max</v>
    <v>0</v>
  </rv>
  <rv s="0">
    <fb>60753</fb>
    <v>0</v>
  </rv>
  <rv s="0">
    <fb>60752</fb>
    <v>0</v>
  </rv>
  <rv s="0">
    <fb>60751</fb>
    <v>0</v>
  </rv>
  <rv s="0">
    <fb>60750</fb>
    <v>0</v>
  </rv>
  <rv s="1">
    <v>12</v>
    <v>location</v>
    <v>0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field" t="s"/>
    <k n="subType" t="i"/>
  </s>
  <s t="_error">
    <k n="errorType" t="i"/>
    <k n="propagated" t="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##0</rpv>
    </rSty>
  </richStyles>
</richStyleSheet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B3FA15-6DC1-481D-B3DD-596A55210425}">
  <we:reference id="wa200005228" version="1.4.1.0" store="pl-PL" storeType="OMEX"/>
  <we:alternateReferences>
    <we:reference id="wa200005228" version="1.4.1.0" store="WA20000522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_xldudf_EVEONLINE_ALLIANCE</we:customFunctionIds>
        <we:customFunctionIds>_xldudf_EVEONLINE_CHARACTER</we:customFunctionIds>
        <we:customFunctionIds>_xldudf_EVEONLINE_ACTIVE_CHARACTER</we:customFunctionIds>
        <we:customFunctionIds>_xldudf_EVEONLINE_CHARACTER_LP</we:customFunctionIds>
        <we:customFunctionIds>_xldudf_EVEONLINE_CHARACTER_STANDINGS</we:customFunctionIds>
        <we:customFunctionIds>_xldudf_EVEONLINE_CHARACTER_CLONES</we:customFunctionIds>
        <we:customFunctionIds>_xldudf_EVEONLINE_CHARACTER_FITTINGS</we:customFunctionIds>
        <we:customFunctionIds>_xldudf_EVEONLINE_CHARACTER_PLANETS</we:customFunctionIds>
        <we:customFunctionIds>_xldudf_EVEONLINE_CHARACTER_PLANET</we:customFunctionIds>
        <we:customFunctionIds>_xldudf_EVEONLINE_CHARACTER_CORPORATION_ROLES</we:customFunctionIds>
        <we:customFunctionIds>_xldudf_EVEONLINE_CHARACTER_IMPLANTS</we:customFunctionIds>
        <we:customFunctionIds>_xldudf_EVEONLINE_CHARACTER_ASSETS</we:customFunctionIds>
        <we:customFunctionIds>_xldudf_EVEONLINE_CORPORATION_ASSETS</we:customFunctionIds>
        <we:customFunctionIds>_xldudf_EVEONLINE_CHARACTER_ORDERS</we:customFunctionIds>
        <we:customFunctionIds>_xldudf_EVEONLINE_CHARACTER_ORDERS_HISTORY</we:customFunctionIds>
        <we:customFunctionIds>_xldudf_EVEONLINE_CHARACTER_SKILLS</we:customFunctionIds>
        <we:customFunctionIds>_xldudf_EVEONLINE_CHARACTER_SKILL_QUEUE</we:customFunctionIds>
        <we:customFunctionIds>_xldudf_EVEONLINE_CHARACTER_ATTRIBUTES</we:customFunctionIds>
        <we:customFunctionIds>_xldudf_EVEONLINE_CORPORATION_CONTRACTS</we:customFunctionIds>
        <we:customFunctionIds>_xldudf_EVEONLINE_CHARACTER_CONTRACTS</we:customFunctionIds>
        <we:customFunctionIds>_xldudf_EVEONLINE_CHARACTER_WALLET_TRANSACTIONS</we:customFunctionIds>
        <we:customFunctionIds>_xldudf_EVEONLINE_CHARACTER_WALLET_JOURNAL</we:customFunctionIds>
        <we:customFunctionIds>_xldudf_EVEONLINE_CHARACTER_WALLET_BALANCE</we:customFunctionIds>
        <we:customFunctionIds>_xldudf_EVEONLINE_CHARACTER_INDUSTRY_JOBS</we:customFunctionIds>
        <we:customFunctionIds>_xldudf_EVEONLINE_CHARACTER_BLUEPRINTS</we:customFunctionIds>
        <we:customFunctionIds>_xldudf_EVEONLINE_BLUEPRINT</we:customFunctionIds>
        <we:customFunctionIds>_xldudf_EVEONLINE_BLUEPRINT_EXPLOSION</we:customFunctionIds>
        <we:customFunctionIds>_xldudf_EVEONLINE_CORPORATION</we:customFunctionIds>
        <we:customFunctionIds>_xldudf_EVEONLINE_CORPORATION_INDUSTRY_JOBS</we:customFunctionIds>
        <we:customFunctionIds>_xldudf_EVEONLINE_CORPORATION_BLUEPRINTS</we:customFunctionIds>
        <we:customFunctionIds>_xldudf_EVEONLINE_CORPORATION_MEMBERTRACKING</we:customFunctionIds>
        <we:customFunctionIds>_xldudf_EVEONLINE_CORPORATION_STRUCTURES</we:customFunctionIds>
        <we:customFunctionIds>_xldudf_EVEONLINE_CORPORATION_CUSTOMS_OFFICES</we:customFunctionIds>
        <we:customFunctionIds>_xldudf_EVEONLINE_CORPORATION_ORDERS</we:customFunctionIds>
        <we:customFunctionIds>_xldudf_EVEONLINE_CORPORATION_ORDERS_HISTORY</we:customFunctionIds>
        <we:customFunctionIds>_xldudf_EVEONLINE_CORPORATION_WALLET_TRANSACTIONS</we:customFunctionIds>
        <we:customFunctionIds>_xldudf_EVEONLINE_CORPORATION_WALLET_JOURNAL</we:customFunctionIds>
        <we:customFunctionIds>_xldudf_EVEONLINE_CORPORATION_WALLETS</we:customFunctionIds>
        <we:customFunctionIds>_xldudf_EVEONLINE_CATEGORY</we:customFunctionIds>
        <we:customFunctionIds>_xldudf_EVEONLINE_GROUP</we:customFunctionIds>
        <we:customFunctionIds>_xldudf_EVEONLINE_CONSTELLATION</we:customFunctionIds>
        <we:customFunctionIds>_xldudf_EVEONLINE_REGION</we:customFunctionIds>
        <we:customFunctionIds>_xldudf_EVEONLINE_SOLARSYSTEM</we:customFunctionIds>
        <we:customFunctionIds>_xldudf_EVEONLINE_INDUSTRYINDEX</we:customFunctionIds>
        <we:customFunctionIds>_xldudf_EVEONLINE_SEARCHSTATIONS</we:customFunctionIds>
        <we:customFunctionIds>_xldudf_EVEONLINE_SEARCHSOLARSYSTEM</we:customFunctionIds>
        <we:customFunctionIds>_xldudf_EVEONLINE_SEARCHREGION</we:customFunctionIds>
        <we:customFunctionIds>_xldudf_EVEONLINE_STATION</we:customFunctionIds>
        <we:customFunctionIds>_xldudf_EVEONLINE_SCHEMATIC</we:customFunctionIds>
        <we:customFunctionIds>_xldudf_EVEONLINE_STRUCTURE</we:customFunctionIds>
        <we:customFunctionIds>_xldudf_EVEONLINE_TYPE</we:customFunctionIds>
        <we:customFunctionIds>_xldudf_EVEONLINE_INVENTORYSEARCH</we:customFunctionIds>
        <we:customFunctionIds>_xldudf_EVEONLINE_CHARACTERSEARCH</we:customFunctionIds>
        <we:customFunctionIds>_xldudf_EVEONLINE_CORPORATIONSEARCH</we:customFunctionIds>
        <we:customFunctionIds>_xldudf_EVEONLINE_ALLIANCESEARCH</we:customFunctionIds>
        <we:customFunctionIds>_xldudf_EVEONLINE_STRUCTURESEARCH</we:customFunctionIds>
        <we:customFunctionIds>_xldudf_EVEONLINE_MARKET_ORDERS_STATS</we:customFunctionIds>
        <we:customFunctionIds>_xldudf_EVEONLINE_MARKET_ORDERS</we:customFunctionIds>
        <we:customFunctionIds>_xldudf_EVEONLINE_MARKET_HISTORY</we:customFunctionIds>
        <we:customFunctionIds>_xldudf_EVEONLINE_MARKET_ORDERS_STREAMING</we:customFunctionIds>
        <we:customFunctionIds>_xldudf_EVEONLINE_MARKET_STRUCTURE_ORDERS</we:customFunctionIds>
        <we:customFunctionIds>_xldudf_EVEONLINE_MARKET_STRUCTURE_ORDERS_STATS</we:customFunctionIds>
        <we:customFunctionIds>_xldudf_EVEONLINE_MARKET_STRUCTURE_ORDERS_STREAMING</we:customFunctionIds>
        <we:customFunctionIds>_xldudf_EVEONLINE_WARS</we:customFunctionIds>
        <we:customFunctionIds>_xldudf_EVEONLINE_WAR</we:customFunctionIds>
        <we:customFunctionIds>_xldudf_EVEONLINE_WAR_KILLMAILS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3751-654D-432B-8C43-4E527309C877}">
  <dimension ref="B1:Y66"/>
  <sheetViews>
    <sheetView tabSelected="1" workbookViewId="0">
      <selection activeCell="L18" sqref="L18"/>
    </sheetView>
  </sheetViews>
  <sheetFormatPr defaultRowHeight="15" x14ac:dyDescent="0.25"/>
  <cols>
    <col min="2" max="2" width="3.7109375" bestFit="1" customWidth="1"/>
    <col min="3" max="3" width="40.5703125" style="3" bestFit="1" customWidth="1"/>
    <col min="4" max="5" width="11" style="3" bestFit="1" customWidth="1"/>
    <col min="6" max="6" width="34.7109375" style="3" bestFit="1" customWidth="1"/>
    <col min="7" max="7" width="32.85546875" style="3" bestFit="1" customWidth="1"/>
    <col min="8" max="8" width="26" style="3" bestFit="1" customWidth="1"/>
    <col min="9" max="9" width="14.28515625" style="3" bestFit="1" customWidth="1"/>
    <col min="10" max="10" width="17.28515625" style="5" customWidth="1"/>
    <col min="11" max="11" width="22.140625" style="3" bestFit="1" customWidth="1"/>
    <col min="12" max="12" width="13" style="3" bestFit="1" customWidth="1"/>
    <col min="13" max="13" width="20.140625" style="3" bestFit="1" customWidth="1"/>
    <col min="14" max="14" width="24.42578125" bestFit="1" customWidth="1"/>
    <col min="15" max="15" width="25.85546875" bestFit="1" customWidth="1"/>
    <col min="16" max="16" width="19" bestFit="1" customWidth="1"/>
  </cols>
  <sheetData>
    <row r="1" spans="2:15" ht="15.75" thickBot="1" x14ac:dyDescent="0.3"/>
    <row r="2" spans="2:15" ht="20.25" thickBot="1" x14ac:dyDescent="0.3">
      <c r="B2" s="61" t="s">
        <v>33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2:15" ht="18" thickBot="1" x14ac:dyDescent="0.3">
      <c r="B3" s="30" t="s">
        <v>20</v>
      </c>
      <c r="C3" s="30" t="s">
        <v>22</v>
      </c>
      <c r="D3" s="30" t="s">
        <v>1</v>
      </c>
      <c r="E3" s="46" t="s">
        <v>5</v>
      </c>
      <c r="F3" s="31" t="s">
        <v>43</v>
      </c>
      <c r="G3" s="31" t="s">
        <v>25</v>
      </c>
      <c r="H3" s="31" t="s">
        <v>37</v>
      </c>
      <c r="I3" s="44" t="s">
        <v>34</v>
      </c>
      <c r="J3" s="31" t="s">
        <v>35</v>
      </c>
      <c r="K3" s="31" t="s">
        <v>36</v>
      </c>
      <c r="L3" s="48" t="s">
        <v>38</v>
      </c>
      <c r="M3" s="31" t="s">
        <v>39</v>
      </c>
      <c r="N3" s="31" t="s">
        <v>40</v>
      </c>
      <c r="O3" s="31" t="s">
        <v>42</v>
      </c>
    </row>
    <row r="4" spans="2:15" x14ac:dyDescent="0.25">
      <c r="B4" s="45">
        <v>1</v>
      </c>
      <c r="C4" s="38" t="str" cm="1">
        <f t="array" ref="C4:C11">_xlfn._xlws.FILTER(_FV(_FV(_xldudf_EVEONLINE_CHARACTER_ASSETS(2115962405,,60003760),"type"),"name"),_FV(_FV(_xldudf_EVEONLINE_CHARACTER_ASSETS(2115962405,,60003760),"location"),"id")=1043784763259,"")</f>
        <v>Augmentation Decryptor</v>
      </c>
      <c r="D4" s="39" cm="1" vm="1">
        <f t="array" ref="D4:D11">_xlfn._xlws.FILTER(_FV(_FV(_xldudf_EVEONLINE_CHARACTER_ASSETS(2115962405,,60003760),"type"),"id"),_FV(_FV(_xldudf_EVEONLINE_CHARACTER_ASSETS(2115962405,,60003760),"location"),"id")=1043784763259,"")</f>
        <v>34203</v>
      </c>
      <c r="E4" s="40" cm="1">
        <f t="array" ref="E4:E11">_xlfn._xlws.FILTER(_FV(_xldudf_EVEONLINE_CHARACTER_ASSETS(2115962405,,60003760),"quantity"),_FV(_FV(_xldudf_EVEONLINE_CHARACTER_ASSETS(2115962405,,60003760),"location"),"id")=1043784763259,"")</f>
        <v>205</v>
      </c>
      <c r="F4" s="52">
        <v>1001000</v>
      </c>
      <c r="G4" s="52" t="b">
        <v>0</v>
      </c>
      <c r="H4" s="42" cm="1">
        <f t="array" ref="H4">IF(C4&lt;&gt;"",_FV(_FV(_xldudf_EVEONLINE_MARKET_ORDERS_STATS(10000002, D4,60003760),"buy"),"max"),"")</f>
        <v>1039000</v>
      </c>
      <c r="I4" s="43">
        <f>IF(C4&lt;&gt;"",IF(G4=TRUE,(H4 - H4*0.036)/(F4*1.013076015)-100%,(H4 - H4*0.036)/F4-100%),"")</f>
        <v>5.9540459540463608E-4</v>
      </c>
      <c r="J4" s="42">
        <f>IF(C4&lt;&gt;"",E4*F4*I4,"")</f>
        <v>122180.00000000835</v>
      </c>
      <c r="K4" s="41" cm="1">
        <f t="array" ref="K4">IF(C4&lt;&gt;"",_FV(_FV(_xldudf_EVEONLINE_MARKET_ORDERS_STATS(10000002, D4,60003760),"sell"),"min"),"")</f>
        <v>1040000</v>
      </c>
      <c r="L4" s="47">
        <f>IF(C4&lt;&gt;"",IF(G4=TRUE,(K4 - K4*0.036-K4*0.013076015)/(F4*1.013076015)-100%,(K4 - K4*0.036-K4*0.013076015)/F4-100%),"")</f>
        <v>-1.2027028571428566E-2</v>
      </c>
      <c r="M4" s="41">
        <f>IF(C4&lt;&gt;"",E4*F4*L4,"")</f>
        <v>-2468006.3979999991</v>
      </c>
      <c r="N4" s="38" cm="1">
        <f t="array" ref="N4">IF(C4&lt;&gt;"",_FV(_xldudf_EVEONLINE_MARKET_HISTORY(10000002,D4,5),"average_volume"),"")</f>
        <v>4882.3999999999996</v>
      </c>
      <c r="O4" s="53">
        <f>IF(C4&lt;&gt;"",E4/N4*24,"")</f>
        <v>1.0077011305915125</v>
      </c>
    </row>
    <row r="5" spans="2:15" x14ac:dyDescent="0.25">
      <c r="B5" s="16">
        <v>2</v>
      </c>
      <c r="C5" s="38" t="str">
        <v>Enhanced Ward Console</v>
      </c>
      <c r="D5" s="18" vm="2">
        <v>25625</v>
      </c>
      <c r="E5" s="17">
        <v>17</v>
      </c>
      <c r="F5" s="52">
        <v>5000000</v>
      </c>
      <c r="G5" s="52" t="b">
        <v>0</v>
      </c>
      <c r="H5" s="42" cm="1">
        <f t="array" ref="H5">IF(C5&lt;&gt;"",_FV(_FV(_xldudf_EVEONLINE_MARKET_ORDERS_STATS(10000002, D5,60003760),"buy"),"max"),"")</f>
        <v>4780000</v>
      </c>
      <c r="I5" s="43">
        <f t="shared" ref="I5:I10" si="0">IF(C5&lt;&gt;"",IF(G5=TRUE,(H5 - H5*0.036)/(F5*1.013076015)-100%,(H5 - H5*0.036)/F5-100%),"")</f>
        <v>-7.8416000000000041E-2</v>
      </c>
      <c r="J5" s="42">
        <f t="shared" ref="J5:J33" si="1">IF(C5&lt;&gt;"",E5*F5*I5,"")</f>
        <v>-6665360.0000000037</v>
      </c>
      <c r="K5" s="41" cm="1">
        <f t="array" ref="K5">IF(C5&lt;&gt;"",_FV(_FV(_xldudf_EVEONLINE_MARKET_ORDERS_STATS(10000002, D5,60003760),"sell"),"min"),"")</f>
        <v>4900000</v>
      </c>
      <c r="L5" s="47">
        <f t="shared" ref="L5:L10" si="2">IF(C5&lt;&gt;"",IF(G5=TRUE,(K5 - K5*0.036-K5*0.013076015)/(F5*1.013076015)-100%,(K5 - K5*0.036-K5*0.013076015)/F5-100%),"")</f>
        <v>-6.8094494700000063E-2</v>
      </c>
      <c r="M5" s="41">
        <f t="shared" ref="M5:M33" si="3">IF(C5&lt;&gt;"",E5*F5*L5,"")</f>
        <v>-5788032.0495000053</v>
      </c>
      <c r="N5" s="38" cm="1">
        <f t="array" ref="N5">IF(C5&lt;&gt;"",_FV(_xldudf_EVEONLINE_MARKET_HISTORY(10000002,D5,5),"average_volume"),"")</f>
        <v>8769.6</v>
      </c>
      <c r="O5" s="53">
        <f t="shared" ref="O5:O33" si="4">IF(C5&lt;&gt;"",E5/N5*24,"")</f>
        <v>4.6524356869184449E-2</v>
      </c>
    </row>
    <row r="6" spans="2:15" x14ac:dyDescent="0.25">
      <c r="B6" s="16">
        <v>3</v>
      </c>
      <c r="C6" s="38" t="str">
        <v>Helium Fuel Block</v>
      </c>
      <c r="D6" s="18" vm="3">
        <v>4247</v>
      </c>
      <c r="E6" s="17">
        <v>50000</v>
      </c>
      <c r="F6" s="49">
        <v>16000</v>
      </c>
      <c r="G6" s="49" t="b">
        <v>1</v>
      </c>
      <c r="H6" s="42" cm="1">
        <f t="array" ref="H6">IF(C6&lt;&gt;"",_FV(_FV(_xldudf_EVEONLINE_MARKET_ORDERS_STATS(10000002, D6,60003760),"buy"),"max"),"")</f>
        <v>16210</v>
      </c>
      <c r="I6" s="43">
        <f t="shared" si="0"/>
        <v>-3.5953387959737571E-2</v>
      </c>
      <c r="J6" s="42">
        <f t="shared" si="1"/>
        <v>-28762710.367790058</v>
      </c>
      <c r="K6" s="41" cm="1">
        <f t="array" ref="K6">IF(C6&lt;&gt;"",_FV(_FV(_xldudf_EVEONLINE_MARKET_ORDERS_STATS(10000002, D6,60003760),"sell"),"min"),"")</f>
        <v>16300</v>
      </c>
      <c r="L6" s="47">
        <f t="shared" si="2"/>
        <v>-4.3750127951898921E-2</v>
      </c>
      <c r="M6" s="41">
        <f t="shared" si="3"/>
        <v>-35000102.361519136</v>
      </c>
      <c r="N6" s="38" cm="1">
        <f t="array" ref="N6">IF(C6&lt;&gt;"",_FV(_xldudf_EVEONLINE_MARKET_HISTORY(10000002,D6,5),"average_volume"),"")</f>
        <v>480178.4</v>
      </c>
      <c r="O6" s="53">
        <f t="shared" si="4"/>
        <v>2.4990711785453072</v>
      </c>
    </row>
    <row r="7" spans="2:15" x14ac:dyDescent="0.25">
      <c r="B7" s="16">
        <v>4</v>
      </c>
      <c r="C7" s="38" t="str">
        <v>HyperCore</v>
      </c>
      <c r="D7" s="18" vm="4">
        <v>52568</v>
      </c>
      <c r="E7" s="17">
        <v>34001</v>
      </c>
      <c r="F7" s="49">
        <v>250000</v>
      </c>
      <c r="G7" s="50" t="b">
        <v>0</v>
      </c>
      <c r="H7" s="42" cm="1">
        <f t="array" ref="H7">IF(C7&lt;&gt;"",_FV(_FV(_xldudf_EVEONLINE_MARKET_ORDERS_STATS(10000002, D7,60003760),"buy"),"max"),"")</f>
        <v>318000</v>
      </c>
      <c r="I7" s="43">
        <f t="shared" si="0"/>
        <v>0.22620799999999996</v>
      </c>
      <c r="J7" s="42">
        <f t="shared" si="1"/>
        <v>1922824551.9999998</v>
      </c>
      <c r="K7" s="41" cm="1">
        <f t="array" ref="K7">IF(C7&lt;&gt;"",_FV(_FV(_xldudf_EVEONLINE_MARKET_ORDERS_STATS(10000002, D7,60003760),"sell"),"min"),"")</f>
        <v>334700</v>
      </c>
      <c r="L7" s="47">
        <f t="shared" si="2"/>
        <v>0.27309703111799988</v>
      </c>
      <c r="M7" s="41">
        <f t="shared" si="3"/>
        <v>2321393038.7607784</v>
      </c>
      <c r="N7" s="38" cm="1">
        <f t="array" ref="N7">IF(C7&lt;&gt;"",_FV(_xldudf_EVEONLINE_MARKET_HISTORY(10000002,D7,5),"average_volume"),"")</f>
        <v>1217007</v>
      </c>
      <c r="O7" s="53">
        <f t="shared" si="4"/>
        <v>0.67051709645055446</v>
      </c>
    </row>
    <row r="8" spans="2:15" x14ac:dyDescent="0.25">
      <c r="B8" s="16">
        <v>5</v>
      </c>
      <c r="C8" s="38" t="str">
        <v>Isogen</v>
      </c>
      <c r="D8" s="18" vm="5">
        <v>37</v>
      </c>
      <c r="E8" s="17">
        <v>1056262</v>
      </c>
      <c r="F8" s="49">
        <v>414.4</v>
      </c>
      <c r="G8" s="50" t="b">
        <v>1</v>
      </c>
      <c r="H8" s="42" cm="1">
        <f t="array" ref="H8">IF(C8&lt;&gt;"",_FV(_FV(_xldudf_EVEONLINE_MARKET_ORDERS_STATS(10000002, D8,60003760),"buy"),"max"),"")</f>
        <v>429.9</v>
      </c>
      <c r="I8" s="43">
        <f t="shared" si="0"/>
        <v>-1.2851024997418636E-2</v>
      </c>
      <c r="J8" s="42">
        <f t="shared" si="1"/>
        <v>-5625086.0571972178</v>
      </c>
      <c r="K8" s="41" cm="1">
        <f t="array" ref="K8">IF(C8&lt;&gt;"",_FV(_FV(_xldudf_EVEONLINE_MARKET_ORDERS_STATS(10000002, D8,60003760),"sell"),"min"),"")</f>
        <v>451.9</v>
      </c>
      <c r="L8" s="47">
        <f>IF(C8&lt;&gt;"",IF(G8=TRUE,(K8 - K8*0.036-K8*0.013076015)/(F8*1.013076015)-100%,(K8 - K8*0.036-K8*0.013076015)/F8-100%),"")</f>
        <v>2.3590774281774696E-2</v>
      </c>
      <c r="M8" s="41">
        <f t="shared" si="3"/>
        <v>10326035.12307795</v>
      </c>
      <c r="N8" s="38" cm="1">
        <f t="array" ref="N8">IF(C8&lt;&gt;"",_FV(_xldudf_EVEONLINE_MARKET_HISTORY(10000002,D8,5),"average_volume"),"")</f>
        <v>202003106.40000001</v>
      </c>
      <c r="O8" s="53">
        <f t="shared" si="4"/>
        <v>0.12549454536507068</v>
      </c>
    </row>
    <row r="9" spans="2:15" x14ac:dyDescent="0.25">
      <c r="B9" s="16">
        <v>6</v>
      </c>
      <c r="C9" s="38" t="str">
        <v>Medium Ancillary Armor Repairer</v>
      </c>
      <c r="D9" s="18" vm="6">
        <v>33101</v>
      </c>
      <c r="E9" s="17">
        <v>370</v>
      </c>
      <c r="F9" s="49">
        <v>440000</v>
      </c>
      <c r="G9" s="50" t="b">
        <v>1</v>
      </c>
      <c r="H9" s="42" cm="1">
        <f t="array" ref="H9">IF(C9&lt;&gt;"",_FV(_FV(_xldudf_EVEONLINE_MARKET_ORDERS_STATS(10000002, D9,60003760),"buy"),"max"),"")</f>
        <v>341200</v>
      </c>
      <c r="I9" s="43">
        <f t="shared" si="0"/>
        <v>-0.26211047270901799</v>
      </c>
      <c r="J9" s="42">
        <f t="shared" si="1"/>
        <v>-42671584.957028128</v>
      </c>
      <c r="K9" s="41" cm="1">
        <f t="array" ref="K9">IF(C9&lt;&gt;"",_FV(_FV(_xldudf_EVEONLINE_MARKET_ORDERS_STATS(10000002, D9,60003760),"sell"),"min"),"")</f>
        <v>523100</v>
      </c>
      <c r="L9" s="47">
        <f t="shared" si="2"/>
        <v>0.11592706763717042</v>
      </c>
      <c r="M9" s="41">
        <f t="shared" si="3"/>
        <v>18872926.611331344</v>
      </c>
      <c r="N9" s="38" cm="1">
        <f t="array" ref="N9">IF(C9&lt;&gt;"",_FV(_xldudf_EVEONLINE_MARKET_HISTORY(10000002,D9,5),"average_volume"),"")</f>
        <v>454.2</v>
      </c>
      <c r="O9" s="53">
        <f t="shared" si="4"/>
        <v>19.550858652575958</v>
      </c>
    </row>
    <row r="10" spans="2:15" x14ac:dyDescent="0.25">
      <c r="B10" s="16">
        <v>7</v>
      </c>
      <c r="C10" s="38" t="str">
        <v>Reactive Armor Hardener</v>
      </c>
      <c r="D10" s="18" vm="7">
        <v>4403</v>
      </c>
      <c r="E10" s="17">
        <v>500</v>
      </c>
      <c r="F10" s="49">
        <v>866000</v>
      </c>
      <c r="G10" s="50" t="b">
        <v>1</v>
      </c>
      <c r="H10" s="42" cm="1">
        <f t="array" ref="H10">IF(C10&lt;&gt;"",_FV(_FV(_xldudf_EVEONLINE_MARKET_ORDERS_STATS(10000002, D10,60003760),"buy"),"max"),"")</f>
        <v>832400</v>
      </c>
      <c r="I10" s="43">
        <f t="shared" si="0"/>
        <v>-8.5362128002627879E-2</v>
      </c>
      <c r="J10" s="42">
        <f t="shared" si="1"/>
        <v>-36961801.42513787</v>
      </c>
      <c r="K10" s="41" cm="1">
        <f t="array" ref="K10">IF(C10&lt;&gt;"",_FV(_FV(_xldudf_EVEONLINE_MARKET_ORDERS_STATS(10000002, D10,60003760),"sell"),"min"),"")</f>
        <v>915000</v>
      </c>
      <c r="L10" s="47">
        <f t="shared" si="2"/>
        <v>-8.2391273052749847E-3</v>
      </c>
      <c r="M10" s="41">
        <f t="shared" si="3"/>
        <v>-3567542.1231840686</v>
      </c>
      <c r="N10" s="38" cm="1">
        <f t="array" ref="N10">IF(C10&lt;&gt;"",_FV(_xldudf_EVEONLINE_MARKET_HISTORY(10000002,D10,5),"average_volume"),"")</f>
        <v>1469.6</v>
      </c>
      <c r="O10" s="53">
        <f t="shared" si="4"/>
        <v>8.1654872074033769</v>
      </c>
    </row>
    <row r="11" spans="2:15" x14ac:dyDescent="0.25">
      <c r="B11" s="16">
        <v>8</v>
      </c>
      <c r="C11" s="38" t="str">
        <v>Trinary State Processor</v>
      </c>
      <c r="D11" s="18" vm="8">
        <v>52313</v>
      </c>
      <c r="E11" s="17">
        <v>22466</v>
      </c>
      <c r="F11" s="49">
        <v>17000</v>
      </c>
      <c r="G11" s="49" t="b">
        <v>1</v>
      </c>
      <c r="H11" s="42" cm="1">
        <f t="array" ref="H11">IF(C11&lt;&gt;"",_FV(_FV(_xldudf_EVEONLINE_MARKET_ORDERS_STATS(10000002, D11,60003760),"buy"),"max"),"")</f>
        <v>17340</v>
      </c>
      <c r="I11" s="43">
        <f t="shared" ref="I11:I33" si="5">IF(C11&lt;&gt;"",IF(G11=TRUE,(H11 - H11*0.036)/(F11*1.013076015)-100%,(H11 - H11*0.036)/F11-100%),"")</f>
        <v>-2.9411430691111629E-2</v>
      </c>
      <c r="J11" s="42">
        <f t="shared" si="1"/>
        <v>-11232872.432410736</v>
      </c>
      <c r="K11" s="41" cm="1">
        <f t="array" ref="K11">IF(C11&lt;&gt;"",_FV(_FV(_xldudf_EVEONLINE_MARKET_ORDERS_STATS(10000002, D11,60003760),"sell"),"min"),"")</f>
        <v>19310</v>
      </c>
      <c r="L11" s="47">
        <f t="shared" ref="L11:L33" si="6">IF(C11&lt;&gt;"",IF(G11=TRUE,(K11 - K11*0.036-K11*0.013076015)/(F11*1.013076015)-100%,(K11 - K11*0.036-K11*0.013076015)/F11-100%),"")</f>
        <v>6.6196176355038716E-2</v>
      </c>
      <c r="M11" s="41">
        <f t="shared" si="3"/>
        <v>25281776.065869097</v>
      </c>
      <c r="N11" s="38" cm="1">
        <f t="array" ref="N11">IF(C11&lt;&gt;"",_FV(_xldudf_EVEONLINE_MARKET_HISTORY(10000002,D11,5),"average_volume"),"")</f>
        <v>150995.6</v>
      </c>
      <c r="O11" s="53">
        <f t="shared" si="4"/>
        <v>3.5708590184084832</v>
      </c>
    </row>
    <row r="12" spans="2:15" x14ac:dyDescent="0.25">
      <c r="B12" s="16">
        <v>9</v>
      </c>
      <c r="C12" s="17"/>
      <c r="D12" s="18"/>
      <c r="E12" s="17"/>
      <c r="F12" s="49"/>
      <c r="G12" s="49"/>
      <c r="H12" s="42" t="str" cm="1">
        <f t="array" ref="H12">IF(C12&lt;&gt;"",_FV(_FV(_xldudf_EVEONLINE_MARKET_ORDERS_STATS(10000002, D12,60003760),"buy"),"max"),"")</f>
        <v/>
      </c>
      <c r="I12" s="43" t="str">
        <f t="shared" si="5"/>
        <v/>
      </c>
      <c r="J12" s="42" t="str">
        <f t="shared" si="1"/>
        <v/>
      </c>
      <c r="K12" s="41" t="str" cm="1">
        <f t="array" ref="K12">IF(C12&lt;&gt;"",_FV(_FV(_xldudf_EVEONLINE_MARKET_ORDERS_STATS(10000002, D12,60003760),"sell"),"min"),"")</f>
        <v/>
      </c>
      <c r="L12" s="47" t="str">
        <f t="shared" si="6"/>
        <v/>
      </c>
      <c r="M12" s="41" t="str">
        <f t="shared" si="3"/>
        <v/>
      </c>
      <c r="N12" s="38" t="str" cm="1">
        <f t="array" ref="N12">IF(C12&lt;&gt;"",_FV(_xldudf_EVEONLINE_MARKET_HISTORY(10000002,D12,5),"average_volume"),"")</f>
        <v/>
      </c>
      <c r="O12" s="53" t="str">
        <f t="shared" si="4"/>
        <v/>
      </c>
    </row>
    <row r="13" spans="2:15" x14ac:dyDescent="0.25">
      <c r="B13" s="16">
        <v>10</v>
      </c>
      <c r="C13" s="17"/>
      <c r="D13" s="18"/>
      <c r="E13" s="17"/>
      <c r="F13" s="49"/>
      <c r="G13" s="49"/>
      <c r="H13" s="42" t="str" cm="1">
        <f t="array" ref="H13">IF(C13&lt;&gt;"",_FV(_FV(_xldudf_EVEONLINE_MARKET_ORDERS_STATS(10000002, D13,60003760),"buy"),"max"),"")</f>
        <v/>
      </c>
      <c r="I13" s="43" t="str">
        <f t="shared" si="5"/>
        <v/>
      </c>
      <c r="J13" s="42" t="str">
        <f t="shared" si="1"/>
        <v/>
      </c>
      <c r="K13" s="41" t="str" cm="1">
        <f t="array" ref="K13">IF(C13&lt;&gt;"",_FV(_FV(_xldudf_EVEONLINE_MARKET_ORDERS_STATS(10000002, D13,60003760),"sell"),"min"),"")</f>
        <v/>
      </c>
      <c r="L13" s="47" t="str">
        <f t="shared" si="6"/>
        <v/>
      </c>
      <c r="M13" s="41" t="str">
        <f t="shared" si="3"/>
        <v/>
      </c>
      <c r="N13" s="38" t="str" cm="1">
        <f t="array" ref="N13">IF(C13&lt;&gt;"",_FV(_xldudf_EVEONLINE_MARKET_HISTORY(10000002,D13,5),"average_volume"),"")</f>
        <v/>
      </c>
      <c r="O13" s="53" t="str">
        <f t="shared" si="4"/>
        <v/>
      </c>
    </row>
    <row r="14" spans="2:15" x14ac:dyDescent="0.25">
      <c r="B14" s="16">
        <v>11</v>
      </c>
      <c r="C14" s="17"/>
      <c r="D14" s="18"/>
      <c r="E14" s="17"/>
      <c r="F14" s="49"/>
      <c r="G14" s="49"/>
      <c r="H14" s="42" t="str" cm="1">
        <f t="array" ref="H14">IF(C14&lt;&gt;"",_FV(_FV(_xldudf_EVEONLINE_MARKET_ORDERS_STATS(10000002, D14,60003760),"buy"),"max"),"")</f>
        <v/>
      </c>
      <c r="I14" s="43" t="str">
        <f t="shared" si="5"/>
        <v/>
      </c>
      <c r="J14" s="42" t="str">
        <f t="shared" si="1"/>
        <v/>
      </c>
      <c r="K14" s="41" t="str" cm="1">
        <f t="array" ref="K14">IF(C14&lt;&gt;"",_FV(_FV(_xldudf_EVEONLINE_MARKET_ORDERS_STATS(10000002, D14,60003760),"sell"),"min"),"")</f>
        <v/>
      </c>
      <c r="L14" s="47" t="str">
        <f t="shared" si="6"/>
        <v/>
      </c>
      <c r="M14" s="41" t="str">
        <f t="shared" si="3"/>
        <v/>
      </c>
      <c r="N14" s="38" t="str" cm="1">
        <f t="array" ref="N14">IF(C14&lt;&gt;"",_FV(_xldudf_EVEONLINE_MARKET_HISTORY(10000002,D14,5),"average_volume"),"")</f>
        <v/>
      </c>
      <c r="O14" s="53" t="str">
        <f t="shared" si="4"/>
        <v/>
      </c>
    </row>
    <row r="15" spans="2:15" x14ac:dyDescent="0.25">
      <c r="B15" s="16">
        <v>12</v>
      </c>
      <c r="C15" s="17"/>
      <c r="D15" s="18"/>
      <c r="E15" s="17"/>
      <c r="F15" s="49"/>
      <c r="G15" s="50"/>
      <c r="H15" s="42" t="str" cm="1">
        <f t="array" ref="H15">IF(C15&lt;&gt;"",_FV(_FV(_xldudf_EVEONLINE_MARKET_ORDERS_STATS(10000002, D15,60003760),"buy"),"max"),"")</f>
        <v/>
      </c>
      <c r="I15" s="43" t="str">
        <f t="shared" si="5"/>
        <v/>
      </c>
      <c r="J15" s="42" t="str">
        <f t="shared" si="1"/>
        <v/>
      </c>
      <c r="K15" s="41" t="str" cm="1">
        <f t="array" ref="K15">IF(C15&lt;&gt;"",_FV(_FV(_xldudf_EVEONLINE_MARKET_ORDERS_STATS(10000002, D15,60003760),"sell"),"min"),"")</f>
        <v/>
      </c>
      <c r="L15" s="47" t="str">
        <f t="shared" si="6"/>
        <v/>
      </c>
      <c r="M15" s="41" t="str">
        <f t="shared" si="3"/>
        <v/>
      </c>
      <c r="N15" s="38" t="str" cm="1">
        <f t="array" ref="N15">IF(C15&lt;&gt;"",_FV(_xldudf_EVEONLINE_MARKET_HISTORY(10000002,D15,5),"average_volume"),"")</f>
        <v/>
      </c>
      <c r="O15" s="53" t="str">
        <f t="shared" si="4"/>
        <v/>
      </c>
    </row>
    <row r="16" spans="2:15" x14ac:dyDescent="0.25">
      <c r="B16" s="16">
        <v>13</v>
      </c>
      <c r="C16" s="17"/>
      <c r="D16" s="18"/>
      <c r="E16" s="17"/>
      <c r="F16" s="49"/>
      <c r="G16" s="50"/>
      <c r="H16" s="42" t="str" cm="1">
        <f t="array" ref="H16">IF(C16&lt;&gt;"",_FV(_FV(_xldudf_EVEONLINE_MARKET_ORDERS_STATS(10000002, D16,60003760),"buy"),"max"),"")</f>
        <v/>
      </c>
      <c r="I16" s="43" t="str">
        <f t="shared" si="5"/>
        <v/>
      </c>
      <c r="J16" s="42" t="str">
        <f t="shared" si="1"/>
        <v/>
      </c>
      <c r="K16" s="41" t="str" cm="1">
        <f t="array" ref="K16">IF(C16&lt;&gt;"",_FV(_FV(_xldudf_EVEONLINE_MARKET_ORDERS_STATS(10000002, D16,60003760),"sell"),"min"),"")</f>
        <v/>
      </c>
      <c r="L16" s="47" t="str">
        <f t="shared" si="6"/>
        <v/>
      </c>
      <c r="M16" s="41" t="str">
        <f t="shared" si="3"/>
        <v/>
      </c>
      <c r="N16" s="38" t="str" cm="1">
        <f t="array" ref="N16">IF(C16&lt;&gt;"",_FV(_xldudf_EVEONLINE_MARKET_HISTORY(10000002,D16,5),"average_volume"),"")</f>
        <v/>
      </c>
      <c r="O16" s="53" t="str">
        <f t="shared" si="4"/>
        <v/>
      </c>
    </row>
    <row r="17" spans="2:15" x14ac:dyDescent="0.25">
      <c r="B17" s="16">
        <v>14</v>
      </c>
      <c r="C17" s="17"/>
      <c r="D17" s="18"/>
      <c r="E17" s="17"/>
      <c r="F17" s="49"/>
      <c r="G17" s="50"/>
      <c r="H17" s="42" t="str" cm="1">
        <f t="array" ref="H17">IF(C17&lt;&gt;"",_FV(_FV(_xldudf_EVEONLINE_MARKET_ORDERS_STATS(10000002, D17,60003760),"buy"),"max"),"")</f>
        <v/>
      </c>
      <c r="I17" s="43" t="str">
        <f t="shared" si="5"/>
        <v/>
      </c>
      <c r="J17" s="42" t="str">
        <f t="shared" si="1"/>
        <v/>
      </c>
      <c r="K17" s="41" t="str" cm="1">
        <f t="array" ref="K17">IF(C17&lt;&gt;"",_FV(_FV(_xldudf_EVEONLINE_MARKET_ORDERS_STATS(10000002, D17,60003760),"sell"),"min"),"")</f>
        <v/>
      </c>
      <c r="L17" s="47" t="str">
        <f t="shared" si="6"/>
        <v/>
      </c>
      <c r="M17" s="41" t="str">
        <f t="shared" si="3"/>
        <v/>
      </c>
      <c r="N17" s="38" t="str" cm="1">
        <f t="array" ref="N17">IF(C17&lt;&gt;"",_FV(_xldudf_EVEONLINE_MARKET_HISTORY(10000002,D17,5),"average_volume"),"")</f>
        <v/>
      </c>
      <c r="O17" s="53" t="str">
        <f t="shared" si="4"/>
        <v/>
      </c>
    </row>
    <row r="18" spans="2:15" x14ac:dyDescent="0.25">
      <c r="B18" s="16">
        <v>15</v>
      </c>
      <c r="C18" s="17"/>
      <c r="D18" s="18"/>
      <c r="E18" s="17"/>
      <c r="F18" s="49"/>
      <c r="G18" s="50"/>
      <c r="H18" s="42" t="str" cm="1">
        <f t="array" ref="H18">IF(C18&lt;&gt;"",_FV(_FV(_xldudf_EVEONLINE_MARKET_ORDERS_STATS(10000002, D18,60003760),"buy"),"max"),"")</f>
        <v/>
      </c>
      <c r="I18" s="43" t="str">
        <f t="shared" si="5"/>
        <v/>
      </c>
      <c r="J18" s="42" t="str">
        <f t="shared" si="1"/>
        <v/>
      </c>
      <c r="K18" s="41" t="str" cm="1">
        <f t="array" ref="K18">IF(C18&lt;&gt;"",_FV(_FV(_xldudf_EVEONLINE_MARKET_ORDERS_STATS(10000002, D18,60003760),"sell"),"min"),"")</f>
        <v/>
      </c>
      <c r="L18" s="47" t="str">
        <f t="shared" si="6"/>
        <v/>
      </c>
      <c r="M18" s="41" t="str">
        <f t="shared" si="3"/>
        <v/>
      </c>
      <c r="N18" s="38" t="str" cm="1">
        <f t="array" ref="N18">IF(C18&lt;&gt;"",_FV(_xldudf_EVEONLINE_MARKET_HISTORY(10000002,D18,5),"average_volume"),"")</f>
        <v/>
      </c>
      <c r="O18" s="53" t="str">
        <f t="shared" si="4"/>
        <v/>
      </c>
    </row>
    <row r="19" spans="2:15" x14ac:dyDescent="0.25">
      <c r="B19" s="16">
        <v>16</v>
      </c>
      <c r="C19" s="17"/>
      <c r="D19" s="18"/>
      <c r="E19" s="17"/>
      <c r="F19" s="49"/>
      <c r="G19" s="50"/>
      <c r="H19" s="42" t="str" cm="1">
        <f t="array" ref="H19">IF(C19&lt;&gt;"",_FV(_FV(_xldudf_EVEONLINE_MARKET_ORDERS_STATS(10000002, D19,60003760),"buy"),"max"),"")</f>
        <v/>
      </c>
      <c r="I19" s="43" t="str">
        <f t="shared" si="5"/>
        <v/>
      </c>
      <c r="J19" s="42" t="str">
        <f t="shared" si="1"/>
        <v/>
      </c>
      <c r="K19" s="41" t="str" cm="1">
        <f t="array" ref="K19">IF(C19&lt;&gt;"",_FV(_FV(_xldudf_EVEONLINE_MARKET_ORDERS_STATS(10000002, D19,60003760),"sell"),"min"),"")</f>
        <v/>
      </c>
      <c r="L19" s="47" t="str">
        <f t="shared" si="6"/>
        <v/>
      </c>
      <c r="M19" s="41" t="str">
        <f t="shared" si="3"/>
        <v/>
      </c>
      <c r="N19" s="38" t="str" cm="1">
        <f t="array" ref="N19">IF(C19&lt;&gt;"",_FV(_xldudf_EVEONLINE_MARKET_HISTORY(10000002,D19,5),"average_volume"),"")</f>
        <v/>
      </c>
      <c r="O19" s="53" t="str">
        <f t="shared" si="4"/>
        <v/>
      </c>
    </row>
    <row r="20" spans="2:15" x14ac:dyDescent="0.25">
      <c r="B20" s="16">
        <v>17</v>
      </c>
      <c r="C20" s="17"/>
      <c r="D20" s="18"/>
      <c r="E20" s="17"/>
      <c r="F20" s="49"/>
      <c r="G20" s="50"/>
      <c r="H20" s="42" t="str" cm="1">
        <f t="array" ref="H20">IF(C20&lt;&gt;"",_FV(_FV(_xldudf_EVEONLINE_MARKET_ORDERS_STATS(10000002, D20,60003760),"buy"),"max"),"")</f>
        <v/>
      </c>
      <c r="I20" s="43" t="str">
        <f t="shared" si="5"/>
        <v/>
      </c>
      <c r="J20" s="42" t="str">
        <f t="shared" si="1"/>
        <v/>
      </c>
      <c r="K20" s="41" t="str" cm="1">
        <f t="array" ref="K20">IF(C20&lt;&gt;"",_FV(_FV(_xldudf_EVEONLINE_MARKET_ORDERS_STATS(10000002, D20,60003760),"sell"),"min"),"")</f>
        <v/>
      </c>
      <c r="L20" s="47" t="str">
        <f t="shared" si="6"/>
        <v/>
      </c>
      <c r="M20" s="41" t="str">
        <f t="shared" si="3"/>
        <v/>
      </c>
      <c r="N20" s="38" t="str" cm="1">
        <f t="array" ref="N20">IF(C20&lt;&gt;"",_FV(_xldudf_EVEONLINE_MARKET_HISTORY(10000002,D20,5),"average_volume"),"")</f>
        <v/>
      </c>
      <c r="O20" s="53" t="str">
        <f t="shared" si="4"/>
        <v/>
      </c>
    </row>
    <row r="21" spans="2:15" x14ac:dyDescent="0.25">
      <c r="B21" s="16">
        <v>18</v>
      </c>
      <c r="C21" s="17"/>
      <c r="D21" s="18"/>
      <c r="E21" s="17"/>
      <c r="F21" s="49"/>
      <c r="G21" s="50"/>
      <c r="H21" s="42" t="str" cm="1">
        <f t="array" ref="H21">IF(C21&lt;&gt;"",_FV(_FV(_xldudf_EVEONLINE_MARKET_ORDERS_STATS(10000002, D21,60003760),"buy"),"max"),"")</f>
        <v/>
      </c>
      <c r="I21" s="43" t="str">
        <f t="shared" si="5"/>
        <v/>
      </c>
      <c r="J21" s="42" t="str">
        <f t="shared" si="1"/>
        <v/>
      </c>
      <c r="K21" s="41" t="str" cm="1">
        <f t="array" ref="K21">IF(C21&lt;&gt;"",_FV(_FV(_xldudf_EVEONLINE_MARKET_ORDERS_STATS(10000002, D21,60003760),"sell"),"min"),"")</f>
        <v/>
      </c>
      <c r="L21" s="47" t="str">
        <f t="shared" si="6"/>
        <v/>
      </c>
      <c r="M21" s="41" t="str">
        <f t="shared" si="3"/>
        <v/>
      </c>
      <c r="N21" s="38" t="str" cm="1">
        <f t="array" ref="N21">IF(C21&lt;&gt;"",_FV(_xldudf_EVEONLINE_MARKET_HISTORY(10000002,D21,5),"average_volume"),"")</f>
        <v/>
      </c>
      <c r="O21" s="53" t="str">
        <f t="shared" si="4"/>
        <v/>
      </c>
    </row>
    <row r="22" spans="2:15" x14ac:dyDescent="0.25">
      <c r="B22" s="16">
        <v>19</v>
      </c>
      <c r="C22" s="17"/>
      <c r="D22" s="18"/>
      <c r="E22" s="17"/>
      <c r="F22" s="49"/>
      <c r="G22" s="50"/>
      <c r="H22" s="42" t="str" cm="1">
        <f t="array" ref="H22">IF(C22&lt;&gt;"",_FV(_FV(_xldudf_EVEONLINE_MARKET_ORDERS_STATS(10000002, D22,60003760),"buy"),"max"),"")</f>
        <v/>
      </c>
      <c r="I22" s="43" t="str">
        <f t="shared" si="5"/>
        <v/>
      </c>
      <c r="J22" s="42" t="str">
        <f t="shared" si="1"/>
        <v/>
      </c>
      <c r="K22" s="41" t="str" cm="1">
        <f t="array" ref="K22">IF(C22&lt;&gt;"",_FV(_FV(_xldudf_EVEONLINE_MARKET_ORDERS_STATS(10000002, D22,60003760),"sell"),"min"),"")</f>
        <v/>
      </c>
      <c r="L22" s="47" t="str">
        <f t="shared" si="6"/>
        <v/>
      </c>
      <c r="M22" s="41" t="str">
        <f t="shared" si="3"/>
        <v/>
      </c>
      <c r="N22" s="38" t="str" cm="1">
        <f t="array" ref="N22">IF(C22&lt;&gt;"",_FV(_xldudf_EVEONLINE_MARKET_HISTORY(10000002,D22,5),"average_volume"),"")</f>
        <v/>
      </c>
      <c r="O22" s="53" t="str">
        <f t="shared" si="4"/>
        <v/>
      </c>
    </row>
    <row r="23" spans="2:15" x14ac:dyDescent="0.25">
      <c r="B23" s="16">
        <v>20</v>
      </c>
      <c r="C23" s="17"/>
      <c r="D23" s="18"/>
      <c r="E23" s="17"/>
      <c r="F23" s="49"/>
      <c r="G23" s="50"/>
      <c r="H23" s="42" t="str" cm="1">
        <f t="array" ref="H23">IF(C23&lt;&gt;"",_FV(_FV(_xldudf_EVEONLINE_MARKET_ORDERS_STATS(10000002, D23,60003760),"buy"),"max"),"")</f>
        <v/>
      </c>
      <c r="I23" s="43" t="str">
        <f t="shared" si="5"/>
        <v/>
      </c>
      <c r="J23" s="42" t="str">
        <f t="shared" si="1"/>
        <v/>
      </c>
      <c r="K23" s="41" t="str" cm="1">
        <f t="array" ref="K23">IF(C23&lt;&gt;"",_FV(_FV(_xldudf_EVEONLINE_MARKET_ORDERS_STATS(10000002, D23,60003760),"sell"),"min"),"")</f>
        <v/>
      </c>
      <c r="L23" s="47" t="str">
        <f t="shared" si="6"/>
        <v/>
      </c>
      <c r="M23" s="41" t="str">
        <f t="shared" si="3"/>
        <v/>
      </c>
      <c r="N23" s="38" t="str" cm="1">
        <f t="array" ref="N23">IF(C23&lt;&gt;"",_FV(_xldudf_EVEONLINE_MARKET_HISTORY(10000002,D23,5),"average_volume"),"")</f>
        <v/>
      </c>
      <c r="O23" s="53" t="str">
        <f t="shared" si="4"/>
        <v/>
      </c>
    </row>
    <row r="24" spans="2:15" x14ac:dyDescent="0.25">
      <c r="B24" s="16">
        <v>21</v>
      </c>
      <c r="C24" s="17"/>
      <c r="D24" s="18"/>
      <c r="E24" s="17"/>
      <c r="F24" s="49"/>
      <c r="G24" s="50"/>
      <c r="H24" s="42" t="str" cm="1">
        <f t="array" ref="H24">IF(C24&lt;&gt;"",_FV(_FV(_xldudf_EVEONLINE_MARKET_ORDERS_STATS(10000002, D24,60003760),"buy"),"max"),"")</f>
        <v/>
      </c>
      <c r="I24" s="43" t="str">
        <f t="shared" si="5"/>
        <v/>
      </c>
      <c r="J24" s="42" t="str">
        <f t="shared" si="1"/>
        <v/>
      </c>
      <c r="K24" s="41" t="str" cm="1">
        <f t="array" ref="K24">IF(C24&lt;&gt;"",_FV(_FV(_xldudf_EVEONLINE_MARKET_ORDERS_STATS(10000002, D24,60003760),"sell"),"min"),"")</f>
        <v/>
      </c>
      <c r="L24" s="47" t="str">
        <f t="shared" si="6"/>
        <v/>
      </c>
      <c r="M24" s="41" t="str">
        <f t="shared" si="3"/>
        <v/>
      </c>
      <c r="N24" s="38" t="str" cm="1">
        <f t="array" ref="N24">IF(C24&lt;&gt;"",_FV(_xldudf_EVEONLINE_MARKET_HISTORY(10000002,D24,5),"average_volume"),"")</f>
        <v/>
      </c>
      <c r="O24" s="53" t="str">
        <f t="shared" si="4"/>
        <v/>
      </c>
    </row>
    <row r="25" spans="2:15" x14ac:dyDescent="0.25">
      <c r="B25" s="16">
        <v>22</v>
      </c>
      <c r="C25" s="17"/>
      <c r="D25" s="18"/>
      <c r="E25" s="17"/>
      <c r="F25" s="49"/>
      <c r="G25" s="50"/>
      <c r="H25" s="42" t="str" cm="1">
        <f t="array" ref="H25">IF(C25&lt;&gt;"",_FV(_FV(_xldudf_EVEONLINE_MARKET_ORDERS_STATS(10000002, D25,60003760),"buy"),"max"),"")</f>
        <v/>
      </c>
      <c r="I25" s="43" t="str">
        <f t="shared" si="5"/>
        <v/>
      </c>
      <c r="J25" s="42" t="str">
        <f t="shared" si="1"/>
        <v/>
      </c>
      <c r="K25" s="41" t="str" cm="1">
        <f t="array" ref="K25">IF(C25&lt;&gt;"",_FV(_FV(_xldudf_EVEONLINE_MARKET_ORDERS_STATS(10000002, D25,60003760),"sell"),"min"),"")</f>
        <v/>
      </c>
      <c r="L25" s="47" t="str">
        <f t="shared" si="6"/>
        <v/>
      </c>
      <c r="M25" s="41" t="str">
        <f t="shared" si="3"/>
        <v/>
      </c>
      <c r="N25" s="38" t="str" cm="1">
        <f t="array" ref="N25">IF(C25&lt;&gt;"",_FV(_xldudf_EVEONLINE_MARKET_HISTORY(10000002,D25,5),"average_volume"),"")</f>
        <v/>
      </c>
      <c r="O25" s="53" t="str">
        <f t="shared" si="4"/>
        <v/>
      </c>
    </row>
    <row r="26" spans="2:15" x14ac:dyDescent="0.25">
      <c r="B26" s="16">
        <v>23</v>
      </c>
      <c r="C26" s="17"/>
      <c r="D26" s="18"/>
      <c r="E26" s="17"/>
      <c r="F26" s="49"/>
      <c r="G26" s="50"/>
      <c r="H26" s="42" t="str" cm="1">
        <f t="array" ref="H26">IF(C26&lt;&gt;"",_FV(_FV(_xldudf_EVEONLINE_MARKET_ORDERS_STATS(10000002, D26,60003760),"buy"),"max"),"")</f>
        <v/>
      </c>
      <c r="I26" s="43" t="str">
        <f t="shared" si="5"/>
        <v/>
      </c>
      <c r="J26" s="42" t="str">
        <f t="shared" si="1"/>
        <v/>
      </c>
      <c r="K26" s="41" t="str" cm="1">
        <f t="array" ref="K26">IF(C26&lt;&gt;"",_FV(_FV(_xldudf_EVEONLINE_MARKET_ORDERS_STATS(10000002, D26,60003760),"sell"),"min"),"")</f>
        <v/>
      </c>
      <c r="L26" s="47" t="str">
        <f t="shared" si="6"/>
        <v/>
      </c>
      <c r="M26" s="41" t="str">
        <f t="shared" si="3"/>
        <v/>
      </c>
      <c r="N26" s="38" t="str" cm="1">
        <f t="array" ref="N26">IF(C26&lt;&gt;"",_FV(_xldudf_EVEONLINE_MARKET_HISTORY(10000002,D26,5),"average_volume"),"")</f>
        <v/>
      </c>
      <c r="O26" s="53" t="str">
        <f t="shared" si="4"/>
        <v/>
      </c>
    </row>
    <row r="27" spans="2:15" x14ac:dyDescent="0.25">
      <c r="B27" s="16">
        <v>24</v>
      </c>
      <c r="C27" s="17"/>
      <c r="D27" s="18"/>
      <c r="E27" s="17"/>
      <c r="F27" s="49"/>
      <c r="G27" s="50"/>
      <c r="H27" s="42" t="str" cm="1">
        <f t="array" ref="H27">IF(C27&lt;&gt;"",_FV(_FV(_xldudf_EVEONLINE_MARKET_ORDERS_STATS(10000002, D27,60003760),"buy"),"max"),"")</f>
        <v/>
      </c>
      <c r="I27" s="43" t="str">
        <f t="shared" si="5"/>
        <v/>
      </c>
      <c r="J27" s="42" t="str">
        <f t="shared" si="1"/>
        <v/>
      </c>
      <c r="K27" s="41" t="str" cm="1">
        <f t="array" ref="K27">IF(C27&lt;&gt;"",_FV(_FV(_xldudf_EVEONLINE_MARKET_ORDERS_STATS(10000002, D27,60003760),"sell"),"min"),"")</f>
        <v/>
      </c>
      <c r="L27" s="47" t="str">
        <f t="shared" si="6"/>
        <v/>
      </c>
      <c r="M27" s="41" t="str">
        <f t="shared" si="3"/>
        <v/>
      </c>
      <c r="N27" s="38" t="str" cm="1">
        <f t="array" ref="N27">IF(C27&lt;&gt;"",_FV(_xldudf_EVEONLINE_MARKET_HISTORY(10000002,D27,5),"average_volume"),"")</f>
        <v/>
      </c>
      <c r="O27" s="53" t="str">
        <f t="shared" si="4"/>
        <v/>
      </c>
    </row>
    <row r="28" spans="2:15" x14ac:dyDescent="0.25">
      <c r="B28" s="16">
        <v>25</v>
      </c>
      <c r="C28" s="17"/>
      <c r="D28" s="18"/>
      <c r="E28" s="17"/>
      <c r="F28" s="49"/>
      <c r="G28" s="50"/>
      <c r="H28" s="42" t="str" cm="1">
        <f t="array" ref="H28">IF(C28&lt;&gt;"",_FV(_FV(_xldudf_EVEONLINE_MARKET_ORDERS_STATS(10000002, D28,60003760),"buy"),"max"),"")</f>
        <v/>
      </c>
      <c r="I28" s="43" t="str">
        <f t="shared" si="5"/>
        <v/>
      </c>
      <c r="J28" s="42" t="str">
        <f t="shared" si="1"/>
        <v/>
      </c>
      <c r="K28" s="41" t="str" cm="1">
        <f t="array" ref="K28">IF(C28&lt;&gt;"",_FV(_FV(_xldudf_EVEONLINE_MARKET_ORDERS_STATS(10000002, D28,60003760),"sell"),"min"),"")</f>
        <v/>
      </c>
      <c r="L28" s="47" t="str">
        <f t="shared" si="6"/>
        <v/>
      </c>
      <c r="M28" s="41" t="str">
        <f t="shared" si="3"/>
        <v/>
      </c>
      <c r="N28" s="38" t="str" cm="1">
        <f t="array" ref="N28">IF(C28&lt;&gt;"",_FV(_xldudf_EVEONLINE_MARKET_HISTORY(10000002,D28,5),"average_volume"),"")</f>
        <v/>
      </c>
      <c r="O28" s="53" t="str">
        <f t="shared" si="4"/>
        <v/>
      </c>
    </row>
    <row r="29" spans="2:15" x14ac:dyDescent="0.25">
      <c r="B29" s="16">
        <v>26</v>
      </c>
      <c r="C29" s="17"/>
      <c r="D29" s="18"/>
      <c r="E29" s="17"/>
      <c r="F29" s="49"/>
      <c r="G29" s="50"/>
      <c r="H29" s="42" t="str" cm="1">
        <f t="array" ref="H29">IF(C29&lt;&gt;"",_FV(_FV(_xldudf_EVEONLINE_MARKET_ORDERS_STATS(10000002, D29,60003760),"buy"),"max"),"")</f>
        <v/>
      </c>
      <c r="I29" s="43" t="str">
        <f t="shared" si="5"/>
        <v/>
      </c>
      <c r="J29" s="42" t="str">
        <f t="shared" si="1"/>
        <v/>
      </c>
      <c r="K29" s="41" t="str" cm="1">
        <f t="array" ref="K29">IF(C29&lt;&gt;"",_FV(_FV(_xldudf_EVEONLINE_MARKET_ORDERS_STATS(10000002, D29,60003760),"sell"),"min"),"")</f>
        <v/>
      </c>
      <c r="L29" s="47" t="str">
        <f t="shared" si="6"/>
        <v/>
      </c>
      <c r="M29" s="41" t="str">
        <f t="shared" si="3"/>
        <v/>
      </c>
      <c r="N29" s="38" t="str" cm="1">
        <f t="array" ref="N29">IF(C29&lt;&gt;"",_FV(_xldudf_EVEONLINE_MARKET_HISTORY(10000002,D29,5),"average_volume"),"")</f>
        <v/>
      </c>
      <c r="O29" s="53" t="str">
        <f t="shared" si="4"/>
        <v/>
      </c>
    </row>
    <row r="30" spans="2:15" x14ac:dyDescent="0.25">
      <c r="B30" s="16">
        <v>27</v>
      </c>
      <c r="C30" s="17"/>
      <c r="D30" s="18"/>
      <c r="E30" s="17"/>
      <c r="F30" s="49"/>
      <c r="G30" s="50"/>
      <c r="H30" s="42" t="str" cm="1">
        <f t="array" ref="H30">IF(C30&lt;&gt;"",_FV(_FV(_xldudf_EVEONLINE_MARKET_ORDERS_STATS(10000002, D30,60003760),"buy"),"max"),"")</f>
        <v/>
      </c>
      <c r="I30" s="43" t="str">
        <f t="shared" si="5"/>
        <v/>
      </c>
      <c r="J30" s="42" t="str">
        <f t="shared" si="1"/>
        <v/>
      </c>
      <c r="K30" s="41" t="str" cm="1">
        <f t="array" ref="K30">IF(C30&lt;&gt;"",_FV(_FV(_xldudf_EVEONLINE_MARKET_ORDERS_STATS(10000002, D30,60003760),"sell"),"min"),"")</f>
        <v/>
      </c>
      <c r="L30" s="47" t="str">
        <f t="shared" si="6"/>
        <v/>
      </c>
      <c r="M30" s="41" t="str">
        <f t="shared" si="3"/>
        <v/>
      </c>
      <c r="N30" s="38" t="str" cm="1">
        <f t="array" ref="N30">IF(C30&lt;&gt;"",_FV(_xldudf_EVEONLINE_MARKET_HISTORY(10000002,D30,5),"average_volume"),"")</f>
        <v/>
      </c>
      <c r="O30" s="53" t="str">
        <f t="shared" si="4"/>
        <v/>
      </c>
    </row>
    <row r="31" spans="2:15" x14ac:dyDescent="0.25">
      <c r="B31" s="16">
        <v>28</v>
      </c>
      <c r="C31" s="17"/>
      <c r="D31" s="18"/>
      <c r="E31" s="17"/>
      <c r="F31" s="49"/>
      <c r="G31" s="50"/>
      <c r="H31" s="42" t="str" cm="1">
        <f t="array" ref="H31">IF(C31&lt;&gt;"",_FV(_FV(_xldudf_EVEONLINE_MARKET_ORDERS_STATS(10000002, D31,60003760),"buy"),"max"),"")</f>
        <v/>
      </c>
      <c r="I31" s="43" t="str">
        <f t="shared" si="5"/>
        <v/>
      </c>
      <c r="J31" s="42" t="str">
        <f t="shared" si="1"/>
        <v/>
      </c>
      <c r="K31" s="41" t="str" cm="1">
        <f t="array" ref="K31">IF(C31&lt;&gt;"",_FV(_FV(_xldudf_EVEONLINE_MARKET_ORDERS_STATS(10000002, D31,60003760),"sell"),"min"),"")</f>
        <v/>
      </c>
      <c r="L31" s="47" t="str">
        <f t="shared" si="6"/>
        <v/>
      </c>
      <c r="M31" s="41" t="str">
        <f t="shared" si="3"/>
        <v/>
      </c>
      <c r="N31" s="38" t="str" cm="1">
        <f t="array" ref="N31">IF(C31&lt;&gt;"",_FV(_xldudf_EVEONLINE_MARKET_HISTORY(10000002,D31,5),"average_volume"),"")</f>
        <v/>
      </c>
      <c r="O31" s="53" t="str">
        <f t="shared" si="4"/>
        <v/>
      </c>
    </row>
    <row r="32" spans="2:15" x14ac:dyDescent="0.25">
      <c r="B32" s="16">
        <v>29</v>
      </c>
      <c r="C32" s="17"/>
      <c r="D32" s="18"/>
      <c r="E32" s="17"/>
      <c r="F32" s="49"/>
      <c r="G32" s="50"/>
      <c r="H32" s="42" t="str" cm="1">
        <f t="array" ref="H32">IF(C32&lt;&gt;"",_FV(_FV(_xldudf_EVEONLINE_MARKET_ORDERS_STATS(10000002, D32,60003760),"buy"),"max"),"")</f>
        <v/>
      </c>
      <c r="I32" s="43" t="str">
        <f t="shared" si="5"/>
        <v/>
      </c>
      <c r="J32" s="42" t="str">
        <f t="shared" si="1"/>
        <v/>
      </c>
      <c r="K32" s="41" t="str" cm="1">
        <f t="array" ref="K32">IF(C32&lt;&gt;"",_FV(_FV(_xldudf_EVEONLINE_MARKET_ORDERS_STATS(10000002, D32,60003760),"sell"),"min"),"")</f>
        <v/>
      </c>
      <c r="L32" s="47" t="str">
        <f t="shared" si="6"/>
        <v/>
      </c>
      <c r="M32" s="41" t="str">
        <f t="shared" si="3"/>
        <v/>
      </c>
      <c r="N32" s="38" t="str" cm="1">
        <f t="array" ref="N32">IF(C32&lt;&gt;"",_FV(_xldudf_EVEONLINE_MARKET_HISTORY(10000002,D32,5),"average_volume"),"")</f>
        <v/>
      </c>
      <c r="O32" s="53" t="str">
        <f t="shared" si="4"/>
        <v/>
      </c>
    </row>
    <row r="33" spans="2:15" ht="15.75" thickBot="1" x14ac:dyDescent="0.3">
      <c r="B33" s="25">
        <v>30</v>
      </c>
      <c r="C33" s="26"/>
      <c r="D33" s="27"/>
      <c r="E33" s="26"/>
      <c r="F33" s="51"/>
      <c r="G33" s="51"/>
      <c r="H33" s="42" t="str" cm="1">
        <f t="array" ref="H33">IF(C33&lt;&gt;"",_FV(_FV(_xldudf_EVEONLINE_MARKET_ORDERS_STATS(10000002, D33,60003760),"buy"),"max"),"")</f>
        <v/>
      </c>
      <c r="I33" s="43" t="str">
        <f t="shared" si="5"/>
        <v/>
      </c>
      <c r="J33" s="42" t="str">
        <f t="shared" si="1"/>
        <v/>
      </c>
      <c r="K33" s="41" t="str" cm="1">
        <f t="array" ref="K33">IF(C33&lt;&gt;"",_FV(_FV(_xldudf_EVEONLINE_MARKET_ORDERS_STATS(10000002, D33,60003760),"sell"),"min"),"")</f>
        <v/>
      </c>
      <c r="L33" s="47" t="str">
        <f t="shared" si="6"/>
        <v/>
      </c>
      <c r="M33" s="41" t="str">
        <f t="shared" si="3"/>
        <v/>
      </c>
      <c r="N33" s="38" t="str" cm="1">
        <f t="array" ref="N33">IF(C33&lt;&gt;"",_FV(_xldudf_EVEONLINE_MARKET_HISTORY(10000002,D33,5),"average_volume"),"")</f>
        <v/>
      </c>
      <c r="O33" s="53" t="str">
        <f t="shared" si="4"/>
        <v/>
      </c>
    </row>
    <row r="66" spans="25:25" x14ac:dyDescent="0.25">
      <c r="Y66" t="s">
        <v>41</v>
      </c>
    </row>
  </sheetData>
  <mergeCells count="1">
    <mergeCell ref="B2:O2"/>
  </mergeCells>
  <conditionalFormatting sqref="I4:I33">
    <cfRule type="cellIs" dxfId="27" priority="12" operator="equal">
      <formula>""</formula>
    </cfRule>
    <cfRule type="cellIs" dxfId="26" priority="13" operator="lessThan">
      <formula>-20%</formula>
    </cfRule>
    <cfRule type="cellIs" dxfId="25" priority="14" operator="lessThan">
      <formula>-10%</formula>
    </cfRule>
    <cfRule type="cellIs" dxfId="24" priority="15" operator="lessThan">
      <formula>0%</formula>
    </cfRule>
    <cfRule type="cellIs" dxfId="23" priority="16" operator="between">
      <formula>0%</formula>
      <formula>10%</formula>
    </cfRule>
    <cfRule type="cellIs" dxfId="22" priority="17" operator="between">
      <formula>10%</formula>
      <formula>20%</formula>
    </cfRule>
    <cfRule type="cellIs" dxfId="21" priority="18" operator="greaterThan">
      <formula>20%</formula>
    </cfRule>
  </conditionalFormatting>
  <conditionalFormatting sqref="L4:L33">
    <cfRule type="cellIs" dxfId="20" priority="1" operator="equal">
      <formula>""</formula>
    </cfRule>
    <cfRule type="cellIs" dxfId="19" priority="2" operator="lessThan">
      <formula>-20%</formula>
    </cfRule>
    <cfRule type="cellIs" dxfId="18" priority="3" operator="lessThan">
      <formula>-10%</formula>
    </cfRule>
    <cfRule type="cellIs" dxfId="17" priority="4" operator="lessThan">
      <formula>0%</formula>
    </cfRule>
    <cfRule type="cellIs" dxfId="16" priority="5" operator="between">
      <formula>0%</formula>
      <formula>10%</formula>
    </cfRule>
    <cfRule type="cellIs" dxfId="15" priority="6" operator="between">
      <formula>10%</formula>
      <formula>20%</formula>
    </cfRule>
    <cfRule type="cellIs" dxfId="14" priority="7" operator="greaterThan">
      <formula>20%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68E3-95F1-4257-B34B-EEF235D998EB}">
  <dimension ref="B1:L33"/>
  <sheetViews>
    <sheetView workbookViewId="0">
      <selection activeCell="I10" sqref="I10"/>
    </sheetView>
  </sheetViews>
  <sheetFormatPr defaultRowHeight="15" x14ac:dyDescent="0.25"/>
  <cols>
    <col min="2" max="2" width="3.7109375" bestFit="1" customWidth="1"/>
    <col min="3" max="3" width="31.7109375" bestFit="1" customWidth="1"/>
    <col min="4" max="4" width="11" bestFit="1" customWidth="1"/>
    <col min="5" max="5" width="18.140625" bestFit="1" customWidth="1"/>
    <col min="6" max="6" width="17.7109375" style="7" bestFit="1" customWidth="1"/>
    <col min="7" max="7" width="18.5703125" style="1" bestFit="1" customWidth="1"/>
    <col min="8" max="8" width="11" bestFit="1" customWidth="1"/>
    <col min="9" max="9" width="15.140625" bestFit="1" customWidth="1"/>
    <col min="10" max="10" width="29" bestFit="1" customWidth="1"/>
    <col min="11" max="11" width="24.28515625" bestFit="1" customWidth="1"/>
    <col min="12" max="12" width="17.28515625" bestFit="1" customWidth="1"/>
  </cols>
  <sheetData>
    <row r="1" spans="2:12" ht="15.75" thickBot="1" x14ac:dyDescent="0.3"/>
    <row r="2" spans="2:12" ht="20.25" thickBot="1" x14ac:dyDescent="0.35">
      <c r="B2" s="62" t="s">
        <v>21</v>
      </c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2:12" ht="18" thickBot="1" x14ac:dyDescent="0.3">
      <c r="B3" s="35" t="s">
        <v>20</v>
      </c>
      <c r="C3" s="35" t="s">
        <v>19</v>
      </c>
      <c r="D3" s="35" t="s">
        <v>5</v>
      </c>
      <c r="E3" s="35" t="s">
        <v>4</v>
      </c>
      <c r="F3" s="36" t="s">
        <v>9</v>
      </c>
      <c r="G3" s="37" t="s">
        <v>0</v>
      </c>
      <c r="H3" s="35" t="s">
        <v>1</v>
      </c>
      <c r="I3" s="36" t="s">
        <v>3</v>
      </c>
      <c r="J3" s="35" t="s">
        <v>7</v>
      </c>
      <c r="K3" s="35" t="s">
        <v>8</v>
      </c>
      <c r="L3" s="36" t="s">
        <v>6</v>
      </c>
    </row>
    <row r="4" spans="2:12" ht="15.75" thickBot="1" x14ac:dyDescent="0.3">
      <c r="B4" s="10">
        <v>1</v>
      </c>
      <c r="C4" s="11" t="str" cm="1">
        <f t="array" ref="C4:C7">_xlfn._xlws.FILTER(_FV(_FV(_xldudf_EVEONLINE_CHARACTER_ORDERS(2115962405),"type"),"name"),_FV(_xldudf_EVEONLINE_CHARACTER_ORDERS(2115962405),"is_buy_order")= FALSE,"")</f>
        <v>Omnidirectional Tracking Link II</v>
      </c>
      <c r="D4" s="12" cm="1">
        <f t="array" ref="D4:D7">_xlfn._xlws.FILTER(_FV(_xldudf_EVEONLINE_CHARACTER_ORDERS(2115962405),"volume_total"),_FV(_xldudf_EVEONLINE_CHARACTER_ORDERS(2115962405),"is_buy_order")=FALSE,"")</f>
        <v>127</v>
      </c>
      <c r="E4" s="11" cm="1">
        <f t="array" ref="E4:E7">_xlfn._xlws.FILTER(_FV(_xldudf_EVEONLINE_CHARACTER_ORDERS(2115962405),"volume_remain"),_FV(_xldudf_EVEONLINE_CHARACTER_ORDERS(2115962405),"is_buy_order")= FALSE,"")</f>
        <v>119</v>
      </c>
      <c r="F4" s="13" cm="1">
        <f t="array" ref="F4:F7">_xlfn._xlws.FILTER(_FV(_xldudf_EVEONLINE_CHARACTER_ORDERS(2115962405),"price"),_FV(_xldudf_EVEONLINE_CHARACTER_ORDERS(2115962405),"is_buy_order")= FALSE,"")</f>
        <v>1035000</v>
      </c>
      <c r="G4" s="14" cm="1">
        <f t="array" ref="G4:G7">_xlfn._xlws.FILTER(_FV(_xldudf_EVEONLINE_CHARACTER_ORDERS(2115962405),"issued")+_FV(_xldudf_EVEONLINE_CHARACTER_ORDERS(2115962405),"duration"),_FV(_xldudf_EVEONLINE_CHARACTER_ORDERS(2115962405),"is_buy_order")= FALSE,"")</f>
        <v>45426.793900462959</v>
      </c>
      <c r="H4" s="12" cm="1" vm="9">
        <f t="array" ref="H4:H7">_xlfn._xlws.FILTER(_FV(_FV(_xldudf_EVEONLINE_CHARACTER_ORDERS(2115962405),"type"),"id"),_FV(_xldudf_EVEONLINE_CHARACTER_ORDERS(2115962405),"is_buy_order")= FALSE,"")</f>
        <v>24438</v>
      </c>
      <c r="I4" s="21" cm="1">
        <f t="array" ref="I4">IF(C4&lt;&gt;"",_FV(_FV(_xldudf_EVEONLINE_MARKET_ORDERS_STATS(10000002, H4,60003760),"sell"),"min"),"")</f>
        <v>987900</v>
      </c>
      <c r="J4" s="15">
        <f t="shared" ref="J4:J33" si="0">IF(C4&lt;&gt;"",I4/F4,"")</f>
        <v>0.95449275362318842</v>
      </c>
      <c r="K4" s="23">
        <f t="shared" ref="K4:K12" si="1">IF(C4&lt;&gt;"",E4/D4,"")</f>
        <v>0.93700787401574803</v>
      </c>
      <c r="L4" s="24">
        <f t="shared" ref="L4:L12" si="2">IF(C4&lt;&gt;"",D4*F4,"")</f>
        <v>131445000</v>
      </c>
    </row>
    <row r="5" spans="2:12" ht="15.75" thickBot="1" x14ac:dyDescent="0.3">
      <c r="B5" s="16">
        <v>2</v>
      </c>
      <c r="C5" s="17" t="str">
        <v>Nanite Repair Paste</v>
      </c>
      <c r="D5" s="18">
        <v>12515</v>
      </c>
      <c r="E5" s="17">
        <v>11985</v>
      </c>
      <c r="F5" s="19">
        <v>37300</v>
      </c>
      <c r="G5" s="20">
        <v>45424.542303240742</v>
      </c>
      <c r="H5" s="18" vm="10">
        <v>28668</v>
      </c>
      <c r="I5" s="21" cm="1">
        <f t="array" ref="I5">IF(C5&lt;&gt;"",_FV(_FV(_xldudf_EVEONLINE_MARKET_ORDERS_STATS(10000002, H5,60003760),"sell"),"min"),"")</f>
        <v>29310</v>
      </c>
      <c r="J5" s="15">
        <f t="shared" si="0"/>
        <v>0.78579088471849867</v>
      </c>
      <c r="K5" s="23">
        <f t="shared" si="1"/>
        <v>0.95765081901717941</v>
      </c>
      <c r="L5" s="24">
        <f t="shared" si="2"/>
        <v>466809500</v>
      </c>
    </row>
    <row r="6" spans="2:12" ht="15.75" thickBot="1" x14ac:dyDescent="0.3">
      <c r="B6" s="16">
        <v>3</v>
      </c>
      <c r="C6" s="17" t="str">
        <v>Trinary State Processor</v>
      </c>
      <c r="D6" s="18">
        <v>20000</v>
      </c>
      <c r="E6" s="17">
        <v>20000</v>
      </c>
      <c r="F6" s="19">
        <v>29370</v>
      </c>
      <c r="G6" s="20">
        <v>45426.79552083333</v>
      </c>
      <c r="H6" s="18" vm="8">
        <v>52313</v>
      </c>
      <c r="I6" s="21" cm="1">
        <f t="array" ref="I6">IF(C6&lt;&gt;"",_FV(_FV(_xldudf_EVEONLINE_MARKET_ORDERS_STATS(10000002, H6,60003760),"sell"),"min"),"")</f>
        <v>19310</v>
      </c>
      <c r="J6" s="15">
        <f t="shared" si="0"/>
        <v>0.65747361252979231</v>
      </c>
      <c r="K6" s="23">
        <f t="shared" si="1"/>
        <v>1</v>
      </c>
      <c r="L6" s="24">
        <f t="shared" si="2"/>
        <v>587400000</v>
      </c>
    </row>
    <row r="7" spans="2:12" ht="15.75" thickBot="1" x14ac:dyDescent="0.3">
      <c r="B7" s="16">
        <v>4</v>
      </c>
      <c r="C7" s="17" t="str">
        <v>Omnidirectional Tracking Link II</v>
      </c>
      <c r="D7" s="18">
        <v>166</v>
      </c>
      <c r="E7" s="17">
        <v>81</v>
      </c>
      <c r="F7" s="19">
        <v>1200000</v>
      </c>
      <c r="G7" s="20">
        <v>45458.576666666668</v>
      </c>
      <c r="H7" s="18" vm="9">
        <v>24438</v>
      </c>
      <c r="I7" s="21" cm="1">
        <f t="array" ref="I7">IF(C7&lt;&gt;"",_FV(_FV(_xldudf_EVEONLINE_MARKET_ORDERS_STATS(10000002, H7,60003760),"sell"),"min"),"")</f>
        <v>987900</v>
      </c>
      <c r="J7" s="15">
        <f t="shared" si="0"/>
        <v>0.82325000000000004</v>
      </c>
      <c r="K7" s="23">
        <f>IF(C7&lt;&gt;"",E7/D7,"")</f>
        <v>0.48795180722891568</v>
      </c>
      <c r="L7" s="24">
        <f t="shared" si="2"/>
        <v>199200000</v>
      </c>
    </row>
    <row r="8" spans="2:12" ht="15.75" thickBot="1" x14ac:dyDescent="0.3">
      <c r="B8" s="16">
        <v>5</v>
      </c>
      <c r="C8" s="17"/>
      <c r="D8" s="18"/>
      <c r="E8" s="17"/>
      <c r="F8" s="19"/>
      <c r="G8" s="20"/>
      <c r="H8" s="18"/>
      <c r="I8" s="21" t="str" cm="1">
        <f t="array" ref="I8">IF(C8&lt;&gt;"",_FV(_FV(_xldudf_EVEONLINE_MARKET_ORDERS_STATS(10000002, H8,60003760),"sell"),"min"),"")</f>
        <v/>
      </c>
      <c r="J8" s="15" t="str">
        <f t="shared" si="0"/>
        <v/>
      </c>
      <c r="K8" s="23" t="str">
        <f t="shared" si="1"/>
        <v/>
      </c>
      <c r="L8" s="24" t="str">
        <f t="shared" si="2"/>
        <v/>
      </c>
    </row>
    <row r="9" spans="2:12" ht="15.75" thickBot="1" x14ac:dyDescent="0.3">
      <c r="B9" s="16">
        <v>6</v>
      </c>
      <c r="C9" s="17"/>
      <c r="D9" s="18"/>
      <c r="E9" s="17"/>
      <c r="F9" s="19"/>
      <c r="G9" s="20"/>
      <c r="H9" s="18"/>
      <c r="I9" s="21" t="str" cm="1">
        <f t="array" ref="I9">IF(C9&lt;&gt;"",_FV(_FV(_xldudf_EVEONLINE_MARKET_ORDERS_STATS(10000002, H9,60003760),"sell"),"min"),"")</f>
        <v/>
      </c>
      <c r="J9" s="15" t="str">
        <f t="shared" si="0"/>
        <v/>
      </c>
      <c r="K9" s="23" t="str">
        <f t="shared" si="1"/>
        <v/>
      </c>
      <c r="L9" s="24" t="str">
        <f t="shared" si="2"/>
        <v/>
      </c>
    </row>
    <row r="10" spans="2:12" ht="15.75" thickBot="1" x14ac:dyDescent="0.3">
      <c r="B10" s="16">
        <v>7</v>
      </c>
      <c r="C10" s="17"/>
      <c r="D10" s="18"/>
      <c r="E10" s="17"/>
      <c r="F10" s="19"/>
      <c r="G10" s="20"/>
      <c r="H10" s="18"/>
      <c r="I10" s="21" t="str" cm="1">
        <f t="array" ref="I10">IF(C10&lt;&gt;"",_FV(_FV(_xldudf_EVEONLINE_MARKET_ORDERS_STATS(10000002, H10,60003760),"sell"),"min"),"")</f>
        <v/>
      </c>
      <c r="J10" s="15" t="str">
        <f t="shared" si="0"/>
        <v/>
      </c>
      <c r="K10" s="23" t="str">
        <f t="shared" si="1"/>
        <v/>
      </c>
      <c r="L10" s="24" t="str">
        <f>IF(C10&lt;&gt;"",D10*F10,"")</f>
        <v/>
      </c>
    </row>
    <row r="11" spans="2:12" ht="15.75" thickBot="1" x14ac:dyDescent="0.3">
      <c r="B11" s="16">
        <v>8</v>
      </c>
      <c r="C11" s="17"/>
      <c r="D11" s="18"/>
      <c r="E11" s="17"/>
      <c r="F11" s="19"/>
      <c r="G11" s="20"/>
      <c r="H11" s="18"/>
      <c r="I11" s="21" t="str" cm="1">
        <f t="array" ref="I11">IF(C11&lt;&gt;"",_FV(_FV(_xldudf_EVEONLINE_MARKET_ORDERS_STATS(10000002, H11,60003760),"sell"),"min"),"")</f>
        <v/>
      </c>
      <c r="J11" s="15" t="str">
        <f t="shared" si="0"/>
        <v/>
      </c>
      <c r="K11" s="23" t="str">
        <f t="shared" si="1"/>
        <v/>
      </c>
      <c r="L11" s="24" t="str">
        <f>IF(C11&lt;&gt;"",D11*F11,"")</f>
        <v/>
      </c>
    </row>
    <row r="12" spans="2:12" ht="15.75" thickBot="1" x14ac:dyDescent="0.3">
      <c r="B12" s="16">
        <v>9</v>
      </c>
      <c r="C12" s="17"/>
      <c r="D12" s="18"/>
      <c r="E12" s="17"/>
      <c r="F12" s="19"/>
      <c r="G12" s="20"/>
      <c r="H12" s="18"/>
      <c r="I12" s="21" t="str" cm="1">
        <f t="array" ref="I12">IF(C12&lt;&gt;"",_FV(_FV(_xldudf_EVEONLINE_MARKET_ORDERS_STATS(10000002, H12,60003760),"sell"),"min"),"")</f>
        <v/>
      </c>
      <c r="J12" s="15" t="str">
        <f t="shared" si="0"/>
        <v/>
      </c>
      <c r="K12" s="23" t="str">
        <f t="shared" si="1"/>
        <v/>
      </c>
      <c r="L12" s="24" t="str">
        <f t="shared" si="2"/>
        <v/>
      </c>
    </row>
    <row r="13" spans="2:12" ht="15.75" thickBot="1" x14ac:dyDescent="0.3">
      <c r="B13" s="16">
        <v>10</v>
      </c>
      <c r="C13" s="17"/>
      <c r="D13" s="18"/>
      <c r="E13" s="17"/>
      <c r="F13" s="19"/>
      <c r="G13" s="20"/>
      <c r="H13" s="18"/>
      <c r="I13" s="21" t="str" cm="1">
        <f t="array" ref="I13">IF(C13&lt;&gt;"",_FV(_FV(_xldudf_EVEONLINE_MARKET_ORDERS_STATS(10000002, H13,60003760),"sell"),"min"),"")</f>
        <v/>
      </c>
      <c r="J13" s="15" t="str">
        <f t="shared" si="0"/>
        <v/>
      </c>
      <c r="K13" s="23" t="str">
        <f>IF(C13&lt;&gt;"",E13/D13,"")</f>
        <v/>
      </c>
      <c r="L13" s="24" t="str">
        <f>IF(C13&lt;&gt;"",D13*F13,"")</f>
        <v/>
      </c>
    </row>
    <row r="14" spans="2:12" ht="15.75" thickBot="1" x14ac:dyDescent="0.3">
      <c r="B14" s="16">
        <v>11</v>
      </c>
      <c r="C14" s="17"/>
      <c r="D14" s="18"/>
      <c r="E14" s="17"/>
      <c r="F14" s="19"/>
      <c r="G14" s="20"/>
      <c r="H14" s="18"/>
      <c r="I14" s="21" t="str" cm="1">
        <f t="array" ref="I14">IF(C14&lt;&gt;"",_FV(_FV(_xldudf_EVEONLINE_MARKET_ORDERS_STATS(10000002, H14,60003760),"sell"),"min"),"")</f>
        <v/>
      </c>
      <c r="J14" s="15" t="str">
        <f t="shared" si="0"/>
        <v/>
      </c>
      <c r="K14" s="23" t="str">
        <f t="shared" ref="K14:K33" si="3">IF(C14&lt;&gt;"",E14/D14,"")</f>
        <v/>
      </c>
      <c r="L14" s="24" t="str">
        <f t="shared" ref="L14:L33" si="4">IF(C14&lt;&gt;"",D14*F14,"")</f>
        <v/>
      </c>
    </row>
    <row r="15" spans="2:12" ht="15.75" thickBot="1" x14ac:dyDescent="0.3">
      <c r="B15" s="16">
        <v>12</v>
      </c>
      <c r="C15" s="17"/>
      <c r="D15" s="18"/>
      <c r="E15" s="17"/>
      <c r="F15" s="19"/>
      <c r="G15" s="20"/>
      <c r="H15" s="18"/>
      <c r="I15" s="21" t="str" cm="1">
        <f t="array" ref="I15">IF(C15&lt;&gt;"",_FV(_FV(_xldudf_EVEONLINE_MARKET_ORDERS_STATS(10000002, H15,60003760),"sell"),"min"),"")</f>
        <v/>
      </c>
      <c r="J15" s="15" t="str">
        <f t="shared" si="0"/>
        <v/>
      </c>
      <c r="K15" s="23" t="str">
        <f t="shared" si="3"/>
        <v/>
      </c>
      <c r="L15" s="24" t="str">
        <f t="shared" si="4"/>
        <v/>
      </c>
    </row>
    <row r="16" spans="2:12" ht="15.75" thickBot="1" x14ac:dyDescent="0.3">
      <c r="B16" s="16">
        <v>13</v>
      </c>
      <c r="C16" s="17"/>
      <c r="D16" s="18"/>
      <c r="E16" s="17"/>
      <c r="F16" s="19"/>
      <c r="G16" s="20"/>
      <c r="H16" s="18"/>
      <c r="I16" s="21" t="str" cm="1">
        <f t="array" ref="I16">IF(C16&lt;&gt;"",_FV(_FV(_xldudf_EVEONLINE_MARKET_ORDERS_STATS(10000002, H16,60003760),"sell"),"min"),"")</f>
        <v/>
      </c>
      <c r="J16" s="15" t="str">
        <f t="shared" si="0"/>
        <v/>
      </c>
      <c r="K16" s="23" t="str">
        <f t="shared" si="3"/>
        <v/>
      </c>
      <c r="L16" s="24" t="str">
        <f t="shared" si="4"/>
        <v/>
      </c>
    </row>
    <row r="17" spans="2:12" ht="15.75" thickBot="1" x14ac:dyDescent="0.3">
      <c r="B17" s="16">
        <v>14</v>
      </c>
      <c r="C17" s="17"/>
      <c r="D17" s="18"/>
      <c r="E17" s="17"/>
      <c r="F17" s="19"/>
      <c r="G17" s="20"/>
      <c r="H17" s="18"/>
      <c r="I17" s="21" t="str" cm="1">
        <f t="array" ref="I17">IF(C17&lt;&gt;"",_FV(_FV(_xldudf_EVEONLINE_MARKET_ORDERS_STATS(10000002, H17,60003760),"sell"),"min"),"")</f>
        <v/>
      </c>
      <c r="J17" s="15" t="str">
        <f t="shared" si="0"/>
        <v/>
      </c>
      <c r="K17" s="23" t="str">
        <f t="shared" si="3"/>
        <v/>
      </c>
      <c r="L17" s="24" t="str">
        <f t="shared" si="4"/>
        <v/>
      </c>
    </row>
    <row r="18" spans="2:12" ht="15.75" thickBot="1" x14ac:dyDescent="0.3">
      <c r="B18" s="16">
        <v>15</v>
      </c>
      <c r="C18" s="17"/>
      <c r="D18" s="18"/>
      <c r="E18" s="17"/>
      <c r="F18" s="19"/>
      <c r="G18" s="20"/>
      <c r="H18" s="18"/>
      <c r="I18" s="21" t="str" cm="1">
        <f t="array" ref="I18">IF(C18&lt;&gt;"",_FV(_FV(_xldudf_EVEONLINE_MARKET_ORDERS_STATS(10000002, H18,60003760),"sell"),"min"),"")</f>
        <v/>
      </c>
      <c r="J18" s="15" t="str">
        <f t="shared" si="0"/>
        <v/>
      </c>
      <c r="K18" s="23" t="str">
        <f t="shared" si="3"/>
        <v/>
      </c>
      <c r="L18" s="24" t="str">
        <f t="shared" si="4"/>
        <v/>
      </c>
    </row>
    <row r="19" spans="2:12" ht="15.75" thickBot="1" x14ac:dyDescent="0.3">
      <c r="B19" s="16">
        <v>16</v>
      </c>
      <c r="C19" s="17"/>
      <c r="D19" s="18"/>
      <c r="E19" s="17"/>
      <c r="F19" s="19"/>
      <c r="G19" s="20"/>
      <c r="H19" s="18"/>
      <c r="I19" s="21" t="str" cm="1">
        <f t="array" ref="I19">IF(C19&lt;&gt;"",_FV(_FV(_xldudf_EVEONLINE_MARKET_ORDERS_STATS(10000002, H19,60003760),"sell"),"min"),"")</f>
        <v/>
      </c>
      <c r="J19" s="15" t="str">
        <f t="shared" si="0"/>
        <v/>
      </c>
      <c r="K19" s="23" t="str">
        <f t="shared" si="3"/>
        <v/>
      </c>
      <c r="L19" s="24" t="str">
        <f t="shared" si="4"/>
        <v/>
      </c>
    </row>
    <row r="20" spans="2:12" ht="15.75" thickBot="1" x14ac:dyDescent="0.3">
      <c r="B20" s="16">
        <v>17</v>
      </c>
      <c r="C20" s="17"/>
      <c r="D20" s="18"/>
      <c r="E20" s="17"/>
      <c r="F20" s="19"/>
      <c r="G20" s="20"/>
      <c r="H20" s="18"/>
      <c r="I20" s="21" t="str" cm="1">
        <f t="array" ref="I20">IF(C20&lt;&gt;"",_FV(_FV(_xldudf_EVEONLINE_MARKET_ORDERS_STATS(10000002, H20,60003760),"sell"),"min"),"")</f>
        <v/>
      </c>
      <c r="J20" s="15" t="str">
        <f t="shared" si="0"/>
        <v/>
      </c>
      <c r="K20" s="23" t="str">
        <f t="shared" si="3"/>
        <v/>
      </c>
      <c r="L20" s="24" t="str">
        <f t="shared" si="4"/>
        <v/>
      </c>
    </row>
    <row r="21" spans="2:12" ht="15.75" thickBot="1" x14ac:dyDescent="0.3">
      <c r="B21" s="16">
        <v>18</v>
      </c>
      <c r="C21" s="17"/>
      <c r="D21" s="18"/>
      <c r="E21" s="17"/>
      <c r="F21" s="19"/>
      <c r="G21" s="20"/>
      <c r="H21" s="18"/>
      <c r="I21" s="21" t="str" cm="1">
        <f t="array" ref="I21">IF(C21&lt;&gt;"",_FV(_FV(_xldudf_EVEONLINE_MARKET_ORDERS_STATS(10000002, H21,60003760),"sell"),"min"),"")</f>
        <v/>
      </c>
      <c r="J21" s="15" t="str">
        <f t="shared" si="0"/>
        <v/>
      </c>
      <c r="K21" s="23" t="str">
        <f t="shared" si="3"/>
        <v/>
      </c>
      <c r="L21" s="24" t="str">
        <f t="shared" si="4"/>
        <v/>
      </c>
    </row>
    <row r="22" spans="2:12" ht="15.75" thickBot="1" x14ac:dyDescent="0.3">
      <c r="B22" s="16">
        <v>19</v>
      </c>
      <c r="C22" s="17"/>
      <c r="D22" s="18"/>
      <c r="E22" s="17"/>
      <c r="F22" s="19"/>
      <c r="G22" s="20"/>
      <c r="H22" s="18"/>
      <c r="I22" s="21" t="str" cm="1">
        <f t="array" ref="I22">IF(C22&lt;&gt;"",_FV(_FV(_xldudf_EVEONLINE_MARKET_ORDERS_STATS(10000002, H22,60003760),"sell"),"min"),"")</f>
        <v/>
      </c>
      <c r="J22" s="15" t="str">
        <f t="shared" si="0"/>
        <v/>
      </c>
      <c r="K22" s="23" t="str">
        <f t="shared" si="3"/>
        <v/>
      </c>
      <c r="L22" s="24" t="str">
        <f t="shared" si="4"/>
        <v/>
      </c>
    </row>
    <row r="23" spans="2:12" ht="15.75" thickBot="1" x14ac:dyDescent="0.3">
      <c r="B23" s="16">
        <v>20</v>
      </c>
      <c r="C23" s="17"/>
      <c r="D23" s="18"/>
      <c r="E23" s="17"/>
      <c r="F23" s="19"/>
      <c r="G23" s="20"/>
      <c r="H23" s="18"/>
      <c r="I23" s="21" t="str" cm="1">
        <f t="array" ref="I23">IF(C23&lt;&gt;"",_FV(_FV(_xldudf_EVEONLINE_MARKET_ORDERS_STATS(10000002, H23,60003760),"sell"),"min"),"")</f>
        <v/>
      </c>
      <c r="J23" s="15" t="str">
        <f t="shared" si="0"/>
        <v/>
      </c>
      <c r="K23" s="23" t="str">
        <f t="shared" si="3"/>
        <v/>
      </c>
      <c r="L23" s="24" t="str">
        <f t="shared" si="4"/>
        <v/>
      </c>
    </row>
    <row r="24" spans="2:12" ht="15.75" thickBot="1" x14ac:dyDescent="0.3">
      <c r="B24" s="16">
        <v>21</v>
      </c>
      <c r="C24" s="17"/>
      <c r="D24" s="18"/>
      <c r="E24" s="17"/>
      <c r="F24" s="19"/>
      <c r="G24" s="20"/>
      <c r="H24" s="18"/>
      <c r="I24" s="21" t="str" cm="1">
        <f t="array" ref="I24">IF(C24&lt;&gt;"",_FV(_FV(_xldudf_EVEONLINE_MARKET_ORDERS_STATS(10000002, H24,60003760),"sell"),"min"),"")</f>
        <v/>
      </c>
      <c r="J24" s="15" t="str">
        <f t="shared" si="0"/>
        <v/>
      </c>
      <c r="K24" s="23" t="str">
        <f t="shared" si="3"/>
        <v/>
      </c>
      <c r="L24" s="24" t="str">
        <f t="shared" si="4"/>
        <v/>
      </c>
    </row>
    <row r="25" spans="2:12" ht="15.75" thickBot="1" x14ac:dyDescent="0.3">
      <c r="B25" s="16">
        <v>22</v>
      </c>
      <c r="C25" s="17"/>
      <c r="D25" s="18"/>
      <c r="E25" s="17"/>
      <c r="F25" s="19"/>
      <c r="G25" s="20"/>
      <c r="H25" s="18"/>
      <c r="I25" s="21" t="str" cm="1">
        <f t="array" ref="I25">IF(C25&lt;&gt;"",_FV(_FV(_xldudf_EVEONLINE_MARKET_ORDERS_STATS(10000002, H25,60003760),"sell"),"min"),"")</f>
        <v/>
      </c>
      <c r="J25" s="15" t="str">
        <f t="shared" si="0"/>
        <v/>
      </c>
      <c r="K25" s="23" t="str">
        <f t="shared" si="3"/>
        <v/>
      </c>
      <c r="L25" s="24" t="str">
        <f t="shared" si="4"/>
        <v/>
      </c>
    </row>
    <row r="26" spans="2:12" ht="15.75" thickBot="1" x14ac:dyDescent="0.3">
      <c r="B26" s="16">
        <v>23</v>
      </c>
      <c r="C26" s="17"/>
      <c r="D26" s="18"/>
      <c r="E26" s="17"/>
      <c r="F26" s="19"/>
      <c r="G26" s="20"/>
      <c r="H26" s="18"/>
      <c r="I26" s="21" t="str" cm="1">
        <f t="array" ref="I26">IF(C26&lt;&gt;"",_FV(_FV(_xldudf_EVEONLINE_MARKET_ORDERS_STATS(10000002, H26,60003760),"sell"),"min"),"")</f>
        <v/>
      </c>
      <c r="J26" s="15" t="str">
        <f t="shared" si="0"/>
        <v/>
      </c>
      <c r="K26" s="23" t="str">
        <f t="shared" si="3"/>
        <v/>
      </c>
      <c r="L26" s="24" t="str">
        <f t="shared" si="4"/>
        <v/>
      </c>
    </row>
    <row r="27" spans="2:12" ht="15.75" thickBot="1" x14ac:dyDescent="0.3">
      <c r="B27" s="16">
        <v>24</v>
      </c>
      <c r="C27" s="17"/>
      <c r="D27" s="18"/>
      <c r="E27" s="17"/>
      <c r="F27" s="19"/>
      <c r="G27" s="20"/>
      <c r="H27" s="18"/>
      <c r="I27" s="21" t="str" cm="1">
        <f t="array" ref="I27">IF(C27&lt;&gt;"",_FV(_FV(_xldudf_EVEONLINE_MARKET_ORDERS_STATS(10000002, H27,60003760),"sell"),"min"),"")</f>
        <v/>
      </c>
      <c r="J27" s="15" t="str">
        <f t="shared" si="0"/>
        <v/>
      </c>
      <c r="K27" s="23" t="str">
        <f t="shared" si="3"/>
        <v/>
      </c>
      <c r="L27" s="24" t="str">
        <f t="shared" si="4"/>
        <v/>
      </c>
    </row>
    <row r="28" spans="2:12" ht="15.75" thickBot="1" x14ac:dyDescent="0.3">
      <c r="B28" s="16">
        <v>25</v>
      </c>
      <c r="C28" s="17"/>
      <c r="D28" s="18"/>
      <c r="E28" s="17"/>
      <c r="F28" s="19"/>
      <c r="G28" s="20"/>
      <c r="H28" s="18"/>
      <c r="I28" s="21" t="str" cm="1">
        <f t="array" ref="I28">IF(C28&lt;&gt;"",_FV(_FV(_xldudf_EVEONLINE_MARKET_ORDERS_STATS(10000002, H28,60003760),"sell"),"min"),"")</f>
        <v/>
      </c>
      <c r="J28" s="15" t="str">
        <f t="shared" si="0"/>
        <v/>
      </c>
      <c r="K28" s="23" t="str">
        <f t="shared" si="3"/>
        <v/>
      </c>
      <c r="L28" s="24" t="str">
        <f t="shared" si="4"/>
        <v/>
      </c>
    </row>
    <row r="29" spans="2:12" ht="15.75" thickBot="1" x14ac:dyDescent="0.3">
      <c r="B29" s="16">
        <v>26</v>
      </c>
      <c r="C29" s="17"/>
      <c r="D29" s="18"/>
      <c r="E29" s="17"/>
      <c r="F29" s="19"/>
      <c r="G29" s="20"/>
      <c r="H29" s="18"/>
      <c r="I29" s="21" t="str" cm="1">
        <f t="array" ref="I29">IF(C29&lt;&gt;"",_FV(_FV(_xldudf_EVEONLINE_MARKET_ORDERS_STATS(10000002, H29,60003760),"sell"),"min"),"")</f>
        <v/>
      </c>
      <c r="J29" s="15" t="str">
        <f t="shared" si="0"/>
        <v/>
      </c>
      <c r="K29" s="23" t="str">
        <f t="shared" si="3"/>
        <v/>
      </c>
      <c r="L29" s="24" t="str">
        <f t="shared" si="4"/>
        <v/>
      </c>
    </row>
    <row r="30" spans="2:12" ht="15.75" thickBot="1" x14ac:dyDescent="0.3">
      <c r="B30" s="16">
        <v>27</v>
      </c>
      <c r="C30" s="17"/>
      <c r="D30" s="18"/>
      <c r="E30" s="17"/>
      <c r="F30" s="19"/>
      <c r="G30" s="20"/>
      <c r="H30" s="18"/>
      <c r="I30" s="21" t="str" cm="1">
        <f t="array" ref="I30">IF(C30&lt;&gt;"",_FV(_FV(_xldudf_EVEONLINE_MARKET_ORDERS_STATS(10000002, H30,60003760),"sell"),"min"),"")</f>
        <v/>
      </c>
      <c r="J30" s="15" t="str">
        <f t="shared" si="0"/>
        <v/>
      </c>
      <c r="K30" s="23" t="str">
        <f t="shared" si="3"/>
        <v/>
      </c>
      <c r="L30" s="24" t="str">
        <f t="shared" si="4"/>
        <v/>
      </c>
    </row>
    <row r="31" spans="2:12" ht="15.75" thickBot="1" x14ac:dyDescent="0.3">
      <c r="B31" s="16">
        <v>28</v>
      </c>
      <c r="C31" s="17"/>
      <c r="D31" s="18"/>
      <c r="E31" s="17"/>
      <c r="F31" s="19"/>
      <c r="G31" s="20"/>
      <c r="H31" s="18"/>
      <c r="I31" s="21" t="str" cm="1">
        <f t="array" ref="I31">IF(C31&lt;&gt;"",_FV(_FV(_xldudf_EVEONLINE_MARKET_ORDERS_STATS(10000002, H31,60003760),"sell"),"min"),"")</f>
        <v/>
      </c>
      <c r="J31" s="15" t="str">
        <f t="shared" si="0"/>
        <v/>
      </c>
      <c r="K31" s="23" t="str">
        <f t="shared" si="3"/>
        <v/>
      </c>
      <c r="L31" s="24" t="str">
        <f t="shared" si="4"/>
        <v/>
      </c>
    </row>
    <row r="32" spans="2:12" ht="15.75" thickBot="1" x14ac:dyDescent="0.3">
      <c r="B32" s="16">
        <v>29</v>
      </c>
      <c r="C32" s="17"/>
      <c r="D32" s="18"/>
      <c r="E32" s="17"/>
      <c r="F32" s="19"/>
      <c r="G32" s="20"/>
      <c r="H32" s="18"/>
      <c r="I32" s="21" t="str" cm="1">
        <f t="array" ref="I32">IF(C32&lt;&gt;"",_FV(_FV(_xldudf_EVEONLINE_MARKET_ORDERS_STATS(10000002, H32,60003760),"sell"),"min"),"")</f>
        <v/>
      </c>
      <c r="J32" s="15" t="str">
        <f t="shared" si="0"/>
        <v/>
      </c>
      <c r="K32" s="23" t="str">
        <f t="shared" si="3"/>
        <v/>
      </c>
      <c r="L32" s="24" t="str">
        <f t="shared" si="4"/>
        <v/>
      </c>
    </row>
    <row r="33" spans="2:12" ht="15.75" thickBot="1" x14ac:dyDescent="0.3">
      <c r="B33" s="25">
        <v>30</v>
      </c>
      <c r="C33" s="26"/>
      <c r="D33" s="27"/>
      <c r="E33" s="26"/>
      <c r="F33" s="28"/>
      <c r="G33" s="29"/>
      <c r="H33" s="27"/>
      <c r="I33" s="32" t="str" cm="1">
        <f t="array" ref="I33">IF(C33&lt;&gt;"",_FV(_FV(_xldudf_EVEONLINE_MARKET_ORDERS_STATS(10000002, H33,60003760),"sell"),"min"),"")</f>
        <v/>
      </c>
      <c r="J33" s="15" t="str">
        <f t="shared" si="0"/>
        <v/>
      </c>
      <c r="K33" s="23" t="str">
        <f t="shared" si="3"/>
        <v/>
      </c>
      <c r="L33" s="24" t="str">
        <f t="shared" si="4"/>
        <v/>
      </c>
    </row>
  </sheetData>
  <mergeCells count="1">
    <mergeCell ref="B2:L2"/>
  </mergeCells>
  <conditionalFormatting sqref="J4:J33">
    <cfRule type="cellIs" dxfId="13" priority="1" operator="equal">
      <formula>""</formula>
    </cfRule>
    <cfRule type="cellIs" dxfId="12" priority="2" operator="greaterThan">
      <formula>90%</formula>
    </cfRule>
    <cfRule type="cellIs" dxfId="11" priority="3" operator="greaterThan">
      <formula>80%</formula>
    </cfRule>
    <cfRule type="cellIs" dxfId="10" priority="4" operator="greaterThan">
      <formula>70%</formula>
    </cfRule>
    <cfRule type="cellIs" dxfId="9" priority="5" operator="greaterThan">
      <formula>60%</formula>
    </cfRule>
    <cfRule type="cellIs" dxfId="8" priority="6" operator="greaterThan">
      <formula>50%</formula>
    </cfRule>
    <cfRule type="cellIs" dxfId="7" priority="7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9391-BB08-484B-B490-67949AC9D94D}">
  <dimension ref="B1:L33"/>
  <sheetViews>
    <sheetView workbookViewId="0">
      <selection activeCell="L8" sqref="L8"/>
    </sheetView>
  </sheetViews>
  <sheetFormatPr defaultRowHeight="15" x14ac:dyDescent="0.25"/>
  <cols>
    <col min="2" max="2" width="3.85546875" bestFit="1" customWidth="1"/>
    <col min="3" max="3" width="36" bestFit="1" customWidth="1"/>
    <col min="4" max="4" width="11" bestFit="1" customWidth="1"/>
    <col min="5" max="6" width="18.140625" bestFit="1" customWidth="1"/>
    <col min="7" max="7" width="18.85546875" bestFit="1" customWidth="1"/>
    <col min="8" max="8" width="11" bestFit="1" customWidth="1"/>
    <col min="9" max="9" width="15.42578125" bestFit="1" customWidth="1"/>
    <col min="10" max="10" width="26.85546875" bestFit="1" customWidth="1"/>
    <col min="11" max="11" width="21.42578125" bestFit="1" customWidth="1"/>
    <col min="12" max="12" width="16.28515625" bestFit="1" customWidth="1"/>
  </cols>
  <sheetData>
    <row r="1" spans="2:12" ht="15.75" thickBot="1" x14ac:dyDescent="0.3"/>
    <row r="2" spans="2:12" ht="20.25" thickBot="1" x14ac:dyDescent="0.35">
      <c r="B2" s="62" t="s">
        <v>48</v>
      </c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2:12" ht="18" thickBot="1" x14ac:dyDescent="0.3">
      <c r="B3" s="35" t="s">
        <v>20</v>
      </c>
      <c r="C3" s="35" t="s">
        <v>19</v>
      </c>
      <c r="D3" s="35" t="s">
        <v>5</v>
      </c>
      <c r="E3" s="35" t="s">
        <v>4</v>
      </c>
      <c r="F3" s="36" t="s">
        <v>9</v>
      </c>
      <c r="G3" s="37" t="s">
        <v>0</v>
      </c>
      <c r="H3" s="35" t="s">
        <v>1</v>
      </c>
      <c r="I3" s="36" t="s">
        <v>3</v>
      </c>
      <c r="J3" s="35" t="s">
        <v>45</v>
      </c>
      <c r="K3" s="35" t="s">
        <v>46</v>
      </c>
      <c r="L3" s="36" t="s">
        <v>6</v>
      </c>
    </row>
    <row r="4" spans="2:12" x14ac:dyDescent="0.25">
      <c r="B4" s="10">
        <v>1</v>
      </c>
      <c r="C4" s="11" t="str" cm="1">
        <f t="array" ref="C4">_xlfn._xlws.FILTER(_FV(_FV(_xldudf_EVEONLINE_CHARACTER_ORDERS(2115962405),"type"),"name"),_FV(_xldudf_EVEONLINE_CHARACTER_ORDERS(2115962405),"is_buy_order")= TRUE,"")</f>
        <v/>
      </c>
      <c r="D4" s="12" t="str" cm="1">
        <f t="array" ref="D4">_xlfn._xlws.FILTER(_FV(_xldudf_EVEONLINE_CHARACTER_ORDERS(2115962405),"volume_total"),_FV(_xldudf_EVEONLINE_CHARACTER_ORDERS(2115962405),"is_buy_order")=TRUE,"")</f>
        <v/>
      </c>
      <c r="E4" s="11" t="str" cm="1">
        <f t="array" ref="E4">_xlfn._xlws.FILTER(_FV(_xldudf_EVEONLINE_CHARACTER_ORDERS(2115962405),"volume_remain"),_FV(_xldudf_EVEONLINE_CHARACTER_ORDERS(2115962405),"is_buy_order")= TRUE,"")</f>
        <v/>
      </c>
      <c r="F4" s="13" t="str" cm="1">
        <f t="array" ref="F4">_xlfn._xlws.FILTER(_FV(_xldudf_EVEONLINE_CHARACTER_ORDERS(2115962405),"price"),_FV(_xldudf_EVEONLINE_CHARACTER_ORDERS(2115962405),"is_buy_order")= TRUE,"")</f>
        <v/>
      </c>
      <c r="G4" s="14" t="str" cm="1">
        <f t="array" ref="G4">_xlfn._xlws.FILTER(_FV(_xldudf_EVEONLINE_CHARACTER_ORDERS(2115962405),"issued")+_FV(_xldudf_EVEONLINE_CHARACTER_ORDERS(2115962405),"duration"),_FV(_xldudf_EVEONLINE_CHARACTER_ORDERS(2115962405),"is_buy_order")= TRUE,"")</f>
        <v/>
      </c>
      <c r="H4" s="12" t="str" cm="1">
        <f t="array" ref="H4">_xlfn._xlws.FILTER(_FV(_FV(_xldudf_EVEONLINE_CHARACTER_ORDERS(2115962405),"type"),"id"),_FV(_xldudf_EVEONLINE_CHARACTER_ORDERS(2115962405),"is_buy_order")=TRUE,"")</f>
        <v/>
      </c>
      <c r="I4" s="56" t="str" cm="1">
        <f t="array" ref="I4">IF(C4&lt;&gt;"",_FV(_FV(_xldudf_EVEONLINE_MARKET_ORDERS_STATS(10000002, H4,60003760),"buy"),"max"),"")</f>
        <v/>
      </c>
      <c r="J4" s="15" t="str">
        <f>IF(C4&lt;&gt;"",F4/I4,"")</f>
        <v/>
      </c>
      <c r="K4" s="57" t="str">
        <f t="shared" ref="K4:K13" si="0">IF(C4&lt;&gt;"",E4/D4,"")</f>
        <v/>
      </c>
      <c r="L4" s="58" t="str">
        <f t="shared" ref="L4:L12" si="1">IF(C4&lt;&gt;"",D4*F4,"")</f>
        <v/>
      </c>
    </row>
    <row r="5" spans="2:12" x14ac:dyDescent="0.25">
      <c r="B5" s="16">
        <v>2</v>
      </c>
      <c r="C5" s="17"/>
      <c r="D5" s="18"/>
      <c r="E5" s="17"/>
      <c r="F5" s="19"/>
      <c r="G5" s="20"/>
      <c r="H5" s="18"/>
      <c r="I5" s="21" t="str" cm="1">
        <f t="array" ref="I5">IF(C5&lt;&gt;"",_FV(_FV(_xldudf_EVEONLINE_MARKET_ORDERS_STATS(10000002, H5,60003760),"buy"),"max"),"")</f>
        <v/>
      </c>
      <c r="J5" s="22" t="str">
        <f t="shared" ref="J5:J33" si="2">IF(C5&lt;&gt;"",F5/I5,"")</f>
        <v/>
      </c>
      <c r="K5" s="23" t="str">
        <f t="shared" si="0"/>
        <v/>
      </c>
      <c r="L5" s="24" t="str">
        <f t="shared" si="1"/>
        <v/>
      </c>
    </row>
    <row r="6" spans="2:12" x14ac:dyDescent="0.25">
      <c r="B6" s="16">
        <v>3</v>
      </c>
      <c r="C6" s="17"/>
      <c r="D6" s="18"/>
      <c r="E6" s="17"/>
      <c r="F6" s="19"/>
      <c r="G6" s="20"/>
      <c r="H6" s="18"/>
      <c r="I6" s="21" t="str" cm="1">
        <f t="array" ref="I6">IF(C6&lt;&gt;"",_FV(_FV(_xldudf_EVEONLINE_MARKET_ORDERS_STATS(10000002, H6,60003760),"buy"),"max"),"")</f>
        <v/>
      </c>
      <c r="J6" s="22" t="str">
        <f t="shared" si="2"/>
        <v/>
      </c>
      <c r="K6" s="23" t="str">
        <f t="shared" si="0"/>
        <v/>
      </c>
      <c r="L6" s="24" t="str">
        <f t="shared" si="1"/>
        <v/>
      </c>
    </row>
    <row r="7" spans="2:12" x14ac:dyDescent="0.25">
      <c r="B7" s="16">
        <v>4</v>
      </c>
      <c r="C7" s="17"/>
      <c r="D7" s="18"/>
      <c r="E7" s="17"/>
      <c r="F7" s="19"/>
      <c r="G7" s="20"/>
      <c r="H7" s="18"/>
      <c r="I7" s="21" t="str" cm="1">
        <f t="array" ref="I7">IF(C7&lt;&gt;"",_FV(_FV(_xldudf_EVEONLINE_MARKET_ORDERS_STATS(10000002, H7,60003760),"buy"),"max"),"")</f>
        <v/>
      </c>
      <c r="J7" s="22" t="str">
        <f t="shared" si="2"/>
        <v/>
      </c>
      <c r="K7" s="23" t="str">
        <f t="shared" si="0"/>
        <v/>
      </c>
      <c r="L7" s="24" t="str">
        <f t="shared" si="1"/>
        <v/>
      </c>
    </row>
    <row r="8" spans="2:12" x14ac:dyDescent="0.25">
      <c r="B8" s="16">
        <v>5</v>
      </c>
      <c r="C8" s="17"/>
      <c r="D8" s="18"/>
      <c r="E8" s="17"/>
      <c r="F8" s="19"/>
      <c r="G8" s="20"/>
      <c r="H8" s="18"/>
      <c r="I8" s="21" t="str" cm="1">
        <f t="array" ref="I8">IF(C8&lt;&gt;"",_FV(_FV(_xldudf_EVEONLINE_MARKET_ORDERS_STATS(10000002, H8,60003760),"buy"),"max"),"")</f>
        <v/>
      </c>
      <c r="J8" s="22" t="str">
        <f t="shared" si="2"/>
        <v/>
      </c>
      <c r="K8" s="23" t="str">
        <f t="shared" si="0"/>
        <v/>
      </c>
      <c r="L8" s="24" t="str">
        <f t="shared" si="1"/>
        <v/>
      </c>
    </row>
    <row r="9" spans="2:12" x14ac:dyDescent="0.25">
      <c r="B9" s="16">
        <v>6</v>
      </c>
      <c r="C9" s="17"/>
      <c r="D9" s="18"/>
      <c r="E9" s="17"/>
      <c r="F9" s="19"/>
      <c r="G9" s="20"/>
      <c r="H9" s="18"/>
      <c r="I9" s="21" t="str" cm="1">
        <f t="array" ref="I9">IF(C9&lt;&gt;"",_FV(_FV(_xldudf_EVEONLINE_MARKET_ORDERS_STATS(10000002, H9,60003760),"buy"),"max"),"")</f>
        <v/>
      </c>
      <c r="J9" s="22" t="str">
        <f t="shared" si="2"/>
        <v/>
      </c>
      <c r="K9" s="23" t="str">
        <f t="shared" si="0"/>
        <v/>
      </c>
      <c r="L9" s="24" t="str">
        <f t="shared" si="1"/>
        <v/>
      </c>
    </row>
    <row r="10" spans="2:12" x14ac:dyDescent="0.25">
      <c r="B10" s="16">
        <v>7</v>
      </c>
      <c r="C10" s="17"/>
      <c r="D10" s="18"/>
      <c r="E10" s="17"/>
      <c r="F10" s="19"/>
      <c r="G10" s="20"/>
      <c r="H10" s="18"/>
      <c r="I10" s="21" t="str" cm="1">
        <f t="array" ref="I10">IF(C10&lt;&gt;"",_FV(_FV(_xldudf_EVEONLINE_MARKET_ORDERS_STATS(10000002, H10,60003760),"buy"),"max"),"")</f>
        <v/>
      </c>
      <c r="J10" s="22" t="str">
        <f t="shared" si="2"/>
        <v/>
      </c>
      <c r="K10" s="23" t="str">
        <f t="shared" si="0"/>
        <v/>
      </c>
      <c r="L10" s="24" t="str">
        <f t="shared" si="1"/>
        <v/>
      </c>
    </row>
    <row r="11" spans="2:12" x14ac:dyDescent="0.25">
      <c r="B11" s="16">
        <v>8</v>
      </c>
      <c r="C11" s="17"/>
      <c r="D11" s="18"/>
      <c r="E11" s="17"/>
      <c r="F11" s="19"/>
      <c r="G11" s="20"/>
      <c r="H11" s="18"/>
      <c r="I11" s="21" t="str" cm="1">
        <f t="array" ref="I11">IF(C11&lt;&gt;"",_FV(_FV(_xldudf_EVEONLINE_MARKET_ORDERS_STATS(10000002, H11,60003760),"buy"),"max"),"")</f>
        <v/>
      </c>
      <c r="J11" s="22" t="str">
        <f t="shared" si="2"/>
        <v/>
      </c>
      <c r="K11" s="23" t="str">
        <f t="shared" si="0"/>
        <v/>
      </c>
      <c r="L11" s="24" t="str">
        <f t="shared" si="1"/>
        <v/>
      </c>
    </row>
    <row r="12" spans="2:12" x14ac:dyDescent="0.25">
      <c r="B12" s="16">
        <v>9</v>
      </c>
      <c r="C12" s="17"/>
      <c r="D12" s="18"/>
      <c r="E12" s="17"/>
      <c r="F12" s="19"/>
      <c r="G12" s="20"/>
      <c r="H12" s="18"/>
      <c r="I12" s="21" t="str" cm="1">
        <f t="array" ref="I12">IF(C12&lt;&gt;"",_FV(_FV(_xldudf_EVEONLINE_MARKET_ORDERS_STATS(10000002, H12,60003760),"buy"),"max"),"")</f>
        <v/>
      </c>
      <c r="J12" s="22" t="str">
        <f t="shared" si="2"/>
        <v/>
      </c>
      <c r="K12" s="23" t="str">
        <f t="shared" si="0"/>
        <v/>
      </c>
      <c r="L12" s="24" t="str">
        <f t="shared" si="1"/>
        <v/>
      </c>
    </row>
    <row r="13" spans="2:12" x14ac:dyDescent="0.25">
      <c r="B13" s="16">
        <v>10</v>
      </c>
      <c r="C13" s="17"/>
      <c r="D13" s="18"/>
      <c r="E13" s="17"/>
      <c r="F13" s="19"/>
      <c r="G13" s="20"/>
      <c r="H13" s="18"/>
      <c r="I13" s="21" t="str" cm="1">
        <f t="array" ref="I13">IF(C13&lt;&gt;"",_FV(_FV(_xldudf_EVEONLINE_MARKET_ORDERS_STATS(10000002, H13,60003760),"buy"),"max"),"")</f>
        <v/>
      </c>
      <c r="J13" s="22" t="str">
        <f t="shared" si="2"/>
        <v/>
      </c>
      <c r="K13" s="23" t="str">
        <f t="shared" si="0"/>
        <v/>
      </c>
      <c r="L13" s="24" t="str">
        <f>IF(C13&lt;&gt;"",D13*F13,"")</f>
        <v/>
      </c>
    </row>
    <row r="14" spans="2:12" x14ac:dyDescent="0.25">
      <c r="B14" s="16">
        <v>11</v>
      </c>
      <c r="C14" s="17"/>
      <c r="D14" s="18"/>
      <c r="E14" s="17"/>
      <c r="F14" s="19"/>
      <c r="G14" s="20"/>
      <c r="H14" s="18"/>
      <c r="I14" s="21" t="str" cm="1">
        <f t="array" ref="I14">IF(C14&lt;&gt;"",_FV(_FV(_xldudf_EVEONLINE_MARKET_ORDERS_STATS(10000002, H14,60003760),"buy"),"max"),"")</f>
        <v/>
      </c>
      <c r="J14" s="22" t="str">
        <f t="shared" si="2"/>
        <v/>
      </c>
      <c r="K14" s="23" t="str">
        <f t="shared" ref="K14:K33" si="3">IF(C14&lt;&gt;"",E14/D14,"")</f>
        <v/>
      </c>
      <c r="L14" s="24" t="str">
        <f t="shared" ref="L14:L33" si="4">IF(C14&lt;&gt;"",D14*F14,"")</f>
        <v/>
      </c>
    </row>
    <row r="15" spans="2:12" x14ac:dyDescent="0.25">
      <c r="B15" s="16">
        <v>12</v>
      </c>
      <c r="C15" s="17"/>
      <c r="D15" s="18"/>
      <c r="E15" s="17"/>
      <c r="F15" s="19"/>
      <c r="G15" s="20"/>
      <c r="H15" s="18"/>
      <c r="I15" s="21" t="str" cm="1">
        <f t="array" ref="I15">IF(C15&lt;&gt;"",_FV(_FV(_xldudf_EVEONLINE_MARKET_ORDERS_STATS(10000002, H15,60003760),"buy"),"max"),"")</f>
        <v/>
      </c>
      <c r="J15" s="22" t="str">
        <f t="shared" si="2"/>
        <v/>
      </c>
      <c r="K15" s="23" t="str">
        <f t="shared" si="3"/>
        <v/>
      </c>
      <c r="L15" s="24" t="str">
        <f t="shared" si="4"/>
        <v/>
      </c>
    </row>
    <row r="16" spans="2:12" x14ac:dyDescent="0.25">
      <c r="B16" s="16">
        <v>13</v>
      </c>
      <c r="C16" s="17"/>
      <c r="D16" s="18"/>
      <c r="E16" s="17"/>
      <c r="F16" s="19"/>
      <c r="G16" s="20"/>
      <c r="H16" s="18"/>
      <c r="I16" s="21" t="str" cm="1">
        <f t="array" ref="I16">IF(C16&lt;&gt;"",_FV(_FV(_xldudf_EVEONLINE_MARKET_ORDERS_STATS(10000002, H16,60003760),"buy"),"max"),"")</f>
        <v/>
      </c>
      <c r="J16" s="22" t="str">
        <f t="shared" si="2"/>
        <v/>
      </c>
      <c r="K16" s="23" t="str">
        <f t="shared" si="3"/>
        <v/>
      </c>
      <c r="L16" s="24" t="str">
        <f t="shared" si="4"/>
        <v/>
      </c>
    </row>
    <row r="17" spans="2:12" x14ac:dyDescent="0.25">
      <c r="B17" s="16">
        <v>14</v>
      </c>
      <c r="C17" s="17"/>
      <c r="D17" s="18"/>
      <c r="E17" s="17"/>
      <c r="F17" s="19"/>
      <c r="G17" s="20"/>
      <c r="H17" s="18"/>
      <c r="I17" s="21" t="str" cm="1">
        <f t="array" ref="I17">IF(C17&lt;&gt;"",_FV(_FV(_xldudf_EVEONLINE_MARKET_ORDERS_STATS(10000002, H17,60003760),"buy"),"max"),"")</f>
        <v/>
      </c>
      <c r="J17" s="22" t="str">
        <f t="shared" si="2"/>
        <v/>
      </c>
      <c r="K17" s="23" t="str">
        <f t="shared" si="3"/>
        <v/>
      </c>
      <c r="L17" s="24" t="str">
        <f t="shared" si="4"/>
        <v/>
      </c>
    </row>
    <row r="18" spans="2:12" x14ac:dyDescent="0.25">
      <c r="B18" s="16">
        <v>15</v>
      </c>
      <c r="C18" s="17"/>
      <c r="D18" s="18"/>
      <c r="E18" s="17"/>
      <c r="F18" s="19"/>
      <c r="G18" s="20"/>
      <c r="H18" s="18"/>
      <c r="I18" s="21" t="str" cm="1">
        <f t="array" ref="I18">IF(C18&lt;&gt;"",_FV(_FV(_xldudf_EVEONLINE_MARKET_ORDERS_STATS(10000002, H18,60003760),"buy"),"max"),"")</f>
        <v/>
      </c>
      <c r="J18" s="22" t="str">
        <f t="shared" si="2"/>
        <v/>
      </c>
      <c r="K18" s="23" t="str">
        <f t="shared" si="3"/>
        <v/>
      </c>
      <c r="L18" s="24" t="str">
        <f t="shared" si="4"/>
        <v/>
      </c>
    </row>
    <row r="19" spans="2:12" x14ac:dyDescent="0.25">
      <c r="B19" s="16">
        <v>16</v>
      </c>
      <c r="C19" s="17"/>
      <c r="D19" s="18"/>
      <c r="E19" s="17"/>
      <c r="F19" s="19"/>
      <c r="G19" s="20"/>
      <c r="H19" s="18"/>
      <c r="I19" s="21" t="str" cm="1">
        <f t="array" ref="I19">IF(C19&lt;&gt;"",_FV(_FV(_xldudf_EVEONLINE_MARKET_ORDERS_STATS(10000002, H19,60003760),"buy"),"max"),"")</f>
        <v/>
      </c>
      <c r="J19" s="22" t="str">
        <f t="shared" si="2"/>
        <v/>
      </c>
      <c r="K19" s="23" t="str">
        <f t="shared" si="3"/>
        <v/>
      </c>
      <c r="L19" s="24" t="str">
        <f t="shared" si="4"/>
        <v/>
      </c>
    </row>
    <row r="20" spans="2:12" x14ac:dyDescent="0.25">
      <c r="B20" s="16">
        <v>17</v>
      </c>
      <c r="C20" s="17"/>
      <c r="D20" s="18"/>
      <c r="E20" s="17"/>
      <c r="F20" s="19"/>
      <c r="G20" s="20"/>
      <c r="H20" s="18"/>
      <c r="I20" s="21" t="str" cm="1">
        <f t="array" ref="I20">IF(C20&lt;&gt;"",_FV(_FV(_xldudf_EVEONLINE_MARKET_ORDERS_STATS(10000002, H20,60003760),"buy"),"max"),"")</f>
        <v/>
      </c>
      <c r="J20" s="22" t="str">
        <f t="shared" si="2"/>
        <v/>
      </c>
      <c r="K20" s="23" t="str">
        <f t="shared" si="3"/>
        <v/>
      </c>
      <c r="L20" s="24" t="str">
        <f t="shared" si="4"/>
        <v/>
      </c>
    </row>
    <row r="21" spans="2:12" x14ac:dyDescent="0.25">
      <c r="B21" s="16">
        <v>18</v>
      </c>
      <c r="C21" s="17"/>
      <c r="D21" s="18"/>
      <c r="E21" s="17"/>
      <c r="F21" s="19"/>
      <c r="G21" s="20"/>
      <c r="H21" s="18"/>
      <c r="I21" s="21" t="str" cm="1">
        <f t="array" ref="I21">IF(C21&lt;&gt;"",_FV(_FV(_xldudf_EVEONLINE_MARKET_ORDERS_STATS(10000002, H21,60003760),"buy"),"max"),"")</f>
        <v/>
      </c>
      <c r="J21" s="22" t="str">
        <f t="shared" si="2"/>
        <v/>
      </c>
      <c r="K21" s="23" t="str">
        <f t="shared" si="3"/>
        <v/>
      </c>
      <c r="L21" s="24" t="str">
        <f t="shared" si="4"/>
        <v/>
      </c>
    </row>
    <row r="22" spans="2:12" x14ac:dyDescent="0.25">
      <c r="B22" s="16">
        <v>19</v>
      </c>
      <c r="C22" s="17"/>
      <c r="D22" s="18"/>
      <c r="E22" s="17"/>
      <c r="F22" s="19"/>
      <c r="G22" s="20"/>
      <c r="H22" s="18"/>
      <c r="I22" s="21" t="str" cm="1">
        <f t="array" ref="I22">IF(C22&lt;&gt;"",_FV(_FV(_xldudf_EVEONLINE_MARKET_ORDERS_STATS(10000002, H22,60003760),"buy"),"max"),"")</f>
        <v/>
      </c>
      <c r="J22" s="22" t="str">
        <f t="shared" si="2"/>
        <v/>
      </c>
      <c r="K22" s="23" t="str">
        <f t="shared" si="3"/>
        <v/>
      </c>
      <c r="L22" s="24" t="str">
        <f t="shared" si="4"/>
        <v/>
      </c>
    </row>
    <row r="23" spans="2:12" x14ac:dyDescent="0.25">
      <c r="B23" s="16">
        <v>20</v>
      </c>
      <c r="C23" s="17"/>
      <c r="D23" s="18"/>
      <c r="E23" s="17"/>
      <c r="F23" s="19"/>
      <c r="G23" s="20"/>
      <c r="H23" s="18"/>
      <c r="I23" s="21" t="str" cm="1">
        <f t="array" ref="I23">IF(C23&lt;&gt;"",_FV(_FV(_xldudf_EVEONLINE_MARKET_ORDERS_STATS(10000002, H23,60003760),"buy"),"max"),"")</f>
        <v/>
      </c>
      <c r="J23" s="22" t="str">
        <f t="shared" si="2"/>
        <v/>
      </c>
      <c r="K23" s="23" t="str">
        <f t="shared" si="3"/>
        <v/>
      </c>
      <c r="L23" s="24" t="str">
        <f t="shared" si="4"/>
        <v/>
      </c>
    </row>
    <row r="24" spans="2:12" x14ac:dyDescent="0.25">
      <c r="B24" s="16">
        <v>21</v>
      </c>
      <c r="C24" s="17"/>
      <c r="D24" s="18"/>
      <c r="E24" s="17"/>
      <c r="F24" s="19"/>
      <c r="G24" s="20"/>
      <c r="H24" s="18"/>
      <c r="I24" s="21" t="str" cm="1">
        <f t="array" ref="I24">IF(C24&lt;&gt;"",_FV(_FV(_xldudf_EVEONLINE_MARKET_ORDERS_STATS(10000002, H24,60003760),"buy"),"max"),"")</f>
        <v/>
      </c>
      <c r="J24" s="22" t="str">
        <f t="shared" si="2"/>
        <v/>
      </c>
      <c r="K24" s="23" t="str">
        <f t="shared" si="3"/>
        <v/>
      </c>
      <c r="L24" s="24" t="str">
        <f t="shared" si="4"/>
        <v/>
      </c>
    </row>
    <row r="25" spans="2:12" x14ac:dyDescent="0.25">
      <c r="B25" s="16">
        <v>22</v>
      </c>
      <c r="C25" s="17"/>
      <c r="D25" s="18"/>
      <c r="E25" s="17"/>
      <c r="F25" s="19"/>
      <c r="G25" s="20"/>
      <c r="H25" s="18"/>
      <c r="I25" s="21" t="str" cm="1">
        <f t="array" ref="I25">IF(C25&lt;&gt;"",_FV(_FV(_xldudf_EVEONLINE_MARKET_ORDERS_STATS(10000002, H25,60003760),"buy"),"max"),"")</f>
        <v/>
      </c>
      <c r="J25" s="22" t="str">
        <f t="shared" si="2"/>
        <v/>
      </c>
      <c r="K25" s="23" t="str">
        <f t="shared" si="3"/>
        <v/>
      </c>
      <c r="L25" s="24" t="str">
        <f t="shared" si="4"/>
        <v/>
      </c>
    </row>
    <row r="26" spans="2:12" x14ac:dyDescent="0.25">
      <c r="B26" s="16">
        <v>23</v>
      </c>
      <c r="C26" s="17"/>
      <c r="D26" s="18"/>
      <c r="E26" s="17"/>
      <c r="F26" s="19"/>
      <c r="G26" s="20"/>
      <c r="H26" s="18"/>
      <c r="I26" s="21" t="str" cm="1">
        <f t="array" ref="I26">IF(C26&lt;&gt;"",_FV(_FV(_xldudf_EVEONLINE_MARKET_ORDERS_STATS(10000002, H26,60003760),"buy"),"max"),"")</f>
        <v/>
      </c>
      <c r="J26" s="22" t="str">
        <f t="shared" si="2"/>
        <v/>
      </c>
      <c r="K26" s="23" t="str">
        <f t="shared" si="3"/>
        <v/>
      </c>
      <c r="L26" s="24" t="str">
        <f t="shared" si="4"/>
        <v/>
      </c>
    </row>
    <row r="27" spans="2:12" x14ac:dyDescent="0.25">
      <c r="B27" s="16">
        <v>24</v>
      </c>
      <c r="C27" s="17"/>
      <c r="D27" s="18"/>
      <c r="E27" s="17"/>
      <c r="F27" s="19"/>
      <c r="G27" s="20"/>
      <c r="H27" s="18"/>
      <c r="I27" s="21" t="str" cm="1">
        <f t="array" ref="I27">IF(C27&lt;&gt;"",_FV(_FV(_xldudf_EVEONLINE_MARKET_ORDERS_STATS(10000002, H27,60003760),"buy"),"max"),"")</f>
        <v/>
      </c>
      <c r="J27" s="22" t="str">
        <f t="shared" si="2"/>
        <v/>
      </c>
      <c r="K27" s="23" t="str">
        <f t="shared" si="3"/>
        <v/>
      </c>
      <c r="L27" s="24" t="str">
        <f t="shared" si="4"/>
        <v/>
      </c>
    </row>
    <row r="28" spans="2:12" x14ac:dyDescent="0.25">
      <c r="B28" s="16">
        <v>25</v>
      </c>
      <c r="C28" s="17"/>
      <c r="D28" s="18"/>
      <c r="E28" s="17"/>
      <c r="F28" s="19"/>
      <c r="G28" s="20"/>
      <c r="H28" s="18"/>
      <c r="I28" s="21" t="str" cm="1">
        <f t="array" ref="I28">IF(C28&lt;&gt;"",_FV(_FV(_xldudf_EVEONLINE_MARKET_ORDERS_STATS(10000002, H28,60003760),"buy"),"max"),"")</f>
        <v/>
      </c>
      <c r="J28" s="22" t="str">
        <f t="shared" si="2"/>
        <v/>
      </c>
      <c r="K28" s="23" t="str">
        <f t="shared" si="3"/>
        <v/>
      </c>
      <c r="L28" s="24" t="str">
        <f t="shared" si="4"/>
        <v/>
      </c>
    </row>
    <row r="29" spans="2:12" x14ac:dyDescent="0.25">
      <c r="B29" s="16">
        <v>26</v>
      </c>
      <c r="C29" s="17"/>
      <c r="D29" s="18"/>
      <c r="E29" s="17"/>
      <c r="F29" s="19"/>
      <c r="G29" s="20"/>
      <c r="H29" s="18"/>
      <c r="I29" s="21" t="str" cm="1">
        <f t="array" ref="I29">IF(C29&lt;&gt;"",_FV(_FV(_xldudf_EVEONLINE_MARKET_ORDERS_STATS(10000002, H29,60003760),"buy"),"max"),"")</f>
        <v/>
      </c>
      <c r="J29" s="22" t="str">
        <f t="shared" si="2"/>
        <v/>
      </c>
      <c r="K29" s="23" t="str">
        <f t="shared" si="3"/>
        <v/>
      </c>
      <c r="L29" s="24" t="str">
        <f t="shared" si="4"/>
        <v/>
      </c>
    </row>
    <row r="30" spans="2:12" x14ac:dyDescent="0.25">
      <c r="B30" s="16">
        <v>27</v>
      </c>
      <c r="C30" s="17"/>
      <c r="D30" s="18"/>
      <c r="E30" s="17"/>
      <c r="F30" s="19"/>
      <c r="G30" s="20"/>
      <c r="H30" s="18"/>
      <c r="I30" s="21" t="str" cm="1">
        <f t="array" ref="I30">IF(C30&lt;&gt;"",_FV(_FV(_xldudf_EVEONLINE_MARKET_ORDERS_STATS(10000002, H30,60003760),"buy"),"max"),"")</f>
        <v/>
      </c>
      <c r="J30" s="22" t="str">
        <f t="shared" si="2"/>
        <v/>
      </c>
      <c r="K30" s="23" t="str">
        <f t="shared" si="3"/>
        <v/>
      </c>
      <c r="L30" s="24" t="str">
        <f t="shared" si="4"/>
        <v/>
      </c>
    </row>
    <row r="31" spans="2:12" x14ac:dyDescent="0.25">
      <c r="B31" s="16">
        <v>28</v>
      </c>
      <c r="C31" s="17"/>
      <c r="D31" s="18"/>
      <c r="E31" s="17"/>
      <c r="F31" s="19"/>
      <c r="G31" s="20"/>
      <c r="H31" s="18"/>
      <c r="I31" s="21" t="str" cm="1">
        <f t="array" ref="I31">IF(C31&lt;&gt;"",_FV(_FV(_xldudf_EVEONLINE_MARKET_ORDERS_STATS(10000002, H31,60003760),"buy"),"max"),"")</f>
        <v/>
      </c>
      <c r="J31" s="22" t="str">
        <f t="shared" si="2"/>
        <v/>
      </c>
      <c r="K31" s="23" t="str">
        <f t="shared" si="3"/>
        <v/>
      </c>
      <c r="L31" s="24" t="str">
        <f t="shared" si="4"/>
        <v/>
      </c>
    </row>
    <row r="32" spans="2:12" x14ac:dyDescent="0.25">
      <c r="B32" s="16">
        <v>29</v>
      </c>
      <c r="C32" s="17"/>
      <c r="D32" s="18"/>
      <c r="E32" s="17"/>
      <c r="F32" s="19"/>
      <c r="G32" s="20"/>
      <c r="H32" s="18"/>
      <c r="I32" s="21" t="str" cm="1">
        <f t="array" ref="I32">IF(C32&lt;&gt;"",_FV(_FV(_xldudf_EVEONLINE_MARKET_ORDERS_STATS(10000002, H32,60003760),"buy"),"max"),"")</f>
        <v/>
      </c>
      <c r="J32" s="22" t="str">
        <f t="shared" si="2"/>
        <v/>
      </c>
      <c r="K32" s="23" t="str">
        <f t="shared" si="3"/>
        <v/>
      </c>
      <c r="L32" s="24" t="str">
        <f t="shared" si="4"/>
        <v/>
      </c>
    </row>
    <row r="33" spans="2:12" ht="15.75" thickBot="1" x14ac:dyDescent="0.3">
      <c r="B33" s="25">
        <v>30</v>
      </c>
      <c r="C33" s="26"/>
      <c r="D33" s="27"/>
      <c r="E33" s="26"/>
      <c r="F33" s="28"/>
      <c r="G33" s="29"/>
      <c r="H33" s="27"/>
      <c r="I33" s="32" t="str" cm="1">
        <f t="array" ref="I33">IF(C33&lt;&gt;"",_FV(_FV(_xldudf_EVEONLINE_MARKET_ORDERS_STATS(10000002, H33,60003760),"buy"),"max"),"")</f>
        <v/>
      </c>
      <c r="J33" s="33" t="str">
        <f t="shared" si="2"/>
        <v/>
      </c>
      <c r="K33" s="59" t="str">
        <f t="shared" si="3"/>
        <v/>
      </c>
      <c r="L33" s="60" t="str">
        <f t="shared" si="4"/>
        <v/>
      </c>
    </row>
  </sheetData>
  <mergeCells count="1">
    <mergeCell ref="B2:L2"/>
  </mergeCells>
  <conditionalFormatting sqref="J4:J33">
    <cfRule type="cellIs" dxfId="6" priority="1" operator="equal">
      <formula>""</formula>
    </cfRule>
    <cfRule type="cellIs" dxfId="5" priority="2" operator="greaterThan">
      <formula>90%</formula>
    </cfRule>
    <cfRule type="cellIs" dxfId="4" priority="3" operator="greaterThan">
      <formula>80%</formula>
    </cfRule>
    <cfRule type="cellIs" dxfId="3" priority="4" operator="greaterThan">
      <formula>70%</formula>
    </cfRule>
    <cfRule type="cellIs" dxfId="2" priority="5" operator="greaterThan">
      <formula>60%</formula>
    </cfRule>
    <cfRule type="cellIs" dxfId="1" priority="6" operator="greaterThan">
      <formula>50%</formula>
    </cfRule>
    <cfRule type="cellIs" dxfId="0" priority="7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BA6-F302-4C1A-B462-7759E04BD648}">
  <dimension ref="A1:N397"/>
  <sheetViews>
    <sheetView workbookViewId="0">
      <selection activeCell="A83" sqref="A83"/>
    </sheetView>
  </sheetViews>
  <sheetFormatPr defaultRowHeight="15" x14ac:dyDescent="0.25"/>
  <cols>
    <col min="1" max="1" width="64" bestFit="1" customWidth="1"/>
    <col min="2" max="2" width="38.140625" bestFit="1" customWidth="1"/>
    <col min="3" max="3" width="46.85546875" bestFit="1" customWidth="1"/>
    <col min="4" max="4" width="46.85546875" style="7" bestFit="1" customWidth="1"/>
    <col min="5" max="5" width="28.7109375" style="1" bestFit="1" customWidth="1"/>
    <col min="6" max="6" width="20.42578125" bestFit="1" customWidth="1"/>
    <col min="7" max="7" width="26" style="7" bestFit="1" customWidth="1"/>
    <col min="8" max="8" width="27.42578125" bestFit="1" customWidth="1"/>
    <col min="9" max="9" width="26" bestFit="1" customWidth="1"/>
    <col min="10" max="10" width="14.140625" style="7" bestFit="1" customWidth="1"/>
    <col min="11" max="11" width="14.140625" style="7" customWidth="1"/>
  </cols>
  <sheetData>
    <row r="1" spans="1:11" x14ac:dyDescent="0.25">
      <c r="A1" s="3" t="s">
        <v>19</v>
      </c>
      <c r="B1" s="3" t="s">
        <v>5</v>
      </c>
      <c r="C1" s="3" t="s">
        <v>4</v>
      </c>
      <c r="D1" s="6" t="s">
        <v>9</v>
      </c>
      <c r="E1" s="4" t="s">
        <v>0</v>
      </c>
      <c r="F1" s="3" t="s">
        <v>1</v>
      </c>
      <c r="G1" s="6" t="s">
        <v>3</v>
      </c>
      <c r="H1" s="3" t="s">
        <v>7</v>
      </c>
      <c r="I1" s="3" t="s">
        <v>8</v>
      </c>
      <c r="J1" s="6" t="s">
        <v>6</v>
      </c>
      <c r="K1" s="6"/>
    </row>
    <row r="2" spans="1:11" x14ac:dyDescent="0.25">
      <c r="A2" s="3" t="str" cm="1">
        <f t="array" ref="A2:A5">_xlfn._xlws.FILTER(_FV(_FV(_xldudf_EVEONLINE_CHARACTER_ORDERS(2115962405),"type"),"name"),_FV(_xldudf_EVEONLINE_CHARACTER_ORDERS(2115962405),"is_buy_order")= FALSE,"")</f>
        <v>Omnidirectional Tracking Link II</v>
      </c>
      <c r="B2" s="3" cm="1">
        <f t="array" ref="B2:B5">_xlfn._xlws.FILTER(_FV(_xldudf_EVEONLINE_CHARACTER_ORDERS(2115962405),"volume_total"),_FV(_xldudf_EVEONLINE_CHARACTER_ORDERS(2115962405),"is_buy_order")=FALSE,"")</f>
        <v>127</v>
      </c>
      <c r="C2" s="3" cm="1">
        <f t="array" ref="C2:C5">_xlfn._xlws.FILTER(_FV(_xldudf_EVEONLINE_CHARACTER_ORDERS(2115962405),"volume_remain"),_FV(_xldudf_EVEONLINE_CHARACTER_ORDERS(2115962405),"is_buy_order")= FALSE,"")</f>
        <v>119</v>
      </c>
      <c r="D2" s="6" cm="1">
        <f t="array" ref="D2:D5">_xlfn._xlws.FILTER(_FV(_xldudf_EVEONLINE_CHARACTER_ORDERS(2115962405),"price"),_FV(_xldudf_EVEONLINE_CHARACTER_ORDERS(2115962405),"is_buy_order")= FALSE,"")</f>
        <v>1035000</v>
      </c>
      <c r="E2" s="4" cm="1">
        <f t="array" ref="E2:E5">_xlfn._xlws.FILTER(_FV(_xldudf_EVEONLINE_CHARACTER_ORDERS(2115962405),"issued")+_FV(_xldudf_EVEONLINE_CHARACTER_ORDERS(2115962405),"duration"),_FV(_xldudf_EVEONLINE_CHARACTER_ORDERS(2115962405),"is_buy_order")= FALSE,"")</f>
        <v>45426.793900462959</v>
      </c>
      <c r="F2" s="3" cm="1" vm="9">
        <f t="array" ref="F2:F5">_xlfn._xlws.FILTER(_FV(_FV(_xldudf_EVEONLINE_CHARACTER_ORDERS(2115962405),"type"),"id"),_FV(_xldudf_EVEONLINE_CHARACTER_ORDERS(2115962405),"is_buy_order")= FALSE,"")</f>
        <v>24438</v>
      </c>
      <c r="G2" s="6" cm="1">
        <f t="array" ref="G2">_FV(_FV(_xldudf_EVEONLINE_MARKET_ORDERS_STATS(10000002, F2,60003760),"sell"),"min")</f>
        <v>987900</v>
      </c>
      <c r="H2" s="5">
        <f t="shared" ref="H2:H10" si="0">(G2*0.964)/D2</f>
        <v>0.92013101449275359</v>
      </c>
      <c r="I2" s="5">
        <f>C2/B2</f>
        <v>0.93700787401574803</v>
      </c>
      <c r="J2" s="6">
        <f t="shared" ref="J2:J10" si="1">B2*D2</f>
        <v>131445000</v>
      </c>
      <c r="K2" s="6"/>
    </row>
    <row r="3" spans="1:11" x14ac:dyDescent="0.25">
      <c r="A3" s="3" t="str">
        <v>Nanite Repair Paste</v>
      </c>
      <c r="B3" s="3">
        <v>12515</v>
      </c>
      <c r="C3" s="3">
        <v>11985</v>
      </c>
      <c r="D3" s="6">
        <v>37300</v>
      </c>
      <c r="E3" s="4">
        <v>45424.542303240742</v>
      </c>
      <c r="F3" s="3" vm="10">
        <v>28668</v>
      </c>
      <c r="G3" s="6" cm="1">
        <f t="array" ref="G3">_FV(_FV(_xldudf_EVEONLINE_MARKET_ORDERS_STATS(10000002, F3,60003760),"sell"),"min")</f>
        <v>29310</v>
      </c>
      <c r="H3" s="5">
        <f t="shared" si="0"/>
        <v>0.75750241286863274</v>
      </c>
      <c r="I3" s="5">
        <f t="shared" ref="I3:I10" si="2">C3/B3</f>
        <v>0.95765081901717941</v>
      </c>
      <c r="J3" s="6">
        <f t="shared" si="1"/>
        <v>466809500</v>
      </c>
      <c r="K3" s="6"/>
    </row>
    <row r="4" spans="1:11" x14ac:dyDescent="0.25">
      <c r="A4" s="3" t="str">
        <v>Trinary State Processor</v>
      </c>
      <c r="B4" s="3">
        <v>20000</v>
      </c>
      <c r="C4" s="3">
        <v>20000</v>
      </c>
      <c r="D4" s="6">
        <v>29370</v>
      </c>
      <c r="E4" s="4">
        <v>45426.79552083333</v>
      </c>
      <c r="F4" s="3" vm="8">
        <v>52313</v>
      </c>
      <c r="G4" s="6" cm="1">
        <f t="array" ref="G4">_FV(_FV(_xldudf_EVEONLINE_MARKET_ORDERS_STATS(10000002, F4,60003760),"sell"),"min")</f>
        <v>19310</v>
      </c>
      <c r="H4" s="5">
        <f t="shared" si="0"/>
        <v>0.63380456247871975</v>
      </c>
      <c r="I4" s="5">
        <f t="shared" si="2"/>
        <v>1</v>
      </c>
      <c r="J4" s="6">
        <f t="shared" si="1"/>
        <v>587400000</v>
      </c>
      <c r="K4" s="6"/>
    </row>
    <row r="5" spans="1:11" x14ac:dyDescent="0.25">
      <c r="A5" s="3" t="str">
        <v>Omnidirectional Tracking Link II</v>
      </c>
      <c r="B5" s="3">
        <v>166</v>
      </c>
      <c r="C5" s="3">
        <v>81</v>
      </c>
      <c r="D5" s="6">
        <v>1200000</v>
      </c>
      <c r="E5" s="4">
        <v>45458.576666666668</v>
      </c>
      <c r="F5" s="3" vm="9">
        <v>24438</v>
      </c>
      <c r="G5" s="6" cm="1">
        <f t="array" ref="G5">_FV(_FV(_xldudf_EVEONLINE_MARKET_ORDERS_STATS(10000002, F5,60003760),"sell"),"min")</f>
        <v>987900</v>
      </c>
      <c r="H5" s="5">
        <f t="shared" si="0"/>
        <v>0.79361300000000001</v>
      </c>
      <c r="I5" s="5">
        <f t="shared" si="2"/>
        <v>0.48795180722891568</v>
      </c>
      <c r="J5" s="6">
        <f t="shared" si="1"/>
        <v>199200000</v>
      </c>
      <c r="K5" s="6"/>
    </row>
    <row r="6" spans="1:11" x14ac:dyDescent="0.25">
      <c r="A6" s="3"/>
      <c r="B6" s="3"/>
      <c r="C6" s="3"/>
      <c r="D6" s="6"/>
      <c r="E6" s="4"/>
      <c r="F6" s="3"/>
      <c r="G6" s="6" t="e" cm="1" vm="11">
        <f t="array" ref="G6">_FV(_FV(_xldudf_EVEONLINE_MARKET_ORDERS_STATS(10000002, F6,60003760),"sell"),"min")</f>
        <v>#VALUE!</v>
      </c>
      <c r="H6" s="5" t="e" vm="12">
        <f t="shared" si="0"/>
        <v>#VALUE!</v>
      </c>
      <c r="I6" s="5" t="e">
        <f t="shared" si="2"/>
        <v>#DIV/0!</v>
      </c>
      <c r="J6" s="6">
        <f t="shared" si="1"/>
        <v>0</v>
      </c>
      <c r="K6" s="6"/>
    </row>
    <row r="7" spans="1:11" x14ac:dyDescent="0.25">
      <c r="A7" s="3"/>
      <c r="B7" s="3"/>
      <c r="C7" s="3"/>
      <c r="D7" s="6"/>
      <c r="E7" s="4"/>
      <c r="F7" s="3"/>
      <c r="G7" s="6" t="e" cm="1" vm="11">
        <f t="array" ref="G7">_FV(_FV(_xldudf_EVEONLINE_MARKET_ORDERS_STATS(10000002, F7,60003760),"sell"),"min")</f>
        <v>#VALUE!</v>
      </c>
      <c r="H7" s="5" t="e" vm="12">
        <f t="shared" si="0"/>
        <v>#VALUE!</v>
      </c>
      <c r="I7" s="5" t="e">
        <f t="shared" si="2"/>
        <v>#DIV/0!</v>
      </c>
      <c r="J7" s="6">
        <f t="shared" si="1"/>
        <v>0</v>
      </c>
      <c r="K7" s="6"/>
    </row>
    <row r="8" spans="1:11" x14ac:dyDescent="0.25">
      <c r="A8" s="3"/>
      <c r="B8" s="3"/>
      <c r="C8" s="3"/>
      <c r="D8" s="6"/>
      <c r="E8" s="4"/>
      <c r="F8" s="3"/>
      <c r="G8" s="6" t="e" cm="1" vm="11">
        <f t="array" ref="G8">_FV(_FV(_xldudf_EVEONLINE_MARKET_ORDERS_STATS(10000002, F8,60003760),"sell"),"min")</f>
        <v>#VALUE!</v>
      </c>
      <c r="H8" s="5" t="e" vm="12">
        <f t="shared" si="0"/>
        <v>#VALUE!</v>
      </c>
      <c r="I8" s="5" t="e">
        <f t="shared" si="2"/>
        <v>#DIV/0!</v>
      </c>
      <c r="J8" s="6">
        <f t="shared" si="1"/>
        <v>0</v>
      </c>
      <c r="K8" s="6"/>
    </row>
    <row r="9" spans="1:11" x14ac:dyDescent="0.25">
      <c r="A9" s="3"/>
      <c r="B9" s="3"/>
      <c r="C9" s="3"/>
      <c r="D9" s="6"/>
      <c r="E9" s="4"/>
      <c r="F9" s="3"/>
      <c r="G9" s="6" t="e" cm="1" vm="11">
        <f t="array" ref="G9">_FV(_FV(_xldudf_EVEONLINE_MARKET_ORDERS_STATS(10000002, F9,60003760),"sell"),"min")</f>
        <v>#VALUE!</v>
      </c>
      <c r="H9" s="5" t="e" vm="12">
        <f t="shared" si="0"/>
        <v>#VALUE!</v>
      </c>
      <c r="I9" s="5" t="e">
        <f t="shared" si="2"/>
        <v>#DIV/0!</v>
      </c>
      <c r="J9" s="6">
        <f t="shared" si="1"/>
        <v>0</v>
      </c>
      <c r="K9" s="6"/>
    </row>
    <row r="10" spans="1:11" x14ac:dyDescent="0.25">
      <c r="A10" s="3"/>
      <c r="B10" s="3"/>
      <c r="C10" s="3"/>
      <c r="D10" s="6"/>
      <c r="E10" s="4"/>
      <c r="F10" s="3"/>
      <c r="G10" s="6" t="e" cm="1" vm="11">
        <f t="array" ref="G10">_FV(_FV(_xldudf_EVEONLINE_MARKET_ORDERS_STATS(10000002, F10,60003760),"sell"),"min")</f>
        <v>#VALUE!</v>
      </c>
      <c r="H10" s="5" t="e" vm="12">
        <f t="shared" si="0"/>
        <v>#VALUE!</v>
      </c>
      <c r="I10" s="5" t="e">
        <f t="shared" si="2"/>
        <v>#DIV/0!</v>
      </c>
      <c r="J10" s="6">
        <f t="shared" si="1"/>
        <v>0</v>
      </c>
      <c r="K10" s="6"/>
    </row>
    <row r="11" spans="1:11" x14ac:dyDescent="0.25">
      <c r="B11" s="3"/>
      <c r="E11"/>
    </row>
    <row r="12" spans="1:11" x14ac:dyDescent="0.25">
      <c r="B12" s="3"/>
      <c r="E12"/>
    </row>
    <row r="13" spans="1:11" x14ac:dyDescent="0.25">
      <c r="B13" s="3"/>
      <c r="E13"/>
    </row>
    <row r="14" spans="1:11" x14ac:dyDescent="0.25">
      <c r="A14" t="str" cm="1">
        <f t="array" ref="A14">_xlfn._xlws.FILTER(_xldudf_EVEONLINE_CHARACTER_ORDERS(2115962405),_FV(_xldudf_EVEONLINE_CHARACTER_ORDERS(2115962405),"is_buy_order")= TRUE,"")</f>
        <v/>
      </c>
      <c r="B14" s="3"/>
      <c r="E14"/>
    </row>
    <row r="15" spans="1:11" x14ac:dyDescent="0.25">
      <c r="B15" s="3"/>
      <c r="D15" s="54" t="s">
        <v>44</v>
      </c>
      <c r="E15" s="55" t="str" cm="1">
        <f t="array" ref="E15:E18">_xlfn._xlws.FILTER(_FV(_FV(_xldudf_EVEONLINE_CHARACTER_ASSETS(2115962405,,60003760),"type"),"name"),_FV(_FV(_xldudf_EVEONLINE_CHARACTER_ASSETS(2115962405,,60003760),"location"),"id")=1043761534307,"")</f>
        <v>AEGIS Covert Operations Reports</v>
      </c>
    </row>
    <row r="16" spans="1:11" x14ac:dyDescent="0.25">
      <c r="B16" s="3"/>
      <c r="E16" t="str">
        <v>AEGIS Fortification Schematics</v>
      </c>
    </row>
    <row r="17" spans="1:14" x14ac:dyDescent="0.25">
      <c r="B17" s="3"/>
      <c r="D17" s="7" t="s">
        <v>17</v>
      </c>
      <c r="E17" t="str">
        <v>AEGIS Personnel File Backups</v>
      </c>
    </row>
    <row r="18" spans="1:14" x14ac:dyDescent="0.25">
      <c r="D18" s="7">
        <v>1.013076015</v>
      </c>
      <c r="E18" t="str">
        <v>AEGIS Security Patrol Reports</v>
      </c>
    </row>
    <row r="19" spans="1:14" x14ac:dyDescent="0.25">
      <c r="E19"/>
    </row>
    <row r="20" spans="1:14" x14ac:dyDescent="0.25">
      <c r="E20"/>
    </row>
    <row r="21" spans="1:14" x14ac:dyDescent="0.25">
      <c r="E21"/>
    </row>
    <row r="22" spans="1:14" x14ac:dyDescent="0.25">
      <c r="H22" s="7"/>
    </row>
    <row r="23" spans="1:14" x14ac:dyDescent="0.25">
      <c r="B23" t="e" cm="1" vm="13">
        <f t="array" ref="B23">_FV(A23,"type")</f>
        <v>#VALUE!</v>
      </c>
      <c r="C23" t="e" cm="1" vm="14">
        <f t="array" ref="C23">_FV(B23,"id")</f>
        <v>#VALUE!</v>
      </c>
    </row>
    <row r="24" spans="1:14" x14ac:dyDescent="0.25">
      <c r="G24" s="7">
        <f>H33*D33*C33</f>
        <v>46849895.189999998</v>
      </c>
    </row>
    <row r="29" spans="1:14" x14ac:dyDescent="0.25">
      <c r="A29" t="s">
        <v>10</v>
      </c>
      <c r="B29" t="s">
        <v>2</v>
      </c>
      <c r="C29" t="s">
        <v>11</v>
      </c>
      <c r="D29" s="7" t="s">
        <v>12</v>
      </c>
      <c r="E29" s="1" t="s">
        <v>13</v>
      </c>
      <c r="F29" t="s">
        <v>14</v>
      </c>
      <c r="G29" s="7" t="s">
        <v>15</v>
      </c>
      <c r="H29" t="s">
        <v>16</v>
      </c>
      <c r="I29" t="s">
        <v>17</v>
      </c>
      <c r="J29" s="7" t="s">
        <v>18</v>
      </c>
    </row>
    <row r="30" spans="1:14" x14ac:dyDescent="0.25">
      <c r="A30" s="8" t="s">
        <v>47</v>
      </c>
      <c r="B30" t="e" cm="1">
        <f t="array" ref="B30">_xldudf_EVEONLINE_INVENTORYSEARCH(A30,1)</f>
        <v>#VALUE!</v>
      </c>
      <c r="C30" s="34">
        <v>330000</v>
      </c>
      <c r="D30" s="9">
        <v>400000</v>
      </c>
      <c r="E30" s="7" t="e" cm="1" vm="11">
        <f t="array" ref="E30">_FV(_FV(_xldudf_EVEONLINE_MARKET_ORDERS_STATS(10000002,_FV( B30,"id"),60003760),"sell"),"min")</f>
        <v>#VALUE!</v>
      </c>
      <c r="F30" s="7" t="e" cm="1" vm="15">
        <f t="array" ref="F30">_FV(_FV(_xldudf_EVEONLINE_MARKET_ORDERS_STATS(10000002,_FV( B30,"id"),60003760),"buy"),"max")</f>
        <v>#VALUE!</v>
      </c>
      <c r="G30" s="2">
        <f>D30*0.9869*0.964/C30-100%</f>
        <v>0.15317769696969696</v>
      </c>
      <c r="H30" s="2" t="e" vm="12">
        <f>E30*0.9869*0.964/F30-100%</f>
        <v>#VALUE!</v>
      </c>
      <c r="I30" s="7" t="e" vm="12">
        <f>(F30*1.013076015)-F30</f>
        <v>#VALUE!</v>
      </c>
      <c r="J30" t="e" vm="12">
        <f>E30*0.036</f>
        <v>#VALUE!</v>
      </c>
      <c r="K30"/>
    </row>
    <row r="32" spans="1:14" x14ac:dyDescent="0.25">
      <c r="A32" t="s">
        <v>22</v>
      </c>
      <c r="B32" t="s">
        <v>1</v>
      </c>
      <c r="C32" t="s">
        <v>5</v>
      </c>
      <c r="D32" s="7" t="s">
        <v>23</v>
      </c>
      <c r="E32" s="7" t="s">
        <v>25</v>
      </c>
      <c r="F32" s="7" t="s">
        <v>26</v>
      </c>
      <c r="G32" s="6" t="s">
        <v>3</v>
      </c>
      <c r="H32" t="s">
        <v>31</v>
      </c>
      <c r="I32" s="7" t="s">
        <v>24</v>
      </c>
      <c r="J32" s="7" t="s">
        <v>32</v>
      </c>
      <c r="K32"/>
      <c r="M32" s="7"/>
      <c r="N32" s="7"/>
    </row>
    <row r="33" spans="1:14" x14ac:dyDescent="0.25">
      <c r="A33" t="str" cm="1">
        <f t="array" ref="A33:A36">_xlfn._xlws.FILTER(_FV(_FV(_xldudf_EVEONLINE_CHARACTER_ASSETS(2115962405,,60003760),"type"),"name"),_FV(_FV(_xldudf_EVEONLINE_CHARACTER_ASSETS(2115962405,,60003760),"location"),"id")=1043761534307,"")</f>
        <v>AEGIS Covert Operations Reports</v>
      </c>
      <c r="B33" cm="1" vm="16">
        <f t="array" ref="B33:B36">_xlfn._xlws.FILTER(_FV(_FV(_xldudf_EVEONLINE_CHARACTER_ASSETS(2115962405,,60003760),"type"),"id"),_FV(_FV(_xldudf_EVEONLINE_CHARACTER_ASSETS(2115962405,,60003760),"location"),"id")=1043761534307,"")</f>
        <v>60753</v>
      </c>
      <c r="C33" cm="1">
        <f t="array" ref="C33:C36">_xlfn._xlws.FILTER(_FV(_xldudf_EVEONLINE_CHARACTER_ASSETS(2115962405,,60003760),"quantity"),_FV(_FV(_xldudf_EVEONLINE_CHARACTER_ASSETS(2115962405,,60003760),"location"),"id")=1043761534307,"")</f>
        <v>6</v>
      </c>
      <c r="D33" s="9">
        <v>750000</v>
      </c>
      <c r="E33" s="9" t="b">
        <v>0</v>
      </c>
      <c r="F33" s="9" t="b">
        <v>1</v>
      </c>
      <c r="G33" s="6" cm="1">
        <f t="array" ref="G33">_FV(_FV(_xldudf_EVEONLINE_MARKET_ORDERS_STATS(10000002, B33,60003760),"sell"),"min")</f>
        <v>9000000</v>
      </c>
      <c r="H33" s="2">
        <f>IF(AND(E33=TRUE,F33=TRUE),(G33 - G33*0.036-G33*0.013076015)/(D33*1.013076015)-100%,IF(E33=TRUE,(G33 - G33*0.036)/(D33*1.013076015)-100%,IF(F33=TRUE,(G33 - G33*0.036-G33*0.013076015)/D33-100%,(G33 - G33*0.036)/D33-100%)))</f>
        <v>10.411087820000001</v>
      </c>
      <c r="I33" s="7">
        <f>H33*D33</f>
        <v>7808315.8650000002</v>
      </c>
      <c r="J33" s="7">
        <f>I33*C33</f>
        <v>46849895.189999998</v>
      </c>
      <c r="K33"/>
      <c r="M33" s="7"/>
      <c r="N33" s="7"/>
    </row>
    <row r="34" spans="1:14" x14ac:dyDescent="0.25">
      <c r="A34" t="str">
        <v>AEGIS Fortification Schematics</v>
      </c>
      <c r="B34" vm="17">
        <v>60752</v>
      </c>
      <c r="C34">
        <v>17</v>
      </c>
      <c r="D34" s="9">
        <v>200500000</v>
      </c>
      <c r="E34" s="9" t="b">
        <v>1</v>
      </c>
      <c r="F34" s="9" t="b">
        <v>1</v>
      </c>
      <c r="G34" s="6" cm="1">
        <f t="array" ref="G34">_FV(_FV(_xldudf_EVEONLINE_MARKET_ORDERS_STATS(10000002, B34,60003760),"sell"),"min")</f>
        <v>900000</v>
      </c>
      <c r="H34" s="2">
        <f>IF(AND(E34=TRUE,F34=TRUE),(G34 - G34*0.036-G34*0.013076015)/(D34*1.013076015)-100%,IF(E34=TRUE,(G34 - G34*0.036)/(D34*1.013076015)-100%,IF(F34=TRUE,(G34 - G34*0.036-G34*0.013076015)/D34-100%,(G34 - G34*0.036)/D34-100%)))</f>
        <v>-0.99578660766565408</v>
      </c>
      <c r="I34" s="7">
        <f>H34*D34</f>
        <v>-199655214.83696365</v>
      </c>
      <c r="J34" s="7">
        <f>I34*C34</f>
        <v>-3394138652.2283821</v>
      </c>
      <c r="K34"/>
      <c r="M34" s="7"/>
      <c r="N34" s="7"/>
    </row>
    <row r="35" spans="1:14" x14ac:dyDescent="0.25">
      <c r="A35" t="str">
        <v>AEGIS Personnel File Backups</v>
      </c>
      <c r="B35" vm="18">
        <v>60751</v>
      </c>
      <c r="C35">
        <v>36</v>
      </c>
      <c r="D35" s="9">
        <v>45000000</v>
      </c>
      <c r="E35" s="9" t="b">
        <v>0</v>
      </c>
      <c r="F35" s="9" t="b">
        <v>1</v>
      </c>
      <c r="G35" s="6" cm="1">
        <f t="array" ref="G35">_FV(_FV(_xldudf_EVEONLINE_MARKET_ORDERS_STATS(10000002, B35,60003760),"sell"),"min")</f>
        <v>450000</v>
      </c>
      <c r="H35" s="2">
        <f>IF(AND(E35=TRUE,F35=TRUE),(G35 - G35*0.036-G35*0.013076015)/(D35*1.013076015)-100%,IF(E35=TRUE,(G35 - G35*0.036)/(D35*1.013076015)-100%,IF(F35=TRUE,(G35 - G35*0.036-G35*0.013076015)/D35-100%,(G35 - G35*0.036)/D35-100%)))</f>
        <v>-0.99049076015000004</v>
      </c>
      <c r="I35" s="7">
        <f>H35*D35</f>
        <v>-44572084.206749998</v>
      </c>
      <c r="J35" s="7">
        <f>I35*C35</f>
        <v>-1604595031.4429998</v>
      </c>
      <c r="K35"/>
      <c r="M35" s="7"/>
      <c r="N35" s="7"/>
    </row>
    <row r="36" spans="1:14" x14ac:dyDescent="0.25">
      <c r="A36" t="str">
        <v>AEGIS Security Patrol Reports</v>
      </c>
      <c r="B36" vm="19">
        <v>60750</v>
      </c>
      <c r="C36">
        <v>1</v>
      </c>
      <c r="D36" s="9">
        <v>1000000</v>
      </c>
      <c r="E36" s="9" t="b">
        <v>0</v>
      </c>
      <c r="F36" s="9" t="b">
        <v>1</v>
      </c>
      <c r="G36" s="6" cm="1">
        <f t="array" ref="G36">_FV(_FV(_xldudf_EVEONLINE_MARKET_ORDERS_STATS(10000002, B36,60003760),"sell"),"min")</f>
        <v>52010</v>
      </c>
      <c r="H36" s="2">
        <f>IF(AND(E36=TRUE,F36=TRUE),(G36 - G36*0.036-G36*0.013076015)/(D36*1.013076015)-100%,IF(E36=TRUE,(G36 - G36*0.036)/(D36*1.013076015)-100%,IF(F36=TRUE,(G36 - G36*0.036-G36*0.013076015)/D36-100%,(G36 - G36*0.036)/D36-100%)))</f>
        <v>-0.95054244354015005</v>
      </c>
      <c r="I36" s="7">
        <f>H36*D36</f>
        <v>-950542.44354015007</v>
      </c>
      <c r="J36" s="7">
        <f>I36*C36</f>
        <v>-950542.44354015007</v>
      </c>
      <c r="K36"/>
      <c r="M36" s="7"/>
      <c r="N36" s="7"/>
    </row>
    <row r="37" spans="1:14" x14ac:dyDescent="0.25">
      <c r="E37" s="7"/>
      <c r="F37" s="7"/>
      <c r="G37"/>
      <c r="H37" s="7"/>
      <c r="J37"/>
      <c r="L37" s="7"/>
    </row>
    <row r="38" spans="1:14" x14ac:dyDescent="0.25">
      <c r="D38"/>
      <c r="E38" s="7"/>
      <c r="F38" s="1"/>
      <c r="G38" t="s">
        <v>29</v>
      </c>
      <c r="H38" t="s">
        <v>27</v>
      </c>
      <c r="I38" t="s">
        <v>28</v>
      </c>
      <c r="J38" t="s">
        <v>30</v>
      </c>
      <c r="L38" s="7"/>
    </row>
    <row r="39" spans="1:14" x14ac:dyDescent="0.25">
      <c r="D39"/>
      <c r="E39" s="2">
        <f>IF(AND(E34=TRUE,F34=TRUE),(G34-(G34*1.013076015*2-G34))*0.964/D34,IF(OR(E34=TRUE,F34=TRUE),(G34-(G34*1.013076015-G34))*0.964/D34,G34*0.964/D34))</f>
        <v>-1.1316459465336681E-4</v>
      </c>
      <c r="G39" s="2">
        <f>(G34 - G34*0.036-G34*0.013076015)/(D34*1.013076015)-100%</f>
        <v>-0.99578660766565408</v>
      </c>
      <c r="H39" s="2">
        <f>(G34 - G34*0.036-G34*0.013076015)/D34-100%</f>
        <v>-0.99573151328428933</v>
      </c>
      <c r="I39" s="2">
        <f>(G34 - G34*0.036)/(D34*1.013076015)-100%</f>
        <v>-0.99572866993116227</v>
      </c>
      <c r="J39" s="2">
        <f>(G34 - G34*0.036)/D34-100%</f>
        <v>-0.9956728179551122</v>
      </c>
      <c r="L39" s="7"/>
    </row>
    <row r="40" spans="1:14" x14ac:dyDescent="0.25">
      <c r="D40"/>
      <c r="E40" s="7"/>
      <c r="F40" s="1"/>
      <c r="H40" s="2">
        <f>IF(AND(E34=TRUE,F34=TRUE),(G34 - G34*0.036-G34*0.013076015)/(D34*1.013076015)-100%,IF(E34=TRUE,(G34 - G34*0.036)/(D34*1.013076015)-100%,IF(F34=TRUE,(G34 - G34*0.036-G34*0.013076015)/D34-100%,(G34 - G34*0.036)/D34-100%)))</f>
        <v>-0.99578660766565408</v>
      </c>
      <c r="J40"/>
      <c r="L40" s="7"/>
    </row>
    <row r="41" spans="1:14" x14ac:dyDescent="0.25">
      <c r="D41" s="7">
        <f>1+E39</f>
        <v>0.99988683540534662</v>
      </c>
    </row>
    <row r="42" spans="1:14" x14ac:dyDescent="0.25">
      <c r="D42" s="7">
        <f>G34*D41</f>
        <v>899898.15186481201</v>
      </c>
      <c r="F42">
        <f>G34*0.013076015</f>
        <v>11768.413500000001</v>
      </c>
    </row>
    <row r="43" spans="1:14" x14ac:dyDescent="0.25">
      <c r="A43" t="e" cm="1">
        <f t="array" ref="A43">_xldudf_EVEONLINE_CHARACTER(2115962405,TRUE)</f>
        <v>#VALUE!</v>
      </c>
    </row>
    <row r="45" spans="1:14" x14ac:dyDescent="0.25">
      <c r="D45" s="7">
        <v>60003760</v>
      </c>
    </row>
    <row r="49" spans="3:6" x14ac:dyDescent="0.25">
      <c r="C49" t="e" cm="1">
        <f t="array" ref="C49">_xldudf_EVEONLINE_CHARACTER_ASSETS(2115962405,"Rifter")</f>
        <v>#VALUE!</v>
      </c>
      <c r="D49" s="7" t="e" cm="1">
        <f t="array" ref="D49">_xldudf_EVEONLINE_CHARACTER_ASSETS(2115962405,,60003760)</f>
        <v>#VALUE!</v>
      </c>
      <c r="E49" s="1" t="e" cm="1" vm="20">
        <f t="array" ref="E49">_FV(D49,"location")</f>
        <v>#VALUE!</v>
      </c>
      <c r="F49" t="e" cm="1" vm="14">
        <f t="array" ref="F49">_FV(E49,"id")</f>
        <v>#VALUE!</v>
      </c>
    </row>
    <row r="70" spans="1:1" x14ac:dyDescent="0.25">
      <c r="A70" t="e" cm="1">
        <f t="array" ref="A70">_xldudf_EVEONLINE_CHARACTER_ORDERS_HISTORY()</f>
        <v>#VALUE!</v>
      </c>
    </row>
    <row r="395" spans="5:6" x14ac:dyDescent="0.25">
      <c r="F395">
        <v>1043784763259</v>
      </c>
    </row>
    <row r="397" spans="5:6" x14ac:dyDescent="0.25">
      <c r="E397" s="1" t="e" cm="1" vm="20">
        <f t="array" ref="E397">_FV(D397,"location")</f>
        <v>#VALUE!</v>
      </c>
      <c r="F397" t="e" cm="1" vm="14">
        <f t="array" ref="F397">_FV(E397,"id")</f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Towary_na_sprzedaż</vt:lpstr>
      <vt:lpstr>Zlecenia_sprzedaży</vt:lpstr>
      <vt:lpstr>zlecenia_kupna</vt:lpstr>
      <vt:lpstr>Testowy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poczykowski</dc:creator>
  <cp:lastModifiedBy>eryk poczykowski</cp:lastModifiedBy>
  <dcterms:created xsi:type="dcterms:W3CDTF">2023-12-14T15:42:08Z</dcterms:created>
  <dcterms:modified xsi:type="dcterms:W3CDTF">2024-05-14T14:59:11Z</dcterms:modified>
</cp:coreProperties>
</file>