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S-SABRE\Desktop\Caisse\"/>
    </mc:Choice>
  </mc:AlternateContent>
  <xr:revisionPtr revIDLastSave="0" documentId="13_ncr:1_{787DCE44-66F9-4EC6-BB13-8F5F49A45259}" xr6:coauthVersionLast="45" xr6:coauthVersionMax="45" xr10:uidLastSave="{00000000-0000-0000-0000-000000000000}"/>
  <bookViews>
    <workbookView xWindow="-120" yWindow="-120" windowWidth="20730" windowHeight="11160" firstSheet="2" activeTab="8" xr2:uid="{00000000-000D-0000-FFFF-FFFF00000000}"/>
  </bookViews>
  <sheets>
    <sheet name="Feraillage V1" sheetId="1" r:id="rId1"/>
    <sheet name="Beton V1" sheetId="2" r:id="rId2"/>
    <sheet name="Autre V1" sheetId="3" r:id="rId3"/>
    <sheet name="Maconnerie V1" sheetId="5" r:id="rId4"/>
    <sheet name="Recap V1" sheetId="4" r:id="rId5"/>
    <sheet name="Feraillage V2" sheetId="8" r:id="rId6"/>
    <sheet name="Beton V2" sheetId="7" r:id="rId7"/>
    <sheet name="PROPOSITION 1" sheetId="9" r:id="rId8"/>
    <sheet name="FINALE" sheetId="10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0" l="1"/>
  <c r="M34" i="3" l="1"/>
  <c r="M29" i="3"/>
  <c r="L18" i="10"/>
  <c r="L21" i="10"/>
  <c r="L20" i="10"/>
  <c r="L19" i="10"/>
  <c r="L16" i="10"/>
  <c r="K16" i="10"/>
  <c r="K14" i="10"/>
  <c r="D37" i="9"/>
  <c r="D36" i="9"/>
  <c r="D35" i="9"/>
  <c r="M13" i="9" l="1"/>
  <c r="L12" i="10"/>
  <c r="P173" i="10"/>
  <c r="O173" i="10"/>
  <c r="Q173" i="10" s="1"/>
  <c r="P172" i="10"/>
  <c r="O172" i="10"/>
  <c r="Q172" i="10" s="1"/>
  <c r="O171" i="10"/>
  <c r="M171" i="10"/>
  <c r="P171" i="10" s="1"/>
  <c r="Q171" i="10" s="1"/>
  <c r="Q170" i="10"/>
  <c r="O170" i="10"/>
  <c r="K170" i="10"/>
  <c r="P170" i="10" s="1"/>
  <c r="Q169" i="10"/>
  <c r="P169" i="10"/>
  <c r="O169" i="10"/>
  <c r="P168" i="10"/>
  <c r="Q168" i="10" s="1"/>
  <c r="O168" i="10"/>
  <c r="Q167" i="10"/>
  <c r="P166" i="10"/>
  <c r="Q166" i="10" s="1"/>
  <c r="O166" i="10"/>
  <c r="P165" i="10"/>
  <c r="O165" i="10"/>
  <c r="Q165" i="10" s="1"/>
  <c r="O164" i="10"/>
  <c r="M164" i="10"/>
  <c r="P164" i="10" s="1"/>
  <c r="O163" i="10"/>
  <c r="K163" i="10"/>
  <c r="P163" i="10" s="1"/>
  <c r="P162" i="10"/>
  <c r="O162" i="10"/>
  <c r="Q162" i="10" s="1"/>
  <c r="Q161" i="10"/>
  <c r="P161" i="10"/>
  <c r="O161" i="10"/>
  <c r="Q160" i="10"/>
  <c r="Q159" i="10"/>
  <c r="P159" i="10"/>
  <c r="O159" i="10"/>
  <c r="Q158" i="10"/>
  <c r="P158" i="10"/>
  <c r="O158" i="10"/>
  <c r="P157" i="10"/>
  <c r="O157" i="10"/>
  <c r="Q157" i="10" s="1"/>
  <c r="M157" i="10"/>
  <c r="P156" i="10"/>
  <c r="O156" i="10"/>
  <c r="Q156" i="10" s="1"/>
  <c r="K156" i="10"/>
  <c r="P155" i="10"/>
  <c r="O155" i="10"/>
  <c r="Q155" i="10" s="1"/>
  <c r="P154" i="10"/>
  <c r="O154" i="10"/>
  <c r="Q154" i="10" s="1"/>
  <c r="Q153" i="10"/>
  <c r="P152" i="10"/>
  <c r="O152" i="10"/>
  <c r="Q152" i="10" s="1"/>
  <c r="Q151" i="10"/>
  <c r="O151" i="10"/>
  <c r="M151" i="10"/>
  <c r="P151" i="10" s="1"/>
  <c r="Q150" i="10"/>
  <c r="O150" i="10"/>
  <c r="M150" i="10"/>
  <c r="P150" i="10" s="1"/>
  <c r="Q149" i="10"/>
  <c r="P149" i="10"/>
  <c r="O149" i="10"/>
  <c r="P148" i="10"/>
  <c r="Q148" i="10" s="1"/>
  <c r="O148" i="10"/>
  <c r="P147" i="10"/>
  <c r="O147" i="10"/>
  <c r="Q146" i="10"/>
  <c r="P145" i="10"/>
  <c r="O145" i="10"/>
  <c r="Q145" i="10" s="1"/>
  <c r="O144" i="10"/>
  <c r="M144" i="10"/>
  <c r="P144" i="10" s="1"/>
  <c r="O143" i="10"/>
  <c r="M143" i="10"/>
  <c r="P143" i="10" s="1"/>
  <c r="P142" i="10"/>
  <c r="O142" i="10"/>
  <c r="Q142" i="10" s="1"/>
  <c r="Q141" i="10"/>
  <c r="P141" i="10"/>
  <c r="O141" i="10"/>
  <c r="P140" i="10"/>
  <c r="Q140" i="10" s="1"/>
  <c r="O140" i="10"/>
  <c r="Q139" i="10"/>
  <c r="P138" i="10"/>
  <c r="Q138" i="10" s="1"/>
  <c r="O138" i="10"/>
  <c r="P137" i="10"/>
  <c r="O137" i="10"/>
  <c r="Q137" i="10" s="1"/>
  <c r="M137" i="10"/>
  <c r="P136" i="10"/>
  <c r="O136" i="10"/>
  <c r="M136" i="10"/>
  <c r="E136" i="10"/>
  <c r="Q135" i="10"/>
  <c r="P135" i="10"/>
  <c r="O135" i="10"/>
  <c r="K135" i="10"/>
  <c r="Q134" i="10"/>
  <c r="P134" i="10"/>
  <c r="O134" i="10"/>
  <c r="P133" i="10"/>
  <c r="O133" i="10"/>
  <c r="Q133" i="10" s="1"/>
  <c r="O129" i="10"/>
  <c r="Q129" i="10" s="1"/>
  <c r="Q128" i="10"/>
  <c r="Q130" i="10" s="1"/>
  <c r="O128" i="10"/>
  <c r="Q123" i="10"/>
  <c r="O123" i="10"/>
  <c r="O122" i="10"/>
  <c r="Q122" i="10" s="1"/>
  <c r="Q121" i="10"/>
  <c r="Q124" i="10" s="1"/>
  <c r="O121" i="10"/>
  <c r="O120" i="10"/>
  <c r="Q120" i="10" s="1"/>
  <c r="O116" i="10"/>
  <c r="Q116" i="10" s="1"/>
  <c r="M116" i="10"/>
  <c r="P116" i="10" s="1"/>
  <c r="P115" i="10"/>
  <c r="O115" i="10"/>
  <c r="Q115" i="10" s="1"/>
  <c r="Q117" i="10" s="1"/>
  <c r="P110" i="10"/>
  <c r="O110" i="10"/>
  <c r="Q110" i="10" s="1"/>
  <c r="P109" i="10"/>
  <c r="O109" i="10"/>
  <c r="Q109" i="10" s="1"/>
  <c r="Q107" i="10"/>
  <c r="P107" i="10"/>
  <c r="O107" i="10"/>
  <c r="Q106" i="10"/>
  <c r="Q111" i="10" s="1"/>
  <c r="R111" i="10" s="1"/>
  <c r="P106" i="10"/>
  <c r="O106" i="10"/>
  <c r="Q103" i="10"/>
  <c r="P103" i="10"/>
  <c r="O103" i="10"/>
  <c r="P102" i="10"/>
  <c r="Q102" i="10" s="1"/>
  <c r="O102" i="10"/>
  <c r="P100" i="10"/>
  <c r="O100" i="10"/>
  <c r="Q100" i="10" s="1"/>
  <c r="Q104" i="10" s="1"/>
  <c r="R104" i="10" s="1"/>
  <c r="P99" i="10"/>
  <c r="O99" i="10"/>
  <c r="Q99" i="10" s="1"/>
  <c r="P96" i="10"/>
  <c r="O96" i="10"/>
  <c r="Q96" i="10" s="1"/>
  <c r="P95" i="10"/>
  <c r="O95" i="10"/>
  <c r="Q95" i="10" s="1"/>
  <c r="Q94" i="10"/>
  <c r="P94" i="10"/>
  <c r="O94" i="10"/>
  <c r="P93" i="10"/>
  <c r="Q93" i="10" s="1"/>
  <c r="O93" i="10"/>
  <c r="P92" i="10"/>
  <c r="O92" i="10"/>
  <c r="Q92" i="10" s="1"/>
  <c r="P89" i="10"/>
  <c r="Q89" i="10" s="1"/>
  <c r="O89" i="10"/>
  <c r="P88" i="10"/>
  <c r="O88" i="10"/>
  <c r="Q88" i="10" s="1"/>
  <c r="P87" i="10"/>
  <c r="O87" i="10"/>
  <c r="Q87" i="10" s="1"/>
  <c r="Q86" i="10"/>
  <c r="P86" i="10"/>
  <c r="O86" i="10"/>
  <c r="P85" i="10"/>
  <c r="Q85" i="10" s="1"/>
  <c r="Q90" i="10" s="1"/>
  <c r="R90" i="10" s="1"/>
  <c r="O85" i="10"/>
  <c r="Q82" i="10"/>
  <c r="P82" i="10"/>
  <c r="O82" i="10"/>
  <c r="Q81" i="10"/>
  <c r="P81" i="10"/>
  <c r="O81" i="10"/>
  <c r="M81" i="10"/>
  <c r="Q80" i="10"/>
  <c r="P80" i="10"/>
  <c r="O80" i="10"/>
  <c r="P79" i="10"/>
  <c r="O79" i="10"/>
  <c r="Q79" i="10" s="1"/>
  <c r="Q83" i="10" s="1"/>
  <c r="R83" i="10" s="1"/>
  <c r="P76" i="10"/>
  <c r="Q76" i="10" s="1"/>
  <c r="O76" i="10"/>
  <c r="P75" i="10"/>
  <c r="O75" i="10"/>
  <c r="M75" i="10"/>
  <c r="P73" i="10"/>
  <c r="O73" i="10"/>
  <c r="Q73" i="10" s="1"/>
  <c r="P70" i="10"/>
  <c r="Q70" i="10" s="1"/>
  <c r="O70" i="10"/>
  <c r="P69" i="10"/>
  <c r="O69" i="10"/>
  <c r="O68" i="10"/>
  <c r="K68" i="10"/>
  <c r="P68" i="10" s="1"/>
  <c r="P67" i="10"/>
  <c r="O67" i="10"/>
  <c r="Q67" i="10" s="1"/>
  <c r="P64" i="10"/>
  <c r="O64" i="10"/>
  <c r="Q64" i="10" s="1"/>
  <c r="O63" i="10"/>
  <c r="M63" i="10"/>
  <c r="P63" i="10" s="1"/>
  <c r="P61" i="10"/>
  <c r="O61" i="10"/>
  <c r="Q61" i="10" s="1"/>
  <c r="O57" i="10"/>
  <c r="Q57" i="10" s="1"/>
  <c r="O56" i="10"/>
  <c r="Q56" i="10" s="1"/>
  <c r="O55" i="10"/>
  <c r="Q55" i="10" s="1"/>
  <c r="O54" i="10"/>
  <c r="Q54" i="10" s="1"/>
  <c r="O53" i="10"/>
  <c r="Q53" i="10" s="1"/>
  <c r="O52" i="10"/>
  <c r="Q52" i="10" s="1"/>
  <c r="O51" i="10"/>
  <c r="Q51" i="10" s="1"/>
  <c r="R50" i="10"/>
  <c r="Q50" i="10"/>
  <c r="O50" i="10"/>
  <c r="O49" i="10"/>
  <c r="Q49" i="10" s="1"/>
  <c r="Q58" i="10" s="1"/>
  <c r="U47" i="10"/>
  <c r="U46" i="10"/>
  <c r="U45" i="10"/>
  <c r="T45" i="10"/>
  <c r="L45" i="10"/>
  <c r="O45" i="10" s="1"/>
  <c r="Q45" i="10" s="1"/>
  <c r="U44" i="10"/>
  <c r="T44" i="10"/>
  <c r="L44" i="10"/>
  <c r="O44" i="10" s="1"/>
  <c r="Q44" i="10" s="1"/>
  <c r="L43" i="10"/>
  <c r="O43" i="10" s="1"/>
  <c r="Q43" i="10" s="1"/>
  <c r="K42" i="10"/>
  <c r="O42" i="10" s="1"/>
  <c r="Q42" i="10" s="1"/>
  <c r="V41" i="10"/>
  <c r="V40" i="10"/>
  <c r="U40" i="10"/>
  <c r="V36" i="10"/>
  <c r="U36" i="10"/>
  <c r="S32" i="10"/>
  <c r="U32" i="10" s="1"/>
  <c r="U31" i="10"/>
  <c r="T31" i="10"/>
  <c r="S31" i="10"/>
  <c r="G28" i="10"/>
  <c r="T27" i="10"/>
  <c r="U27" i="10" s="1"/>
  <c r="V27" i="10" s="1"/>
  <c r="T26" i="10"/>
  <c r="U26" i="10" s="1"/>
  <c r="V26" i="10" s="1"/>
  <c r="V28" i="10" s="1"/>
  <c r="L26" i="10"/>
  <c r="G25" i="10"/>
  <c r="I24" i="10"/>
  <c r="M23" i="10"/>
  <c r="U22" i="10"/>
  <c r="U18" i="10"/>
  <c r="U23" i="10" s="1"/>
  <c r="V23" i="10" s="1"/>
  <c r="U17" i="10"/>
  <c r="F17" i="10"/>
  <c r="F16" i="10"/>
  <c r="AC15" i="10"/>
  <c r="F15" i="10"/>
  <c r="F14" i="10"/>
  <c r="AC13" i="10"/>
  <c r="V13" i="10"/>
  <c r="F13" i="10"/>
  <c r="AC12" i="10"/>
  <c r="V12" i="10"/>
  <c r="F12" i="10"/>
  <c r="V11" i="10"/>
  <c r="F11" i="10"/>
  <c r="V10" i="10"/>
  <c r="F10" i="10"/>
  <c r="V9" i="10"/>
  <c r="N9" i="10"/>
  <c r="F9" i="10"/>
  <c r="O8" i="10"/>
  <c r="D6" i="10" s="1"/>
  <c r="G24" i="10" s="1"/>
  <c r="N8" i="10"/>
  <c r="F8" i="10"/>
  <c r="N7" i="10"/>
  <c r="F7" i="10"/>
  <c r="Z6" i="10"/>
  <c r="N6" i="10"/>
  <c r="O6" i="10" s="1"/>
  <c r="F6" i="10"/>
  <c r="D5" i="10"/>
  <c r="G23" i="10" s="1"/>
  <c r="T4" i="10"/>
  <c r="F4" i="10"/>
  <c r="F18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4" i="9"/>
  <c r="L26" i="9"/>
  <c r="M23" i="9"/>
  <c r="U26" i="9"/>
  <c r="U27" i="9"/>
  <c r="G28" i="9"/>
  <c r="G27" i="9"/>
  <c r="I24" i="9"/>
  <c r="G25" i="9"/>
  <c r="G24" i="9"/>
  <c r="G23" i="9"/>
  <c r="D6" i="9"/>
  <c r="O8" i="9"/>
  <c r="N9" i="9"/>
  <c r="N6" i="9"/>
  <c r="N8" i="9"/>
  <c r="D5" i="9"/>
  <c r="O6" i="9"/>
  <c r="N7" i="9"/>
  <c r="G125" i="9"/>
  <c r="Q139" i="9"/>
  <c r="Q174" i="9" s="1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37" i="9"/>
  <c r="Q138" i="9"/>
  <c r="Q136" i="9"/>
  <c r="Q135" i="9"/>
  <c r="Q134" i="9"/>
  <c r="Q133" i="9"/>
  <c r="K170" i="9"/>
  <c r="P173" i="9"/>
  <c r="O173" i="9"/>
  <c r="P172" i="9"/>
  <c r="O172" i="9"/>
  <c r="P171" i="9"/>
  <c r="O171" i="9"/>
  <c r="M171" i="9"/>
  <c r="P170" i="9"/>
  <c r="O170" i="9"/>
  <c r="P169" i="9"/>
  <c r="O169" i="9"/>
  <c r="P168" i="9"/>
  <c r="O168" i="9"/>
  <c r="P166" i="9"/>
  <c r="O166" i="9"/>
  <c r="P165" i="9"/>
  <c r="O165" i="9"/>
  <c r="P164" i="9"/>
  <c r="O164" i="9"/>
  <c r="M164" i="9"/>
  <c r="P163" i="9"/>
  <c r="O163" i="9"/>
  <c r="K163" i="9"/>
  <c r="P162" i="9"/>
  <c r="O162" i="9"/>
  <c r="P161" i="9"/>
  <c r="O161" i="9"/>
  <c r="P159" i="9"/>
  <c r="O159" i="9"/>
  <c r="P158" i="9"/>
  <c r="O158" i="9"/>
  <c r="P157" i="9"/>
  <c r="O157" i="9"/>
  <c r="M157" i="9"/>
  <c r="P156" i="9"/>
  <c r="O156" i="9"/>
  <c r="K156" i="9"/>
  <c r="P155" i="9"/>
  <c r="O155" i="9"/>
  <c r="P154" i="9"/>
  <c r="O154" i="9"/>
  <c r="P152" i="9"/>
  <c r="O152" i="9"/>
  <c r="P151" i="9"/>
  <c r="O151" i="9"/>
  <c r="M151" i="9"/>
  <c r="P150" i="9"/>
  <c r="O150" i="9"/>
  <c r="M150" i="9"/>
  <c r="P149" i="9"/>
  <c r="O149" i="9"/>
  <c r="P148" i="9"/>
  <c r="O148" i="9"/>
  <c r="P147" i="9"/>
  <c r="O147" i="9"/>
  <c r="E136" i="9"/>
  <c r="P145" i="9"/>
  <c r="O145" i="9"/>
  <c r="P144" i="9"/>
  <c r="O144" i="9"/>
  <c r="M144" i="9"/>
  <c r="P143" i="9"/>
  <c r="O143" i="9"/>
  <c r="M143" i="9"/>
  <c r="P142" i="9"/>
  <c r="O142" i="9"/>
  <c r="P141" i="9"/>
  <c r="O141" i="9"/>
  <c r="P140" i="9"/>
  <c r="O140" i="9"/>
  <c r="P138" i="9"/>
  <c r="O138" i="9"/>
  <c r="O137" i="9"/>
  <c r="M137" i="9"/>
  <c r="P137" i="9" s="1"/>
  <c r="O136" i="9"/>
  <c r="M136" i="9"/>
  <c r="P136" i="9" s="1"/>
  <c r="O135" i="9"/>
  <c r="K135" i="9"/>
  <c r="P135" i="9" s="1"/>
  <c r="P134" i="9"/>
  <c r="O134" i="9"/>
  <c r="P133" i="9"/>
  <c r="O133" i="9"/>
  <c r="Q46" i="10" l="1"/>
  <c r="U33" i="10"/>
  <c r="V33" i="10" s="1"/>
  <c r="Q77" i="10"/>
  <c r="R77" i="10" s="1"/>
  <c r="Q143" i="10"/>
  <c r="Q164" i="10"/>
  <c r="AC22" i="10"/>
  <c r="Q68" i="10"/>
  <c r="Q97" i="10"/>
  <c r="R97" i="10" s="1"/>
  <c r="F5" i="10"/>
  <c r="F18" i="10" s="1"/>
  <c r="Q63" i="10"/>
  <c r="Q65" i="10" s="1"/>
  <c r="R65" i="10" s="1"/>
  <c r="Q69" i="10"/>
  <c r="Q71" i="10" s="1"/>
  <c r="R71" i="10" s="1"/>
  <c r="Q75" i="10"/>
  <c r="Q136" i="10"/>
  <c r="Q174" i="10" s="1"/>
  <c r="G125" i="10" s="1"/>
  <c r="Q144" i="10"/>
  <c r="Q147" i="10"/>
  <c r="Q163" i="10"/>
  <c r="Q130" i="9"/>
  <c r="Q129" i="9"/>
  <c r="O129" i="9"/>
  <c r="O128" i="9"/>
  <c r="Q128" i="9" s="1"/>
  <c r="Q124" i="9"/>
  <c r="O123" i="9"/>
  <c r="Q123" i="9" s="1"/>
  <c r="O122" i="9"/>
  <c r="Q122" i="9" s="1"/>
  <c r="O121" i="9"/>
  <c r="Q121" i="9" s="1"/>
  <c r="O120" i="9"/>
  <c r="Q120" i="9" s="1"/>
  <c r="Q117" i="9"/>
  <c r="M116" i="9"/>
  <c r="P116" i="9"/>
  <c r="O116" i="9"/>
  <c r="P115" i="9"/>
  <c r="O115" i="9"/>
  <c r="D27" i="9"/>
  <c r="R111" i="9"/>
  <c r="Q111" i="9"/>
  <c r="P110" i="9"/>
  <c r="Q110" i="9" s="1"/>
  <c r="O110" i="9"/>
  <c r="P109" i="9"/>
  <c r="Q109" i="9" s="1"/>
  <c r="O109" i="9"/>
  <c r="P107" i="9"/>
  <c r="O107" i="9"/>
  <c r="P106" i="9"/>
  <c r="O106" i="9"/>
  <c r="R104" i="9"/>
  <c r="Q104" i="9"/>
  <c r="P103" i="9"/>
  <c r="O103" i="9"/>
  <c r="Q103" i="9" s="1"/>
  <c r="Q102" i="9"/>
  <c r="P102" i="9"/>
  <c r="O102" i="9"/>
  <c r="P100" i="9"/>
  <c r="O100" i="9"/>
  <c r="P99" i="9"/>
  <c r="O99" i="9"/>
  <c r="R97" i="9"/>
  <c r="Q97" i="9"/>
  <c r="Q96" i="9"/>
  <c r="P96" i="9"/>
  <c r="O96" i="9"/>
  <c r="P95" i="9"/>
  <c r="Q95" i="9" s="1"/>
  <c r="O95" i="9"/>
  <c r="P94" i="9"/>
  <c r="O94" i="9"/>
  <c r="P93" i="9"/>
  <c r="O93" i="9"/>
  <c r="Q93" i="9" s="1"/>
  <c r="Q92" i="9"/>
  <c r="P92" i="9"/>
  <c r="O92" i="9"/>
  <c r="R90" i="9"/>
  <c r="Q90" i="9"/>
  <c r="O87" i="9"/>
  <c r="P87" i="9"/>
  <c r="Q87" i="9"/>
  <c r="Q89" i="9"/>
  <c r="P89" i="9"/>
  <c r="O89" i="9"/>
  <c r="P88" i="9"/>
  <c r="Q88" i="9" s="1"/>
  <c r="O88" i="9"/>
  <c r="P86" i="9"/>
  <c r="O86" i="9"/>
  <c r="P85" i="9"/>
  <c r="O85" i="9"/>
  <c r="Q85" i="9" s="1"/>
  <c r="R83" i="9"/>
  <c r="P80" i="9"/>
  <c r="O80" i="9"/>
  <c r="Q80" i="9" s="1"/>
  <c r="P82" i="9"/>
  <c r="Q82" i="9" s="1"/>
  <c r="O82" i="9"/>
  <c r="P81" i="9"/>
  <c r="O81" i="9"/>
  <c r="Q81" i="9" s="1"/>
  <c r="M81" i="9"/>
  <c r="P79" i="9"/>
  <c r="O79" i="9"/>
  <c r="P76" i="9"/>
  <c r="Q76" i="9" s="1"/>
  <c r="O76" i="9"/>
  <c r="P75" i="9"/>
  <c r="O75" i="9"/>
  <c r="Q75" i="9" s="1"/>
  <c r="M75" i="9"/>
  <c r="P73" i="9"/>
  <c r="O73" i="9"/>
  <c r="Q73" i="9" s="1"/>
  <c r="K68" i="9"/>
  <c r="Q67" i="9"/>
  <c r="O68" i="9"/>
  <c r="P68" i="9"/>
  <c r="Q68" i="9" s="1"/>
  <c r="P70" i="9"/>
  <c r="Q70" i="9" s="1"/>
  <c r="O70" i="9"/>
  <c r="P69" i="9"/>
  <c r="Q69" i="9" s="1"/>
  <c r="O69" i="9"/>
  <c r="P67" i="9"/>
  <c r="O67" i="9"/>
  <c r="P64" i="9"/>
  <c r="O64" i="9"/>
  <c r="Q64" i="9" s="1"/>
  <c r="O63" i="9"/>
  <c r="M63" i="9"/>
  <c r="P63" i="9" s="1"/>
  <c r="O61" i="9"/>
  <c r="P61" i="9"/>
  <c r="Q58" i="9"/>
  <c r="Q54" i="9"/>
  <c r="O54" i="9"/>
  <c r="R50" i="9"/>
  <c r="O50" i="9"/>
  <c r="Q53" i="9"/>
  <c r="O53" i="9"/>
  <c r="Q52" i="9"/>
  <c r="O52" i="9"/>
  <c r="Q57" i="9"/>
  <c r="O57" i="9"/>
  <c r="Q56" i="9"/>
  <c r="O56" i="9"/>
  <c r="O51" i="9"/>
  <c r="Q51" i="9" s="1"/>
  <c r="Q50" i="9"/>
  <c r="O55" i="9"/>
  <c r="Q55" i="9" s="1"/>
  <c r="U165" i="8"/>
  <c r="Q49" i="9"/>
  <c r="O49" i="9"/>
  <c r="Q44" i="9"/>
  <c r="Q45" i="9"/>
  <c r="Q42" i="9"/>
  <c r="O44" i="9"/>
  <c r="O45" i="9"/>
  <c r="L44" i="9"/>
  <c r="L45" i="9"/>
  <c r="O43" i="9"/>
  <c r="Q43" i="9" s="1"/>
  <c r="L43" i="9"/>
  <c r="O42" i="9"/>
  <c r="K42" i="9"/>
  <c r="U20" i="8"/>
  <c r="N50" i="8"/>
  <c r="Q50" i="8" s="1"/>
  <c r="N17" i="8"/>
  <c r="V40" i="9"/>
  <c r="U40" i="9"/>
  <c r="V41" i="9" s="1"/>
  <c r="J28" i="7"/>
  <c r="U45" i="9"/>
  <c r="U46" i="9"/>
  <c r="T45" i="9"/>
  <c r="T44" i="9"/>
  <c r="U44" i="9" s="1"/>
  <c r="V36" i="9"/>
  <c r="U36" i="9"/>
  <c r="S32" i="9"/>
  <c r="U32" i="9" s="1"/>
  <c r="T31" i="9"/>
  <c r="U31" i="9" s="1"/>
  <c r="U33" i="9" s="1"/>
  <c r="V33" i="9" s="1"/>
  <c r="S31" i="9"/>
  <c r="V27" i="9"/>
  <c r="T27" i="9"/>
  <c r="T26" i="9"/>
  <c r="V26" i="9" s="1"/>
  <c r="T4" i="9"/>
  <c r="U22" i="9"/>
  <c r="U23" i="9" s="1"/>
  <c r="V23" i="9" s="1"/>
  <c r="U18" i="9"/>
  <c r="U17" i="9"/>
  <c r="V9" i="9"/>
  <c r="V13" i="9" s="1"/>
  <c r="V12" i="9"/>
  <c r="V11" i="9"/>
  <c r="V10" i="9"/>
  <c r="AC15" i="9"/>
  <c r="AC13" i="9"/>
  <c r="AC12" i="9"/>
  <c r="N8" i="7"/>
  <c r="N5" i="7"/>
  <c r="N4" i="7"/>
  <c r="Z6" i="9"/>
  <c r="J19" i="7"/>
  <c r="P366" i="8"/>
  <c r="R366" i="8" s="1"/>
  <c r="P365" i="8"/>
  <c r="R365" i="8" s="1"/>
  <c r="P364" i="8"/>
  <c r="R364" i="8" s="1"/>
  <c r="P363" i="8"/>
  <c r="R363" i="8" s="1"/>
  <c r="P362" i="8"/>
  <c r="R362" i="8" s="1"/>
  <c r="Q361" i="8"/>
  <c r="P361" i="8"/>
  <c r="R361" i="8" s="1"/>
  <c r="R360" i="8"/>
  <c r="P360" i="8"/>
  <c r="N360" i="8"/>
  <c r="Q360" i="8" s="1"/>
  <c r="R359" i="8"/>
  <c r="Q359" i="8"/>
  <c r="P359" i="8"/>
  <c r="Q358" i="8"/>
  <c r="R358" i="8" s="1"/>
  <c r="P358" i="8"/>
  <c r="Q357" i="8"/>
  <c r="P357" i="8"/>
  <c r="R357" i="8" s="1"/>
  <c r="N357" i="8"/>
  <c r="Q356" i="8"/>
  <c r="P356" i="8"/>
  <c r="N356" i="8"/>
  <c r="Q355" i="8"/>
  <c r="P355" i="8"/>
  <c r="R355" i="8" s="1"/>
  <c r="P354" i="8"/>
  <c r="L354" i="8"/>
  <c r="Q354" i="8" s="1"/>
  <c r="Q353" i="8"/>
  <c r="P353" i="8"/>
  <c r="R353" i="8" s="1"/>
  <c r="P352" i="8"/>
  <c r="N352" i="8"/>
  <c r="Q352" i="8" s="1"/>
  <c r="R352" i="8" s="1"/>
  <c r="P351" i="8"/>
  <c r="N351" i="8"/>
  <c r="Q351" i="8" s="1"/>
  <c r="R351" i="8" s="1"/>
  <c r="R350" i="8"/>
  <c r="Q350" i="8"/>
  <c r="P350" i="8"/>
  <c r="R349" i="8"/>
  <c r="Q349" i="8"/>
  <c r="P349" i="8"/>
  <c r="Q348" i="8"/>
  <c r="P348" i="8"/>
  <c r="R348" i="8" s="1"/>
  <c r="L348" i="8"/>
  <c r="Q347" i="8"/>
  <c r="P347" i="8"/>
  <c r="P346" i="8"/>
  <c r="R346" i="8" s="1"/>
  <c r="N346" i="8"/>
  <c r="Q346" i="8" s="1"/>
  <c r="P345" i="8"/>
  <c r="R345" i="8" s="1"/>
  <c r="N345" i="8"/>
  <c r="Q345" i="8" s="1"/>
  <c r="Q344" i="8"/>
  <c r="P344" i="8"/>
  <c r="R344" i="8" s="1"/>
  <c r="R343" i="8"/>
  <c r="Q343" i="8"/>
  <c r="P343" i="8"/>
  <c r="Q342" i="8"/>
  <c r="R342" i="8" s="1"/>
  <c r="P342" i="8"/>
  <c r="L342" i="8"/>
  <c r="Q341" i="8"/>
  <c r="R341" i="8" s="1"/>
  <c r="P341" i="8"/>
  <c r="Q340" i="8"/>
  <c r="P340" i="8"/>
  <c r="N340" i="8"/>
  <c r="Q339" i="8"/>
  <c r="P339" i="8"/>
  <c r="R339" i="8" s="1"/>
  <c r="N339" i="8"/>
  <c r="Q338" i="8"/>
  <c r="P338" i="8"/>
  <c r="L338" i="8"/>
  <c r="Q337" i="8"/>
  <c r="R337" i="8" s="1"/>
  <c r="P336" i="8"/>
  <c r="N336" i="8"/>
  <c r="Q336" i="8" s="1"/>
  <c r="R336" i="8" s="1"/>
  <c r="R335" i="8"/>
  <c r="P335" i="8"/>
  <c r="N335" i="8"/>
  <c r="Q335" i="8" s="1"/>
  <c r="R334" i="8"/>
  <c r="P334" i="8"/>
  <c r="L334" i="8"/>
  <c r="Q334" i="8" s="1"/>
  <c r="P333" i="8"/>
  <c r="L333" i="8"/>
  <c r="Q333" i="8" s="1"/>
  <c r="R333" i="8" s="1"/>
  <c r="R332" i="8"/>
  <c r="Q332" i="8"/>
  <c r="P332" i="8"/>
  <c r="R331" i="8"/>
  <c r="Q331" i="8"/>
  <c r="P331" i="8"/>
  <c r="N331" i="8"/>
  <c r="R330" i="8"/>
  <c r="Q330" i="8"/>
  <c r="P330" i="8"/>
  <c r="N330" i="8"/>
  <c r="R329" i="8"/>
  <c r="Q329" i="8"/>
  <c r="P329" i="8"/>
  <c r="L329" i="8"/>
  <c r="P328" i="8"/>
  <c r="P327" i="8"/>
  <c r="Q326" i="8"/>
  <c r="P326" i="8"/>
  <c r="R326" i="8" s="1"/>
  <c r="R325" i="8"/>
  <c r="Q325" i="8"/>
  <c r="P325" i="8"/>
  <c r="Q324" i="8"/>
  <c r="R324" i="8" s="1"/>
  <c r="P324" i="8"/>
  <c r="Q323" i="8"/>
  <c r="P323" i="8"/>
  <c r="R323" i="8" s="1"/>
  <c r="N323" i="8"/>
  <c r="Q322" i="8"/>
  <c r="P322" i="8"/>
  <c r="N322" i="8"/>
  <c r="Q321" i="8"/>
  <c r="P321" i="8"/>
  <c r="N321" i="8"/>
  <c r="L321" i="8"/>
  <c r="R320" i="8"/>
  <c r="Q320" i="8"/>
  <c r="P320" i="8"/>
  <c r="N320" i="8"/>
  <c r="R318" i="8"/>
  <c r="Q318" i="8"/>
  <c r="P318" i="8"/>
  <c r="N318" i="8"/>
  <c r="R317" i="8"/>
  <c r="Q317" i="8"/>
  <c r="P317" i="8"/>
  <c r="N317" i="8"/>
  <c r="R316" i="8"/>
  <c r="Q316" i="8"/>
  <c r="P316" i="8"/>
  <c r="Q315" i="8"/>
  <c r="P315" i="8"/>
  <c r="R315" i="8" s="1"/>
  <c r="N315" i="8"/>
  <c r="Q314" i="8"/>
  <c r="P314" i="8"/>
  <c r="R314" i="8" s="1"/>
  <c r="N314" i="8"/>
  <c r="Q313" i="8"/>
  <c r="P313" i="8"/>
  <c r="P312" i="8"/>
  <c r="N312" i="8"/>
  <c r="Q312" i="8" s="1"/>
  <c r="P311" i="8"/>
  <c r="R311" i="8" s="1"/>
  <c r="N311" i="8"/>
  <c r="Q311" i="8" s="1"/>
  <c r="Q310" i="8"/>
  <c r="P310" i="8"/>
  <c r="R310" i="8" s="1"/>
  <c r="R309" i="8"/>
  <c r="Q309" i="8"/>
  <c r="P309" i="8"/>
  <c r="R308" i="8"/>
  <c r="Q308" i="8"/>
  <c r="P308" i="8"/>
  <c r="N308" i="8"/>
  <c r="R307" i="8"/>
  <c r="Q307" i="8"/>
  <c r="P307" i="8"/>
  <c r="Q306" i="8"/>
  <c r="P306" i="8"/>
  <c r="R306" i="8" s="1"/>
  <c r="L306" i="8"/>
  <c r="Q305" i="8"/>
  <c r="P305" i="8"/>
  <c r="R305" i="8" s="1"/>
  <c r="P304" i="8"/>
  <c r="R304" i="8" s="1"/>
  <c r="N304" i="8"/>
  <c r="Q304" i="8" s="1"/>
  <c r="P303" i="8"/>
  <c r="N303" i="8"/>
  <c r="Q303" i="8" s="1"/>
  <c r="P302" i="8"/>
  <c r="R302" i="8" s="1"/>
  <c r="L302" i="8"/>
  <c r="Q302" i="8" s="1"/>
  <c r="P301" i="8"/>
  <c r="L301" i="8"/>
  <c r="Q301" i="8" s="1"/>
  <c r="Q300" i="8"/>
  <c r="P300" i="8"/>
  <c r="R300" i="8" s="1"/>
  <c r="R299" i="8"/>
  <c r="Q299" i="8"/>
  <c r="P299" i="8"/>
  <c r="R298" i="8"/>
  <c r="Q298" i="8"/>
  <c r="P298" i="8"/>
  <c r="N298" i="8"/>
  <c r="R297" i="8"/>
  <c r="Q297" i="8"/>
  <c r="P297" i="8"/>
  <c r="L297" i="8"/>
  <c r="R296" i="8"/>
  <c r="Q296" i="8"/>
  <c r="P296" i="8"/>
  <c r="L296" i="8"/>
  <c r="R295" i="8"/>
  <c r="Q295" i="8"/>
  <c r="P295" i="8"/>
  <c r="Q294" i="8"/>
  <c r="P294" i="8"/>
  <c r="P293" i="8"/>
  <c r="N293" i="8"/>
  <c r="Q293" i="8" s="1"/>
  <c r="P292" i="8"/>
  <c r="R292" i="8" s="1"/>
  <c r="L292" i="8"/>
  <c r="Q292" i="8" s="1"/>
  <c r="P291" i="8"/>
  <c r="L291" i="8"/>
  <c r="Q291" i="8" s="1"/>
  <c r="R290" i="8"/>
  <c r="Q290" i="8"/>
  <c r="Q289" i="8"/>
  <c r="R289" i="8" s="1"/>
  <c r="P289" i="8"/>
  <c r="Q288" i="8"/>
  <c r="P288" i="8"/>
  <c r="N288" i="8"/>
  <c r="Q287" i="8"/>
  <c r="P287" i="8"/>
  <c r="R287" i="8" s="1"/>
  <c r="L287" i="8"/>
  <c r="Q286" i="8"/>
  <c r="P286" i="8"/>
  <c r="R286" i="8" s="1"/>
  <c r="Q285" i="8"/>
  <c r="P285" i="8"/>
  <c r="R285" i="8" s="1"/>
  <c r="P284" i="8"/>
  <c r="N284" i="8"/>
  <c r="Q284" i="8" s="1"/>
  <c r="R284" i="8" s="1"/>
  <c r="P283" i="8"/>
  <c r="L283" i="8"/>
  <c r="Q283" i="8" s="1"/>
  <c r="R283" i="8" s="1"/>
  <c r="R282" i="8"/>
  <c r="P282" i="8"/>
  <c r="L282" i="8"/>
  <c r="Q282" i="8" s="1"/>
  <c r="P281" i="8"/>
  <c r="P280" i="8"/>
  <c r="Q279" i="8"/>
  <c r="P279" i="8"/>
  <c r="R279" i="8" s="1"/>
  <c r="P278" i="8"/>
  <c r="N278" i="8"/>
  <c r="Q278" i="8" s="1"/>
  <c r="P277" i="8"/>
  <c r="N277" i="8"/>
  <c r="Q277" i="8" s="1"/>
  <c r="P276" i="8"/>
  <c r="N276" i="8"/>
  <c r="Q276" i="8" s="1"/>
  <c r="P275" i="8"/>
  <c r="N275" i="8"/>
  <c r="Q275" i="8" s="1"/>
  <c r="P274" i="8"/>
  <c r="N274" i="8"/>
  <c r="L274" i="8"/>
  <c r="Q273" i="8"/>
  <c r="P273" i="8"/>
  <c r="R273" i="8" s="1"/>
  <c r="Q272" i="8"/>
  <c r="P272" i="8"/>
  <c r="R272" i="8" s="1"/>
  <c r="R271" i="8"/>
  <c r="Q271" i="8"/>
  <c r="P271" i="8"/>
  <c r="Q270" i="8"/>
  <c r="R270" i="8" s="1"/>
  <c r="P270" i="8"/>
  <c r="N270" i="8"/>
  <c r="Q269" i="8"/>
  <c r="R269" i="8" s="1"/>
  <c r="P269" i="8"/>
  <c r="N269" i="8"/>
  <c r="Q268" i="8"/>
  <c r="R268" i="8" s="1"/>
  <c r="P268" i="8"/>
  <c r="N268" i="8"/>
  <c r="L268" i="8"/>
  <c r="P267" i="8"/>
  <c r="N267" i="8"/>
  <c r="Q267" i="8" s="1"/>
  <c r="R267" i="8" s="1"/>
  <c r="R266" i="8"/>
  <c r="Q266" i="8"/>
  <c r="P266" i="8"/>
  <c r="R265" i="8"/>
  <c r="Q265" i="8"/>
  <c r="P265" i="8"/>
  <c r="N265" i="8"/>
  <c r="R264" i="8"/>
  <c r="Q264" i="8"/>
  <c r="P264" i="8"/>
  <c r="N264" i="8"/>
  <c r="R263" i="8"/>
  <c r="Q263" i="8"/>
  <c r="P263" i="8"/>
  <c r="Q262" i="8"/>
  <c r="P262" i="8"/>
  <c r="R262" i="8" s="1"/>
  <c r="N262" i="8"/>
  <c r="Q261" i="8"/>
  <c r="P261" i="8"/>
  <c r="R261" i="8" s="1"/>
  <c r="N261" i="8"/>
  <c r="Q260" i="8"/>
  <c r="P260" i="8"/>
  <c r="R260" i="8" s="1"/>
  <c r="Q259" i="8"/>
  <c r="P259" i="8"/>
  <c r="R259" i="8" s="1"/>
  <c r="P258" i="8"/>
  <c r="N258" i="8"/>
  <c r="Q258" i="8" s="1"/>
  <c r="R258" i="8" s="1"/>
  <c r="R257" i="8"/>
  <c r="Q257" i="8"/>
  <c r="P257" i="8"/>
  <c r="Q256" i="8"/>
  <c r="R256" i="8" s="1"/>
  <c r="P256" i="8"/>
  <c r="L256" i="8"/>
  <c r="Q255" i="8"/>
  <c r="R255" i="8" s="1"/>
  <c r="P255" i="8"/>
  <c r="Q254" i="8"/>
  <c r="P254" i="8"/>
  <c r="R254" i="8" s="1"/>
  <c r="N254" i="8"/>
  <c r="Q253" i="8"/>
  <c r="P253" i="8"/>
  <c r="R253" i="8" s="1"/>
  <c r="N253" i="8"/>
  <c r="Q252" i="8"/>
  <c r="P252" i="8"/>
  <c r="L252" i="8"/>
  <c r="Q251" i="8"/>
  <c r="P251" i="8"/>
  <c r="R251" i="8" s="1"/>
  <c r="L251" i="8"/>
  <c r="Q250" i="8"/>
  <c r="P250" i="8"/>
  <c r="R250" i="8" s="1"/>
  <c r="Q249" i="8"/>
  <c r="P249" i="8"/>
  <c r="R249" i="8" s="1"/>
  <c r="P248" i="8"/>
  <c r="N248" i="8"/>
  <c r="Q248" i="8" s="1"/>
  <c r="R248" i="8" s="1"/>
  <c r="P247" i="8"/>
  <c r="L247" i="8"/>
  <c r="Q247" i="8" s="1"/>
  <c r="R247" i="8" s="1"/>
  <c r="P246" i="8"/>
  <c r="L246" i="8"/>
  <c r="Q246" i="8" s="1"/>
  <c r="R246" i="8" s="1"/>
  <c r="R245" i="8"/>
  <c r="Q245" i="8"/>
  <c r="P245" i="8"/>
  <c r="R244" i="8"/>
  <c r="Q244" i="8"/>
  <c r="P244" i="8"/>
  <c r="Q243" i="8"/>
  <c r="P243" i="8"/>
  <c r="R243" i="8" s="1"/>
  <c r="N243" i="8"/>
  <c r="Q242" i="8"/>
  <c r="P242" i="8"/>
  <c r="L242" i="8"/>
  <c r="Q241" i="8"/>
  <c r="P241" i="8"/>
  <c r="R241" i="8" s="1"/>
  <c r="L241" i="8"/>
  <c r="Q240" i="8"/>
  <c r="R240" i="8" s="1"/>
  <c r="R239" i="8"/>
  <c r="Q239" i="8"/>
  <c r="P239" i="8"/>
  <c r="R238" i="8"/>
  <c r="Q238" i="8"/>
  <c r="P238" i="8"/>
  <c r="N238" i="8"/>
  <c r="R237" i="8"/>
  <c r="Q237" i="8"/>
  <c r="P237" i="8"/>
  <c r="L237" i="8"/>
  <c r="R236" i="8"/>
  <c r="Q236" i="8"/>
  <c r="P236" i="8"/>
  <c r="Q235" i="8"/>
  <c r="P235" i="8"/>
  <c r="R235" i="8" s="1"/>
  <c r="P234" i="8"/>
  <c r="N234" i="8"/>
  <c r="Q234" i="8" s="1"/>
  <c r="P233" i="8"/>
  <c r="L233" i="8"/>
  <c r="Q233" i="8" s="1"/>
  <c r="P232" i="8"/>
  <c r="L232" i="8"/>
  <c r="Q232" i="8" s="1"/>
  <c r="P231" i="8"/>
  <c r="P230" i="8"/>
  <c r="Q229" i="8"/>
  <c r="R229" i="8" s="1"/>
  <c r="P229" i="8"/>
  <c r="Q228" i="8"/>
  <c r="P228" i="8"/>
  <c r="N228" i="8"/>
  <c r="Q227" i="8"/>
  <c r="P227" i="8"/>
  <c r="R227" i="8" s="1"/>
  <c r="N227" i="8"/>
  <c r="Q226" i="8"/>
  <c r="P226" i="8"/>
  <c r="N226" i="8"/>
  <c r="Q225" i="8"/>
  <c r="P225" i="8"/>
  <c r="R225" i="8" s="1"/>
  <c r="N225" i="8"/>
  <c r="Q224" i="8"/>
  <c r="P224" i="8"/>
  <c r="N224" i="8"/>
  <c r="L224" i="8"/>
  <c r="R223" i="8"/>
  <c r="Q223" i="8"/>
  <c r="P223" i="8"/>
  <c r="Q222" i="8"/>
  <c r="P222" i="8"/>
  <c r="R222" i="8" s="1"/>
  <c r="Q221" i="8"/>
  <c r="P221" i="8"/>
  <c r="R221" i="8" s="1"/>
  <c r="P220" i="8"/>
  <c r="N220" i="8"/>
  <c r="Q220" i="8" s="1"/>
  <c r="R220" i="8" s="1"/>
  <c r="P219" i="8"/>
  <c r="N219" i="8"/>
  <c r="Q219" i="8" s="1"/>
  <c r="R219" i="8" s="1"/>
  <c r="R218" i="8"/>
  <c r="P218" i="8"/>
  <c r="N218" i="8"/>
  <c r="L218" i="8"/>
  <c r="Q218" i="8" s="1"/>
  <c r="P217" i="8"/>
  <c r="R217" i="8" s="1"/>
  <c r="N217" i="8"/>
  <c r="Q217" i="8" s="1"/>
  <c r="Q216" i="8"/>
  <c r="P216" i="8"/>
  <c r="R216" i="8" s="1"/>
  <c r="R215" i="8"/>
  <c r="P215" i="8"/>
  <c r="N215" i="8"/>
  <c r="Q215" i="8" s="1"/>
  <c r="R214" i="8"/>
  <c r="P214" i="8"/>
  <c r="N214" i="8"/>
  <c r="Q214" i="8" s="1"/>
  <c r="P213" i="8"/>
  <c r="N213" i="8"/>
  <c r="Q213" i="8" s="1"/>
  <c r="R213" i="8" s="1"/>
  <c r="R212" i="8"/>
  <c r="P212" i="8"/>
  <c r="N212" i="8"/>
  <c r="Q212" i="8" s="1"/>
  <c r="R211" i="8"/>
  <c r="Q211" i="8"/>
  <c r="P211" i="8"/>
  <c r="Q210" i="8"/>
  <c r="R210" i="8" s="1"/>
  <c r="P210" i="8"/>
  <c r="N210" i="8"/>
  <c r="Q209" i="8"/>
  <c r="R209" i="8" s="1"/>
  <c r="P209" i="8"/>
  <c r="N209" i="8"/>
  <c r="Q208" i="8"/>
  <c r="R208" i="8" s="1"/>
  <c r="P208" i="8"/>
  <c r="Q207" i="8"/>
  <c r="P207" i="8"/>
  <c r="R207" i="8" s="1"/>
  <c r="P206" i="8"/>
  <c r="N206" i="8"/>
  <c r="Q206" i="8" s="1"/>
  <c r="P205" i="8"/>
  <c r="L205" i="8"/>
  <c r="Q205" i="8" s="1"/>
  <c r="P204" i="8"/>
  <c r="L204" i="8"/>
  <c r="Q204" i="8" s="1"/>
  <c r="Q203" i="8"/>
  <c r="P203" i="8"/>
  <c r="R203" i="8" s="1"/>
  <c r="R202" i="8"/>
  <c r="Q202" i="8"/>
  <c r="P202" i="8"/>
  <c r="Q201" i="8"/>
  <c r="R201" i="8" s="1"/>
  <c r="P201" i="8"/>
  <c r="N201" i="8"/>
  <c r="Q200" i="8"/>
  <c r="R200" i="8" s="1"/>
  <c r="P200" i="8"/>
  <c r="Q199" i="8"/>
  <c r="P199" i="8"/>
  <c r="R199" i="8" s="1"/>
  <c r="L199" i="8"/>
  <c r="Q198" i="8"/>
  <c r="P198" i="8"/>
  <c r="Q197" i="8"/>
  <c r="P197" i="8"/>
  <c r="R197" i="8" s="1"/>
  <c r="R196" i="8"/>
  <c r="P196" i="8"/>
  <c r="N196" i="8"/>
  <c r="Q196" i="8" s="1"/>
  <c r="R195" i="8"/>
  <c r="P195" i="8"/>
  <c r="L195" i="8"/>
  <c r="Q195" i="8" s="1"/>
  <c r="P194" i="8"/>
  <c r="L194" i="8"/>
  <c r="Q194" i="8" s="1"/>
  <c r="R194" i="8" s="1"/>
  <c r="R193" i="8"/>
  <c r="Q193" i="8"/>
  <c r="P193" i="8"/>
  <c r="R192" i="8"/>
  <c r="Q192" i="8"/>
  <c r="P192" i="8"/>
  <c r="Q191" i="8"/>
  <c r="P191" i="8"/>
  <c r="R191" i="8" s="1"/>
  <c r="N191" i="8"/>
  <c r="Q190" i="8"/>
  <c r="P190" i="8"/>
  <c r="R190" i="8" s="1"/>
  <c r="L190" i="8"/>
  <c r="Q189" i="8"/>
  <c r="P189" i="8"/>
  <c r="R189" i="8" s="1"/>
  <c r="L189" i="8"/>
  <c r="Q188" i="8"/>
  <c r="P188" i="8"/>
  <c r="Q187" i="8"/>
  <c r="P187" i="8"/>
  <c r="R187" i="8" s="1"/>
  <c r="R186" i="8"/>
  <c r="P186" i="8"/>
  <c r="N186" i="8"/>
  <c r="Q186" i="8" s="1"/>
  <c r="R185" i="8"/>
  <c r="P185" i="8"/>
  <c r="L185" i="8"/>
  <c r="Q185" i="8" s="1"/>
  <c r="P184" i="8"/>
  <c r="L184" i="8"/>
  <c r="Q184" i="8" s="1"/>
  <c r="R184" i="8" s="1"/>
  <c r="R183" i="8"/>
  <c r="Q183" i="8"/>
  <c r="Q182" i="8"/>
  <c r="P182" i="8"/>
  <c r="R182" i="8" s="1"/>
  <c r="P181" i="8"/>
  <c r="N181" i="8"/>
  <c r="Q181" i="8" s="1"/>
  <c r="P180" i="8"/>
  <c r="L180" i="8"/>
  <c r="Q180" i="8" s="1"/>
  <c r="Q179" i="8"/>
  <c r="P179" i="8"/>
  <c r="R179" i="8" s="1"/>
  <c r="T178" i="8"/>
  <c r="Q178" i="8"/>
  <c r="P178" i="8"/>
  <c r="R178" i="8" s="1"/>
  <c r="T177" i="8"/>
  <c r="P177" i="8"/>
  <c r="N177" i="8"/>
  <c r="Q177" i="8" s="1"/>
  <c r="P176" i="8"/>
  <c r="L176" i="8"/>
  <c r="Q176" i="8" s="1"/>
  <c r="P175" i="8"/>
  <c r="L175" i="8"/>
  <c r="Q175" i="8" s="1"/>
  <c r="Q174" i="8"/>
  <c r="P174" i="8"/>
  <c r="R174" i="8" s="1"/>
  <c r="R173" i="8"/>
  <c r="Q173" i="8"/>
  <c r="P173" i="8"/>
  <c r="Q172" i="8"/>
  <c r="R172" i="8" s="1"/>
  <c r="P172" i="8"/>
  <c r="Q171" i="8"/>
  <c r="P171" i="8"/>
  <c r="R171" i="8" s="1"/>
  <c r="N171" i="8"/>
  <c r="Q170" i="8"/>
  <c r="P170" i="8"/>
  <c r="N170" i="8"/>
  <c r="Q169" i="8"/>
  <c r="P169" i="8"/>
  <c r="R169" i="8" s="1"/>
  <c r="N169" i="8"/>
  <c r="L169" i="8"/>
  <c r="Q168" i="8"/>
  <c r="R168" i="8" s="1"/>
  <c r="P168" i="8"/>
  <c r="N168" i="8"/>
  <c r="Q167" i="8"/>
  <c r="R167" i="8" s="1"/>
  <c r="P167" i="8"/>
  <c r="N167" i="8"/>
  <c r="Q166" i="8"/>
  <c r="R166" i="8" s="1"/>
  <c r="P166" i="8"/>
  <c r="N166" i="8"/>
  <c r="Q165" i="8"/>
  <c r="R165" i="8" s="1"/>
  <c r="P165" i="8"/>
  <c r="N165" i="8"/>
  <c r="Q164" i="8"/>
  <c r="R164" i="8" s="1"/>
  <c r="P164" i="8"/>
  <c r="N164" i="8"/>
  <c r="Q163" i="8"/>
  <c r="R163" i="8" s="1"/>
  <c r="P163" i="8"/>
  <c r="N163" i="8"/>
  <c r="D163" i="8"/>
  <c r="R162" i="8"/>
  <c r="P162" i="8"/>
  <c r="N162" i="8"/>
  <c r="L162" i="8"/>
  <c r="Q162" i="8" s="1"/>
  <c r="Q161" i="8"/>
  <c r="P161" i="8"/>
  <c r="R161" i="8" s="1"/>
  <c r="P160" i="8"/>
  <c r="N160" i="8"/>
  <c r="Q160" i="8" s="1"/>
  <c r="R160" i="8" s="1"/>
  <c r="P159" i="8"/>
  <c r="N159" i="8"/>
  <c r="L159" i="8"/>
  <c r="Q159" i="8" s="1"/>
  <c r="R159" i="8" s="1"/>
  <c r="P157" i="8"/>
  <c r="N157" i="8"/>
  <c r="Q157" i="8" s="1"/>
  <c r="P156" i="8"/>
  <c r="N156" i="8"/>
  <c r="L156" i="8"/>
  <c r="Q154" i="8"/>
  <c r="P154" i="8"/>
  <c r="R154" i="8" s="1"/>
  <c r="N154" i="8"/>
  <c r="Q153" i="8"/>
  <c r="P153" i="8"/>
  <c r="R153" i="8" s="1"/>
  <c r="N153" i="8"/>
  <c r="L153" i="8"/>
  <c r="S151" i="8"/>
  <c r="R149" i="8"/>
  <c r="Q149" i="8"/>
  <c r="P149" i="8"/>
  <c r="Q148" i="8"/>
  <c r="R148" i="8" s="1"/>
  <c r="P148" i="8"/>
  <c r="Q147" i="8"/>
  <c r="P147" i="8"/>
  <c r="R147" i="8" s="1"/>
  <c r="Q146" i="8"/>
  <c r="P146" i="8"/>
  <c r="Q145" i="8"/>
  <c r="R145" i="8" s="1"/>
  <c r="P145" i="8"/>
  <c r="N145" i="8"/>
  <c r="Q144" i="8"/>
  <c r="R144" i="8" s="1"/>
  <c r="P144" i="8"/>
  <c r="N144" i="8"/>
  <c r="Q143" i="8"/>
  <c r="R143" i="8" s="1"/>
  <c r="P143" i="8"/>
  <c r="Q142" i="8"/>
  <c r="P142" i="8"/>
  <c r="R142" i="8" s="1"/>
  <c r="Q141" i="8"/>
  <c r="P141" i="8"/>
  <c r="Q140" i="8"/>
  <c r="P140" i="8"/>
  <c r="R140" i="8" s="1"/>
  <c r="P139" i="8"/>
  <c r="Q138" i="8"/>
  <c r="P138" i="8"/>
  <c r="R138" i="8" s="1"/>
  <c r="P137" i="8"/>
  <c r="R137" i="8" s="1"/>
  <c r="Q136" i="8"/>
  <c r="P136" i="8"/>
  <c r="R136" i="8" s="1"/>
  <c r="N136" i="8"/>
  <c r="P135" i="8"/>
  <c r="N135" i="8"/>
  <c r="Q135" i="8" s="1"/>
  <c r="Q134" i="8"/>
  <c r="P134" i="8"/>
  <c r="R134" i="8" s="1"/>
  <c r="R133" i="8"/>
  <c r="Q133" i="8"/>
  <c r="P133" i="8"/>
  <c r="Q131" i="8"/>
  <c r="R131" i="8" s="1"/>
  <c r="P131" i="8"/>
  <c r="N131" i="8"/>
  <c r="Q130" i="8"/>
  <c r="R130" i="8" s="1"/>
  <c r="P130" i="8"/>
  <c r="N130" i="8"/>
  <c r="Q129" i="8"/>
  <c r="R129" i="8" s="1"/>
  <c r="P129" i="8"/>
  <c r="Q128" i="8"/>
  <c r="P128" i="8"/>
  <c r="R128" i="8" s="1"/>
  <c r="Q127" i="8"/>
  <c r="P127" i="8"/>
  <c r="N127" i="8"/>
  <c r="Q126" i="8"/>
  <c r="P126" i="8"/>
  <c r="R126" i="8" s="1"/>
  <c r="Q125" i="8"/>
  <c r="P125" i="8"/>
  <c r="R125" i="8" s="1"/>
  <c r="R124" i="8"/>
  <c r="Q124" i="8"/>
  <c r="P124" i="8"/>
  <c r="Q123" i="8"/>
  <c r="P123" i="8"/>
  <c r="N123" i="8"/>
  <c r="Q122" i="8"/>
  <c r="P122" i="8"/>
  <c r="N122" i="8"/>
  <c r="Q121" i="8"/>
  <c r="P121" i="8"/>
  <c r="N121" i="8"/>
  <c r="Q120" i="8"/>
  <c r="R120" i="8" s="1"/>
  <c r="P120" i="8"/>
  <c r="Q119" i="8"/>
  <c r="P119" i="8"/>
  <c r="R119" i="8" s="1"/>
  <c r="R117" i="8"/>
  <c r="P117" i="8"/>
  <c r="N117" i="8"/>
  <c r="Q117" i="8" s="1"/>
  <c r="R116" i="8"/>
  <c r="Q116" i="8"/>
  <c r="P116" i="8"/>
  <c r="Q115" i="8"/>
  <c r="P115" i="8"/>
  <c r="Q114" i="8"/>
  <c r="P114" i="8"/>
  <c r="R114" i="8" s="1"/>
  <c r="Q113" i="8"/>
  <c r="P113" i="8"/>
  <c r="N113" i="8"/>
  <c r="Q112" i="8"/>
  <c r="P112" i="8"/>
  <c r="R112" i="8" s="1"/>
  <c r="L112" i="8"/>
  <c r="Q111" i="8"/>
  <c r="P111" i="8"/>
  <c r="R111" i="8" s="1"/>
  <c r="Q110" i="8"/>
  <c r="P110" i="8"/>
  <c r="R110" i="8" s="1"/>
  <c r="P109" i="8"/>
  <c r="N109" i="8"/>
  <c r="Q109" i="8" s="1"/>
  <c r="Q108" i="8"/>
  <c r="P108" i="8"/>
  <c r="N108" i="8"/>
  <c r="Q107" i="8"/>
  <c r="P107" i="8"/>
  <c r="N107" i="8"/>
  <c r="Q106" i="8"/>
  <c r="P106" i="8"/>
  <c r="Q105" i="8"/>
  <c r="P105" i="8"/>
  <c r="P104" i="8"/>
  <c r="R104" i="8" s="1"/>
  <c r="Q103" i="8"/>
  <c r="P103" i="8"/>
  <c r="Q102" i="8"/>
  <c r="P102" i="8"/>
  <c r="R102" i="8" s="1"/>
  <c r="Q101" i="8"/>
  <c r="P101" i="8"/>
  <c r="N101" i="8"/>
  <c r="Q100" i="8"/>
  <c r="P100" i="8"/>
  <c r="R100" i="8" s="1"/>
  <c r="L100" i="8"/>
  <c r="Q99" i="8"/>
  <c r="P99" i="8"/>
  <c r="R99" i="8" s="1"/>
  <c r="Q98" i="8"/>
  <c r="P98" i="8"/>
  <c r="R98" i="8" s="1"/>
  <c r="Q97" i="8"/>
  <c r="P97" i="8"/>
  <c r="N97" i="8"/>
  <c r="Q96" i="8"/>
  <c r="P96" i="8"/>
  <c r="N96" i="8"/>
  <c r="Q95" i="8"/>
  <c r="P95" i="8"/>
  <c r="N95" i="8"/>
  <c r="Q94" i="8"/>
  <c r="P94" i="8"/>
  <c r="Q93" i="8"/>
  <c r="P93" i="8"/>
  <c r="R93" i="8" s="1"/>
  <c r="Q92" i="8"/>
  <c r="P92" i="8"/>
  <c r="R92" i="8" s="1"/>
  <c r="P91" i="8"/>
  <c r="R91" i="8" s="1"/>
  <c r="N91" i="8"/>
  <c r="Q91" i="8" s="1"/>
  <c r="P90" i="8"/>
  <c r="R90" i="8" s="1"/>
  <c r="N90" i="8"/>
  <c r="Q90" i="8" s="1"/>
  <c r="Q89" i="8"/>
  <c r="P89" i="8"/>
  <c r="R89" i="8" s="1"/>
  <c r="Q88" i="8"/>
  <c r="P88" i="8"/>
  <c r="R88" i="8" s="1"/>
  <c r="Q87" i="8"/>
  <c r="P87" i="8"/>
  <c r="Q86" i="8"/>
  <c r="P86" i="8"/>
  <c r="R86" i="8" s="1"/>
  <c r="P85" i="8"/>
  <c r="Q84" i="8"/>
  <c r="P84" i="8"/>
  <c r="R84" i="8" s="1"/>
  <c r="P83" i="8"/>
  <c r="R83" i="8" s="1"/>
  <c r="Q82" i="8"/>
  <c r="P82" i="8"/>
  <c r="R82" i="8" s="1"/>
  <c r="N82" i="8"/>
  <c r="Q81" i="8"/>
  <c r="P81" i="8"/>
  <c r="R81" i="8" s="1"/>
  <c r="N81" i="8"/>
  <c r="Q80" i="8"/>
  <c r="P80" i="8"/>
  <c r="R80" i="8" s="1"/>
  <c r="Q79" i="8"/>
  <c r="P79" i="8"/>
  <c r="P77" i="8"/>
  <c r="R77" i="8" s="1"/>
  <c r="N77" i="8"/>
  <c r="Q77" i="8" s="1"/>
  <c r="P76" i="8"/>
  <c r="R76" i="8" s="1"/>
  <c r="N76" i="8"/>
  <c r="Q76" i="8" s="1"/>
  <c r="Q75" i="8"/>
  <c r="P75" i="8"/>
  <c r="R75" i="8" s="1"/>
  <c r="Q74" i="8"/>
  <c r="P74" i="8"/>
  <c r="Q73" i="8"/>
  <c r="P73" i="8"/>
  <c r="R73" i="8" s="1"/>
  <c r="Q72" i="8"/>
  <c r="P72" i="8"/>
  <c r="R72" i="8" s="1"/>
  <c r="P71" i="8"/>
  <c r="Q70" i="8"/>
  <c r="P70" i="8"/>
  <c r="P69" i="8"/>
  <c r="R69" i="8" s="1"/>
  <c r="R68" i="8"/>
  <c r="Q68" i="8"/>
  <c r="P68" i="8"/>
  <c r="N68" i="8"/>
  <c r="R67" i="8"/>
  <c r="Q67" i="8"/>
  <c r="P67" i="8"/>
  <c r="N67" i="8"/>
  <c r="R66" i="8"/>
  <c r="Q66" i="8"/>
  <c r="P66" i="8"/>
  <c r="Q65" i="8"/>
  <c r="P65" i="8"/>
  <c r="R65" i="8" s="1"/>
  <c r="P63" i="8"/>
  <c r="N63" i="8"/>
  <c r="L63" i="8"/>
  <c r="Q63" i="8" s="1"/>
  <c r="P62" i="8"/>
  <c r="L62" i="8"/>
  <c r="Q62" i="8" s="1"/>
  <c r="Q61" i="8"/>
  <c r="P61" i="8"/>
  <c r="N61" i="8"/>
  <c r="L61" i="8"/>
  <c r="Q60" i="8"/>
  <c r="P60" i="8"/>
  <c r="R60" i="8" s="1"/>
  <c r="N60" i="8"/>
  <c r="Q59" i="8"/>
  <c r="P59" i="8"/>
  <c r="N59" i="8"/>
  <c r="Q58" i="8"/>
  <c r="P58" i="8"/>
  <c r="R58" i="8" s="1"/>
  <c r="Q57" i="8"/>
  <c r="P57" i="8"/>
  <c r="P56" i="8"/>
  <c r="N56" i="8"/>
  <c r="Q56" i="8" s="1"/>
  <c r="P55" i="8"/>
  <c r="N55" i="8"/>
  <c r="Q55" i="8" s="1"/>
  <c r="R55" i="8" s="1"/>
  <c r="P54" i="8"/>
  <c r="L54" i="8"/>
  <c r="Q54" i="8" s="1"/>
  <c r="Q53" i="8"/>
  <c r="P53" i="8"/>
  <c r="R53" i="8" s="1"/>
  <c r="Q52" i="8"/>
  <c r="P52" i="8"/>
  <c r="P50" i="8"/>
  <c r="Q48" i="8"/>
  <c r="P48" i="8"/>
  <c r="P45" i="8"/>
  <c r="R45" i="8" s="1"/>
  <c r="N45" i="8"/>
  <c r="L45" i="8"/>
  <c r="Q45" i="8" s="1"/>
  <c r="Z44" i="8"/>
  <c r="X44" i="8"/>
  <c r="AA44" i="8" s="1"/>
  <c r="V44" i="8"/>
  <c r="Q44" i="8"/>
  <c r="P44" i="8"/>
  <c r="R44" i="8" s="1"/>
  <c r="N44" i="8"/>
  <c r="L44" i="8"/>
  <c r="AA43" i="8"/>
  <c r="AB43" i="8" s="1"/>
  <c r="Z43" i="8"/>
  <c r="V43" i="8"/>
  <c r="Q43" i="8"/>
  <c r="P43" i="8"/>
  <c r="L43" i="8"/>
  <c r="Q42" i="8"/>
  <c r="P42" i="8"/>
  <c r="Q41" i="8"/>
  <c r="P41" i="8"/>
  <c r="R41" i="8" s="1"/>
  <c r="N41" i="8"/>
  <c r="Q40" i="8"/>
  <c r="P40" i="8"/>
  <c r="R40" i="8" s="1"/>
  <c r="N40" i="8"/>
  <c r="Q39" i="8"/>
  <c r="P39" i="8"/>
  <c r="R39" i="8" s="1"/>
  <c r="L39" i="8"/>
  <c r="Q38" i="8"/>
  <c r="P38" i="8"/>
  <c r="R38" i="8" s="1"/>
  <c r="Q37" i="8"/>
  <c r="P37" i="8"/>
  <c r="P35" i="8"/>
  <c r="N35" i="8"/>
  <c r="Q35" i="8" s="1"/>
  <c r="Q33" i="8"/>
  <c r="P33" i="8"/>
  <c r="R33" i="8" s="1"/>
  <c r="Q30" i="8"/>
  <c r="P30" i="8"/>
  <c r="R30" i="8" s="1"/>
  <c r="N30" i="8"/>
  <c r="L30" i="8"/>
  <c r="Q29" i="8"/>
  <c r="P29" i="8"/>
  <c r="L29" i="8"/>
  <c r="Q28" i="8"/>
  <c r="P28" i="8"/>
  <c r="N28" i="8"/>
  <c r="L28" i="8"/>
  <c r="P27" i="8"/>
  <c r="R27" i="8" s="1"/>
  <c r="N27" i="8"/>
  <c r="Q27" i="8" s="1"/>
  <c r="P26" i="8"/>
  <c r="R26" i="8" s="1"/>
  <c r="N26" i="8"/>
  <c r="Q26" i="8" s="1"/>
  <c r="Q25" i="8"/>
  <c r="P25" i="8"/>
  <c r="R25" i="8" s="1"/>
  <c r="Q24" i="8"/>
  <c r="P24" i="8"/>
  <c r="R24" i="8" s="1"/>
  <c r="Q23" i="8"/>
  <c r="P23" i="8"/>
  <c r="N23" i="8"/>
  <c r="Q22" i="8"/>
  <c r="P22" i="8"/>
  <c r="N22" i="8"/>
  <c r="Q21" i="8"/>
  <c r="P21" i="8"/>
  <c r="L21" i="8"/>
  <c r="Q20" i="8"/>
  <c r="P20" i="8"/>
  <c r="Q19" i="8"/>
  <c r="P19" i="8"/>
  <c r="R19" i="8" s="1"/>
  <c r="P17" i="8"/>
  <c r="Q17" i="8"/>
  <c r="Q15" i="8"/>
  <c r="P15" i="8"/>
  <c r="J40" i="7"/>
  <c r="J35" i="7"/>
  <c r="J50" i="7"/>
  <c r="J49" i="7"/>
  <c r="J56" i="7"/>
  <c r="J57" i="7"/>
  <c r="J55" i="7"/>
  <c r="J54" i="7"/>
  <c r="J53" i="7"/>
  <c r="J38" i="7"/>
  <c r="J34" i="7"/>
  <c r="J27" i="7"/>
  <c r="J26" i="7"/>
  <c r="J24" i="7"/>
  <c r="J25" i="7"/>
  <c r="J23" i="7"/>
  <c r="J22" i="7"/>
  <c r="H13" i="7"/>
  <c r="J13" i="7" s="1"/>
  <c r="H11" i="7"/>
  <c r="J11" i="7" s="1"/>
  <c r="J104" i="7"/>
  <c r="J102" i="7"/>
  <c r="J101" i="7"/>
  <c r="J100" i="7"/>
  <c r="J99" i="7"/>
  <c r="J98" i="7"/>
  <c r="J97" i="7"/>
  <c r="J96" i="7"/>
  <c r="J95" i="7"/>
  <c r="J94" i="7"/>
  <c r="J93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6" i="7"/>
  <c r="J75" i="7"/>
  <c r="J74" i="7"/>
  <c r="J73" i="7"/>
  <c r="J72" i="7"/>
  <c r="J71" i="7"/>
  <c r="J70" i="7"/>
  <c r="J69" i="7"/>
  <c r="J68" i="7"/>
  <c r="J67" i="7"/>
  <c r="J65" i="7"/>
  <c r="J64" i="7"/>
  <c r="J63" i="7"/>
  <c r="J62" i="7"/>
  <c r="J61" i="7"/>
  <c r="J48" i="7"/>
  <c r="J47" i="7"/>
  <c r="J46" i="7"/>
  <c r="J45" i="7"/>
  <c r="J44" i="7"/>
  <c r="J43" i="7"/>
  <c r="J42" i="7"/>
  <c r="J41" i="7"/>
  <c r="G40" i="7"/>
  <c r="J37" i="7"/>
  <c r="J33" i="7"/>
  <c r="J32" i="7"/>
  <c r="J31" i="7"/>
  <c r="J21" i="7"/>
  <c r="J16" i="7"/>
  <c r="J15" i="7"/>
  <c r="J14" i="7"/>
  <c r="J12" i="7"/>
  <c r="J10" i="7"/>
  <c r="J9" i="7"/>
  <c r="J8" i="7"/>
  <c r="J7" i="7"/>
  <c r="J6" i="7"/>
  <c r="J5" i="7"/>
  <c r="J4" i="7"/>
  <c r="M47" i="3"/>
  <c r="D27" i="10" l="1"/>
  <c r="G27" i="10" s="1"/>
  <c r="V28" i="9"/>
  <c r="Q116" i="9"/>
  <c r="Q115" i="9"/>
  <c r="Q107" i="9"/>
  <c r="Q106" i="9"/>
  <c r="Q100" i="9"/>
  <c r="Q99" i="9"/>
  <c r="Q94" i="9"/>
  <c r="Q61" i="9"/>
  <c r="Q63" i="9"/>
  <c r="Q86" i="9"/>
  <c r="Q71" i="9"/>
  <c r="R71" i="9" s="1"/>
  <c r="Q79" i="9"/>
  <c r="Q83" i="9" s="1"/>
  <c r="Q77" i="9"/>
  <c r="R77" i="9" s="1"/>
  <c r="Q65" i="9"/>
  <c r="R65" i="9" s="1"/>
  <c r="Q46" i="9"/>
  <c r="R105" i="8"/>
  <c r="R21" i="8"/>
  <c r="R42" i="8"/>
  <c r="R56" i="8"/>
  <c r="R95" i="8"/>
  <c r="R108" i="8"/>
  <c r="R29" i="8"/>
  <c r="R23" i="8"/>
  <c r="R59" i="8"/>
  <c r="R74" i="8"/>
  <c r="R63" i="8"/>
  <c r="R22" i="8"/>
  <c r="R28" i="8"/>
  <c r="R52" i="8"/>
  <c r="R54" i="8"/>
  <c r="R94" i="8"/>
  <c r="R103" i="8"/>
  <c r="R107" i="8"/>
  <c r="R123" i="8"/>
  <c r="R106" i="8"/>
  <c r="R115" i="8"/>
  <c r="R122" i="8"/>
  <c r="R87" i="8"/>
  <c r="R97" i="8"/>
  <c r="R20" i="8"/>
  <c r="R43" i="8"/>
  <c r="R57" i="8"/>
  <c r="R96" i="8"/>
  <c r="R109" i="8"/>
  <c r="R121" i="8"/>
  <c r="R50" i="8"/>
  <c r="R48" i="8"/>
  <c r="R35" i="8"/>
  <c r="R15" i="8"/>
  <c r="R17" i="8"/>
  <c r="U47" i="9"/>
  <c r="AC22" i="9"/>
  <c r="J108" i="7"/>
  <c r="R180" i="8"/>
  <c r="R206" i="8"/>
  <c r="R312" i="8"/>
  <c r="R276" i="8"/>
  <c r="R135" i="8"/>
  <c r="R175" i="8"/>
  <c r="R177" i="8"/>
  <c r="R204" i="8"/>
  <c r="AB44" i="8"/>
  <c r="R62" i="8"/>
  <c r="R278" i="8"/>
  <c r="R37" i="8"/>
  <c r="R61" i="8"/>
  <c r="R70" i="8"/>
  <c r="R79" i="8"/>
  <c r="R101" i="8"/>
  <c r="R113" i="8"/>
  <c r="R127" i="8"/>
  <c r="R141" i="8"/>
  <c r="R224" i="8"/>
  <c r="R228" i="8"/>
  <c r="R232" i="8"/>
  <c r="R234" i="8"/>
  <c r="R294" i="8"/>
  <c r="R321" i="8"/>
  <c r="R340" i="8"/>
  <c r="Q156" i="8"/>
  <c r="R156" i="8" s="1"/>
  <c r="R157" i="8"/>
  <c r="R170" i="8"/>
  <c r="R176" i="8"/>
  <c r="R181" i="8"/>
  <c r="R188" i="8"/>
  <c r="R198" i="8"/>
  <c r="R205" i="8"/>
  <c r="R226" i="8"/>
  <c r="R233" i="8"/>
  <c r="R242" i="8"/>
  <c r="R252" i="8"/>
  <c r="Q274" i="8"/>
  <c r="R274" i="8" s="1"/>
  <c r="R275" i="8"/>
  <c r="R277" i="8"/>
  <c r="R288" i="8"/>
  <c r="R291" i="8"/>
  <c r="R293" i="8"/>
  <c r="R301" i="8"/>
  <c r="R303" i="8"/>
  <c r="R313" i="8"/>
  <c r="R322" i="8"/>
  <c r="R338" i="8"/>
  <c r="R347" i="8"/>
  <c r="R354" i="8"/>
  <c r="R356" i="8"/>
  <c r="K10" i="4"/>
  <c r="R371" i="8" l="1"/>
  <c r="T369" i="8"/>
  <c r="K8" i="4"/>
  <c r="K7" i="4"/>
  <c r="K6" i="4"/>
  <c r="T369" i="1"/>
  <c r="R371" i="1"/>
  <c r="P363" i="1"/>
  <c r="R363" i="1" s="1"/>
  <c r="P364" i="1"/>
  <c r="R364" i="1" s="1"/>
  <c r="P365" i="1"/>
  <c r="R365" i="1" s="1"/>
  <c r="P366" i="1"/>
  <c r="R366" i="1"/>
  <c r="R362" i="1"/>
  <c r="P361" i="1"/>
  <c r="R361" i="1" s="1"/>
  <c r="Q361" i="1"/>
  <c r="P362" i="1"/>
  <c r="J36" i="3"/>
  <c r="J33" i="3" l="1"/>
  <c r="J32" i="3"/>
  <c r="N38" i="3"/>
  <c r="M38" i="3"/>
  <c r="J28" i="3" l="1"/>
  <c r="P21" i="3"/>
  <c r="J23" i="3"/>
  <c r="J25" i="3"/>
  <c r="J26" i="3"/>
  <c r="J22" i="3"/>
  <c r="J20" i="3"/>
  <c r="J19" i="3"/>
  <c r="J13" i="3"/>
  <c r="J17" i="3"/>
  <c r="N15" i="3"/>
  <c r="L14" i="3"/>
  <c r="J100" i="2"/>
  <c r="J19" i="2"/>
  <c r="J95" i="2"/>
  <c r="J93" i="2" l="1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57" i="2"/>
  <c r="J58" i="2"/>
  <c r="J59" i="2"/>
  <c r="J56" i="2"/>
  <c r="J55" i="2"/>
  <c r="J54" i="2"/>
  <c r="J53" i="2"/>
  <c r="J52" i="2"/>
  <c r="J51" i="2"/>
  <c r="J50" i="2"/>
  <c r="J47" i="2"/>
  <c r="J46" i="2"/>
  <c r="J45" i="2"/>
  <c r="J48" i="2"/>
  <c r="J49" i="2"/>
  <c r="J44" i="2"/>
  <c r="J43" i="2"/>
  <c r="J28" i="2"/>
  <c r="J26" i="2"/>
  <c r="J38" i="2"/>
  <c r="J39" i="2" l="1"/>
  <c r="J34" i="2"/>
  <c r="J35" i="2"/>
  <c r="J36" i="2"/>
  <c r="J37" i="2"/>
  <c r="J33" i="2"/>
  <c r="J32" i="2"/>
  <c r="J31" i="2"/>
  <c r="G30" i="2" l="1"/>
  <c r="J30" i="2"/>
  <c r="R35" i="2"/>
  <c r="Q360" i="1" l="1"/>
  <c r="R360" i="1"/>
  <c r="N360" i="1"/>
  <c r="P359" i="1"/>
  <c r="Q359" i="1"/>
  <c r="P360" i="1"/>
  <c r="N357" i="1"/>
  <c r="N356" i="1"/>
  <c r="P354" i="1"/>
  <c r="L354" i="1"/>
  <c r="Q354" i="1" s="1"/>
  <c r="N352" i="1"/>
  <c r="Q352" i="1" s="1"/>
  <c r="N351" i="1"/>
  <c r="P348" i="1"/>
  <c r="L348" i="1"/>
  <c r="Q348" i="1" s="1"/>
  <c r="N346" i="1"/>
  <c r="Q346" i="1" s="1"/>
  <c r="N345" i="1"/>
  <c r="Q345" i="1" s="1"/>
  <c r="P342" i="1"/>
  <c r="L342" i="1"/>
  <c r="Q342" i="1" s="1"/>
  <c r="P340" i="1"/>
  <c r="N340" i="1"/>
  <c r="Q340" i="1" s="1"/>
  <c r="P339" i="1"/>
  <c r="N339" i="1"/>
  <c r="Q339" i="1" s="1"/>
  <c r="P338" i="1"/>
  <c r="L338" i="1"/>
  <c r="Q338" i="1" s="1"/>
  <c r="N336" i="1"/>
  <c r="Q336" i="1" s="1"/>
  <c r="N335" i="1"/>
  <c r="Q335" i="1" s="1"/>
  <c r="L334" i="1"/>
  <c r="Q334" i="1" s="1"/>
  <c r="P333" i="1"/>
  <c r="L333" i="1"/>
  <c r="Q333" i="1" s="1"/>
  <c r="N331" i="1"/>
  <c r="Q331" i="1" s="1"/>
  <c r="N330" i="1"/>
  <c r="Q330" i="1" s="1"/>
  <c r="L329" i="1"/>
  <c r="Q329" i="1" s="1"/>
  <c r="N321" i="1"/>
  <c r="N320" i="1"/>
  <c r="Q320" i="1" s="1"/>
  <c r="Q358" i="1"/>
  <c r="P358" i="1"/>
  <c r="Q357" i="1"/>
  <c r="P357" i="1"/>
  <c r="P356" i="1"/>
  <c r="Q356" i="1"/>
  <c r="P355" i="1"/>
  <c r="Q355" i="1"/>
  <c r="Q353" i="1"/>
  <c r="P353" i="1"/>
  <c r="P352" i="1"/>
  <c r="P351" i="1"/>
  <c r="Q351" i="1"/>
  <c r="R351" i="1" s="1"/>
  <c r="P350" i="1"/>
  <c r="Q350" i="1"/>
  <c r="P349" i="1"/>
  <c r="Q349" i="1"/>
  <c r="R349" i="1" s="1"/>
  <c r="Q347" i="1"/>
  <c r="P347" i="1"/>
  <c r="P346" i="1"/>
  <c r="P345" i="1"/>
  <c r="P344" i="1"/>
  <c r="Q344" i="1"/>
  <c r="P343" i="1"/>
  <c r="Q343" i="1"/>
  <c r="Q341" i="1"/>
  <c r="P341" i="1"/>
  <c r="Q337" i="1"/>
  <c r="R337" i="1" s="1"/>
  <c r="P336" i="1"/>
  <c r="P335" i="1"/>
  <c r="P334" i="1"/>
  <c r="Q332" i="1"/>
  <c r="P332" i="1"/>
  <c r="P331" i="1"/>
  <c r="P330" i="1"/>
  <c r="P329" i="1"/>
  <c r="P328" i="1"/>
  <c r="P327" i="1"/>
  <c r="Q326" i="1"/>
  <c r="P326" i="1"/>
  <c r="Q325" i="1"/>
  <c r="P325" i="1"/>
  <c r="Q324" i="1"/>
  <c r="P324" i="1"/>
  <c r="P323" i="1"/>
  <c r="N323" i="1"/>
  <c r="Q323" i="1" s="1"/>
  <c r="P322" i="1"/>
  <c r="N322" i="1"/>
  <c r="Q322" i="1" s="1"/>
  <c r="P321" i="1"/>
  <c r="L321" i="1"/>
  <c r="P320" i="1"/>
  <c r="P317" i="1"/>
  <c r="P318" i="1"/>
  <c r="N318" i="1"/>
  <c r="Q318" i="1" s="1"/>
  <c r="N317" i="1"/>
  <c r="Q317" i="1" s="1"/>
  <c r="Q316" i="1"/>
  <c r="P316" i="1"/>
  <c r="P315" i="1"/>
  <c r="N315" i="1"/>
  <c r="Q315" i="1" s="1"/>
  <c r="P314" i="1"/>
  <c r="N314" i="1"/>
  <c r="Q314" i="1" s="1"/>
  <c r="Q313" i="1"/>
  <c r="P313" i="1"/>
  <c r="P312" i="1"/>
  <c r="N312" i="1"/>
  <c r="Q312" i="1" s="1"/>
  <c r="P311" i="1"/>
  <c r="N311" i="1"/>
  <c r="Q311" i="1" s="1"/>
  <c r="Q310" i="1"/>
  <c r="P310" i="1"/>
  <c r="Q309" i="1"/>
  <c r="P309" i="1"/>
  <c r="P308" i="1"/>
  <c r="N308" i="1"/>
  <c r="Q308" i="1" s="1"/>
  <c r="Q307" i="1"/>
  <c r="P307" i="1"/>
  <c r="P306" i="1"/>
  <c r="L306" i="1"/>
  <c r="Q306" i="1" s="1"/>
  <c r="Q305" i="1"/>
  <c r="P305" i="1"/>
  <c r="P304" i="1"/>
  <c r="N304" i="1"/>
  <c r="Q304" i="1" s="1"/>
  <c r="P303" i="1"/>
  <c r="N303" i="1"/>
  <c r="Q303" i="1" s="1"/>
  <c r="P302" i="1"/>
  <c r="L302" i="1"/>
  <c r="Q302" i="1" s="1"/>
  <c r="P301" i="1"/>
  <c r="L301" i="1"/>
  <c r="Q301" i="1" s="1"/>
  <c r="Q300" i="1"/>
  <c r="P300" i="1"/>
  <c r="Q299" i="1"/>
  <c r="P299" i="1"/>
  <c r="P298" i="1"/>
  <c r="N298" i="1"/>
  <c r="Q298" i="1" s="1"/>
  <c r="P297" i="1"/>
  <c r="L297" i="1"/>
  <c r="Q297" i="1" s="1"/>
  <c r="P296" i="1"/>
  <c r="L296" i="1"/>
  <c r="Q296" i="1" s="1"/>
  <c r="Q295" i="1"/>
  <c r="P295" i="1"/>
  <c r="Q294" i="1"/>
  <c r="P294" i="1"/>
  <c r="P293" i="1"/>
  <c r="N293" i="1"/>
  <c r="Q293" i="1" s="1"/>
  <c r="P292" i="1"/>
  <c r="L292" i="1"/>
  <c r="Q292" i="1" s="1"/>
  <c r="P291" i="1"/>
  <c r="L291" i="1"/>
  <c r="Q291" i="1" s="1"/>
  <c r="Q290" i="1"/>
  <c r="R290" i="1" s="1"/>
  <c r="Q289" i="1"/>
  <c r="P289" i="1"/>
  <c r="P288" i="1"/>
  <c r="N288" i="1"/>
  <c r="Q288" i="1" s="1"/>
  <c r="P287" i="1"/>
  <c r="L287" i="1"/>
  <c r="Q287" i="1" s="1"/>
  <c r="Q286" i="1"/>
  <c r="P286" i="1"/>
  <c r="Q285" i="1"/>
  <c r="P285" i="1"/>
  <c r="P284" i="1"/>
  <c r="N284" i="1"/>
  <c r="Q284" i="1" s="1"/>
  <c r="P283" i="1"/>
  <c r="L283" i="1"/>
  <c r="Q283" i="1" s="1"/>
  <c r="P282" i="1"/>
  <c r="L282" i="1"/>
  <c r="Q282" i="1" s="1"/>
  <c r="P281" i="1"/>
  <c r="P280" i="1"/>
  <c r="Q279" i="1"/>
  <c r="P279" i="1"/>
  <c r="P278" i="1"/>
  <c r="N278" i="1"/>
  <c r="Q278" i="1" s="1"/>
  <c r="P277" i="1"/>
  <c r="N277" i="1"/>
  <c r="Q277" i="1" s="1"/>
  <c r="P276" i="1"/>
  <c r="N276" i="1"/>
  <c r="Q276" i="1" s="1"/>
  <c r="P275" i="1"/>
  <c r="N275" i="1"/>
  <c r="Q275" i="1" s="1"/>
  <c r="P274" i="1"/>
  <c r="N274" i="1"/>
  <c r="L274" i="1"/>
  <c r="Q273" i="1"/>
  <c r="P273" i="1"/>
  <c r="Q272" i="1"/>
  <c r="P272" i="1"/>
  <c r="Q271" i="1"/>
  <c r="P271" i="1"/>
  <c r="P270" i="1"/>
  <c r="N270" i="1"/>
  <c r="Q270" i="1" s="1"/>
  <c r="P269" i="1"/>
  <c r="N269" i="1"/>
  <c r="Q269" i="1" s="1"/>
  <c r="P268" i="1"/>
  <c r="N268" i="1"/>
  <c r="L268" i="1"/>
  <c r="P267" i="1"/>
  <c r="N267" i="1"/>
  <c r="Q267" i="1" s="1"/>
  <c r="N265" i="1"/>
  <c r="Q265" i="1" s="1"/>
  <c r="P264" i="1"/>
  <c r="P265" i="1"/>
  <c r="P266" i="1"/>
  <c r="Q266" i="1"/>
  <c r="N264" i="1"/>
  <c r="Q264" i="1" s="1"/>
  <c r="N262" i="1"/>
  <c r="Q262" i="1" s="1"/>
  <c r="N261" i="1"/>
  <c r="Q261" i="1" s="1"/>
  <c r="N254" i="1"/>
  <c r="N253" i="1"/>
  <c r="Q253" i="1" s="1"/>
  <c r="L251" i="1"/>
  <c r="Q251" i="1" s="1"/>
  <c r="L246" i="1"/>
  <c r="Q246" i="1" s="1"/>
  <c r="Q263" i="1"/>
  <c r="P263" i="1"/>
  <c r="P262" i="1"/>
  <c r="P261" i="1"/>
  <c r="Q260" i="1"/>
  <c r="P260" i="1"/>
  <c r="Q259" i="1"/>
  <c r="P259" i="1"/>
  <c r="P258" i="1"/>
  <c r="N258" i="1"/>
  <c r="Q258" i="1" s="1"/>
  <c r="Q257" i="1"/>
  <c r="P257" i="1"/>
  <c r="P256" i="1"/>
  <c r="L256" i="1"/>
  <c r="Q256" i="1" s="1"/>
  <c r="Q255" i="1"/>
  <c r="P255" i="1"/>
  <c r="Q254" i="1"/>
  <c r="P254" i="1"/>
  <c r="P253" i="1"/>
  <c r="P252" i="1"/>
  <c r="L252" i="1"/>
  <c r="Q252" i="1" s="1"/>
  <c r="P251" i="1"/>
  <c r="Q250" i="1"/>
  <c r="P250" i="1"/>
  <c r="Q249" i="1"/>
  <c r="P249" i="1"/>
  <c r="P248" i="1"/>
  <c r="N248" i="1"/>
  <c r="Q248" i="1" s="1"/>
  <c r="P247" i="1"/>
  <c r="L247" i="1"/>
  <c r="Q247" i="1" s="1"/>
  <c r="P246" i="1"/>
  <c r="Q245" i="1"/>
  <c r="P245" i="1"/>
  <c r="Q244" i="1"/>
  <c r="P244" i="1"/>
  <c r="P243" i="1"/>
  <c r="N243" i="1"/>
  <c r="Q243" i="1" s="1"/>
  <c r="P242" i="1"/>
  <c r="L242" i="1"/>
  <c r="Q242" i="1" s="1"/>
  <c r="P241" i="1"/>
  <c r="L241" i="1"/>
  <c r="Q241" i="1" s="1"/>
  <c r="Q240" i="1"/>
  <c r="R240" i="1" s="1"/>
  <c r="Q239" i="1"/>
  <c r="P239" i="1"/>
  <c r="P238" i="1"/>
  <c r="N238" i="1"/>
  <c r="Q238" i="1" s="1"/>
  <c r="P237" i="1"/>
  <c r="L237" i="1"/>
  <c r="Q237" i="1" s="1"/>
  <c r="Q236" i="1"/>
  <c r="P236" i="1"/>
  <c r="Q235" i="1"/>
  <c r="P235" i="1"/>
  <c r="P234" i="1"/>
  <c r="N234" i="1"/>
  <c r="Q234" i="1" s="1"/>
  <c r="P233" i="1"/>
  <c r="L233" i="1"/>
  <c r="Q233" i="1" s="1"/>
  <c r="P232" i="1"/>
  <c r="L232" i="1"/>
  <c r="Q232" i="1" s="1"/>
  <c r="M21" i="2"/>
  <c r="R359" i="1" l="1"/>
  <c r="R272" i="1"/>
  <c r="Q274" i="1"/>
  <c r="R297" i="1"/>
  <c r="R348" i="1"/>
  <c r="R354" i="1"/>
  <c r="R342" i="1"/>
  <c r="R341" i="1"/>
  <c r="R346" i="1"/>
  <c r="R241" i="1"/>
  <c r="R333" i="1"/>
  <c r="R339" i="1"/>
  <c r="R338" i="1"/>
  <c r="R340" i="1"/>
  <c r="Q321" i="1"/>
  <c r="R316" i="1"/>
  <c r="R353" i="1"/>
  <c r="R324" i="1"/>
  <c r="R326" i="1"/>
  <c r="R350" i="1"/>
  <c r="R355" i="1"/>
  <c r="R325" i="1"/>
  <c r="R315" i="1"/>
  <c r="R271" i="1"/>
  <c r="R273" i="1"/>
  <c r="R294" i="1"/>
  <c r="R296" i="1"/>
  <c r="R300" i="1"/>
  <c r="R308" i="1"/>
  <c r="R310" i="1"/>
  <c r="R330" i="1"/>
  <c r="R332" i="1"/>
  <c r="R335" i="1"/>
  <c r="R347" i="1"/>
  <c r="R352" i="1"/>
  <c r="R275" i="1"/>
  <c r="R277" i="1"/>
  <c r="R329" i="1"/>
  <c r="R358" i="1"/>
  <c r="R283" i="1"/>
  <c r="R285" i="1"/>
  <c r="R299" i="1"/>
  <c r="R331" i="1"/>
  <c r="R334" i="1"/>
  <c r="R336" i="1"/>
  <c r="R344" i="1"/>
  <c r="R357" i="1"/>
  <c r="R320" i="1"/>
  <c r="R321" i="1"/>
  <c r="R323" i="1"/>
  <c r="R343" i="1"/>
  <c r="R345" i="1"/>
  <c r="R322" i="1"/>
  <c r="R356" i="1"/>
  <c r="R270" i="1"/>
  <c r="R291" i="1"/>
  <c r="R293" i="1"/>
  <c r="R295" i="1"/>
  <c r="Q268" i="1"/>
  <c r="R268" i="1" s="1"/>
  <c r="R289" i="1"/>
  <c r="R267" i="1"/>
  <c r="R301" i="1"/>
  <c r="R303" i="1"/>
  <c r="R309" i="1"/>
  <c r="R313" i="1"/>
  <c r="R318" i="1"/>
  <c r="R266" i="1"/>
  <c r="R269" i="1"/>
  <c r="R288" i="1"/>
  <c r="R298" i="1"/>
  <c r="R307" i="1"/>
  <c r="R314" i="1"/>
  <c r="R287" i="1"/>
  <c r="R306" i="1"/>
  <c r="R249" i="1"/>
  <c r="R279" i="1"/>
  <c r="R282" i="1"/>
  <c r="R284" i="1"/>
  <c r="R286" i="1"/>
  <c r="R305" i="1"/>
  <c r="R311" i="1"/>
  <c r="R317" i="1"/>
  <c r="R312" i="1"/>
  <c r="R274" i="1"/>
  <c r="R276" i="1"/>
  <c r="R278" i="1"/>
  <c r="R292" i="1"/>
  <c r="R302" i="1"/>
  <c r="R304" i="1"/>
  <c r="R236" i="1"/>
  <c r="R238" i="1"/>
  <c r="R242" i="1"/>
  <c r="R255" i="1"/>
  <c r="R257" i="1"/>
  <c r="R265" i="1"/>
  <c r="R264" i="1"/>
  <c r="R234" i="1"/>
  <c r="R250" i="1"/>
  <c r="R252" i="1"/>
  <c r="R260" i="1"/>
  <c r="R262" i="1"/>
  <c r="R244" i="1"/>
  <c r="R243" i="1"/>
  <c r="R245" i="1"/>
  <c r="R233" i="1"/>
  <c r="R261" i="1"/>
  <c r="R251" i="1"/>
  <c r="R232" i="1"/>
  <c r="R259" i="1"/>
  <c r="R253" i="1"/>
  <c r="R235" i="1"/>
  <c r="R237" i="1"/>
  <c r="R239" i="1"/>
  <c r="R254" i="1"/>
  <c r="R258" i="1"/>
  <c r="R263" i="1"/>
  <c r="R247" i="1"/>
  <c r="R246" i="1"/>
  <c r="R248" i="1"/>
  <c r="R256" i="1"/>
  <c r="P228" i="1"/>
  <c r="N228" i="1"/>
  <c r="Q228" i="1" s="1"/>
  <c r="P227" i="1"/>
  <c r="N227" i="1"/>
  <c r="Q227" i="1" s="1"/>
  <c r="P226" i="1"/>
  <c r="N226" i="1"/>
  <c r="Q226" i="1" s="1"/>
  <c r="P225" i="1"/>
  <c r="N225" i="1"/>
  <c r="Q225" i="1" s="1"/>
  <c r="P224" i="1"/>
  <c r="N224" i="1"/>
  <c r="L224" i="1"/>
  <c r="N219" i="1"/>
  <c r="Q219" i="1" s="1"/>
  <c r="Q222" i="1"/>
  <c r="P222" i="1"/>
  <c r="Q221" i="1"/>
  <c r="P221" i="1"/>
  <c r="P220" i="1"/>
  <c r="N220" i="1"/>
  <c r="Q220" i="1" s="1"/>
  <c r="P219" i="1"/>
  <c r="P218" i="1"/>
  <c r="N218" i="1"/>
  <c r="L218" i="1"/>
  <c r="P217" i="1"/>
  <c r="N217" i="1"/>
  <c r="Q217" i="1" s="1"/>
  <c r="N215" i="1"/>
  <c r="Q215" i="1" s="1"/>
  <c r="Q216" i="1"/>
  <c r="Q223" i="1"/>
  <c r="Q229" i="1"/>
  <c r="N214" i="1"/>
  <c r="Q214" i="1" s="1"/>
  <c r="N213" i="1"/>
  <c r="Q213" i="1" s="1"/>
  <c r="N212" i="1"/>
  <c r="N210" i="1"/>
  <c r="N209" i="1"/>
  <c r="N206" i="1"/>
  <c r="L205" i="1"/>
  <c r="L204" i="1"/>
  <c r="N201" i="1"/>
  <c r="L199" i="1"/>
  <c r="N196" i="1"/>
  <c r="Q218" i="1" l="1"/>
  <c r="R218" i="1" s="1"/>
  <c r="Q224" i="1"/>
  <c r="R224" i="1" s="1"/>
  <c r="R217" i="1"/>
  <c r="R221" i="1"/>
  <c r="R222" i="1"/>
  <c r="R225" i="1"/>
  <c r="R227" i="1"/>
  <c r="R226" i="1"/>
  <c r="R228" i="1"/>
  <c r="R220" i="1"/>
  <c r="R219" i="1"/>
  <c r="L195" i="1"/>
  <c r="L194" i="1"/>
  <c r="N191" i="1"/>
  <c r="L190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R213" i="1" s="1"/>
  <c r="P214" i="1"/>
  <c r="R214" i="1" s="1"/>
  <c r="P215" i="1"/>
  <c r="R215" i="1" s="1"/>
  <c r="P216" i="1"/>
  <c r="R216" i="1" s="1"/>
  <c r="P223" i="1"/>
  <c r="R223" i="1" s="1"/>
  <c r="P229" i="1"/>
  <c r="R229" i="1" s="1"/>
  <c r="P230" i="1"/>
  <c r="P231" i="1"/>
  <c r="L189" i="1"/>
  <c r="Q187" i="1"/>
  <c r="P187" i="1"/>
  <c r="P186" i="1"/>
  <c r="N186" i="1"/>
  <c r="Q186" i="1" s="1"/>
  <c r="P185" i="1"/>
  <c r="L185" i="1"/>
  <c r="Q185" i="1" s="1"/>
  <c r="P184" i="1"/>
  <c r="L184" i="1"/>
  <c r="Q184" i="1" s="1"/>
  <c r="N181" i="1"/>
  <c r="L180" i="1"/>
  <c r="N177" i="1"/>
  <c r="L176" i="1"/>
  <c r="L175" i="1"/>
  <c r="R187" i="1" l="1"/>
  <c r="R184" i="1"/>
  <c r="R186" i="1"/>
  <c r="R185" i="1"/>
  <c r="T177" i="1"/>
  <c r="T178" i="1" s="1"/>
  <c r="Q173" i="1"/>
  <c r="N171" i="1"/>
  <c r="Q171" i="1" s="1"/>
  <c r="Q172" i="1"/>
  <c r="Q174" i="1"/>
  <c r="Q175" i="1"/>
  <c r="Q176" i="1"/>
  <c r="Q177" i="1"/>
  <c r="Q178" i="1"/>
  <c r="Q179" i="1"/>
  <c r="Q180" i="1"/>
  <c r="Q181" i="1"/>
  <c r="Q182" i="1"/>
  <c r="Q183" i="1"/>
  <c r="R183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N170" i="1"/>
  <c r="Q170" i="1" s="1"/>
  <c r="N169" i="1"/>
  <c r="L169" i="1"/>
  <c r="N168" i="1"/>
  <c r="Q168" i="1" s="1"/>
  <c r="N167" i="1"/>
  <c r="Q167" i="1" s="1"/>
  <c r="N164" i="1"/>
  <c r="N166" i="1"/>
  <c r="Q166" i="1" s="1"/>
  <c r="N165" i="1"/>
  <c r="Q165" i="1" s="1"/>
  <c r="P165" i="1"/>
  <c r="Q164" i="1"/>
  <c r="N163" i="1"/>
  <c r="Q163" i="1" s="1"/>
  <c r="P161" i="1"/>
  <c r="P162" i="1"/>
  <c r="P163" i="1"/>
  <c r="P164" i="1"/>
  <c r="P166" i="1"/>
  <c r="P167" i="1"/>
  <c r="P168" i="1"/>
  <c r="P169" i="1"/>
  <c r="P170" i="1"/>
  <c r="P171" i="1"/>
  <c r="P172" i="1"/>
  <c r="P173" i="1"/>
  <c r="R173" i="1" s="1"/>
  <c r="P174" i="1"/>
  <c r="P175" i="1"/>
  <c r="P176" i="1"/>
  <c r="P177" i="1"/>
  <c r="P178" i="1"/>
  <c r="P179" i="1"/>
  <c r="P180" i="1"/>
  <c r="P181" i="1"/>
  <c r="P18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3" i="1"/>
  <c r="P154" i="1"/>
  <c r="P156" i="1"/>
  <c r="P157" i="1"/>
  <c r="P159" i="1"/>
  <c r="P160" i="1"/>
  <c r="Q161" i="1"/>
  <c r="L162" i="1"/>
  <c r="N162" i="1"/>
  <c r="D163" i="1"/>
  <c r="N160" i="1"/>
  <c r="Q160" i="1" s="1"/>
  <c r="N159" i="1"/>
  <c r="L159" i="1"/>
  <c r="N157" i="1"/>
  <c r="Q157" i="1" s="1"/>
  <c r="N156" i="1"/>
  <c r="L156" i="1"/>
  <c r="N154" i="1"/>
  <c r="Q154" i="1" s="1"/>
  <c r="N153" i="1"/>
  <c r="L153" i="1"/>
  <c r="S151" i="1"/>
  <c r="Q149" i="1"/>
  <c r="Q148" i="1"/>
  <c r="Q147" i="1"/>
  <c r="Q146" i="1"/>
  <c r="J24" i="2"/>
  <c r="J23" i="2"/>
  <c r="R163" i="1" l="1"/>
  <c r="R180" i="1"/>
  <c r="R166" i="1"/>
  <c r="R160" i="1"/>
  <c r="R171" i="1"/>
  <c r="Q156" i="1"/>
  <c r="R156" i="1" s="1"/>
  <c r="Q162" i="1"/>
  <c r="R162" i="1" s="1"/>
  <c r="R179" i="1"/>
  <c r="R164" i="1"/>
  <c r="R172" i="1"/>
  <c r="Q159" i="1"/>
  <c r="R159" i="1" s="1"/>
  <c r="R182" i="1"/>
  <c r="R177" i="1"/>
  <c r="R176" i="1"/>
  <c r="R175" i="1"/>
  <c r="R174" i="1"/>
  <c r="R181" i="1"/>
  <c r="Q169" i="1"/>
  <c r="R169" i="1" s="1"/>
  <c r="R178" i="1"/>
  <c r="R170" i="1"/>
  <c r="R168" i="1"/>
  <c r="R167" i="1"/>
  <c r="R165" i="1"/>
  <c r="R161" i="1"/>
  <c r="R147" i="1"/>
  <c r="R149" i="1"/>
  <c r="R154" i="1"/>
  <c r="R157" i="1"/>
  <c r="Q153" i="1"/>
  <c r="R153" i="1" s="1"/>
  <c r="R148" i="1"/>
  <c r="J22" i="2" l="1"/>
  <c r="J17" i="2"/>
  <c r="H10" i="2"/>
  <c r="J7" i="2"/>
  <c r="J8" i="2"/>
  <c r="J9" i="2"/>
  <c r="J10" i="2"/>
  <c r="J11" i="2"/>
  <c r="J12" i="2"/>
  <c r="J13" i="2"/>
  <c r="J14" i="2"/>
  <c r="J15" i="2"/>
  <c r="J4" i="2"/>
  <c r="J5" i="2"/>
  <c r="J6" i="2"/>
  <c r="J3" i="2"/>
  <c r="N145" i="1" l="1"/>
  <c r="Q145" i="1" s="1"/>
  <c r="N144" i="1"/>
  <c r="Q144" i="1" s="1"/>
  <c r="Q143" i="1"/>
  <c r="Q142" i="1"/>
  <c r="R142" i="1" s="1"/>
  <c r="Q141" i="1"/>
  <c r="Q140" i="1"/>
  <c r="Q138" i="1"/>
  <c r="R137" i="1"/>
  <c r="N136" i="1"/>
  <c r="Q136" i="1" s="1"/>
  <c r="N135" i="1"/>
  <c r="Q135" i="1" s="1"/>
  <c r="Q134" i="1"/>
  <c r="Q133" i="1"/>
  <c r="N130" i="1"/>
  <c r="Q130" i="1" s="1"/>
  <c r="Q124" i="1"/>
  <c r="Q125" i="1"/>
  <c r="Q126" i="1"/>
  <c r="Q128" i="1"/>
  <c r="Q129" i="1"/>
  <c r="N127" i="1"/>
  <c r="Q127" i="1" s="1"/>
  <c r="N131" i="1"/>
  <c r="Q131" i="1" s="1"/>
  <c r="N123" i="1"/>
  <c r="Q123" i="1" s="1"/>
  <c r="N122" i="1"/>
  <c r="Q122" i="1" s="1"/>
  <c r="N121" i="1"/>
  <c r="Q121" i="1" s="1"/>
  <c r="Q120" i="1"/>
  <c r="Q119" i="1"/>
  <c r="N117" i="1"/>
  <c r="Q117" i="1" s="1"/>
  <c r="Q116" i="1"/>
  <c r="L112" i="1"/>
  <c r="Q112" i="1" s="1"/>
  <c r="Q115" i="1"/>
  <c r="Q114" i="1"/>
  <c r="N113" i="1"/>
  <c r="Q113" i="1" s="1"/>
  <c r="Q111" i="1"/>
  <c r="Q110" i="1"/>
  <c r="N109" i="1"/>
  <c r="Q109" i="1" s="1"/>
  <c r="N108" i="1"/>
  <c r="Q108" i="1" s="1"/>
  <c r="N107" i="1"/>
  <c r="Q107" i="1" s="1"/>
  <c r="Q106" i="1"/>
  <c r="Q105" i="1"/>
  <c r="R104" i="1"/>
  <c r="N101" i="1"/>
  <c r="Q101" i="1" s="1"/>
  <c r="L100" i="1"/>
  <c r="Q100" i="1" s="1"/>
  <c r="N97" i="1"/>
  <c r="Q97" i="1" s="1"/>
  <c r="N96" i="1"/>
  <c r="Q96" i="1" s="1"/>
  <c r="N95" i="1"/>
  <c r="Q95" i="1" s="1"/>
  <c r="Q103" i="1"/>
  <c r="Q102" i="1"/>
  <c r="Q99" i="1"/>
  <c r="Q98" i="1"/>
  <c r="Q94" i="1"/>
  <c r="Q93" i="1"/>
  <c r="Q92" i="1"/>
  <c r="N91" i="1"/>
  <c r="Q91" i="1" s="1"/>
  <c r="N90" i="1"/>
  <c r="Q90" i="1" s="1"/>
  <c r="Q89" i="1"/>
  <c r="Q88" i="1"/>
  <c r="Q87" i="1"/>
  <c r="Q86" i="1"/>
  <c r="Q84" i="1"/>
  <c r="R83" i="1"/>
  <c r="N82" i="1"/>
  <c r="Q82" i="1" s="1"/>
  <c r="N81" i="1"/>
  <c r="Q81" i="1" s="1"/>
  <c r="Q80" i="1"/>
  <c r="Q79" i="1"/>
  <c r="N76" i="1"/>
  <c r="Q76" i="1" s="1"/>
  <c r="N68" i="1"/>
  <c r="Q68" i="1" s="1"/>
  <c r="N67" i="1"/>
  <c r="Q67" i="1" s="1"/>
  <c r="N77" i="1"/>
  <c r="Q77" i="1" s="1"/>
  <c r="Q75" i="1"/>
  <c r="Q74" i="1"/>
  <c r="Q73" i="1"/>
  <c r="Q72" i="1"/>
  <c r="Q70" i="1"/>
  <c r="Q66" i="1"/>
  <c r="Q65" i="1"/>
  <c r="N63" i="1"/>
  <c r="L63" i="1"/>
  <c r="L62" i="1"/>
  <c r="Q62" i="1" s="1"/>
  <c r="N61" i="1"/>
  <c r="L61" i="1"/>
  <c r="N60" i="1"/>
  <c r="Q60" i="1" s="1"/>
  <c r="N59" i="1"/>
  <c r="Q59" i="1" s="1"/>
  <c r="Q58" i="1"/>
  <c r="Q57" i="1"/>
  <c r="N56" i="1"/>
  <c r="Q56" i="1" s="1"/>
  <c r="N55" i="1"/>
  <c r="Q55" i="1" s="1"/>
  <c r="L54" i="1"/>
  <c r="Q54" i="1" s="1"/>
  <c r="Q53" i="1"/>
  <c r="Q52" i="1"/>
  <c r="N51" i="1"/>
  <c r="Q51" i="1" s="1"/>
  <c r="N50" i="1"/>
  <c r="Q50" i="1" s="1"/>
  <c r="N49" i="1"/>
  <c r="Q49" i="1" s="1"/>
  <c r="Q48" i="1"/>
  <c r="Q47" i="1"/>
  <c r="L45" i="1"/>
  <c r="N45" i="1"/>
  <c r="L43" i="1"/>
  <c r="Q43" i="1" s="1"/>
  <c r="L44" i="1"/>
  <c r="Z44" i="1"/>
  <c r="X44" i="1"/>
  <c r="V44" i="1"/>
  <c r="Z43" i="1"/>
  <c r="V43" i="1"/>
  <c r="AA43" i="1" s="1"/>
  <c r="N44" i="1"/>
  <c r="N40" i="1"/>
  <c r="Q40" i="1" s="1"/>
  <c r="L39" i="1"/>
  <c r="Q39" i="1" s="1"/>
  <c r="N36" i="1"/>
  <c r="Q36" i="1" s="1"/>
  <c r="N34" i="1"/>
  <c r="Q34" i="1" s="1"/>
  <c r="L30" i="1"/>
  <c r="L29" i="1"/>
  <c r="Q29" i="1" s="1"/>
  <c r="N30" i="1"/>
  <c r="Q42" i="1"/>
  <c r="N41" i="1"/>
  <c r="Q41" i="1" s="1"/>
  <c r="Q38" i="1"/>
  <c r="Q37" i="1"/>
  <c r="N35" i="1"/>
  <c r="Q35" i="1" s="1"/>
  <c r="Q33" i="1"/>
  <c r="Q32" i="1"/>
  <c r="N28" i="1"/>
  <c r="L28" i="1"/>
  <c r="N27" i="1"/>
  <c r="Q27" i="1" s="1"/>
  <c r="N26" i="1"/>
  <c r="Q26" i="1" s="1"/>
  <c r="Q24" i="1"/>
  <c r="N23" i="1"/>
  <c r="Q23" i="1" s="1"/>
  <c r="N22" i="1"/>
  <c r="Q22" i="1" s="1"/>
  <c r="L21" i="1"/>
  <c r="Q19" i="1"/>
  <c r="Q20" i="1"/>
  <c r="Q25" i="1"/>
  <c r="N18" i="1"/>
  <c r="Q18" i="1" s="1"/>
  <c r="N17" i="1"/>
  <c r="Q17" i="1" s="1"/>
  <c r="N16" i="1"/>
  <c r="Q16" i="1" s="1"/>
  <c r="Q15" i="1"/>
  <c r="Q14" i="1"/>
  <c r="R138" i="1" l="1"/>
  <c r="R128" i="1"/>
  <c r="R136" i="1"/>
  <c r="R127" i="1"/>
  <c r="R141" i="1"/>
  <c r="R124" i="1"/>
  <c r="R143" i="1"/>
  <c r="R125" i="1"/>
  <c r="R134" i="1"/>
  <c r="R133" i="1"/>
  <c r="R135" i="1"/>
  <c r="R140" i="1"/>
  <c r="R144" i="1"/>
  <c r="R145" i="1"/>
  <c r="R130" i="1"/>
  <c r="R129" i="1"/>
  <c r="R126" i="1"/>
  <c r="R121" i="1"/>
  <c r="R123" i="1"/>
  <c r="R120" i="1"/>
  <c r="R95" i="1"/>
  <c r="R119" i="1"/>
  <c r="R105" i="1"/>
  <c r="R117" i="1"/>
  <c r="R122" i="1"/>
  <c r="R131" i="1"/>
  <c r="R110" i="1"/>
  <c r="R97" i="1"/>
  <c r="R84" i="1"/>
  <c r="R114" i="1"/>
  <c r="R94" i="1"/>
  <c r="R111" i="1"/>
  <c r="R70" i="1"/>
  <c r="R113" i="1"/>
  <c r="R91" i="1"/>
  <c r="R93" i="1"/>
  <c r="R103" i="1"/>
  <c r="R112" i="1"/>
  <c r="R96" i="1"/>
  <c r="R98" i="1"/>
  <c r="R109" i="1"/>
  <c r="R115" i="1"/>
  <c r="R116" i="1"/>
  <c r="R108" i="1"/>
  <c r="R107" i="1"/>
  <c r="R106" i="1"/>
  <c r="R79" i="1"/>
  <c r="R81" i="1"/>
  <c r="R86" i="1"/>
  <c r="R88" i="1"/>
  <c r="R92" i="1"/>
  <c r="R102" i="1"/>
  <c r="R101" i="1"/>
  <c r="R100" i="1"/>
  <c r="R99" i="1"/>
  <c r="R82" i="1"/>
  <c r="R80" i="1"/>
  <c r="R87" i="1"/>
  <c r="R89" i="1"/>
  <c r="R90" i="1"/>
  <c r="R72" i="1"/>
  <c r="R74" i="1"/>
  <c r="R65" i="1"/>
  <c r="R73" i="1"/>
  <c r="R75" i="1"/>
  <c r="R51" i="1"/>
  <c r="R53" i="1"/>
  <c r="R57" i="1"/>
  <c r="R59" i="1"/>
  <c r="R76" i="1"/>
  <c r="R66" i="1"/>
  <c r="R67" i="1"/>
  <c r="R69" i="1"/>
  <c r="R77" i="1"/>
  <c r="R68" i="1"/>
  <c r="Q61" i="1"/>
  <c r="R61" i="1" s="1"/>
  <c r="Q44" i="1"/>
  <c r="R44" i="1" s="1"/>
  <c r="AA44" i="1"/>
  <c r="AB44" i="1" s="1"/>
  <c r="R47" i="1"/>
  <c r="R49" i="1"/>
  <c r="R52" i="1"/>
  <c r="R50" i="1"/>
  <c r="R60" i="1"/>
  <c r="Q63" i="1"/>
  <c r="R63" i="1" s="1"/>
  <c r="R48" i="1"/>
  <c r="R58" i="1"/>
  <c r="R62" i="1"/>
  <c r="R55" i="1"/>
  <c r="R54" i="1"/>
  <c r="R56" i="1"/>
  <c r="R39" i="1"/>
  <c r="R41" i="1"/>
  <c r="R38" i="1"/>
  <c r="AB43" i="1"/>
  <c r="Q30" i="1"/>
  <c r="R30" i="1" s="1"/>
  <c r="R42" i="1"/>
  <c r="Q45" i="1"/>
  <c r="R45" i="1" s="1"/>
  <c r="R43" i="1"/>
  <c r="R36" i="1"/>
  <c r="R35" i="1"/>
  <c r="R34" i="1"/>
  <c r="R33" i="1"/>
  <c r="R32" i="1"/>
  <c r="R29" i="1"/>
  <c r="R37" i="1"/>
  <c r="R40" i="1"/>
  <c r="Q28" i="1"/>
  <c r="R28" i="1" s="1"/>
  <c r="R23" i="1"/>
  <c r="R27" i="1"/>
  <c r="R15" i="1"/>
  <c r="R26" i="1"/>
  <c r="R25" i="1"/>
  <c r="R24" i="1"/>
  <c r="R22" i="1"/>
  <c r="Q21" i="1"/>
  <c r="R21" i="1" s="1"/>
  <c r="R20" i="1"/>
  <c r="R19" i="1"/>
  <c r="R14" i="1"/>
  <c r="R18" i="1"/>
  <c r="R17" i="1"/>
  <c r="R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ES-SABRE</author>
  </authors>
  <commentList>
    <comment ref="H6" authorId="0" shapeId="0" xr:uid="{BEC97CE0-C051-4A46-A4B5-4D521B7D7EC2}">
      <text>
        <r>
          <rPr>
            <b/>
            <sz val="9"/>
            <color indexed="81"/>
            <rFont val="Tahoma"/>
            <charset val="1"/>
          </rPr>
          <t>ES-SABRE:</t>
        </r>
        <r>
          <rPr>
            <sz val="9"/>
            <color indexed="81"/>
            <rFont val="Tahoma"/>
            <charset val="1"/>
          </rPr>
          <t xml:space="preserve">
En M3
</t>
        </r>
      </text>
    </comment>
    <comment ref="H7" authorId="0" shapeId="0" xr:uid="{43E28404-6CB9-4D6C-85D7-22C748C8229B}">
      <text>
        <r>
          <rPr>
            <b/>
            <sz val="9"/>
            <color indexed="81"/>
            <rFont val="Tahoma"/>
            <charset val="1"/>
          </rPr>
          <t>ES-SABRE:</t>
        </r>
        <r>
          <rPr>
            <sz val="9"/>
            <color indexed="81"/>
            <rFont val="Tahoma"/>
            <charset val="1"/>
          </rPr>
          <t xml:space="preserve">
Q
</t>
        </r>
      </text>
    </comment>
  </commentList>
</comments>
</file>

<file path=xl/sharedStrings.xml><?xml version="1.0" encoding="utf-8"?>
<sst xmlns="http://schemas.openxmlformats.org/spreadsheetml/2006/main" count="1364" uniqueCount="312">
  <si>
    <t>feraille</t>
  </si>
  <si>
    <t>fondation</t>
  </si>
  <si>
    <t>RDC</t>
  </si>
  <si>
    <t>semell</t>
  </si>
  <si>
    <t>Axe A</t>
  </si>
  <si>
    <t>Axe B</t>
  </si>
  <si>
    <t>Axe C</t>
  </si>
  <si>
    <t>Axe A'</t>
  </si>
  <si>
    <t>Axe B'</t>
  </si>
  <si>
    <t>Nappe sup</t>
  </si>
  <si>
    <t>Nappe inf</t>
  </si>
  <si>
    <t>Chaise</t>
  </si>
  <si>
    <t>Longetidunal</t>
  </si>
  <si>
    <t>Transversale</t>
  </si>
  <si>
    <t>Longueur m</t>
  </si>
  <si>
    <t>Coude</t>
  </si>
  <si>
    <t>nombre de barre</t>
  </si>
  <si>
    <t>type de barre</t>
  </si>
  <si>
    <t>poids kg/ml</t>
  </si>
  <si>
    <t>longeur total de fer dans l'element</t>
  </si>
  <si>
    <t>poid totale de fer dans l'lelement En Quintal</t>
  </si>
  <si>
    <t>Nervure</t>
  </si>
  <si>
    <t>cadre</t>
  </si>
  <si>
    <t>epingle</t>
  </si>
  <si>
    <t>epingle 2</t>
  </si>
  <si>
    <t xml:space="preserve">Voile 1 dbl nap </t>
  </si>
  <si>
    <t>longt</t>
  </si>
  <si>
    <t>transversal</t>
  </si>
  <si>
    <t>Voile Peripherique</t>
  </si>
  <si>
    <t>Amorce Poteau</t>
  </si>
  <si>
    <t>transversal 40*40</t>
  </si>
  <si>
    <t>transversal 45*45</t>
  </si>
  <si>
    <t>Axe 1-1</t>
  </si>
  <si>
    <t>Axe 2-2</t>
  </si>
  <si>
    <t>Axe 3-3</t>
  </si>
  <si>
    <t>Voile Picine</t>
  </si>
  <si>
    <t>Terrassement</t>
  </si>
  <si>
    <t>Infra</t>
  </si>
  <si>
    <t>Beton</t>
  </si>
  <si>
    <t>Fondation</t>
  </si>
  <si>
    <t>Beton propreté</t>
  </si>
  <si>
    <t>Longueur</t>
  </si>
  <si>
    <t>Largeur</t>
  </si>
  <si>
    <t>Hauteur</t>
  </si>
  <si>
    <t>m3</t>
  </si>
  <si>
    <t>semelle</t>
  </si>
  <si>
    <t>Semelle</t>
  </si>
  <si>
    <t>Nevure</t>
  </si>
  <si>
    <t>Dalle flotatante</t>
  </si>
  <si>
    <t>Escalier</t>
  </si>
  <si>
    <t>Voile Peripheri</t>
  </si>
  <si>
    <t>Axe A-A</t>
  </si>
  <si>
    <t>Axe C-C</t>
  </si>
  <si>
    <t>Axe 4-4</t>
  </si>
  <si>
    <t>Bache a eau</t>
  </si>
  <si>
    <t>Longit X</t>
  </si>
  <si>
    <t>Longit Y</t>
  </si>
  <si>
    <t>Trille a soudéy</t>
  </si>
  <si>
    <t>m2</t>
  </si>
  <si>
    <t>longetidunal</t>
  </si>
  <si>
    <t>V P Axe A-A</t>
  </si>
  <si>
    <t>Transversal</t>
  </si>
  <si>
    <t>Vp axe C-C</t>
  </si>
  <si>
    <t>Vp Piscine</t>
  </si>
  <si>
    <t>Long</t>
  </si>
  <si>
    <t>trans</t>
  </si>
  <si>
    <t>Voile V1</t>
  </si>
  <si>
    <t>Voile V2</t>
  </si>
  <si>
    <t>Voile V3</t>
  </si>
  <si>
    <t>Voile 3</t>
  </si>
  <si>
    <t xml:space="preserve">P1 30*30  *4 </t>
  </si>
  <si>
    <t>cadre 1</t>
  </si>
  <si>
    <t>p2 40*40 *3</t>
  </si>
  <si>
    <t xml:space="preserve">p3 45*45 </t>
  </si>
  <si>
    <t>long</t>
  </si>
  <si>
    <t>Elements verticaux</t>
  </si>
  <si>
    <t>Element horizontaux</t>
  </si>
  <si>
    <t>Poutre 1-1</t>
  </si>
  <si>
    <t>poutre 2-2</t>
  </si>
  <si>
    <t>Poutre 3-3</t>
  </si>
  <si>
    <t>Poutre A-A</t>
  </si>
  <si>
    <t>Poutre B-B</t>
  </si>
  <si>
    <t>Poutre C-C</t>
  </si>
  <si>
    <t>Poutre 1'-1'</t>
  </si>
  <si>
    <t>Dalle plaine</t>
  </si>
  <si>
    <t>Picine</t>
  </si>
  <si>
    <t>Longt</t>
  </si>
  <si>
    <t>radier</t>
  </si>
  <si>
    <t>voile</t>
  </si>
  <si>
    <t>Element verticaux</t>
  </si>
  <si>
    <t>p2 40*40 *2</t>
  </si>
  <si>
    <t>Esclaier</t>
  </si>
  <si>
    <t>Sous-sol</t>
  </si>
  <si>
    <t>Elements horizontaux</t>
  </si>
  <si>
    <t>Dalle plaine escalier</t>
  </si>
  <si>
    <t>Dalle plaine balcon</t>
  </si>
  <si>
    <t>1er etage</t>
  </si>
  <si>
    <t>dalle plaine balcon2</t>
  </si>
  <si>
    <t>Dalle Buanderie</t>
  </si>
  <si>
    <t>P1 30*30  *6</t>
  </si>
  <si>
    <t xml:space="preserve"> a Verifier</t>
  </si>
  <si>
    <t>Averfifer</t>
  </si>
  <si>
    <t>Averfier</t>
  </si>
  <si>
    <t>Element decoratif</t>
  </si>
  <si>
    <t>compactage</t>
  </si>
  <si>
    <t>treille a soudé</t>
  </si>
  <si>
    <t>flinkot F/P</t>
  </si>
  <si>
    <t>Sous sol</t>
  </si>
  <si>
    <t>1 hourdis</t>
  </si>
  <si>
    <t>unité</t>
  </si>
  <si>
    <t>type</t>
  </si>
  <si>
    <t>dalle hourdis 16+5 avec poutrelle prefabriquer</t>
  </si>
  <si>
    <r>
      <rPr>
        <sz val="11"/>
        <color theme="1"/>
        <rFont val="Calibri"/>
        <family val="2"/>
      </rPr>
      <t>≈</t>
    </r>
    <r>
      <rPr>
        <sz val="9.35"/>
        <color theme="1"/>
        <rFont val="Calibri"/>
        <family val="2"/>
      </rPr>
      <t>900</t>
    </r>
  </si>
  <si>
    <t>piece hourdis</t>
  </si>
  <si>
    <t>ESCALIER</t>
  </si>
  <si>
    <t>????????</t>
  </si>
  <si>
    <t>Axe B-B</t>
  </si>
  <si>
    <t>Axe 1'-1'</t>
  </si>
  <si>
    <t>dalle pleinne</t>
  </si>
  <si>
    <t>Calcule 20,5 
Reel 22,5</t>
  </si>
  <si>
    <t>esclaier</t>
  </si>
  <si>
    <t>Poteau 40*40 (3)</t>
  </si>
  <si>
    <t>Poteau 45*45</t>
  </si>
  <si>
    <t>Plancher (0,0)</t>
  </si>
  <si>
    <t>Poteau (30*30)(4=</t>
  </si>
  <si>
    <t>poteau (40*40)3</t>
  </si>
  <si>
    <t>poteau (45*45)</t>
  </si>
  <si>
    <t>plancher (3,23</t>
  </si>
  <si>
    <t>Dalle pleinne Balcon</t>
  </si>
  <si>
    <t>Dalle pleinne Esc</t>
  </si>
  <si>
    <t>R+1</t>
  </si>
  <si>
    <t>Sous Sol(-3,23 &gt; 0,0)</t>
  </si>
  <si>
    <t>RDC (0,0 &gt; 3,23)</t>
  </si>
  <si>
    <t>R+1 (3,23 &gt; 6,46)</t>
  </si>
  <si>
    <t>Dalle pleinne Balcon 1</t>
  </si>
  <si>
    <t>Dalle pleinne Balcon 2</t>
  </si>
  <si>
    <t>plancher (6,46</t>
  </si>
  <si>
    <t>Poteau (30*30)4</t>
  </si>
  <si>
    <t>plancher (9,69)</t>
  </si>
  <si>
    <t>Buanderie (6,46 &gt; 9,69)</t>
  </si>
  <si>
    <t>rogare</t>
  </si>
  <si>
    <t>acrotere</t>
  </si>
  <si>
    <t>Total</t>
  </si>
  <si>
    <t>Remblais</t>
  </si>
  <si>
    <t>Pvc</t>
  </si>
  <si>
    <t>Prix article</t>
  </si>
  <si>
    <t>description</t>
  </si>
  <si>
    <t>3 rouleau par dalle</t>
  </si>
  <si>
    <t>Prix Unitaire</t>
  </si>
  <si>
    <t>Quantité</t>
  </si>
  <si>
    <t>une journé de mini pele</t>
  </si>
  <si>
    <t>location une journé compacteur</t>
  </si>
  <si>
    <t>PN6 3 piece par villa</t>
  </si>
  <si>
    <t xml:space="preserve">Adjuvant </t>
  </si>
  <si>
    <t>pour Bache a eau (hydrofuge)</t>
  </si>
  <si>
    <t>Pour voile peripherique posterieur</t>
  </si>
  <si>
    <t>Hourdis</t>
  </si>
  <si>
    <t>900 piece par niveau</t>
  </si>
  <si>
    <t>poutrelle</t>
  </si>
  <si>
    <t>Buanderie</t>
  </si>
  <si>
    <t xml:space="preserve"> </t>
  </si>
  <si>
    <t>900 par dalle</t>
  </si>
  <si>
    <t>184 ml</t>
  </si>
  <si>
    <t>calle a beton</t>
  </si>
  <si>
    <t>a peu pres 1 sac</t>
  </si>
  <si>
    <t>Fille d'attache</t>
  </si>
  <si>
    <t>a peu pres 20 rouleaux</t>
  </si>
  <si>
    <t>Broche 10</t>
  </si>
  <si>
    <t>Broche 7</t>
  </si>
  <si>
    <t>AUTRE</t>
  </si>
  <si>
    <t>a peu pres 8 boite</t>
  </si>
  <si>
    <t>Prix</t>
  </si>
  <si>
    <t>Ferraillage</t>
  </si>
  <si>
    <t xml:space="preserve">Total: </t>
  </si>
  <si>
    <t>1barre 12m 12</t>
  </si>
  <si>
    <t>kg</t>
  </si>
  <si>
    <t>Main d'œuvre</t>
  </si>
  <si>
    <t>Unité</t>
  </si>
  <si>
    <t>M3</t>
  </si>
  <si>
    <t>Q</t>
  </si>
  <si>
    <t>Gros œuvre</t>
  </si>
  <si>
    <t>Prix unitaire DA</t>
  </si>
  <si>
    <t>Recapitulatif des quantitées et prix d'une villa gros œuvre</t>
  </si>
  <si>
    <t>41ml</t>
  </si>
  <si>
    <t>Autre (hourdis, poutrelles,etc..)</t>
  </si>
  <si>
    <t>Axe A'A'</t>
  </si>
  <si>
    <t>semelles</t>
  </si>
  <si>
    <t>nervures</t>
  </si>
  <si>
    <t>axe B'B'</t>
  </si>
  <si>
    <t>Axe 5 5</t>
  </si>
  <si>
    <t>Axe 4-4 pt1</t>
  </si>
  <si>
    <t>Axe 4-4 pt pis</t>
  </si>
  <si>
    <t>(l'epaisseur de 20 est déjà inclus dans le calcul de voile)</t>
  </si>
  <si>
    <t>Poteau 30*30 (7)</t>
  </si>
  <si>
    <t>Piece hourdis</t>
  </si>
  <si>
    <t>Axe B'-B'</t>
  </si>
  <si>
    <t>Axe A'-A'</t>
  </si>
  <si>
    <t>Axe 5-5</t>
  </si>
  <si>
    <t>Radier Piscine</t>
  </si>
  <si>
    <t>BP radier picine</t>
  </si>
  <si>
    <t>Dalle pleine Esc</t>
  </si>
  <si>
    <t>Dalle pleine etr</t>
  </si>
  <si>
    <t>Dalle pleine esc</t>
  </si>
  <si>
    <t>Voile Esc entrée</t>
  </si>
  <si>
    <t>Poteau (30*30)(7</t>
  </si>
  <si>
    <t>Poteau (30*30)(6=</t>
  </si>
  <si>
    <t>Poteau (40*40)3</t>
  </si>
  <si>
    <t>Poteau (30*30)6</t>
  </si>
  <si>
    <t>N</t>
  </si>
  <si>
    <t>DESIGNATIONS</t>
  </si>
  <si>
    <t>U</t>
  </si>
  <si>
    <t>QUANTITE</t>
  </si>
  <si>
    <t>PU</t>
  </si>
  <si>
    <t>MONTANT</t>
  </si>
  <si>
    <t>BETON DE PROPRETE</t>
  </si>
  <si>
    <t>DALLE FLOTTANTE EPR 10</t>
  </si>
  <si>
    <t>POTEAUX</t>
  </si>
  <si>
    <t>OBS</t>
  </si>
  <si>
    <t>REDUCTION POUR LES 2 NIV</t>
  </si>
  <si>
    <t>POUTRES</t>
  </si>
  <si>
    <t>ACROTERES</t>
  </si>
  <si>
    <t>M2</t>
  </si>
  <si>
    <t>FORME DE PENTE</t>
  </si>
  <si>
    <t>BETON POUR COURETTE</t>
  </si>
  <si>
    <t>NB</t>
  </si>
  <si>
    <t>SEMELLES</t>
  </si>
  <si>
    <t>VOILE EN SUPER</t>
  </si>
  <si>
    <t>KG</t>
  </si>
  <si>
    <t>BACHE A EAU DE 7 M3 (3,2*2,8*1,6)</t>
  </si>
  <si>
    <t>QUANTITAF PAR VILLA</t>
  </si>
  <si>
    <t>KG/M3</t>
  </si>
  <si>
    <t>semelle picine</t>
  </si>
  <si>
    <t>nervure</t>
  </si>
  <si>
    <t>libages</t>
  </si>
  <si>
    <t>amorce poteau</t>
  </si>
  <si>
    <t>voile peripherique</t>
  </si>
  <si>
    <t>v1</t>
  </si>
  <si>
    <t>v2</t>
  </si>
  <si>
    <t>v3</t>
  </si>
  <si>
    <t>voiles pour buanderie annulé</t>
  </si>
  <si>
    <t>dalle flotante</t>
  </si>
  <si>
    <t>p 30*30*2,83</t>
  </si>
  <si>
    <t>surf autocad</t>
  </si>
  <si>
    <t>ep</t>
  </si>
  <si>
    <t>p 40*40*2,83</t>
  </si>
  <si>
    <t>Poteaux</t>
  </si>
  <si>
    <t>Poutre</t>
  </si>
  <si>
    <t>cc</t>
  </si>
  <si>
    <t>aa bb</t>
  </si>
  <si>
    <t>tota</t>
  </si>
  <si>
    <t>tran</t>
  </si>
  <si>
    <t>116 m2</t>
  </si>
  <si>
    <t>forme de pente</t>
  </si>
  <si>
    <t>contour</t>
  </si>
  <si>
    <t>Beton Courette</t>
  </si>
  <si>
    <t>SEMELLEs</t>
  </si>
  <si>
    <t>voile peripherique/radier</t>
  </si>
  <si>
    <t>(piscine et voile picine seulement</t>
  </si>
  <si>
    <t xml:space="preserve">ml </t>
  </si>
  <si>
    <t>long v1 v2 v3</t>
  </si>
  <si>
    <t>voile fer</t>
  </si>
  <si>
    <t>30*30</t>
  </si>
  <si>
    <t>nap</t>
  </si>
  <si>
    <t>niv</t>
  </si>
  <si>
    <t>40*40</t>
  </si>
  <si>
    <t>Kg</t>
  </si>
  <si>
    <t xml:space="preserve">cadre 2 </t>
  </si>
  <si>
    <t>cadre 2</t>
  </si>
  <si>
    <t>1 poteau</t>
  </si>
  <si>
    <t>cadre1</t>
  </si>
  <si>
    <t>poteaux fer</t>
  </si>
  <si>
    <t>poutre</t>
  </si>
  <si>
    <t>SS-Rdc R+1</t>
  </si>
  <si>
    <t>SS-Rdc-R+1-Terrasse</t>
  </si>
  <si>
    <t>poutre 3-3</t>
  </si>
  <si>
    <t>Terrasse</t>
  </si>
  <si>
    <t>Poutre AA</t>
  </si>
  <si>
    <t>Poutre BB</t>
  </si>
  <si>
    <t>Poutre CC</t>
  </si>
  <si>
    <t>SS-Rdc-R+1</t>
  </si>
  <si>
    <t>Poutre CC Terra</t>
  </si>
  <si>
    <t>BETON INFRA ARME AMORCES/VOILE/LIBAGES</t>
  </si>
  <si>
    <t>acroter</t>
  </si>
  <si>
    <t>voiles Infra</t>
  </si>
  <si>
    <t>Amorce poteau</t>
  </si>
  <si>
    <t>A-A</t>
  </si>
  <si>
    <t>B-B</t>
  </si>
  <si>
    <t>C-C</t>
  </si>
  <si>
    <t>Longitedunal</t>
  </si>
  <si>
    <t>deduite du volume des semelle</t>
  </si>
  <si>
    <t>rajoutée au volume des nervures</t>
  </si>
  <si>
    <t>nombre</t>
  </si>
  <si>
    <t>cadre2</t>
  </si>
  <si>
    <t>BETON ARME SEMELLES y/c coff ferr</t>
  </si>
  <si>
    <t>BETON ARMEAMORCES/VOILE/LIBAGES y/c coff ferr</t>
  </si>
  <si>
    <t>VOILES PERIPHERIQUES y/c coff ferr</t>
  </si>
  <si>
    <t>VOILE EN SUPER EPR y/c coff ferr</t>
  </si>
  <si>
    <t>POTEAUXy/c coff ferr</t>
  </si>
  <si>
    <t>POUTRESy/c coff ferr</t>
  </si>
  <si>
    <t>ACROTERESy/c coff ferr</t>
  </si>
  <si>
    <t>PLANCHER 16+5y/c coff ferr</t>
  </si>
  <si>
    <t>DALLE PLEINE ESCALIERy/c coff ferr</t>
  </si>
  <si>
    <t xml:space="preserve">BACHE A EAU DE 7 M3 (3,05*2,8*1,6)y/c coff ferr </t>
  </si>
  <si>
    <t>BETON POUR COURETTEy/c coff ferr</t>
  </si>
  <si>
    <t>total</t>
  </si>
  <si>
    <t xml:space="preserve">NB 5 VILLA EN TERRASSEMENT + BP 03 VILLAS </t>
  </si>
  <si>
    <t>QUANTITAF PAR VILLA Y COMPRIS TERRASSEMNT</t>
  </si>
  <si>
    <t>60M3 ET 3500 M3 DE TERRASSEMENT</t>
  </si>
  <si>
    <t>MO</t>
  </si>
  <si>
    <t xml:space="preserve"> OUVRIER</t>
  </si>
  <si>
    <t>TERRASSEM</t>
  </si>
  <si>
    <t>ACIER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</si>
</sst>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17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2" fontId="0" fillId="0" borderId="0" xfId="1" applyNumberFormat="1" applyFont="1"/>
    <xf numFmtId="0" fontId="0" fillId="0" borderId="0" xfId="0" applyAlignment="1">
      <alignment horizontal="center"/>
    </xf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4" borderId="15" xfId="0" applyFill="1" applyBorder="1"/>
    <xf numFmtId="0" fontId="0" fillId="4" borderId="0" xfId="0" applyFill="1"/>
    <xf numFmtId="0" fontId="0" fillId="4" borderId="18" xfId="0" applyFill="1" applyBorder="1"/>
    <xf numFmtId="43" fontId="0" fillId="0" borderId="9" xfId="1" applyFont="1" applyBorder="1"/>
    <xf numFmtId="164" fontId="0" fillId="0" borderId="9" xfId="0" applyNumberFormat="1" applyBorder="1"/>
    <xf numFmtId="164" fontId="0" fillId="0" borderId="10" xfId="0" applyNumberFormat="1" applyBorder="1" applyAlignment="1">
      <alignment wrapText="1"/>
    </xf>
    <xf numFmtId="43" fontId="0" fillId="0" borderId="0" xfId="1" applyFont="1" applyBorder="1"/>
    <xf numFmtId="164" fontId="0" fillId="0" borderId="0" xfId="0" applyNumberFormat="1" applyBorder="1"/>
    <xf numFmtId="0" fontId="0" fillId="0" borderId="12" xfId="0" applyBorder="1" applyAlignment="1">
      <alignment wrapText="1"/>
    </xf>
    <xf numFmtId="164" fontId="0" fillId="0" borderId="12" xfId="0" applyNumberFormat="1" applyBorder="1" applyAlignment="1">
      <alignment wrapText="1"/>
    </xf>
    <xf numFmtId="164" fontId="0" fillId="0" borderId="12" xfId="0" applyNumberFormat="1" applyBorder="1"/>
    <xf numFmtId="164" fontId="0" fillId="0" borderId="15" xfId="0" applyNumberFormat="1" applyBorder="1"/>
    <xf numFmtId="43" fontId="0" fillId="0" borderId="14" xfId="1" applyFont="1" applyBorder="1"/>
    <xf numFmtId="164" fontId="0" fillId="0" borderId="14" xfId="0" applyNumberFormat="1" applyBorder="1"/>
    <xf numFmtId="164" fontId="0" fillId="0" borderId="15" xfId="0" applyNumberFormat="1" applyBorder="1" applyAlignment="1">
      <alignment wrapText="1"/>
    </xf>
    <xf numFmtId="0" fontId="0" fillId="0" borderId="0" xfId="0" applyFill="1" applyBorder="1"/>
    <xf numFmtId="0" fontId="0" fillId="0" borderId="10" xfId="0" applyBorder="1" applyAlignment="1">
      <alignment wrapText="1"/>
    </xf>
    <xf numFmtId="0" fontId="0" fillId="0" borderId="15" xfId="0" applyBorder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0" fontId="0" fillId="5" borderId="0" xfId="0" applyFill="1" applyBorder="1"/>
    <xf numFmtId="164" fontId="0" fillId="5" borderId="0" xfId="0" applyNumberFormat="1" applyFill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43" fontId="0" fillId="0" borderId="7" xfId="1" applyFont="1" applyBorder="1" applyAlignment="1">
      <alignment horizontal="center" vertical="center"/>
    </xf>
    <xf numFmtId="0" fontId="8" fillId="0" borderId="0" xfId="0" applyFont="1"/>
    <xf numFmtId="0" fontId="8" fillId="0" borderId="7" xfId="0" applyFont="1" applyBorder="1"/>
    <xf numFmtId="0" fontId="8" fillId="0" borderId="7" xfId="0" applyFont="1" applyBorder="1" applyAlignment="1">
      <alignment horizontal="center" vertical="center"/>
    </xf>
    <xf numFmtId="43" fontId="8" fillId="0" borderId="7" xfId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Border="1"/>
    <xf numFmtId="164" fontId="8" fillId="0" borderId="0" xfId="0" applyNumberFormat="1" applyFont="1" applyBorder="1"/>
    <xf numFmtId="0" fontId="9" fillId="0" borderId="7" xfId="0" applyFont="1" applyBorder="1" applyAlignment="1">
      <alignment horizontal="center" vertical="center" wrapText="1"/>
    </xf>
    <xf numFmtId="164" fontId="8" fillId="0" borderId="7" xfId="0" applyNumberFormat="1" applyFont="1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27</xdr:row>
      <xdr:rowOff>352425</xdr:rowOff>
    </xdr:from>
    <xdr:to>
      <xdr:col>18</xdr:col>
      <xdr:colOff>885825</xdr:colOff>
      <xdr:row>27</xdr:row>
      <xdr:rowOff>876300</xdr:rowOff>
    </xdr:to>
    <xdr:sp macro="" textlink="">
      <xdr:nvSpPr>
        <xdr:cNvPr id="5" name="Rectangle : avec coins rognés en haut 4">
          <a:extLst>
            <a:ext uri="{FF2B5EF4-FFF2-40B4-BE49-F238E27FC236}">
              <a16:creationId xmlns:a16="http://schemas.microsoft.com/office/drawing/2014/main" id="{95F55784-E1DD-4C60-AA55-0809A202CC01}"/>
            </a:ext>
          </a:extLst>
        </xdr:cNvPr>
        <xdr:cNvSpPr/>
      </xdr:nvSpPr>
      <xdr:spPr>
        <a:xfrm>
          <a:off x="14449425" y="4543425"/>
          <a:ext cx="1209675" cy="523875"/>
        </a:xfrm>
        <a:prstGeom prst="snip2SameRect">
          <a:avLst>
            <a:gd name="adj1" fmla="val 23334"/>
            <a:gd name="adj2" fmla="val 2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1095375</xdr:colOff>
      <xdr:row>27</xdr:row>
      <xdr:rowOff>361950</xdr:rowOff>
    </xdr:from>
    <xdr:to>
      <xdr:col>19</xdr:col>
      <xdr:colOff>666750</xdr:colOff>
      <xdr:row>27</xdr:row>
      <xdr:rowOff>885825</xdr:rowOff>
    </xdr:to>
    <xdr:sp macro="" textlink="">
      <xdr:nvSpPr>
        <xdr:cNvPr id="6" name="Rectangle : avec coins rognés en haut 5">
          <a:extLst>
            <a:ext uri="{FF2B5EF4-FFF2-40B4-BE49-F238E27FC236}">
              <a16:creationId xmlns:a16="http://schemas.microsoft.com/office/drawing/2014/main" id="{11AB2718-A219-4455-979C-61855A8F2B28}"/>
            </a:ext>
          </a:extLst>
        </xdr:cNvPr>
        <xdr:cNvSpPr/>
      </xdr:nvSpPr>
      <xdr:spPr>
        <a:xfrm>
          <a:off x="15868650" y="4552950"/>
          <a:ext cx="1209675" cy="523875"/>
        </a:xfrm>
        <a:prstGeom prst="snip2SameRect">
          <a:avLst>
            <a:gd name="adj1" fmla="val 23334"/>
            <a:gd name="adj2" fmla="val 2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762000</xdr:colOff>
      <xdr:row>27</xdr:row>
      <xdr:rowOff>171450</xdr:rowOff>
    </xdr:from>
    <xdr:to>
      <xdr:col>18</xdr:col>
      <xdr:colOff>923925</xdr:colOff>
      <xdr:row>27</xdr:row>
      <xdr:rowOff>342900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7BE40DFB-CD63-48A8-834D-5E3665AAC27E}"/>
            </a:ext>
          </a:extLst>
        </xdr:cNvPr>
        <xdr:cNvCxnSpPr/>
      </xdr:nvCxnSpPr>
      <xdr:spPr>
        <a:xfrm flipV="1">
          <a:off x="15535275" y="4362450"/>
          <a:ext cx="161925" cy="171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885825</xdr:colOff>
      <xdr:row>27</xdr:row>
      <xdr:rowOff>314325</xdr:rowOff>
    </xdr:from>
    <xdr:to>
      <xdr:col>18</xdr:col>
      <xdr:colOff>1047750</xdr:colOff>
      <xdr:row>27</xdr:row>
      <xdr:rowOff>485775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348D8109-38DB-4715-BC4E-C943C29602F8}"/>
            </a:ext>
          </a:extLst>
        </xdr:cNvPr>
        <xdr:cNvCxnSpPr/>
      </xdr:nvCxnSpPr>
      <xdr:spPr>
        <a:xfrm flipV="1">
          <a:off x="15659100" y="4505325"/>
          <a:ext cx="161925" cy="171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542925</xdr:colOff>
      <xdr:row>27</xdr:row>
      <xdr:rowOff>180975</xdr:rowOff>
    </xdr:from>
    <xdr:to>
      <xdr:col>17</xdr:col>
      <xdr:colOff>704850</xdr:colOff>
      <xdr:row>27</xdr:row>
      <xdr:rowOff>352425</xdr:rowOff>
    </xdr:to>
    <xdr:cxnSp macro="">
      <xdr:nvCxnSpPr>
        <xdr:cNvPr id="12" name="Connecteur droit 11">
          <a:extLst>
            <a:ext uri="{FF2B5EF4-FFF2-40B4-BE49-F238E27FC236}">
              <a16:creationId xmlns:a16="http://schemas.microsoft.com/office/drawing/2014/main" id="{C20ADFFE-4502-4D8F-9B64-91D9029BF2C5}"/>
            </a:ext>
          </a:extLst>
        </xdr:cNvPr>
        <xdr:cNvCxnSpPr/>
      </xdr:nvCxnSpPr>
      <xdr:spPr>
        <a:xfrm flipV="1">
          <a:off x="14554200" y="4371975"/>
          <a:ext cx="161925" cy="171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438150</xdr:colOff>
      <xdr:row>27</xdr:row>
      <xdr:rowOff>285750</xdr:rowOff>
    </xdr:from>
    <xdr:to>
      <xdr:col>17</xdr:col>
      <xdr:colOff>600075</xdr:colOff>
      <xdr:row>27</xdr:row>
      <xdr:rowOff>457200</xdr:rowOff>
    </xdr:to>
    <xdr:cxnSp macro="">
      <xdr:nvCxnSpPr>
        <xdr:cNvPr id="13" name="Connecteur droit 12">
          <a:extLst>
            <a:ext uri="{FF2B5EF4-FFF2-40B4-BE49-F238E27FC236}">
              <a16:creationId xmlns:a16="http://schemas.microsoft.com/office/drawing/2014/main" id="{C4442661-248A-4520-A14D-A88F72EED072}"/>
            </a:ext>
          </a:extLst>
        </xdr:cNvPr>
        <xdr:cNvCxnSpPr/>
      </xdr:nvCxnSpPr>
      <xdr:spPr>
        <a:xfrm flipV="1">
          <a:off x="14449425" y="4476750"/>
          <a:ext cx="161925" cy="171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885825</xdr:colOff>
      <xdr:row>27</xdr:row>
      <xdr:rowOff>561975</xdr:rowOff>
    </xdr:from>
    <xdr:to>
      <xdr:col>18</xdr:col>
      <xdr:colOff>1047750</xdr:colOff>
      <xdr:row>27</xdr:row>
      <xdr:rowOff>733425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701AB760-D52A-4C5B-8306-F0C6A6BB9698}"/>
            </a:ext>
          </a:extLst>
        </xdr:cNvPr>
        <xdr:cNvCxnSpPr/>
      </xdr:nvCxnSpPr>
      <xdr:spPr>
        <a:xfrm flipV="1">
          <a:off x="15659100" y="4752975"/>
          <a:ext cx="161925" cy="171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704850</xdr:colOff>
      <xdr:row>27</xdr:row>
      <xdr:rowOff>171450</xdr:rowOff>
    </xdr:from>
    <xdr:to>
      <xdr:col>18</xdr:col>
      <xdr:colOff>933450</xdr:colOff>
      <xdr:row>27</xdr:row>
      <xdr:rowOff>171450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434A06A1-5151-46F9-975F-D316A540ECBE}"/>
            </a:ext>
          </a:extLst>
        </xdr:cNvPr>
        <xdr:cNvCxnSpPr/>
      </xdr:nvCxnSpPr>
      <xdr:spPr>
        <a:xfrm>
          <a:off x="14716125" y="4362450"/>
          <a:ext cx="990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928688</xdr:colOff>
      <xdr:row>27</xdr:row>
      <xdr:rowOff>178594</xdr:rowOff>
    </xdr:from>
    <xdr:to>
      <xdr:col>18</xdr:col>
      <xdr:colOff>1059656</xdr:colOff>
      <xdr:row>27</xdr:row>
      <xdr:rowOff>315516</xdr:rowOff>
    </xdr:to>
    <xdr:cxnSp macro="">
      <xdr:nvCxnSpPr>
        <xdr:cNvPr id="18" name="Connecteur droit 17">
          <a:extLst>
            <a:ext uri="{FF2B5EF4-FFF2-40B4-BE49-F238E27FC236}">
              <a16:creationId xmlns:a16="http://schemas.microsoft.com/office/drawing/2014/main" id="{CBE8F900-930B-4A0A-8D7C-F09A659253A7}"/>
            </a:ext>
          </a:extLst>
        </xdr:cNvPr>
        <xdr:cNvCxnSpPr/>
      </xdr:nvCxnSpPr>
      <xdr:spPr>
        <a:xfrm>
          <a:off x="15698391" y="4369594"/>
          <a:ext cx="130968" cy="1369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1053703</xdr:colOff>
      <xdr:row>27</xdr:row>
      <xdr:rowOff>315516</xdr:rowOff>
    </xdr:from>
    <xdr:to>
      <xdr:col>18</xdr:col>
      <xdr:colOff>1059656</xdr:colOff>
      <xdr:row>27</xdr:row>
      <xdr:rowOff>559594</xdr:rowOff>
    </xdr:to>
    <xdr:cxnSp macro="">
      <xdr:nvCxnSpPr>
        <xdr:cNvPr id="22" name="Connecteur droit 21">
          <a:extLst>
            <a:ext uri="{FF2B5EF4-FFF2-40B4-BE49-F238E27FC236}">
              <a16:creationId xmlns:a16="http://schemas.microsoft.com/office/drawing/2014/main" id="{9807015B-5802-41DF-BC34-5FA3973CE6AE}"/>
            </a:ext>
          </a:extLst>
        </xdr:cNvPr>
        <xdr:cNvCxnSpPr/>
      </xdr:nvCxnSpPr>
      <xdr:spPr>
        <a:xfrm flipH="1">
          <a:off x="15823406" y="4506516"/>
          <a:ext cx="5953" cy="2440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1207293</xdr:colOff>
      <xdr:row>27</xdr:row>
      <xdr:rowOff>192881</xdr:rowOff>
    </xdr:from>
    <xdr:to>
      <xdr:col>18</xdr:col>
      <xdr:colOff>1369218</xdr:colOff>
      <xdr:row>27</xdr:row>
      <xdr:rowOff>364331</xdr:rowOff>
    </xdr:to>
    <xdr:cxnSp macro="">
      <xdr:nvCxnSpPr>
        <xdr:cNvPr id="25" name="Connecteur droit 24">
          <a:extLst>
            <a:ext uri="{FF2B5EF4-FFF2-40B4-BE49-F238E27FC236}">
              <a16:creationId xmlns:a16="http://schemas.microsoft.com/office/drawing/2014/main" id="{68F9D336-FD4B-4815-847A-38F53A41757E}"/>
            </a:ext>
          </a:extLst>
        </xdr:cNvPr>
        <xdr:cNvCxnSpPr/>
      </xdr:nvCxnSpPr>
      <xdr:spPr>
        <a:xfrm flipV="1">
          <a:off x="15976996" y="4383881"/>
          <a:ext cx="161925" cy="171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302173</xdr:colOff>
      <xdr:row>27</xdr:row>
      <xdr:rowOff>52552</xdr:rowOff>
    </xdr:from>
    <xdr:to>
      <xdr:col>20</xdr:col>
      <xdr:colOff>5953</xdr:colOff>
      <xdr:row>27</xdr:row>
      <xdr:rowOff>53578</xdr:rowOff>
    </xdr:to>
    <xdr:cxnSp macro="">
      <xdr:nvCxnSpPr>
        <xdr:cNvPr id="26" name="Connecteur droit 25">
          <a:extLst>
            <a:ext uri="{FF2B5EF4-FFF2-40B4-BE49-F238E27FC236}">
              <a16:creationId xmlns:a16="http://schemas.microsoft.com/office/drawing/2014/main" id="{3E917BE3-E619-47BA-9254-5972BAE2B718}"/>
            </a:ext>
          </a:extLst>
        </xdr:cNvPr>
        <xdr:cNvCxnSpPr/>
      </xdr:nvCxnSpPr>
      <xdr:spPr>
        <a:xfrm>
          <a:off x="14320345" y="4243552"/>
          <a:ext cx="2863453" cy="10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426983</xdr:colOff>
      <xdr:row>27</xdr:row>
      <xdr:rowOff>39414</xdr:rowOff>
    </xdr:from>
    <xdr:to>
      <xdr:col>17</xdr:col>
      <xdr:colOff>433552</xdr:colOff>
      <xdr:row>27</xdr:row>
      <xdr:rowOff>853966</xdr:rowOff>
    </xdr:to>
    <xdr:cxnSp macro="">
      <xdr:nvCxnSpPr>
        <xdr:cNvPr id="29" name="Connecteur droit 28">
          <a:extLst>
            <a:ext uri="{FF2B5EF4-FFF2-40B4-BE49-F238E27FC236}">
              <a16:creationId xmlns:a16="http://schemas.microsoft.com/office/drawing/2014/main" id="{87EDE386-4822-4FEC-9C89-60F544428336}"/>
            </a:ext>
          </a:extLst>
        </xdr:cNvPr>
        <xdr:cNvCxnSpPr/>
      </xdr:nvCxnSpPr>
      <xdr:spPr>
        <a:xfrm flipH="1" flipV="1">
          <a:off x="14445155" y="4230414"/>
          <a:ext cx="6569" cy="8145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1085195</xdr:colOff>
      <xdr:row>27</xdr:row>
      <xdr:rowOff>34159</xdr:rowOff>
    </xdr:from>
    <xdr:to>
      <xdr:col>18</xdr:col>
      <xdr:colOff>1090449</xdr:colOff>
      <xdr:row>27</xdr:row>
      <xdr:rowOff>899948</xdr:rowOff>
    </xdr:to>
    <xdr:cxnSp macro="">
      <xdr:nvCxnSpPr>
        <xdr:cNvPr id="34" name="Connecteur droit 33">
          <a:extLst>
            <a:ext uri="{FF2B5EF4-FFF2-40B4-BE49-F238E27FC236}">
              <a16:creationId xmlns:a16="http://schemas.microsoft.com/office/drawing/2014/main" id="{24ACBB01-8DB7-474C-AEEC-B4763E270474}"/>
            </a:ext>
          </a:extLst>
        </xdr:cNvPr>
        <xdr:cNvCxnSpPr/>
      </xdr:nvCxnSpPr>
      <xdr:spPr>
        <a:xfrm flipH="1" flipV="1">
          <a:off x="15865367" y="4225159"/>
          <a:ext cx="5254" cy="8657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433553</xdr:colOff>
      <xdr:row>27</xdr:row>
      <xdr:rowOff>847398</xdr:rowOff>
    </xdr:from>
    <xdr:to>
      <xdr:col>18</xdr:col>
      <xdr:colOff>1077311</xdr:colOff>
      <xdr:row>27</xdr:row>
      <xdr:rowOff>873672</xdr:rowOff>
    </xdr:to>
    <xdr:cxnSp macro="">
      <xdr:nvCxnSpPr>
        <xdr:cNvPr id="36" name="Connecteur droit 35">
          <a:extLst>
            <a:ext uri="{FF2B5EF4-FFF2-40B4-BE49-F238E27FC236}">
              <a16:creationId xmlns:a16="http://schemas.microsoft.com/office/drawing/2014/main" id="{49282387-4B76-4ACB-9F9A-D036C80EB52C}"/>
            </a:ext>
          </a:extLst>
        </xdr:cNvPr>
        <xdr:cNvCxnSpPr/>
      </xdr:nvCxnSpPr>
      <xdr:spPr>
        <a:xfrm flipH="1" flipV="1">
          <a:off x="14451725" y="5038398"/>
          <a:ext cx="1405758" cy="262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AB383"/>
  <sheetViews>
    <sheetView topLeftCell="F13" zoomScaleNormal="100" workbookViewId="0">
      <selection activeCell="T14" sqref="T14"/>
    </sheetView>
  </sheetViews>
  <sheetFormatPr baseColWidth="10" defaultColWidth="9.140625" defaultRowHeight="15" x14ac:dyDescent="0.25"/>
  <cols>
    <col min="7" max="7" width="14.85546875" customWidth="1"/>
    <col min="10" max="10" width="17" customWidth="1"/>
    <col min="11" max="11" width="13.85546875" customWidth="1"/>
    <col min="12" max="12" width="11.42578125" customWidth="1"/>
    <col min="13" max="13" width="12" customWidth="1"/>
    <col min="14" max="14" width="9.7109375" style="2" customWidth="1"/>
    <col min="15" max="15" width="13.28515625" customWidth="1"/>
    <col min="16" max="16" width="6.28515625" customWidth="1"/>
    <col min="17" max="17" width="18.42578125" customWidth="1"/>
    <col min="18" max="18" width="11.5703125" style="1" bestFit="1" customWidth="1"/>
    <col min="20" max="20" width="17.42578125" customWidth="1"/>
  </cols>
  <sheetData>
    <row r="8" spans="3:18" x14ac:dyDescent="0.25">
      <c r="D8" t="s">
        <v>36</v>
      </c>
    </row>
    <row r="13" spans="3:18" ht="90" x14ac:dyDescent="0.25">
      <c r="L13" t="s">
        <v>14</v>
      </c>
      <c r="M13" t="s">
        <v>15</v>
      </c>
      <c r="N13" s="2" t="s">
        <v>16</v>
      </c>
      <c r="O13" t="s">
        <v>17</v>
      </c>
      <c r="P13" t="s">
        <v>18</v>
      </c>
      <c r="Q13" t="s">
        <v>19</v>
      </c>
      <c r="R13" s="1" t="s">
        <v>20</v>
      </c>
    </row>
    <row r="14" spans="3:18" x14ac:dyDescent="0.25">
      <c r="C14" t="s">
        <v>37</v>
      </c>
      <c r="E14" t="s">
        <v>0</v>
      </c>
      <c r="G14" t="s">
        <v>1</v>
      </c>
      <c r="H14" t="s">
        <v>3</v>
      </c>
      <c r="I14" t="s">
        <v>4</v>
      </c>
      <c r="J14" t="s">
        <v>12</v>
      </c>
      <c r="K14" t="s">
        <v>9</v>
      </c>
      <c r="L14">
        <v>13</v>
      </c>
      <c r="M14">
        <v>0.5</v>
      </c>
      <c r="N14" s="2">
        <v>11</v>
      </c>
      <c r="O14">
        <v>12</v>
      </c>
      <c r="P14">
        <f>IF(O14=8,0.395,IF(O14=10,0.617,IF(O14=12,0.888,IF(O14=14,1.208,IF(O14=16,1.578)))))</f>
        <v>0.88800000000000001</v>
      </c>
      <c r="Q14">
        <f>(L14+M14)*N14</f>
        <v>148.5</v>
      </c>
      <c r="R14" s="1">
        <f>P14*Q14/100</f>
        <v>1.3186799999999999</v>
      </c>
    </row>
    <row r="15" spans="3:18" x14ac:dyDescent="0.25">
      <c r="K15" t="s">
        <v>10</v>
      </c>
      <c r="L15">
        <v>13</v>
      </c>
      <c r="M15">
        <v>0.5</v>
      </c>
      <c r="N15" s="2">
        <v>11</v>
      </c>
      <c r="O15">
        <v>12</v>
      </c>
      <c r="P15">
        <f t="shared" ref="P15:P123" si="0">IF(O15=8,0.395,IF(O15=10,0.617,IF(O15=12,0.888,IF(O15=14,1.208,IF(O15=16,1.578)))))</f>
        <v>0.88800000000000001</v>
      </c>
      <c r="Q15">
        <f t="shared" ref="Q15:Q25" si="1">(L15+M15)*N15</f>
        <v>148.5</v>
      </c>
      <c r="R15" s="1">
        <f t="shared" ref="R15:R25" si="2">P15*Q15/100</f>
        <v>1.3186799999999999</v>
      </c>
    </row>
    <row r="16" spans="3:18" x14ac:dyDescent="0.25">
      <c r="J16" t="s">
        <v>13</v>
      </c>
      <c r="K16" t="s">
        <v>9</v>
      </c>
      <c r="L16">
        <v>1.9</v>
      </c>
      <c r="M16">
        <v>0.5</v>
      </c>
      <c r="N16" s="2">
        <f>13/0.15</f>
        <v>86.666666666666671</v>
      </c>
      <c r="O16">
        <v>12</v>
      </c>
      <c r="P16">
        <f t="shared" si="0"/>
        <v>0.88800000000000001</v>
      </c>
      <c r="Q16">
        <f t="shared" si="1"/>
        <v>208</v>
      </c>
      <c r="R16" s="1">
        <f t="shared" si="2"/>
        <v>1.84704</v>
      </c>
    </row>
    <row r="17" spans="9:20" x14ac:dyDescent="0.25">
      <c r="K17" t="s">
        <v>10</v>
      </c>
      <c r="L17">
        <v>1.9</v>
      </c>
      <c r="M17">
        <v>0.5</v>
      </c>
      <c r="N17" s="2">
        <f>13/0.15</f>
        <v>86.666666666666671</v>
      </c>
      <c r="O17">
        <v>12</v>
      </c>
      <c r="P17">
        <f t="shared" si="0"/>
        <v>0.88800000000000001</v>
      </c>
      <c r="Q17">
        <f t="shared" si="1"/>
        <v>208</v>
      </c>
      <c r="R17" s="1">
        <f t="shared" si="2"/>
        <v>1.84704</v>
      </c>
    </row>
    <row r="18" spans="9:20" x14ac:dyDescent="0.25">
      <c r="J18" t="s">
        <v>11</v>
      </c>
      <c r="L18">
        <v>0.5</v>
      </c>
      <c r="M18">
        <v>0.5</v>
      </c>
      <c r="N18" s="2">
        <f>(13*1.9)*4</f>
        <v>98.8</v>
      </c>
      <c r="O18">
        <v>8</v>
      </c>
      <c r="P18">
        <f t="shared" si="0"/>
        <v>0.39500000000000002</v>
      </c>
      <c r="Q18">
        <f t="shared" si="1"/>
        <v>98.8</v>
      </c>
      <c r="R18" s="1">
        <f t="shared" si="2"/>
        <v>0.39026000000000005</v>
      </c>
    </row>
    <row r="19" spans="9:20" x14ac:dyDescent="0.25">
      <c r="J19" t="s">
        <v>21</v>
      </c>
      <c r="K19">
        <v>10</v>
      </c>
      <c r="L19">
        <v>13</v>
      </c>
      <c r="M19">
        <v>0.5</v>
      </c>
      <c r="N19" s="2">
        <v>4</v>
      </c>
      <c r="O19">
        <v>10</v>
      </c>
      <c r="P19">
        <f t="shared" si="0"/>
        <v>0.61699999999999999</v>
      </c>
      <c r="Q19">
        <f t="shared" ref="Q19:Q22" si="3">(L19+M19)*N19</f>
        <v>54</v>
      </c>
      <c r="R19" s="1">
        <f t="shared" ref="R19:R22" si="4">P19*Q19/100</f>
        <v>0.33317999999999998</v>
      </c>
    </row>
    <row r="20" spans="9:20" x14ac:dyDescent="0.25">
      <c r="K20">
        <v>14</v>
      </c>
      <c r="L20">
        <v>13.6</v>
      </c>
      <c r="M20">
        <v>0.5</v>
      </c>
      <c r="N20" s="2">
        <v>6</v>
      </c>
      <c r="O20">
        <v>14</v>
      </c>
      <c r="P20">
        <f t="shared" si="0"/>
        <v>1.208</v>
      </c>
      <c r="Q20">
        <f t="shared" si="3"/>
        <v>84.6</v>
      </c>
      <c r="R20" s="1">
        <f t="shared" si="4"/>
        <v>1.021968</v>
      </c>
    </row>
    <row r="21" spans="9:20" x14ac:dyDescent="0.25">
      <c r="K21">
        <v>16</v>
      </c>
      <c r="L21">
        <f>(7.4+1.1+4.25+3.5)</f>
        <v>16.25</v>
      </c>
      <c r="M21">
        <v>0.5</v>
      </c>
      <c r="N21" s="2">
        <v>3</v>
      </c>
      <c r="O21">
        <v>16</v>
      </c>
      <c r="P21">
        <f t="shared" si="0"/>
        <v>1.5780000000000001</v>
      </c>
      <c r="Q21">
        <f t="shared" si="3"/>
        <v>50.25</v>
      </c>
      <c r="R21" s="1">
        <f t="shared" si="4"/>
        <v>0.79294500000000001</v>
      </c>
    </row>
    <row r="22" spans="9:20" x14ac:dyDescent="0.25">
      <c r="K22" t="s">
        <v>22</v>
      </c>
      <c r="L22">
        <v>1.9</v>
      </c>
      <c r="M22">
        <v>0</v>
      </c>
      <c r="N22" s="2">
        <f>(34+14+14+7+13)</f>
        <v>82</v>
      </c>
      <c r="O22">
        <v>10</v>
      </c>
      <c r="P22">
        <f t="shared" si="0"/>
        <v>0.61699999999999999</v>
      </c>
      <c r="Q22">
        <f t="shared" si="3"/>
        <v>155.79999999999998</v>
      </c>
      <c r="R22" s="1">
        <f t="shared" si="4"/>
        <v>0.96128599999999986</v>
      </c>
    </row>
    <row r="23" spans="9:20" x14ac:dyDescent="0.25">
      <c r="K23" t="s">
        <v>23</v>
      </c>
      <c r="L23">
        <v>1.45</v>
      </c>
      <c r="M23">
        <v>0</v>
      </c>
      <c r="N23" s="2">
        <f>(34+14+14+7+13)</f>
        <v>82</v>
      </c>
      <c r="O23">
        <v>10</v>
      </c>
      <c r="P23">
        <f t="shared" si="0"/>
        <v>0.61699999999999999</v>
      </c>
      <c r="Q23">
        <f t="shared" ref="Q23" si="5">(L23+M23)*N23</f>
        <v>118.89999999999999</v>
      </c>
      <c r="R23" s="1">
        <f t="shared" ref="R23" si="6">P23*Q23/100</f>
        <v>0.73361299999999996</v>
      </c>
    </row>
    <row r="24" spans="9:20" x14ac:dyDescent="0.25">
      <c r="K24" t="s">
        <v>24</v>
      </c>
      <c r="L24">
        <v>0.35</v>
      </c>
      <c r="M24">
        <v>0</v>
      </c>
      <c r="N24" s="2">
        <v>60</v>
      </c>
      <c r="O24">
        <v>10</v>
      </c>
      <c r="P24">
        <f t="shared" si="0"/>
        <v>0.61699999999999999</v>
      </c>
      <c r="Q24">
        <f t="shared" ref="Q24" si="7">(L24+M24)*N24</f>
        <v>21</v>
      </c>
      <c r="R24" s="1">
        <f t="shared" ref="R24" si="8">P24*Q24/100</f>
        <v>0.12957000000000002</v>
      </c>
    </row>
    <row r="25" spans="9:20" x14ac:dyDescent="0.25">
      <c r="J25" t="s">
        <v>25</v>
      </c>
      <c r="K25" t="s">
        <v>26</v>
      </c>
      <c r="L25">
        <v>2</v>
      </c>
      <c r="M25">
        <v>0</v>
      </c>
      <c r="N25" s="2">
        <v>40</v>
      </c>
      <c r="O25">
        <v>14</v>
      </c>
      <c r="P25">
        <f t="shared" si="0"/>
        <v>1.208</v>
      </c>
      <c r="Q25">
        <f t="shared" si="1"/>
        <v>80</v>
      </c>
      <c r="R25" s="1">
        <f t="shared" si="2"/>
        <v>0.96640000000000004</v>
      </c>
    </row>
    <row r="26" spans="9:20" x14ac:dyDescent="0.25">
      <c r="K26" t="s">
        <v>27</v>
      </c>
      <c r="L26">
        <v>3.5</v>
      </c>
      <c r="M26">
        <v>0</v>
      </c>
      <c r="N26" s="2">
        <f>(70/15)*2</f>
        <v>9.3333333333333339</v>
      </c>
      <c r="O26">
        <v>10</v>
      </c>
      <c r="P26">
        <f t="shared" si="0"/>
        <v>0.61699999999999999</v>
      </c>
      <c r="Q26">
        <f t="shared" ref="Q26:Q28" si="9">(L26+M26)*N26</f>
        <v>32.666666666666671</v>
      </c>
      <c r="R26" s="1">
        <f t="shared" ref="R26:R28" si="10">P26*Q26/100</f>
        <v>0.20155333333333336</v>
      </c>
    </row>
    <row r="27" spans="9:20" x14ac:dyDescent="0.25">
      <c r="J27" t="s">
        <v>28</v>
      </c>
      <c r="K27" t="s">
        <v>26</v>
      </c>
      <c r="L27">
        <v>4</v>
      </c>
      <c r="N27" s="2">
        <f>(13/0.15)*2</f>
        <v>173.33333333333334</v>
      </c>
      <c r="O27">
        <v>12</v>
      </c>
      <c r="P27">
        <f t="shared" si="0"/>
        <v>0.88800000000000001</v>
      </c>
      <c r="Q27">
        <f t="shared" si="9"/>
        <v>693.33333333333337</v>
      </c>
      <c r="R27" s="1">
        <f t="shared" si="10"/>
        <v>6.1568000000000005</v>
      </c>
      <c r="T27" t="s">
        <v>102</v>
      </c>
    </row>
    <row r="28" spans="9:20" x14ac:dyDescent="0.25">
      <c r="K28" t="s">
        <v>27</v>
      </c>
      <c r="L28">
        <f>13-3.3</f>
        <v>9.6999999999999993</v>
      </c>
      <c r="N28" s="2">
        <f>(2.9 /0.15)*2</f>
        <v>38.666666666666664</v>
      </c>
      <c r="O28">
        <v>10</v>
      </c>
      <c r="P28">
        <f t="shared" si="0"/>
        <v>0.61699999999999999</v>
      </c>
      <c r="Q28">
        <f t="shared" si="9"/>
        <v>375.06666666666661</v>
      </c>
      <c r="R28" s="1">
        <f t="shared" si="10"/>
        <v>2.3141613333333328</v>
      </c>
    </row>
    <row r="29" spans="9:20" x14ac:dyDescent="0.25">
      <c r="J29" t="s">
        <v>29</v>
      </c>
      <c r="K29" t="s">
        <v>26</v>
      </c>
      <c r="L29">
        <f>2*2.1</f>
        <v>4.2</v>
      </c>
      <c r="N29" s="2">
        <v>8</v>
      </c>
      <c r="O29">
        <v>16</v>
      </c>
      <c r="P29">
        <f t="shared" si="0"/>
        <v>1.5780000000000001</v>
      </c>
      <c r="Q29">
        <f t="shared" ref="Q29:Q30" si="11">(L29+M29)*N29</f>
        <v>33.6</v>
      </c>
      <c r="R29" s="1">
        <f t="shared" ref="R29:R30" si="12">P29*Q29/100</f>
        <v>0.53020800000000001</v>
      </c>
    </row>
    <row r="30" spans="9:20" x14ac:dyDescent="0.25">
      <c r="K30" t="s">
        <v>27</v>
      </c>
      <c r="L30">
        <f>(0.9+1.2)*2</f>
        <v>4.2</v>
      </c>
      <c r="N30" s="2">
        <f>(1.7/0.1)</f>
        <v>17</v>
      </c>
      <c r="O30">
        <v>8</v>
      </c>
      <c r="P30">
        <f t="shared" si="0"/>
        <v>0.39500000000000002</v>
      </c>
      <c r="Q30">
        <f t="shared" si="11"/>
        <v>71.400000000000006</v>
      </c>
      <c r="R30" s="1">
        <f t="shared" si="12"/>
        <v>0.28203</v>
      </c>
    </row>
    <row r="32" spans="9:20" x14ac:dyDescent="0.25">
      <c r="I32" t="s">
        <v>5</v>
      </c>
      <c r="J32" t="s">
        <v>12</v>
      </c>
      <c r="K32" t="s">
        <v>9</v>
      </c>
      <c r="L32">
        <v>13</v>
      </c>
      <c r="N32" s="2">
        <v>10</v>
      </c>
      <c r="O32">
        <v>12</v>
      </c>
      <c r="P32">
        <f>IF(O32=8,0.395,IF(O32=10,0.617,IF(O32=12,0.888,IF(O32=14,1.208,IF(O32=16,1.578)))))</f>
        <v>0.88800000000000001</v>
      </c>
      <c r="Q32">
        <f>(L32+M32)*N32</f>
        <v>130</v>
      </c>
      <c r="R32" s="1">
        <f>P32*Q32/100</f>
        <v>1.1543999999999999</v>
      </c>
    </row>
    <row r="33" spans="9:28" x14ac:dyDescent="0.25">
      <c r="K33" t="s">
        <v>10</v>
      </c>
      <c r="L33">
        <v>13</v>
      </c>
      <c r="N33" s="2">
        <v>10</v>
      </c>
      <c r="O33">
        <v>12</v>
      </c>
      <c r="P33">
        <f t="shared" si="0"/>
        <v>0.88800000000000001</v>
      </c>
      <c r="Q33">
        <f t="shared" ref="Q33:Q44" si="13">(L33+M33)*N33</f>
        <v>130</v>
      </c>
      <c r="R33" s="1">
        <f t="shared" ref="R33:R44" si="14">P33*Q33/100</f>
        <v>1.1543999999999999</v>
      </c>
    </row>
    <row r="34" spans="9:28" x14ac:dyDescent="0.25">
      <c r="J34" t="s">
        <v>13</v>
      </c>
      <c r="K34" t="s">
        <v>9</v>
      </c>
      <c r="L34">
        <v>2.2000000000000002</v>
      </c>
      <c r="M34">
        <v>0</v>
      </c>
      <c r="N34" s="2">
        <f>13/0.15</f>
        <v>86.666666666666671</v>
      </c>
      <c r="O34">
        <v>12</v>
      </c>
      <c r="P34">
        <f t="shared" si="0"/>
        <v>0.88800000000000001</v>
      </c>
      <c r="Q34">
        <f t="shared" si="13"/>
        <v>190.66666666666669</v>
      </c>
      <c r="R34" s="1">
        <f t="shared" si="14"/>
        <v>1.6931200000000002</v>
      </c>
    </row>
    <row r="35" spans="9:28" x14ac:dyDescent="0.25">
      <c r="K35" t="s">
        <v>10</v>
      </c>
      <c r="L35">
        <v>2.2000000000000002</v>
      </c>
      <c r="M35">
        <v>0</v>
      </c>
      <c r="N35" s="2">
        <f>13/0.15</f>
        <v>86.666666666666671</v>
      </c>
      <c r="O35">
        <v>12</v>
      </c>
      <c r="P35">
        <f t="shared" si="0"/>
        <v>0.88800000000000001</v>
      </c>
      <c r="Q35">
        <f t="shared" si="13"/>
        <v>190.66666666666669</v>
      </c>
      <c r="R35" s="1">
        <f t="shared" si="14"/>
        <v>1.6931200000000002</v>
      </c>
    </row>
    <row r="36" spans="9:28" x14ac:dyDescent="0.25">
      <c r="J36" t="s">
        <v>11</v>
      </c>
      <c r="L36">
        <v>1</v>
      </c>
      <c r="M36">
        <v>0</v>
      </c>
      <c r="N36" s="2">
        <f>23*4</f>
        <v>92</v>
      </c>
      <c r="O36">
        <v>8</v>
      </c>
      <c r="P36">
        <f t="shared" si="0"/>
        <v>0.39500000000000002</v>
      </c>
      <c r="Q36">
        <f t="shared" si="13"/>
        <v>92</v>
      </c>
      <c r="R36" s="1">
        <f t="shared" si="14"/>
        <v>0.36340000000000006</v>
      </c>
    </row>
    <row r="37" spans="9:28" x14ac:dyDescent="0.25">
      <c r="J37" t="s">
        <v>21</v>
      </c>
      <c r="K37">
        <v>10</v>
      </c>
      <c r="L37">
        <v>13</v>
      </c>
      <c r="M37">
        <v>0</v>
      </c>
      <c r="N37" s="2">
        <v>4</v>
      </c>
      <c r="O37">
        <v>10</v>
      </c>
      <c r="P37">
        <f t="shared" si="0"/>
        <v>0.61699999999999999</v>
      </c>
      <c r="Q37">
        <f t="shared" si="13"/>
        <v>52</v>
      </c>
      <c r="R37" s="1">
        <f t="shared" si="14"/>
        <v>0.32084000000000001</v>
      </c>
    </row>
    <row r="38" spans="9:28" x14ac:dyDescent="0.25">
      <c r="K38">
        <v>14</v>
      </c>
      <c r="L38">
        <v>0</v>
      </c>
      <c r="M38">
        <v>0</v>
      </c>
      <c r="N38" s="2">
        <v>0</v>
      </c>
      <c r="O38">
        <v>14</v>
      </c>
      <c r="P38">
        <f t="shared" si="0"/>
        <v>1.208</v>
      </c>
      <c r="Q38">
        <f t="shared" si="13"/>
        <v>0</v>
      </c>
      <c r="R38" s="1">
        <f t="shared" si="14"/>
        <v>0</v>
      </c>
    </row>
    <row r="39" spans="9:28" x14ac:dyDescent="0.25">
      <c r="K39">
        <v>16</v>
      </c>
      <c r="L39">
        <f>(4+1.1+2.1+3+13.6+13.6+4.25+3.5)</f>
        <v>45.15</v>
      </c>
      <c r="M39">
        <v>0.5</v>
      </c>
      <c r="N39" s="2">
        <v>3</v>
      </c>
      <c r="O39">
        <v>16</v>
      </c>
      <c r="P39">
        <f t="shared" si="0"/>
        <v>1.5780000000000001</v>
      </c>
      <c r="Q39">
        <f t="shared" si="13"/>
        <v>136.94999999999999</v>
      </c>
      <c r="R39" s="1">
        <f t="shared" si="14"/>
        <v>2.1610710000000002</v>
      </c>
    </row>
    <row r="40" spans="9:28" x14ac:dyDescent="0.25">
      <c r="K40" t="s">
        <v>22</v>
      </c>
      <c r="L40">
        <v>2.1</v>
      </c>
      <c r="M40">
        <v>0</v>
      </c>
      <c r="N40" s="2">
        <f>(3.5/0.1)+(1.44/0.1)+(2.5/0.1)+(2/0.15)</f>
        <v>87.733333333333334</v>
      </c>
      <c r="O40">
        <v>10</v>
      </c>
      <c r="P40">
        <f t="shared" si="0"/>
        <v>0.61699999999999999</v>
      </c>
      <c r="Q40">
        <f t="shared" si="13"/>
        <v>184.24</v>
      </c>
      <c r="R40" s="1">
        <f t="shared" si="14"/>
        <v>1.1367608</v>
      </c>
    </row>
    <row r="41" spans="9:28" x14ac:dyDescent="0.25">
      <c r="K41" t="s">
        <v>23</v>
      </c>
      <c r="L41">
        <v>1.45</v>
      </c>
      <c r="M41">
        <v>0</v>
      </c>
      <c r="N41" s="2">
        <f>(34+14+14+7+13)</f>
        <v>82</v>
      </c>
      <c r="O41">
        <v>10</v>
      </c>
      <c r="P41">
        <f t="shared" si="0"/>
        <v>0.61699999999999999</v>
      </c>
      <c r="Q41">
        <f t="shared" si="13"/>
        <v>118.89999999999999</v>
      </c>
      <c r="R41" s="1">
        <f t="shared" si="14"/>
        <v>0.73361299999999996</v>
      </c>
    </row>
    <row r="42" spans="9:28" x14ac:dyDescent="0.25">
      <c r="K42" t="s">
        <v>24</v>
      </c>
      <c r="L42">
        <v>0.35</v>
      </c>
      <c r="M42">
        <v>0</v>
      </c>
      <c r="N42" s="2">
        <v>60</v>
      </c>
      <c r="O42">
        <v>10</v>
      </c>
      <c r="P42">
        <f t="shared" si="0"/>
        <v>0.61699999999999999</v>
      </c>
      <c r="Q42">
        <f t="shared" si="13"/>
        <v>21</v>
      </c>
      <c r="R42" s="1">
        <f t="shared" si="14"/>
        <v>0.12957000000000002</v>
      </c>
    </row>
    <row r="43" spans="9:28" x14ac:dyDescent="0.25">
      <c r="J43" t="s">
        <v>29</v>
      </c>
      <c r="K43" t="s">
        <v>26</v>
      </c>
      <c r="L43">
        <f>4*2.1</f>
        <v>8.4</v>
      </c>
      <c r="N43" s="2">
        <v>8</v>
      </c>
      <c r="O43">
        <v>16</v>
      </c>
      <c r="P43">
        <f t="shared" si="0"/>
        <v>1.5780000000000001</v>
      </c>
      <c r="Q43">
        <f t="shared" si="13"/>
        <v>67.2</v>
      </c>
      <c r="R43" s="1">
        <f t="shared" si="14"/>
        <v>1.060416</v>
      </c>
      <c r="T43" t="s">
        <v>29</v>
      </c>
      <c r="U43" t="s">
        <v>26</v>
      </c>
      <c r="V43">
        <f>2*2.1</f>
        <v>4.2</v>
      </c>
      <c r="X43">
        <v>8</v>
      </c>
      <c r="Y43">
        <v>16</v>
      </c>
      <c r="Z43">
        <f t="shared" ref="Z43:Z44" si="15">IF(Y43=8,0.395,IF(Y43=10,0.617,IF(Y43=12,0.888,IF(Y43=14,1.208,IF(Y43=16,1.578)))))</f>
        <v>1.5780000000000001</v>
      </c>
      <c r="AA43">
        <f t="shared" ref="AA43:AA44" si="16">(V43+W43)*X43</f>
        <v>33.6</v>
      </c>
      <c r="AB43" s="1">
        <f t="shared" ref="AB43:AB44" si="17">Z43*AA43/100</f>
        <v>0.53020800000000001</v>
      </c>
    </row>
    <row r="44" spans="9:28" x14ac:dyDescent="0.25">
      <c r="K44" t="s">
        <v>30</v>
      </c>
      <c r="L44">
        <f>(1.2+1.6)*3</f>
        <v>8.3999999999999986</v>
      </c>
      <c r="N44" s="2">
        <f>(1.7/0.1)</f>
        <v>17</v>
      </c>
      <c r="O44">
        <v>8</v>
      </c>
      <c r="P44">
        <f t="shared" si="0"/>
        <v>0.39500000000000002</v>
      </c>
      <c r="Q44">
        <f t="shared" si="13"/>
        <v>142.79999999999998</v>
      </c>
      <c r="R44" s="1">
        <f t="shared" si="14"/>
        <v>0.56406000000000001</v>
      </c>
      <c r="U44" t="s">
        <v>27</v>
      </c>
      <c r="V44">
        <f>(0.9+1.2)*2</f>
        <v>4.2</v>
      </c>
      <c r="X44">
        <f>(1.7/0.1)</f>
        <v>17</v>
      </c>
      <c r="Y44">
        <v>8</v>
      </c>
      <c r="Z44">
        <f t="shared" si="15"/>
        <v>0.39500000000000002</v>
      </c>
      <c r="AA44">
        <f t="shared" si="16"/>
        <v>71.400000000000006</v>
      </c>
      <c r="AB44" s="1">
        <f t="shared" si="17"/>
        <v>0.28203</v>
      </c>
    </row>
    <row r="45" spans="9:28" x14ac:dyDescent="0.25">
      <c r="K45" t="s">
        <v>31</v>
      </c>
      <c r="L45">
        <f>1.25+1.8</f>
        <v>3.05</v>
      </c>
      <c r="M45">
        <v>0</v>
      </c>
      <c r="N45" s="2">
        <f t="shared" ref="N45" si="18">(1.7/0.1)</f>
        <v>17</v>
      </c>
      <c r="O45">
        <v>8</v>
      </c>
      <c r="P45">
        <f t="shared" si="0"/>
        <v>0.39500000000000002</v>
      </c>
      <c r="Q45">
        <f t="shared" ref="Q45" si="19">(L45+M45)*N45</f>
        <v>51.849999999999994</v>
      </c>
      <c r="R45" s="1">
        <f t="shared" ref="R45" si="20">P45*Q45/100</f>
        <v>0.20480749999999998</v>
      </c>
    </row>
    <row r="47" spans="9:28" x14ac:dyDescent="0.25">
      <c r="I47" t="s">
        <v>6</v>
      </c>
      <c r="J47" t="s">
        <v>12</v>
      </c>
      <c r="K47" t="s">
        <v>9</v>
      </c>
      <c r="L47">
        <v>13</v>
      </c>
      <c r="M47">
        <v>0.5</v>
      </c>
      <c r="N47" s="2">
        <v>11</v>
      </c>
      <c r="O47">
        <v>12</v>
      </c>
      <c r="P47">
        <f>IF(O47=8,0.395,IF(O47=10,0.617,IF(O47=12,0.888,IF(O47=14,1.208,IF(O47=16,1.578)))))</f>
        <v>0.88800000000000001</v>
      </c>
      <c r="Q47">
        <f>(L47+M47)*N47</f>
        <v>148.5</v>
      </c>
      <c r="R47" s="1">
        <f>P47*Q47/100</f>
        <v>1.3186799999999999</v>
      </c>
    </row>
    <row r="48" spans="9:28" x14ac:dyDescent="0.25">
      <c r="K48" t="s">
        <v>10</v>
      </c>
      <c r="L48">
        <v>13</v>
      </c>
      <c r="M48">
        <v>0.5</v>
      </c>
      <c r="N48" s="2">
        <v>11</v>
      </c>
      <c r="O48">
        <v>12</v>
      </c>
      <c r="P48">
        <f t="shared" si="0"/>
        <v>0.88800000000000001</v>
      </c>
      <c r="Q48">
        <f t="shared" ref="Q48:Q63" si="21">(L48+M48)*N48</f>
        <v>148.5</v>
      </c>
      <c r="R48" s="1">
        <f t="shared" ref="R48:R63" si="22">P48*Q48/100</f>
        <v>1.3186799999999999</v>
      </c>
    </row>
    <row r="49" spans="10:20" x14ac:dyDescent="0.25">
      <c r="J49" t="s">
        <v>13</v>
      </c>
      <c r="K49" t="s">
        <v>9</v>
      </c>
      <c r="L49">
        <v>1.9</v>
      </c>
      <c r="M49">
        <v>0.5</v>
      </c>
      <c r="N49" s="2">
        <f>13/0.15</f>
        <v>86.666666666666671</v>
      </c>
      <c r="O49">
        <v>12</v>
      </c>
      <c r="P49">
        <f t="shared" si="0"/>
        <v>0.88800000000000001</v>
      </c>
      <c r="Q49">
        <f t="shared" si="21"/>
        <v>208</v>
      </c>
      <c r="R49" s="1">
        <f t="shared" si="22"/>
        <v>1.84704</v>
      </c>
    </row>
    <row r="50" spans="10:20" x14ac:dyDescent="0.25">
      <c r="K50" t="s">
        <v>10</v>
      </c>
      <c r="L50">
        <v>1.9</v>
      </c>
      <c r="M50">
        <v>0.5</v>
      </c>
      <c r="N50" s="2">
        <f>13/0.15</f>
        <v>86.666666666666671</v>
      </c>
      <c r="O50">
        <v>12</v>
      </c>
      <c r="P50">
        <f t="shared" si="0"/>
        <v>0.88800000000000001</v>
      </c>
      <c r="Q50">
        <f t="shared" si="21"/>
        <v>208</v>
      </c>
      <c r="R50" s="1">
        <f t="shared" si="22"/>
        <v>1.84704</v>
      </c>
    </row>
    <row r="51" spans="10:20" x14ac:dyDescent="0.25">
      <c r="J51" t="s">
        <v>11</v>
      </c>
      <c r="L51">
        <v>0.5</v>
      </c>
      <c r="M51">
        <v>0.5</v>
      </c>
      <c r="N51" s="2">
        <f>(13*1.9)*4</f>
        <v>98.8</v>
      </c>
      <c r="O51">
        <v>8</v>
      </c>
      <c r="P51">
        <f t="shared" si="0"/>
        <v>0.39500000000000002</v>
      </c>
      <c r="Q51">
        <f t="shared" si="21"/>
        <v>98.8</v>
      </c>
      <c r="R51" s="1">
        <f t="shared" si="22"/>
        <v>0.39026000000000005</v>
      </c>
    </row>
    <row r="52" spans="10:20" x14ac:dyDescent="0.25">
      <c r="J52" t="s">
        <v>21</v>
      </c>
      <c r="K52">
        <v>10</v>
      </c>
      <c r="L52">
        <v>13</v>
      </c>
      <c r="M52">
        <v>0.5</v>
      </c>
      <c r="N52" s="2">
        <v>4</v>
      </c>
      <c r="O52">
        <v>10</v>
      </c>
      <c r="P52">
        <f t="shared" si="0"/>
        <v>0.61699999999999999</v>
      </c>
      <c r="Q52">
        <f t="shared" si="21"/>
        <v>54</v>
      </c>
      <c r="R52" s="1">
        <f t="shared" si="22"/>
        <v>0.33317999999999998</v>
      </c>
    </row>
    <row r="53" spans="10:20" x14ac:dyDescent="0.25">
      <c r="K53">
        <v>14</v>
      </c>
      <c r="L53">
        <v>13.6</v>
      </c>
      <c r="M53">
        <v>0.5</v>
      </c>
      <c r="N53" s="2">
        <v>6</v>
      </c>
      <c r="O53">
        <v>14</v>
      </c>
      <c r="P53">
        <f t="shared" si="0"/>
        <v>1.208</v>
      </c>
      <c r="Q53">
        <f t="shared" si="21"/>
        <v>84.6</v>
      </c>
      <c r="R53" s="1">
        <f t="shared" si="22"/>
        <v>1.021968</v>
      </c>
    </row>
    <row r="54" spans="10:20" x14ac:dyDescent="0.25">
      <c r="K54">
        <v>16</v>
      </c>
      <c r="L54">
        <f>(7.4+1.1+4.25+3.5)</f>
        <v>16.25</v>
      </c>
      <c r="M54">
        <v>0.5</v>
      </c>
      <c r="N54" s="2">
        <v>3</v>
      </c>
      <c r="O54">
        <v>16</v>
      </c>
      <c r="P54">
        <f t="shared" si="0"/>
        <v>1.5780000000000001</v>
      </c>
      <c r="Q54">
        <f t="shared" si="21"/>
        <v>50.25</v>
      </c>
      <c r="R54" s="1">
        <f t="shared" si="22"/>
        <v>0.79294500000000001</v>
      </c>
    </row>
    <row r="55" spans="10:20" x14ac:dyDescent="0.25">
      <c r="K55" t="s">
        <v>22</v>
      </c>
      <c r="L55">
        <v>1.9</v>
      </c>
      <c r="M55">
        <v>0</v>
      </c>
      <c r="N55" s="2">
        <f>(34+14+14+7+13)</f>
        <v>82</v>
      </c>
      <c r="O55">
        <v>10</v>
      </c>
      <c r="P55">
        <f t="shared" si="0"/>
        <v>0.61699999999999999</v>
      </c>
      <c r="Q55">
        <f t="shared" si="21"/>
        <v>155.79999999999998</v>
      </c>
      <c r="R55" s="1">
        <f t="shared" si="22"/>
        <v>0.96128599999999986</v>
      </c>
    </row>
    <row r="56" spans="10:20" x14ac:dyDescent="0.25">
      <c r="K56" t="s">
        <v>23</v>
      </c>
      <c r="L56">
        <v>1.45</v>
      </c>
      <c r="M56">
        <v>0</v>
      </c>
      <c r="N56" s="2">
        <f>(34+14+14+7+13)</f>
        <v>82</v>
      </c>
      <c r="O56">
        <v>10</v>
      </c>
      <c r="P56">
        <f t="shared" si="0"/>
        <v>0.61699999999999999</v>
      </c>
      <c r="Q56">
        <f t="shared" si="21"/>
        <v>118.89999999999999</v>
      </c>
      <c r="R56" s="1">
        <f t="shared" si="22"/>
        <v>0.73361299999999996</v>
      </c>
    </row>
    <row r="57" spans="10:20" x14ac:dyDescent="0.25">
      <c r="K57" t="s">
        <v>24</v>
      </c>
      <c r="L57">
        <v>0.35</v>
      </c>
      <c r="M57">
        <v>0</v>
      </c>
      <c r="N57" s="2">
        <v>60</v>
      </c>
      <c r="O57">
        <v>10</v>
      </c>
      <c r="P57">
        <f t="shared" si="0"/>
        <v>0.61699999999999999</v>
      </c>
      <c r="Q57">
        <f t="shared" si="21"/>
        <v>21</v>
      </c>
      <c r="R57" s="1">
        <f t="shared" si="22"/>
        <v>0.12957000000000002</v>
      </c>
    </row>
    <row r="58" spans="10:20" x14ac:dyDescent="0.25">
      <c r="J58" t="s">
        <v>25</v>
      </c>
      <c r="K58" t="s">
        <v>26</v>
      </c>
      <c r="L58">
        <v>2</v>
      </c>
      <c r="M58">
        <v>0</v>
      </c>
      <c r="N58" s="2">
        <v>42</v>
      </c>
      <c r="O58">
        <v>14</v>
      </c>
      <c r="P58">
        <f t="shared" si="0"/>
        <v>1.208</v>
      </c>
      <c r="Q58">
        <f t="shared" si="21"/>
        <v>84</v>
      </c>
      <c r="R58" s="1">
        <f t="shared" si="22"/>
        <v>1.0147199999999998</v>
      </c>
    </row>
    <row r="59" spans="10:20" x14ac:dyDescent="0.25">
      <c r="K59" t="s">
        <v>27</v>
      </c>
      <c r="L59">
        <v>2.5</v>
      </c>
      <c r="M59">
        <v>0</v>
      </c>
      <c r="N59" s="2">
        <f>(70/15)*2</f>
        <v>9.3333333333333339</v>
      </c>
      <c r="O59">
        <v>10</v>
      </c>
      <c r="P59">
        <f t="shared" si="0"/>
        <v>0.61699999999999999</v>
      </c>
      <c r="Q59">
        <f t="shared" si="21"/>
        <v>23.333333333333336</v>
      </c>
      <c r="R59" s="1">
        <f t="shared" si="22"/>
        <v>0.14396666666666669</v>
      </c>
    </row>
    <row r="60" spans="10:20" x14ac:dyDescent="0.25">
      <c r="J60" t="s">
        <v>28</v>
      </c>
      <c r="K60" t="s">
        <v>26</v>
      </c>
      <c r="L60">
        <v>4</v>
      </c>
      <c r="N60" s="2">
        <f>(13/0.15)*2</f>
        <v>173.33333333333334</v>
      </c>
      <c r="O60">
        <v>12</v>
      </c>
      <c r="P60">
        <f t="shared" si="0"/>
        <v>0.88800000000000001</v>
      </c>
      <c r="Q60">
        <f t="shared" si="21"/>
        <v>693.33333333333337</v>
      </c>
      <c r="R60" s="1">
        <f t="shared" si="22"/>
        <v>6.1568000000000005</v>
      </c>
      <c r="T60" t="s">
        <v>101</v>
      </c>
    </row>
    <row r="61" spans="10:20" x14ac:dyDescent="0.25">
      <c r="K61" t="s">
        <v>27</v>
      </c>
      <c r="L61">
        <f>13-3.3</f>
        <v>9.6999999999999993</v>
      </c>
      <c r="N61" s="2">
        <f>(2.9 /0.15)*2</f>
        <v>38.666666666666664</v>
      </c>
      <c r="O61">
        <v>10</v>
      </c>
      <c r="P61">
        <f t="shared" si="0"/>
        <v>0.61699999999999999</v>
      </c>
      <c r="Q61">
        <f t="shared" si="21"/>
        <v>375.06666666666661</v>
      </c>
      <c r="R61" s="1">
        <f t="shared" si="22"/>
        <v>2.3141613333333328</v>
      </c>
    </row>
    <row r="62" spans="10:20" x14ac:dyDescent="0.25">
      <c r="J62" t="s">
        <v>29</v>
      </c>
      <c r="K62" t="s">
        <v>26</v>
      </c>
      <c r="L62">
        <f>2*2.1</f>
        <v>4.2</v>
      </c>
      <c r="N62" s="2">
        <v>8</v>
      </c>
      <c r="O62">
        <v>16</v>
      </c>
      <c r="P62">
        <f t="shared" si="0"/>
        <v>1.5780000000000001</v>
      </c>
      <c r="Q62">
        <f t="shared" si="21"/>
        <v>33.6</v>
      </c>
      <c r="R62" s="1">
        <f t="shared" si="22"/>
        <v>0.53020800000000001</v>
      </c>
    </row>
    <row r="63" spans="10:20" x14ac:dyDescent="0.25">
      <c r="K63" t="s">
        <v>27</v>
      </c>
      <c r="L63">
        <f>(0.9+1.2)*2</f>
        <v>4.2</v>
      </c>
      <c r="N63" s="2">
        <f>(1.7/0.1)</f>
        <v>17</v>
      </c>
      <c r="O63">
        <v>8</v>
      </c>
      <c r="P63">
        <f t="shared" si="0"/>
        <v>0.39500000000000002</v>
      </c>
      <c r="Q63">
        <f t="shared" si="21"/>
        <v>71.400000000000006</v>
      </c>
      <c r="R63" s="1">
        <f t="shared" si="22"/>
        <v>0.28203</v>
      </c>
    </row>
    <row r="65" spans="9:18" x14ac:dyDescent="0.25">
      <c r="I65" t="s">
        <v>7</v>
      </c>
      <c r="J65" t="s">
        <v>12</v>
      </c>
      <c r="K65" t="s">
        <v>9</v>
      </c>
      <c r="L65">
        <v>3.65</v>
      </c>
      <c r="M65">
        <v>0.5</v>
      </c>
      <c r="N65" s="2">
        <v>6</v>
      </c>
      <c r="O65">
        <v>12</v>
      </c>
      <c r="P65">
        <f>IF(O65=8,0.395,IF(O65=10,0.617,IF(O65=12,0.888,IF(O65=14,1.208,IF(O65=16,1.578)))))</f>
        <v>0.88800000000000001</v>
      </c>
      <c r="Q65">
        <f>(L65+M65)*N65</f>
        <v>24.900000000000002</v>
      </c>
      <c r="R65" s="1">
        <f>P65*Q65/100</f>
        <v>0.22111200000000003</v>
      </c>
    </row>
    <row r="66" spans="9:18" x14ac:dyDescent="0.25">
      <c r="K66" t="s">
        <v>10</v>
      </c>
      <c r="L66">
        <v>3.65</v>
      </c>
      <c r="M66">
        <v>0.5</v>
      </c>
      <c r="N66" s="2">
        <v>6</v>
      </c>
      <c r="O66">
        <v>12</v>
      </c>
      <c r="P66">
        <f t="shared" si="0"/>
        <v>0.88800000000000001</v>
      </c>
      <c r="Q66">
        <f t="shared" ref="Q66:Q77" si="23">(L66+M66)*N66</f>
        <v>24.900000000000002</v>
      </c>
      <c r="R66" s="1">
        <f t="shared" ref="R66:R77" si="24">P66*Q66/100</f>
        <v>0.22111200000000003</v>
      </c>
    </row>
    <row r="67" spans="9:18" x14ac:dyDescent="0.25">
      <c r="J67" t="s">
        <v>13</v>
      </c>
      <c r="K67" t="s">
        <v>9</v>
      </c>
      <c r="L67">
        <v>1.4</v>
      </c>
      <c r="M67">
        <v>0</v>
      </c>
      <c r="N67" s="2">
        <f>3.65/0.15</f>
        <v>24.333333333333332</v>
      </c>
      <c r="O67">
        <v>12</v>
      </c>
      <c r="P67">
        <f t="shared" si="0"/>
        <v>0.88800000000000001</v>
      </c>
      <c r="Q67">
        <f t="shared" si="23"/>
        <v>34.066666666666663</v>
      </c>
      <c r="R67" s="1">
        <f t="shared" si="24"/>
        <v>0.30251199999999995</v>
      </c>
    </row>
    <row r="68" spans="9:18" x14ac:dyDescent="0.25">
      <c r="K68" t="s">
        <v>10</v>
      </c>
      <c r="L68">
        <v>1.4</v>
      </c>
      <c r="M68">
        <v>0</v>
      </c>
      <c r="N68" s="2">
        <f>3.65/0.15</f>
        <v>24.333333333333332</v>
      </c>
      <c r="O68">
        <v>12</v>
      </c>
      <c r="P68">
        <f t="shared" si="0"/>
        <v>0.88800000000000001</v>
      </c>
      <c r="Q68">
        <f t="shared" si="23"/>
        <v>34.066666666666663</v>
      </c>
      <c r="R68" s="1">
        <f t="shared" si="24"/>
        <v>0.30251199999999995</v>
      </c>
    </row>
    <row r="69" spans="9:18" x14ac:dyDescent="0.25">
      <c r="J69" t="s">
        <v>11</v>
      </c>
      <c r="P69" t="b">
        <f t="shared" si="0"/>
        <v>0</v>
      </c>
      <c r="R69" s="1">
        <f t="shared" si="24"/>
        <v>0</v>
      </c>
    </row>
    <row r="70" spans="9:18" x14ac:dyDescent="0.25">
      <c r="J70" t="s">
        <v>21</v>
      </c>
      <c r="K70">
        <v>10</v>
      </c>
      <c r="L70">
        <v>3.65</v>
      </c>
      <c r="N70" s="2">
        <v>4</v>
      </c>
      <c r="O70">
        <v>10</v>
      </c>
      <c r="P70">
        <f t="shared" si="0"/>
        <v>0.61699999999999999</v>
      </c>
      <c r="Q70">
        <f t="shared" si="23"/>
        <v>14.6</v>
      </c>
      <c r="R70" s="1">
        <f t="shared" si="24"/>
        <v>9.0082000000000009E-2</v>
      </c>
    </row>
    <row r="71" spans="9:18" x14ac:dyDescent="0.25">
      <c r="K71">
        <v>14</v>
      </c>
      <c r="P71" t="b">
        <f t="shared" si="0"/>
        <v>0</v>
      </c>
    </row>
    <row r="72" spans="9:18" x14ac:dyDescent="0.25">
      <c r="K72">
        <v>16</v>
      </c>
      <c r="L72">
        <v>3.65</v>
      </c>
      <c r="M72">
        <v>0.5</v>
      </c>
      <c r="N72" s="2">
        <v>12</v>
      </c>
      <c r="O72">
        <v>16</v>
      </c>
      <c r="P72">
        <f t="shared" si="0"/>
        <v>1.5780000000000001</v>
      </c>
      <c r="Q72">
        <f t="shared" si="23"/>
        <v>49.800000000000004</v>
      </c>
      <c r="R72" s="1">
        <f t="shared" si="24"/>
        <v>0.78584400000000021</v>
      </c>
    </row>
    <row r="73" spans="9:18" x14ac:dyDescent="0.25">
      <c r="K73" t="s">
        <v>22</v>
      </c>
      <c r="L73">
        <v>2.1</v>
      </c>
      <c r="M73">
        <v>0</v>
      </c>
      <c r="N73" s="2">
        <v>15</v>
      </c>
      <c r="O73">
        <v>10</v>
      </c>
      <c r="P73">
        <f t="shared" si="0"/>
        <v>0.61699999999999999</v>
      </c>
      <c r="Q73">
        <f t="shared" si="23"/>
        <v>31.5</v>
      </c>
      <c r="R73" s="1">
        <f t="shared" si="24"/>
        <v>0.194355</v>
      </c>
    </row>
    <row r="74" spans="9:18" x14ac:dyDescent="0.25">
      <c r="K74" t="s">
        <v>23</v>
      </c>
      <c r="L74">
        <v>1.45</v>
      </c>
      <c r="M74">
        <v>0</v>
      </c>
      <c r="N74" s="2">
        <v>15</v>
      </c>
      <c r="O74">
        <v>10</v>
      </c>
      <c r="P74">
        <f t="shared" si="0"/>
        <v>0.61699999999999999</v>
      </c>
      <c r="Q74">
        <f t="shared" si="23"/>
        <v>21.75</v>
      </c>
      <c r="R74" s="1">
        <f t="shared" si="24"/>
        <v>0.1341975</v>
      </c>
    </row>
    <row r="75" spans="9:18" x14ac:dyDescent="0.25">
      <c r="K75" t="s">
        <v>24</v>
      </c>
      <c r="L75">
        <v>0.45</v>
      </c>
      <c r="M75">
        <v>0</v>
      </c>
      <c r="N75" s="2">
        <v>15</v>
      </c>
      <c r="O75">
        <v>10</v>
      </c>
      <c r="P75">
        <f t="shared" si="0"/>
        <v>0.61699999999999999</v>
      </c>
      <c r="Q75">
        <f t="shared" si="23"/>
        <v>6.75</v>
      </c>
      <c r="R75" s="1">
        <f t="shared" si="24"/>
        <v>4.1647499999999997E-2</v>
      </c>
    </row>
    <row r="76" spans="9:18" x14ac:dyDescent="0.25">
      <c r="J76" t="s">
        <v>25</v>
      </c>
      <c r="K76" t="s">
        <v>26</v>
      </c>
      <c r="L76">
        <v>2</v>
      </c>
      <c r="M76">
        <v>0</v>
      </c>
      <c r="N76" s="2">
        <f>(3.3/0.15)*2</f>
        <v>44</v>
      </c>
      <c r="O76">
        <v>14</v>
      </c>
      <c r="P76">
        <f t="shared" si="0"/>
        <v>1.208</v>
      </c>
      <c r="Q76">
        <f t="shared" si="23"/>
        <v>88</v>
      </c>
      <c r="R76" s="1">
        <f t="shared" si="24"/>
        <v>1.06304</v>
      </c>
    </row>
    <row r="77" spans="9:18" x14ac:dyDescent="0.25">
      <c r="K77" t="s">
        <v>27</v>
      </c>
      <c r="L77">
        <v>3.3</v>
      </c>
      <c r="M77">
        <v>0</v>
      </c>
      <c r="N77" s="2">
        <f>(70/15)*2</f>
        <v>9.3333333333333339</v>
      </c>
      <c r="O77">
        <v>10</v>
      </c>
      <c r="P77">
        <f t="shared" si="0"/>
        <v>0.61699999999999999</v>
      </c>
      <c r="Q77">
        <f t="shared" si="23"/>
        <v>30.8</v>
      </c>
      <c r="R77" s="1">
        <f t="shared" si="24"/>
        <v>0.19003599999999998</v>
      </c>
    </row>
    <row r="79" spans="9:18" x14ac:dyDescent="0.25">
      <c r="I79" t="s">
        <v>8</v>
      </c>
      <c r="J79" t="s">
        <v>12</v>
      </c>
      <c r="K79" t="s">
        <v>9</v>
      </c>
      <c r="L79">
        <v>3.65</v>
      </c>
      <c r="M79">
        <v>0.5</v>
      </c>
      <c r="N79" s="2">
        <v>6</v>
      </c>
      <c r="O79">
        <v>12</v>
      </c>
      <c r="P79">
        <f>IF(O79=8,0.395,IF(O79=10,0.617,IF(O79=12,0.888,IF(O79=14,1.208,IF(O79=16,1.578)))))</f>
        <v>0.88800000000000001</v>
      </c>
      <c r="Q79">
        <f>(L79+M79)*N79</f>
        <v>24.900000000000002</v>
      </c>
      <c r="R79" s="1">
        <f>P79*Q79/100</f>
        <v>0.22111200000000003</v>
      </c>
    </row>
    <row r="80" spans="9:18" x14ac:dyDescent="0.25">
      <c r="K80" t="s">
        <v>10</v>
      </c>
      <c r="L80">
        <v>3.65</v>
      </c>
      <c r="M80">
        <v>0.5</v>
      </c>
      <c r="N80" s="2">
        <v>6</v>
      </c>
      <c r="O80">
        <v>12</v>
      </c>
      <c r="P80">
        <f t="shared" si="0"/>
        <v>0.88800000000000001</v>
      </c>
      <c r="Q80">
        <f t="shared" ref="Q80:Q82" si="25">(L80+M80)*N80</f>
        <v>24.900000000000002</v>
      </c>
      <c r="R80" s="1">
        <f t="shared" ref="R80:R84" si="26">P80*Q80/100</f>
        <v>0.22111200000000003</v>
      </c>
    </row>
    <row r="81" spans="9:18" x14ac:dyDescent="0.25">
      <c r="J81" t="s">
        <v>13</v>
      </c>
      <c r="K81" t="s">
        <v>9</v>
      </c>
      <c r="L81">
        <v>1.4</v>
      </c>
      <c r="M81">
        <v>0</v>
      </c>
      <c r="N81" s="2">
        <f>3.65/0.15</f>
        <v>24.333333333333332</v>
      </c>
      <c r="O81">
        <v>12</v>
      </c>
      <c r="P81">
        <f t="shared" si="0"/>
        <v>0.88800000000000001</v>
      </c>
      <c r="Q81">
        <f t="shared" si="25"/>
        <v>34.066666666666663</v>
      </c>
      <c r="R81" s="1">
        <f t="shared" si="26"/>
        <v>0.30251199999999995</v>
      </c>
    </row>
    <row r="82" spans="9:18" x14ac:dyDescent="0.25">
      <c r="K82" t="s">
        <v>10</v>
      </c>
      <c r="L82">
        <v>1.4</v>
      </c>
      <c r="M82">
        <v>0</v>
      </c>
      <c r="N82" s="2">
        <f>3.65/0.15</f>
        <v>24.333333333333332</v>
      </c>
      <c r="O82">
        <v>12</v>
      </c>
      <c r="P82">
        <f t="shared" si="0"/>
        <v>0.88800000000000001</v>
      </c>
      <c r="Q82">
        <f t="shared" si="25"/>
        <v>34.066666666666663</v>
      </c>
      <c r="R82" s="1">
        <f t="shared" si="26"/>
        <v>0.30251199999999995</v>
      </c>
    </row>
    <row r="83" spans="9:18" x14ac:dyDescent="0.25">
      <c r="J83" t="s">
        <v>11</v>
      </c>
      <c r="P83" t="b">
        <f t="shared" si="0"/>
        <v>0</v>
      </c>
      <c r="R83" s="1">
        <f t="shared" si="26"/>
        <v>0</v>
      </c>
    </row>
    <row r="84" spans="9:18" x14ac:dyDescent="0.25">
      <c r="J84" t="s">
        <v>21</v>
      </c>
      <c r="K84">
        <v>10</v>
      </c>
      <c r="L84">
        <v>3.65</v>
      </c>
      <c r="N84" s="2">
        <v>4</v>
      </c>
      <c r="O84">
        <v>10</v>
      </c>
      <c r="P84">
        <f t="shared" si="0"/>
        <v>0.61699999999999999</v>
      </c>
      <c r="Q84">
        <f t="shared" ref="Q84" si="27">(L84+M84)*N84</f>
        <v>14.6</v>
      </c>
      <c r="R84" s="1">
        <f t="shared" si="26"/>
        <v>9.0082000000000009E-2</v>
      </c>
    </row>
    <row r="85" spans="9:18" x14ac:dyDescent="0.25">
      <c r="K85">
        <v>14</v>
      </c>
      <c r="P85" t="b">
        <f t="shared" si="0"/>
        <v>0</v>
      </c>
    </row>
    <row r="86" spans="9:18" x14ac:dyDescent="0.25">
      <c r="K86">
        <v>16</v>
      </c>
      <c r="L86">
        <v>3.65</v>
      </c>
      <c r="M86">
        <v>0.5</v>
      </c>
      <c r="N86" s="2">
        <v>12</v>
      </c>
      <c r="O86">
        <v>16</v>
      </c>
      <c r="P86">
        <f t="shared" si="0"/>
        <v>1.5780000000000001</v>
      </c>
      <c r="Q86">
        <f t="shared" ref="Q86:Q92" si="28">(L86+M86)*N86</f>
        <v>49.800000000000004</v>
      </c>
      <c r="R86" s="1">
        <f t="shared" ref="R86:R92" si="29">P86*Q86/100</f>
        <v>0.78584400000000021</v>
      </c>
    </row>
    <row r="87" spans="9:18" x14ac:dyDescent="0.25">
      <c r="K87" t="s">
        <v>22</v>
      </c>
      <c r="L87">
        <v>2.1</v>
      </c>
      <c r="M87">
        <v>0</v>
      </c>
      <c r="N87" s="2">
        <v>15</v>
      </c>
      <c r="O87">
        <v>10</v>
      </c>
      <c r="P87">
        <f t="shared" si="0"/>
        <v>0.61699999999999999</v>
      </c>
      <c r="Q87">
        <f t="shared" si="28"/>
        <v>31.5</v>
      </c>
      <c r="R87" s="1">
        <f t="shared" si="29"/>
        <v>0.194355</v>
      </c>
    </row>
    <row r="88" spans="9:18" x14ac:dyDescent="0.25">
      <c r="K88" t="s">
        <v>23</v>
      </c>
      <c r="L88">
        <v>1.45</v>
      </c>
      <c r="M88">
        <v>0</v>
      </c>
      <c r="N88" s="2">
        <v>15</v>
      </c>
      <c r="O88">
        <v>10</v>
      </c>
      <c r="P88">
        <f t="shared" si="0"/>
        <v>0.61699999999999999</v>
      </c>
      <c r="Q88">
        <f t="shared" si="28"/>
        <v>21.75</v>
      </c>
      <c r="R88" s="1">
        <f t="shared" si="29"/>
        <v>0.1341975</v>
      </c>
    </row>
    <row r="89" spans="9:18" x14ac:dyDescent="0.25">
      <c r="K89" t="s">
        <v>24</v>
      </c>
      <c r="L89">
        <v>0.45</v>
      </c>
      <c r="M89">
        <v>0</v>
      </c>
      <c r="N89" s="2">
        <v>15</v>
      </c>
      <c r="O89">
        <v>10</v>
      </c>
      <c r="P89">
        <f t="shared" si="0"/>
        <v>0.61699999999999999</v>
      </c>
      <c r="Q89">
        <f t="shared" si="28"/>
        <v>6.75</v>
      </c>
      <c r="R89" s="1">
        <f t="shared" si="29"/>
        <v>4.1647499999999997E-2</v>
      </c>
    </row>
    <row r="90" spans="9:18" x14ac:dyDescent="0.25">
      <c r="J90" t="s">
        <v>25</v>
      </c>
      <c r="K90" t="s">
        <v>26</v>
      </c>
      <c r="L90">
        <v>2</v>
      </c>
      <c r="M90">
        <v>0</v>
      </c>
      <c r="N90" s="2">
        <f>(3.3/0.15)*2</f>
        <v>44</v>
      </c>
      <c r="O90">
        <v>14</v>
      </c>
      <c r="P90">
        <f t="shared" si="0"/>
        <v>1.208</v>
      </c>
      <c r="Q90">
        <f t="shared" si="28"/>
        <v>88</v>
      </c>
      <c r="R90" s="1">
        <f t="shared" si="29"/>
        <v>1.06304</v>
      </c>
    </row>
    <row r="91" spans="9:18" x14ac:dyDescent="0.25">
      <c r="K91" t="s">
        <v>27</v>
      </c>
      <c r="L91">
        <v>3.3</v>
      </c>
      <c r="M91">
        <v>0</v>
      </c>
      <c r="N91" s="2">
        <f>(70/15)*2</f>
        <v>9.3333333333333339</v>
      </c>
      <c r="O91">
        <v>14</v>
      </c>
      <c r="P91">
        <f t="shared" si="0"/>
        <v>1.208</v>
      </c>
      <c r="Q91">
        <f t="shared" si="28"/>
        <v>30.8</v>
      </c>
      <c r="R91" s="1">
        <f t="shared" si="29"/>
        <v>0.37206400000000001</v>
      </c>
    </row>
    <row r="92" spans="9:18" x14ac:dyDescent="0.25">
      <c r="P92" t="b">
        <f t="shared" si="0"/>
        <v>0</v>
      </c>
      <c r="Q92">
        <f t="shared" si="28"/>
        <v>0</v>
      </c>
      <c r="R92" s="1">
        <f t="shared" si="29"/>
        <v>0</v>
      </c>
    </row>
    <row r="93" spans="9:18" x14ac:dyDescent="0.25">
      <c r="I93" t="s">
        <v>32</v>
      </c>
      <c r="J93" t="s">
        <v>12</v>
      </c>
      <c r="K93" t="s">
        <v>9</v>
      </c>
      <c r="L93">
        <v>11.3</v>
      </c>
      <c r="M93">
        <v>0.5</v>
      </c>
      <c r="N93" s="2">
        <v>10</v>
      </c>
      <c r="O93">
        <v>12</v>
      </c>
      <c r="P93">
        <f>IF(O93=8,0.395,IF(O93=10,0.617,IF(O93=12,0.888,IF(O93=14,1.208,IF(O93=16,1.578)))))</f>
        <v>0.88800000000000001</v>
      </c>
      <c r="Q93">
        <f>(L93+M93)*N93</f>
        <v>118</v>
      </c>
      <c r="R93" s="1">
        <f>P93*Q93/100</f>
        <v>1.0478400000000001</v>
      </c>
    </row>
    <row r="94" spans="9:18" x14ac:dyDescent="0.25">
      <c r="K94" t="s">
        <v>10</v>
      </c>
      <c r="L94">
        <v>11.3</v>
      </c>
      <c r="M94">
        <v>0.5</v>
      </c>
      <c r="N94" s="2">
        <v>10</v>
      </c>
      <c r="O94">
        <v>12</v>
      </c>
      <c r="P94">
        <f t="shared" si="0"/>
        <v>0.88800000000000001</v>
      </c>
      <c r="Q94">
        <f t="shared" ref="Q94:Q103" si="30">(L94+M94)*N94</f>
        <v>118</v>
      </c>
      <c r="R94" s="1">
        <f t="shared" ref="R94:R104" si="31">P94*Q94/100</f>
        <v>1.0478400000000001</v>
      </c>
    </row>
    <row r="95" spans="9:18" x14ac:dyDescent="0.25">
      <c r="J95" t="s">
        <v>13</v>
      </c>
      <c r="K95" t="s">
        <v>9</v>
      </c>
      <c r="L95">
        <v>2.2000000000000002</v>
      </c>
      <c r="M95">
        <v>0</v>
      </c>
      <c r="N95" s="2">
        <f>L93/0.15</f>
        <v>75.333333333333343</v>
      </c>
      <c r="O95">
        <v>12</v>
      </c>
      <c r="P95">
        <f t="shared" si="0"/>
        <v>0.88800000000000001</v>
      </c>
      <c r="Q95">
        <f t="shared" si="30"/>
        <v>165.73333333333338</v>
      </c>
      <c r="R95" s="1">
        <f t="shared" si="31"/>
        <v>1.4717120000000004</v>
      </c>
    </row>
    <row r="96" spans="9:18" x14ac:dyDescent="0.25">
      <c r="K96" t="s">
        <v>10</v>
      </c>
      <c r="L96">
        <v>2.2000000000000002</v>
      </c>
      <c r="M96">
        <v>0</v>
      </c>
      <c r="N96" s="2">
        <f>L93/0.15</f>
        <v>75.333333333333343</v>
      </c>
      <c r="O96">
        <v>12</v>
      </c>
      <c r="P96">
        <f t="shared" si="0"/>
        <v>0.88800000000000001</v>
      </c>
      <c r="Q96">
        <f t="shared" si="30"/>
        <v>165.73333333333338</v>
      </c>
      <c r="R96" s="1">
        <f t="shared" si="31"/>
        <v>1.4717120000000004</v>
      </c>
    </row>
    <row r="97" spans="9:18" x14ac:dyDescent="0.25">
      <c r="J97" t="s">
        <v>11</v>
      </c>
      <c r="L97">
        <v>1</v>
      </c>
      <c r="M97">
        <v>0</v>
      </c>
      <c r="N97" s="2">
        <f>L94*L96*4</f>
        <v>99.440000000000012</v>
      </c>
      <c r="O97">
        <v>8</v>
      </c>
      <c r="P97">
        <f t="shared" si="0"/>
        <v>0.39500000000000002</v>
      </c>
      <c r="Q97">
        <f t="shared" si="30"/>
        <v>99.440000000000012</v>
      </c>
      <c r="R97" s="1">
        <f t="shared" si="31"/>
        <v>0.39278800000000003</v>
      </c>
    </row>
    <row r="98" spans="9:18" x14ac:dyDescent="0.25">
      <c r="J98" t="s">
        <v>21</v>
      </c>
      <c r="K98">
        <v>10</v>
      </c>
      <c r="L98">
        <v>11.3</v>
      </c>
      <c r="M98">
        <v>0</v>
      </c>
      <c r="N98" s="2">
        <v>4</v>
      </c>
      <c r="O98">
        <v>10</v>
      </c>
      <c r="P98">
        <f t="shared" si="0"/>
        <v>0.61699999999999999</v>
      </c>
      <c r="Q98">
        <f t="shared" si="30"/>
        <v>45.2</v>
      </c>
      <c r="R98" s="1">
        <f t="shared" si="31"/>
        <v>0.27888400000000002</v>
      </c>
    </row>
    <row r="99" spans="9:18" x14ac:dyDescent="0.25">
      <c r="K99">
        <v>14</v>
      </c>
      <c r="L99">
        <v>11.8</v>
      </c>
      <c r="M99">
        <v>0</v>
      </c>
      <c r="N99" s="2">
        <v>6</v>
      </c>
      <c r="O99">
        <v>14</v>
      </c>
      <c r="P99">
        <f t="shared" si="0"/>
        <v>1.208</v>
      </c>
      <c r="Q99">
        <f t="shared" si="30"/>
        <v>70.800000000000011</v>
      </c>
      <c r="R99" s="1">
        <f t="shared" si="31"/>
        <v>0.85526400000000014</v>
      </c>
    </row>
    <row r="100" spans="9:18" x14ac:dyDescent="0.25">
      <c r="K100">
        <v>16</v>
      </c>
      <c r="L100">
        <f>(2+4+3+4.25+2)</f>
        <v>15.25</v>
      </c>
      <c r="N100" s="2">
        <v>3</v>
      </c>
      <c r="O100">
        <v>16</v>
      </c>
      <c r="P100">
        <f t="shared" si="0"/>
        <v>1.5780000000000001</v>
      </c>
      <c r="Q100">
        <f t="shared" si="30"/>
        <v>45.75</v>
      </c>
      <c r="R100" s="1">
        <f t="shared" si="31"/>
        <v>0.72193499999999999</v>
      </c>
    </row>
    <row r="101" spans="9:18" x14ac:dyDescent="0.25">
      <c r="K101" t="s">
        <v>22</v>
      </c>
      <c r="L101">
        <v>1.9</v>
      </c>
      <c r="M101">
        <v>0</v>
      </c>
      <c r="N101" s="2">
        <f>(60+(1.85+1.9)/0.15)</f>
        <v>85</v>
      </c>
      <c r="O101">
        <v>10</v>
      </c>
      <c r="P101">
        <f t="shared" si="0"/>
        <v>0.61699999999999999</v>
      </c>
      <c r="Q101">
        <f t="shared" si="30"/>
        <v>161.5</v>
      </c>
      <c r="R101" s="1">
        <f t="shared" si="31"/>
        <v>0.99645499999999998</v>
      </c>
    </row>
    <row r="102" spans="9:18" x14ac:dyDescent="0.25">
      <c r="K102" t="s">
        <v>23</v>
      </c>
      <c r="L102">
        <v>1.45</v>
      </c>
      <c r="M102">
        <v>0</v>
      </c>
      <c r="N102" s="2">
        <v>85</v>
      </c>
      <c r="O102">
        <v>10</v>
      </c>
      <c r="P102">
        <f t="shared" si="0"/>
        <v>0.61699999999999999</v>
      </c>
      <c r="Q102">
        <f t="shared" si="30"/>
        <v>123.25</v>
      </c>
      <c r="R102" s="1">
        <f t="shared" si="31"/>
        <v>0.76045249999999998</v>
      </c>
    </row>
    <row r="103" spans="9:18" x14ac:dyDescent="0.25">
      <c r="K103" t="s">
        <v>24</v>
      </c>
      <c r="L103">
        <v>0.35</v>
      </c>
      <c r="M103">
        <v>0</v>
      </c>
      <c r="N103" s="2">
        <v>60</v>
      </c>
      <c r="O103">
        <v>10</v>
      </c>
      <c r="P103">
        <f t="shared" si="0"/>
        <v>0.61699999999999999</v>
      </c>
      <c r="Q103">
        <f t="shared" si="30"/>
        <v>21</v>
      </c>
      <c r="R103" s="1">
        <f t="shared" si="31"/>
        <v>0.12957000000000002</v>
      </c>
    </row>
    <row r="104" spans="9:18" x14ac:dyDescent="0.25">
      <c r="P104" t="b">
        <f t="shared" si="0"/>
        <v>0</v>
      </c>
      <c r="R104" s="1">
        <f t="shared" si="31"/>
        <v>0</v>
      </c>
    </row>
    <row r="105" spans="9:18" x14ac:dyDescent="0.25">
      <c r="I105" t="s">
        <v>33</v>
      </c>
      <c r="J105" t="s">
        <v>12</v>
      </c>
      <c r="K105" t="s">
        <v>9</v>
      </c>
      <c r="L105">
        <v>11.3</v>
      </c>
      <c r="M105">
        <v>0.5</v>
      </c>
      <c r="N105" s="2">
        <v>12</v>
      </c>
      <c r="O105">
        <v>12</v>
      </c>
      <c r="P105">
        <f>IF(O105=8,0.395,IF(O105=10,0.617,IF(O105=12,0.888,IF(O105=14,1.208,IF(O105=16,1.578)))))</f>
        <v>0.88800000000000001</v>
      </c>
      <c r="Q105">
        <f>(L105+M105)*N105</f>
        <v>141.60000000000002</v>
      </c>
      <c r="R105" s="1">
        <f>P105*Q105/100</f>
        <v>1.2574080000000003</v>
      </c>
    </row>
    <row r="106" spans="9:18" x14ac:dyDescent="0.25">
      <c r="K106" t="s">
        <v>10</v>
      </c>
      <c r="L106">
        <v>11.3</v>
      </c>
      <c r="M106">
        <v>0.5</v>
      </c>
      <c r="N106" s="2">
        <v>12</v>
      </c>
      <c r="O106">
        <v>12</v>
      </c>
      <c r="P106">
        <f t="shared" si="0"/>
        <v>0.88800000000000001</v>
      </c>
      <c r="Q106">
        <f t="shared" ref="Q106:Q117" si="32">(L106+M106)*N106</f>
        <v>141.60000000000002</v>
      </c>
      <c r="R106" s="1">
        <f t="shared" ref="R106:R117" si="33">P106*Q106/100</f>
        <v>1.2574080000000003</v>
      </c>
    </row>
    <row r="107" spans="9:18" x14ac:dyDescent="0.25">
      <c r="J107" t="s">
        <v>13</v>
      </c>
      <c r="K107" t="s">
        <v>9</v>
      </c>
      <c r="L107">
        <v>2.4</v>
      </c>
      <c r="M107">
        <v>0.5</v>
      </c>
      <c r="N107" s="2">
        <f>L105/0.15</f>
        <v>75.333333333333343</v>
      </c>
      <c r="O107">
        <v>12</v>
      </c>
      <c r="P107">
        <f t="shared" si="0"/>
        <v>0.88800000000000001</v>
      </c>
      <c r="Q107">
        <f t="shared" si="32"/>
        <v>218.4666666666667</v>
      </c>
      <c r="R107" s="1">
        <f t="shared" si="33"/>
        <v>1.9399840000000004</v>
      </c>
    </row>
    <row r="108" spans="9:18" x14ac:dyDescent="0.25">
      <c r="K108" t="s">
        <v>10</v>
      </c>
      <c r="L108">
        <v>2.4</v>
      </c>
      <c r="M108">
        <v>0.5</v>
      </c>
      <c r="N108" s="2">
        <f>L105/0.15</f>
        <v>75.333333333333343</v>
      </c>
      <c r="O108">
        <v>12</v>
      </c>
      <c r="P108">
        <f t="shared" si="0"/>
        <v>0.88800000000000001</v>
      </c>
      <c r="Q108">
        <f t="shared" si="32"/>
        <v>218.4666666666667</v>
      </c>
      <c r="R108" s="1">
        <f t="shared" si="33"/>
        <v>1.9399840000000004</v>
      </c>
    </row>
    <row r="109" spans="9:18" x14ac:dyDescent="0.25">
      <c r="J109" t="s">
        <v>11</v>
      </c>
      <c r="L109">
        <v>1</v>
      </c>
      <c r="M109">
        <v>0</v>
      </c>
      <c r="N109" s="2">
        <f>L106*L108*4</f>
        <v>108.48</v>
      </c>
      <c r="O109">
        <v>8</v>
      </c>
      <c r="P109">
        <f t="shared" si="0"/>
        <v>0.39500000000000002</v>
      </c>
      <c r="Q109">
        <f t="shared" si="32"/>
        <v>108.48</v>
      </c>
      <c r="R109" s="1">
        <f t="shared" si="33"/>
        <v>0.42849600000000004</v>
      </c>
    </row>
    <row r="110" spans="9:18" x14ac:dyDescent="0.25">
      <c r="J110" t="s">
        <v>21</v>
      </c>
      <c r="K110">
        <v>10</v>
      </c>
      <c r="L110">
        <v>11.3</v>
      </c>
      <c r="M110">
        <v>0</v>
      </c>
      <c r="N110" s="2">
        <v>4</v>
      </c>
      <c r="O110">
        <v>10</v>
      </c>
      <c r="P110">
        <f t="shared" si="0"/>
        <v>0.61699999999999999</v>
      </c>
      <c r="Q110">
        <f t="shared" si="32"/>
        <v>45.2</v>
      </c>
      <c r="R110" s="1">
        <f t="shared" si="33"/>
        <v>0.27888400000000002</v>
      </c>
    </row>
    <row r="111" spans="9:18" x14ac:dyDescent="0.25">
      <c r="K111">
        <v>14</v>
      </c>
      <c r="O111">
        <v>14</v>
      </c>
      <c r="P111">
        <f t="shared" si="0"/>
        <v>1.208</v>
      </c>
      <c r="Q111">
        <f t="shared" si="32"/>
        <v>0</v>
      </c>
      <c r="R111" s="1">
        <f t="shared" si="33"/>
        <v>0</v>
      </c>
    </row>
    <row r="112" spans="9:18" x14ac:dyDescent="0.25">
      <c r="K112">
        <v>16</v>
      </c>
      <c r="L112">
        <f>(11.8+11.8+3.5+2.3+3+4.25+2)</f>
        <v>38.650000000000006</v>
      </c>
      <c r="N112" s="2">
        <v>3</v>
      </c>
      <c r="O112">
        <v>16</v>
      </c>
      <c r="P112">
        <f t="shared" si="0"/>
        <v>1.5780000000000001</v>
      </c>
      <c r="Q112">
        <f t="shared" si="32"/>
        <v>115.95000000000002</v>
      </c>
      <c r="R112" s="1">
        <f t="shared" si="33"/>
        <v>1.8296910000000002</v>
      </c>
    </row>
    <row r="113" spans="9:18" x14ac:dyDescent="0.25">
      <c r="K113" t="s">
        <v>22</v>
      </c>
      <c r="L113">
        <v>1.9</v>
      </c>
      <c r="M113">
        <v>0</v>
      </c>
      <c r="N113" s="2">
        <f>(60+(1.85+1.9)/0.15)</f>
        <v>85</v>
      </c>
      <c r="O113">
        <v>10</v>
      </c>
      <c r="P113">
        <f t="shared" si="0"/>
        <v>0.61699999999999999</v>
      </c>
      <c r="Q113">
        <f t="shared" si="32"/>
        <v>161.5</v>
      </c>
      <c r="R113" s="1">
        <f t="shared" si="33"/>
        <v>0.99645499999999998</v>
      </c>
    </row>
    <row r="114" spans="9:18" x14ac:dyDescent="0.25">
      <c r="K114" t="s">
        <v>23</v>
      </c>
      <c r="L114">
        <v>1.45</v>
      </c>
      <c r="M114">
        <v>0</v>
      </c>
      <c r="N114" s="2">
        <v>85</v>
      </c>
      <c r="O114">
        <v>10</v>
      </c>
      <c r="P114">
        <f t="shared" si="0"/>
        <v>0.61699999999999999</v>
      </c>
      <c r="Q114">
        <f t="shared" si="32"/>
        <v>123.25</v>
      </c>
      <c r="R114" s="1">
        <f t="shared" si="33"/>
        <v>0.76045249999999998</v>
      </c>
    </row>
    <row r="115" spans="9:18" x14ac:dyDescent="0.25">
      <c r="K115" t="s">
        <v>24</v>
      </c>
      <c r="L115">
        <v>0.35</v>
      </c>
      <c r="M115">
        <v>0</v>
      </c>
      <c r="N115" s="2">
        <v>60</v>
      </c>
      <c r="O115">
        <v>10</v>
      </c>
      <c r="P115">
        <f t="shared" si="0"/>
        <v>0.61699999999999999</v>
      </c>
      <c r="Q115">
        <f t="shared" si="32"/>
        <v>21</v>
      </c>
      <c r="R115" s="1">
        <f t="shared" si="33"/>
        <v>0.12957000000000002</v>
      </c>
    </row>
    <row r="116" spans="9:18" x14ac:dyDescent="0.25">
      <c r="J116" t="s">
        <v>25</v>
      </c>
      <c r="K116" t="s">
        <v>26</v>
      </c>
      <c r="L116">
        <v>1.5</v>
      </c>
      <c r="M116">
        <v>0.6</v>
      </c>
      <c r="N116" s="2">
        <v>44</v>
      </c>
      <c r="O116">
        <v>16</v>
      </c>
      <c r="P116">
        <f t="shared" si="0"/>
        <v>1.5780000000000001</v>
      </c>
      <c r="Q116">
        <f t="shared" si="32"/>
        <v>92.4</v>
      </c>
      <c r="R116" s="1">
        <f t="shared" si="33"/>
        <v>1.4580720000000003</v>
      </c>
    </row>
    <row r="117" spans="9:18" x14ac:dyDescent="0.25">
      <c r="K117" t="s">
        <v>27</v>
      </c>
      <c r="L117">
        <v>2.1</v>
      </c>
      <c r="M117">
        <v>0.4</v>
      </c>
      <c r="N117" s="2">
        <f>(70/15)*2</f>
        <v>9.3333333333333339</v>
      </c>
      <c r="O117">
        <v>10</v>
      </c>
      <c r="P117">
        <f t="shared" si="0"/>
        <v>0.61699999999999999</v>
      </c>
      <c r="Q117">
        <f t="shared" si="32"/>
        <v>23.333333333333336</v>
      </c>
      <c r="R117" s="1">
        <f t="shared" si="33"/>
        <v>0.14396666666666669</v>
      </c>
    </row>
    <row r="119" spans="9:18" x14ac:dyDescent="0.25">
      <c r="I119" t="s">
        <v>34</v>
      </c>
      <c r="J119" t="s">
        <v>12</v>
      </c>
      <c r="K119" t="s">
        <v>9</v>
      </c>
      <c r="L119">
        <v>11.3</v>
      </c>
      <c r="M119">
        <v>0.5</v>
      </c>
      <c r="N119" s="2">
        <v>16</v>
      </c>
      <c r="O119">
        <v>12</v>
      </c>
      <c r="P119">
        <f>IF(O119=8,0.395,IF(O119=10,0.617,IF(O119=12,0.888,IF(O119=14,1.208,IF(O119=16,1.578)))))</f>
        <v>0.88800000000000001</v>
      </c>
      <c r="Q119">
        <f>(L119+M119)*N119</f>
        <v>188.8</v>
      </c>
      <c r="R119" s="1">
        <f>P119*Q119/100</f>
        <v>1.676544</v>
      </c>
    </row>
    <row r="120" spans="9:18" x14ac:dyDescent="0.25">
      <c r="K120" t="s">
        <v>10</v>
      </c>
      <c r="L120">
        <v>11.3</v>
      </c>
      <c r="M120">
        <v>0.5</v>
      </c>
      <c r="N120" s="2">
        <v>16</v>
      </c>
      <c r="O120">
        <v>12</v>
      </c>
      <c r="P120">
        <f t="shared" si="0"/>
        <v>0.88800000000000001</v>
      </c>
      <c r="Q120">
        <f t="shared" ref="Q120:Q123" si="34">(L120+M120)*N120</f>
        <v>188.8</v>
      </c>
      <c r="R120" s="1">
        <f t="shared" ref="R120:R131" si="35">P120*Q120/100</f>
        <v>1.676544</v>
      </c>
    </row>
    <row r="121" spans="9:18" x14ac:dyDescent="0.25">
      <c r="J121" t="s">
        <v>13</v>
      </c>
      <c r="K121" t="s">
        <v>9</v>
      </c>
      <c r="L121">
        <v>3.1</v>
      </c>
      <c r="M121">
        <v>0.5</v>
      </c>
      <c r="N121" s="2">
        <f>L119/0.15</f>
        <v>75.333333333333343</v>
      </c>
      <c r="O121">
        <v>12</v>
      </c>
      <c r="P121">
        <f t="shared" si="0"/>
        <v>0.88800000000000001</v>
      </c>
      <c r="Q121">
        <f t="shared" si="34"/>
        <v>271.20000000000005</v>
      </c>
      <c r="R121" s="1">
        <f t="shared" si="35"/>
        <v>2.4082560000000002</v>
      </c>
    </row>
    <row r="122" spans="9:18" x14ac:dyDescent="0.25">
      <c r="K122" t="s">
        <v>10</v>
      </c>
      <c r="L122">
        <v>3.1</v>
      </c>
      <c r="M122">
        <v>0.5</v>
      </c>
      <c r="N122" s="2">
        <f>L119/0.15</f>
        <v>75.333333333333343</v>
      </c>
      <c r="O122">
        <v>12</v>
      </c>
      <c r="P122">
        <f t="shared" si="0"/>
        <v>0.88800000000000001</v>
      </c>
      <c r="Q122">
        <f t="shared" si="34"/>
        <v>271.20000000000005</v>
      </c>
      <c r="R122" s="1">
        <f t="shared" si="35"/>
        <v>2.4082560000000002</v>
      </c>
    </row>
    <row r="123" spans="9:18" x14ac:dyDescent="0.25">
      <c r="J123" t="s">
        <v>11</v>
      </c>
      <c r="L123">
        <v>1</v>
      </c>
      <c r="M123">
        <v>0</v>
      </c>
      <c r="N123" s="2">
        <f>L120*L122*4</f>
        <v>140.12</v>
      </c>
      <c r="O123">
        <v>8</v>
      </c>
      <c r="P123">
        <f t="shared" si="0"/>
        <v>0.39500000000000002</v>
      </c>
      <c r="Q123">
        <f t="shared" si="34"/>
        <v>140.12</v>
      </c>
      <c r="R123" s="1">
        <f t="shared" si="35"/>
        <v>0.55347400000000002</v>
      </c>
    </row>
    <row r="124" spans="9:18" x14ac:dyDescent="0.25">
      <c r="J124" t="s">
        <v>21</v>
      </c>
      <c r="K124">
        <v>10</v>
      </c>
      <c r="L124">
        <v>11.3</v>
      </c>
      <c r="M124">
        <v>0</v>
      </c>
      <c r="N124" s="2">
        <v>4</v>
      </c>
      <c r="O124">
        <v>10</v>
      </c>
      <c r="P124">
        <f t="shared" ref="P124:P131" si="36">IF(O124=8,0.395,IF(O124=10,0.617,IF(O124=12,0.888,IF(O124=14,1.208,IF(O124=16,1.578)))))</f>
        <v>0.61699999999999999</v>
      </c>
      <c r="Q124">
        <f t="shared" ref="Q124:Q131" si="37">(L124+M124)*N124</f>
        <v>45.2</v>
      </c>
      <c r="R124" s="1">
        <f t="shared" si="35"/>
        <v>0.27888400000000002</v>
      </c>
    </row>
    <row r="125" spans="9:18" x14ac:dyDescent="0.25">
      <c r="K125">
        <v>14</v>
      </c>
      <c r="L125">
        <v>11.8</v>
      </c>
      <c r="M125">
        <v>0</v>
      </c>
      <c r="N125" s="2">
        <v>6</v>
      </c>
      <c r="O125">
        <v>14</v>
      </c>
      <c r="P125">
        <f t="shared" si="36"/>
        <v>1.208</v>
      </c>
      <c r="Q125">
        <f t="shared" si="37"/>
        <v>70.800000000000011</v>
      </c>
      <c r="R125" s="1">
        <f t="shared" si="35"/>
        <v>0.85526400000000014</v>
      </c>
    </row>
    <row r="126" spans="9:18" x14ac:dyDescent="0.25">
      <c r="K126">
        <v>16</v>
      </c>
      <c r="L126">
        <v>15.25</v>
      </c>
      <c r="N126" s="2">
        <v>3</v>
      </c>
      <c r="O126">
        <v>16</v>
      </c>
      <c r="P126">
        <f t="shared" si="36"/>
        <v>1.5780000000000001</v>
      </c>
      <c r="Q126">
        <f t="shared" si="37"/>
        <v>45.75</v>
      </c>
      <c r="R126" s="1">
        <f t="shared" si="35"/>
        <v>0.72193499999999999</v>
      </c>
    </row>
    <row r="127" spans="9:18" x14ac:dyDescent="0.25">
      <c r="K127" t="s">
        <v>22</v>
      </c>
      <c r="L127">
        <v>1.9</v>
      </c>
      <c r="M127">
        <v>0</v>
      </c>
      <c r="N127" s="2">
        <f>(60+(1.85+1.9)/0.15)</f>
        <v>85</v>
      </c>
      <c r="O127">
        <v>10</v>
      </c>
      <c r="P127">
        <f t="shared" si="36"/>
        <v>0.61699999999999999</v>
      </c>
      <c r="Q127">
        <f t="shared" si="37"/>
        <v>161.5</v>
      </c>
      <c r="R127" s="1">
        <f t="shared" si="35"/>
        <v>0.99645499999999998</v>
      </c>
    </row>
    <row r="128" spans="9:18" x14ac:dyDescent="0.25">
      <c r="K128" t="s">
        <v>23</v>
      </c>
      <c r="L128">
        <v>1.45</v>
      </c>
      <c r="M128">
        <v>0</v>
      </c>
      <c r="N128" s="2">
        <v>85</v>
      </c>
      <c r="O128">
        <v>10</v>
      </c>
      <c r="P128">
        <f t="shared" si="36"/>
        <v>0.61699999999999999</v>
      </c>
      <c r="Q128">
        <f t="shared" si="37"/>
        <v>123.25</v>
      </c>
      <c r="R128" s="1">
        <f t="shared" si="35"/>
        <v>0.76045249999999998</v>
      </c>
    </row>
    <row r="129" spans="9:18" x14ac:dyDescent="0.25">
      <c r="K129" t="s">
        <v>24</v>
      </c>
      <c r="L129">
        <v>0.35</v>
      </c>
      <c r="M129">
        <v>0</v>
      </c>
      <c r="N129" s="2">
        <v>85</v>
      </c>
      <c r="O129">
        <v>10</v>
      </c>
      <c r="P129">
        <f t="shared" si="36"/>
        <v>0.61699999999999999</v>
      </c>
      <c r="Q129">
        <f t="shared" si="37"/>
        <v>29.749999999999996</v>
      </c>
      <c r="R129" s="1">
        <f t="shared" si="35"/>
        <v>0.18355749999999996</v>
      </c>
    </row>
    <row r="130" spans="9:18" x14ac:dyDescent="0.25">
      <c r="J130" t="s">
        <v>35</v>
      </c>
      <c r="K130" t="s">
        <v>26</v>
      </c>
      <c r="L130">
        <v>2</v>
      </c>
      <c r="M130">
        <v>0.6</v>
      </c>
      <c r="N130" s="2">
        <f>11.3/0.15</f>
        <v>75.333333333333343</v>
      </c>
      <c r="O130">
        <v>14</v>
      </c>
      <c r="P130">
        <f t="shared" si="36"/>
        <v>1.208</v>
      </c>
      <c r="Q130">
        <f t="shared" si="37"/>
        <v>195.8666666666667</v>
      </c>
      <c r="R130" s="1">
        <f t="shared" si="35"/>
        <v>2.3660693333333338</v>
      </c>
    </row>
    <row r="131" spans="9:18" x14ac:dyDescent="0.25">
      <c r="K131" t="s">
        <v>27</v>
      </c>
      <c r="L131">
        <v>11.3</v>
      </c>
      <c r="M131">
        <v>0.5</v>
      </c>
      <c r="N131" s="2">
        <f>(70/15)*2</f>
        <v>9.3333333333333339</v>
      </c>
      <c r="O131">
        <v>14</v>
      </c>
      <c r="P131">
        <f t="shared" si="36"/>
        <v>1.208</v>
      </c>
      <c r="Q131">
        <f t="shared" si="37"/>
        <v>110.13333333333334</v>
      </c>
      <c r="R131" s="1">
        <f t="shared" si="35"/>
        <v>1.3304106666666666</v>
      </c>
    </row>
    <row r="133" spans="9:18" x14ac:dyDescent="0.25">
      <c r="I133" t="s">
        <v>8</v>
      </c>
      <c r="J133" t="s">
        <v>12</v>
      </c>
      <c r="K133" t="s">
        <v>9</v>
      </c>
      <c r="L133">
        <v>3.65</v>
      </c>
      <c r="M133">
        <v>0.5</v>
      </c>
      <c r="N133" s="2">
        <v>6</v>
      </c>
      <c r="O133">
        <v>12</v>
      </c>
      <c r="P133">
        <f>IF(O133=8,0.395,IF(O133=10,0.617,IF(O133=12,0.888,IF(O133=14,1.208,IF(O133=16,1.578)))))</f>
        <v>0.88800000000000001</v>
      </c>
      <c r="Q133">
        <f>(L133+M133)*N133</f>
        <v>24.900000000000002</v>
      </c>
      <c r="R133" s="1">
        <f>P133*Q133/100</f>
        <v>0.22111200000000003</v>
      </c>
    </row>
    <row r="134" spans="9:18" x14ac:dyDescent="0.25">
      <c r="K134" t="s">
        <v>10</v>
      </c>
      <c r="L134">
        <v>3.65</v>
      </c>
      <c r="M134">
        <v>0.5</v>
      </c>
      <c r="N134" s="2">
        <v>6</v>
      </c>
      <c r="O134">
        <v>12</v>
      </c>
      <c r="P134">
        <f t="shared" ref="P134:P145" si="38">IF(O134=8,0.395,IF(O134=10,0.617,IF(O134=12,0.888,IF(O134=14,1.208,IF(O134=16,1.578)))))</f>
        <v>0.88800000000000001</v>
      </c>
      <c r="Q134">
        <f t="shared" ref="Q134:Q136" si="39">(L134+M134)*N134</f>
        <v>24.900000000000002</v>
      </c>
      <c r="R134" s="1">
        <f t="shared" ref="R134:R138" si="40">P134*Q134/100</f>
        <v>0.22111200000000003</v>
      </c>
    </row>
    <row r="135" spans="9:18" x14ac:dyDescent="0.25">
      <c r="J135" t="s">
        <v>13</v>
      </c>
      <c r="K135" t="s">
        <v>9</v>
      </c>
      <c r="L135">
        <v>1.4</v>
      </c>
      <c r="M135">
        <v>0</v>
      </c>
      <c r="N135" s="2">
        <f>3.65/0.15</f>
        <v>24.333333333333332</v>
      </c>
      <c r="O135">
        <v>12</v>
      </c>
      <c r="P135">
        <f t="shared" si="38"/>
        <v>0.88800000000000001</v>
      </c>
      <c r="Q135">
        <f t="shared" si="39"/>
        <v>34.066666666666663</v>
      </c>
      <c r="R135" s="1">
        <f t="shared" si="40"/>
        <v>0.30251199999999995</v>
      </c>
    </row>
    <row r="136" spans="9:18" x14ac:dyDescent="0.25">
      <c r="K136" t="s">
        <v>10</v>
      </c>
      <c r="L136">
        <v>1.4</v>
      </c>
      <c r="M136">
        <v>0</v>
      </c>
      <c r="N136" s="2">
        <f>3.65/0.15</f>
        <v>24.333333333333332</v>
      </c>
      <c r="O136">
        <v>12</v>
      </c>
      <c r="P136">
        <f t="shared" si="38"/>
        <v>0.88800000000000001</v>
      </c>
      <c r="Q136">
        <f t="shared" si="39"/>
        <v>34.066666666666663</v>
      </c>
      <c r="R136" s="1">
        <f t="shared" si="40"/>
        <v>0.30251199999999995</v>
      </c>
    </row>
    <row r="137" spans="9:18" x14ac:dyDescent="0.25">
      <c r="J137" t="s">
        <v>11</v>
      </c>
      <c r="P137" t="b">
        <f t="shared" si="38"/>
        <v>0</v>
      </c>
      <c r="R137" s="1">
        <f t="shared" si="40"/>
        <v>0</v>
      </c>
    </row>
    <row r="138" spans="9:18" x14ac:dyDescent="0.25">
      <c r="J138" t="s">
        <v>21</v>
      </c>
      <c r="K138">
        <v>10</v>
      </c>
      <c r="L138">
        <v>3.65</v>
      </c>
      <c r="N138" s="2">
        <v>4</v>
      </c>
      <c r="O138">
        <v>10</v>
      </c>
      <c r="P138">
        <f t="shared" si="38"/>
        <v>0.61699999999999999</v>
      </c>
      <c r="Q138">
        <f t="shared" ref="Q138" si="41">(L138+M138)*N138</f>
        <v>14.6</v>
      </c>
      <c r="R138" s="1">
        <f t="shared" si="40"/>
        <v>9.0082000000000009E-2</v>
      </c>
    </row>
    <row r="139" spans="9:18" x14ac:dyDescent="0.25">
      <c r="K139">
        <v>14</v>
      </c>
      <c r="P139" t="b">
        <f t="shared" si="38"/>
        <v>0</v>
      </c>
    </row>
    <row r="140" spans="9:18" x14ac:dyDescent="0.25">
      <c r="K140">
        <v>16</v>
      </c>
      <c r="L140">
        <v>3.65</v>
      </c>
      <c r="M140">
        <v>0.5</v>
      </c>
      <c r="N140" s="2">
        <v>12</v>
      </c>
      <c r="O140">
        <v>16</v>
      </c>
      <c r="P140">
        <f t="shared" si="38"/>
        <v>1.5780000000000001</v>
      </c>
      <c r="Q140">
        <f t="shared" ref="Q140:Q145" si="42">(L140+M140)*N140</f>
        <v>49.800000000000004</v>
      </c>
      <c r="R140" s="1">
        <f t="shared" ref="R140:R145" si="43">P140*Q140/100</f>
        <v>0.78584400000000021</v>
      </c>
    </row>
    <row r="141" spans="9:18" x14ac:dyDescent="0.25">
      <c r="K141" t="s">
        <v>22</v>
      </c>
      <c r="L141">
        <v>2.1</v>
      </c>
      <c r="M141">
        <v>0</v>
      </c>
      <c r="N141" s="2">
        <v>15</v>
      </c>
      <c r="O141">
        <v>10</v>
      </c>
      <c r="P141">
        <f t="shared" si="38"/>
        <v>0.61699999999999999</v>
      </c>
      <c r="Q141">
        <f t="shared" si="42"/>
        <v>31.5</v>
      </c>
      <c r="R141" s="1">
        <f t="shared" si="43"/>
        <v>0.194355</v>
      </c>
    </row>
    <row r="142" spans="9:18" x14ac:dyDescent="0.25">
      <c r="K142" t="s">
        <v>23</v>
      </c>
      <c r="L142">
        <v>1.45</v>
      </c>
      <c r="M142">
        <v>0</v>
      </c>
      <c r="N142" s="2">
        <v>15</v>
      </c>
      <c r="O142">
        <v>10</v>
      </c>
      <c r="P142">
        <f t="shared" si="38"/>
        <v>0.61699999999999999</v>
      </c>
      <c r="Q142">
        <f t="shared" si="42"/>
        <v>21.75</v>
      </c>
      <c r="R142" s="1">
        <f t="shared" si="43"/>
        <v>0.1341975</v>
      </c>
    </row>
    <row r="143" spans="9:18" x14ac:dyDescent="0.25">
      <c r="K143" t="s">
        <v>24</v>
      </c>
      <c r="L143">
        <v>0.45</v>
      </c>
      <c r="M143">
        <v>0</v>
      </c>
      <c r="N143" s="2">
        <v>15</v>
      </c>
      <c r="O143">
        <v>10</v>
      </c>
      <c r="P143">
        <f t="shared" si="38"/>
        <v>0.61699999999999999</v>
      </c>
      <c r="Q143">
        <f t="shared" si="42"/>
        <v>6.75</v>
      </c>
      <c r="R143" s="1">
        <f t="shared" si="43"/>
        <v>4.1647499999999997E-2</v>
      </c>
    </row>
    <row r="144" spans="9:18" x14ac:dyDescent="0.25">
      <c r="J144" t="s">
        <v>25</v>
      </c>
      <c r="K144" t="s">
        <v>26</v>
      </c>
      <c r="L144">
        <v>2</v>
      </c>
      <c r="M144">
        <v>0</v>
      </c>
      <c r="N144" s="2">
        <f>(3.3/0.15)*2</f>
        <v>44</v>
      </c>
      <c r="O144">
        <v>14</v>
      </c>
      <c r="P144">
        <f t="shared" si="38"/>
        <v>1.208</v>
      </c>
      <c r="Q144">
        <f t="shared" si="42"/>
        <v>88</v>
      </c>
      <c r="R144" s="1">
        <f t="shared" si="43"/>
        <v>1.06304</v>
      </c>
    </row>
    <row r="145" spans="7:20" x14ac:dyDescent="0.25">
      <c r="K145" t="s">
        <v>27</v>
      </c>
      <c r="L145">
        <v>3.3</v>
      </c>
      <c r="M145">
        <v>0</v>
      </c>
      <c r="N145" s="2">
        <f>(70/15)*2</f>
        <v>9.3333333333333339</v>
      </c>
      <c r="O145">
        <v>14</v>
      </c>
      <c r="P145">
        <f t="shared" si="38"/>
        <v>1.208</v>
      </c>
      <c r="Q145">
        <f t="shared" si="42"/>
        <v>30.8</v>
      </c>
      <c r="R145" s="1">
        <f t="shared" si="43"/>
        <v>0.37206400000000001</v>
      </c>
    </row>
    <row r="146" spans="7:20" x14ac:dyDescent="0.25">
      <c r="K146" t="s">
        <v>27</v>
      </c>
      <c r="L146">
        <v>0</v>
      </c>
      <c r="M146">
        <v>0</v>
      </c>
      <c r="N146" s="2">
        <v>0</v>
      </c>
      <c r="O146">
        <v>14</v>
      </c>
      <c r="P146">
        <f t="shared" ref="P146:P149" si="44">IF(O146=8,0.395,IF(O146=10,0.617,IF(O146=12,0.888,IF(O146=14,1.208,IF(O146=16,1.578)))))</f>
        <v>1.208</v>
      </c>
      <c r="Q146">
        <f t="shared" ref="Q146:Q149" si="45">(L146+M146)*N146</f>
        <v>0</v>
      </c>
    </row>
    <row r="147" spans="7:20" x14ac:dyDescent="0.25">
      <c r="H147" t="s">
        <v>54</v>
      </c>
      <c r="K147" t="s">
        <v>55</v>
      </c>
      <c r="L147">
        <v>7.6</v>
      </c>
      <c r="M147">
        <v>0</v>
      </c>
      <c r="N147" s="2">
        <v>44</v>
      </c>
      <c r="O147">
        <v>14</v>
      </c>
      <c r="P147">
        <f t="shared" si="44"/>
        <v>1.208</v>
      </c>
      <c r="Q147">
        <f t="shared" si="45"/>
        <v>334.4</v>
      </c>
      <c r="R147" s="1">
        <f t="shared" ref="R147:R149" si="46">P147*Q147/100</f>
        <v>4.0395519999999996</v>
      </c>
    </row>
    <row r="148" spans="7:20" x14ac:dyDescent="0.25">
      <c r="K148" t="s">
        <v>56</v>
      </c>
      <c r="L148">
        <v>7.6</v>
      </c>
      <c r="M148">
        <v>0</v>
      </c>
      <c r="N148" s="2">
        <v>40</v>
      </c>
      <c r="O148">
        <v>14</v>
      </c>
      <c r="P148">
        <f t="shared" si="44"/>
        <v>1.208</v>
      </c>
      <c r="Q148">
        <f t="shared" si="45"/>
        <v>304</v>
      </c>
      <c r="R148" s="1">
        <f t="shared" si="46"/>
        <v>3.6723199999999996</v>
      </c>
    </row>
    <row r="149" spans="7:20" x14ac:dyDescent="0.25">
      <c r="K149" t="s">
        <v>27</v>
      </c>
      <c r="L149">
        <v>10</v>
      </c>
      <c r="M149">
        <v>0</v>
      </c>
      <c r="N149" s="2">
        <v>15</v>
      </c>
      <c r="O149">
        <v>12</v>
      </c>
      <c r="P149">
        <f t="shared" si="44"/>
        <v>0.88800000000000001</v>
      </c>
      <c r="Q149">
        <f t="shared" si="45"/>
        <v>150</v>
      </c>
      <c r="R149" s="1">
        <f t="shared" si="46"/>
        <v>1.3319999999999999</v>
      </c>
    </row>
    <row r="151" spans="7:20" x14ac:dyDescent="0.25">
      <c r="J151" t="s">
        <v>57</v>
      </c>
      <c r="S151">
        <f>144*2</f>
        <v>288</v>
      </c>
      <c r="T151" t="s">
        <v>58</v>
      </c>
    </row>
    <row r="153" spans="7:20" x14ac:dyDescent="0.25">
      <c r="G153" t="s">
        <v>92</v>
      </c>
      <c r="H153" t="s">
        <v>75</v>
      </c>
      <c r="J153" t="s">
        <v>60</v>
      </c>
      <c r="K153" t="s">
        <v>59</v>
      </c>
      <c r="L153">
        <f>(2.95+0.6)</f>
        <v>3.5500000000000003</v>
      </c>
      <c r="M153">
        <v>0</v>
      </c>
      <c r="N153" s="2">
        <f>(10/0.15*2)</f>
        <v>133.33333333333334</v>
      </c>
      <c r="O153">
        <v>12</v>
      </c>
      <c r="P153">
        <f t="shared" ref="P153" si="47">IF(O153=8,0.395,IF(O153=10,0.617,IF(O153=12,0.888,IF(O153=14,1.208,IF(O153=16,1.578)))))</f>
        <v>0.88800000000000001</v>
      </c>
      <c r="Q153">
        <f t="shared" ref="Q153" si="48">(L153+M153)*N153</f>
        <v>473.33333333333343</v>
      </c>
      <c r="R153" s="1">
        <f t="shared" ref="R153" si="49">P153*Q153/100</f>
        <v>4.2032000000000007</v>
      </c>
    </row>
    <row r="154" spans="7:20" x14ac:dyDescent="0.25">
      <c r="K154" t="s">
        <v>61</v>
      </c>
      <c r="L154">
        <v>13.1</v>
      </c>
      <c r="M154">
        <v>0.4</v>
      </c>
      <c r="N154" s="2">
        <f>2.8/0.15*2</f>
        <v>37.333333333333336</v>
      </c>
      <c r="O154">
        <v>10</v>
      </c>
      <c r="P154">
        <f t="shared" ref="P154" si="50">IF(O154=8,0.395,IF(O154=10,0.617,IF(O154=12,0.888,IF(O154=14,1.208,IF(O154=16,1.578)))))</f>
        <v>0.61699999999999999</v>
      </c>
      <c r="Q154">
        <f t="shared" ref="Q154" si="51">(L154+M154)*N154</f>
        <v>504.00000000000006</v>
      </c>
      <c r="R154" s="1">
        <f t="shared" ref="R154" si="52">P154*Q154/100</f>
        <v>3.10968</v>
      </c>
    </row>
    <row r="156" spans="7:20" x14ac:dyDescent="0.25">
      <c r="J156" t="s">
        <v>62</v>
      </c>
      <c r="K156" t="s">
        <v>12</v>
      </c>
      <c r="L156">
        <f>(2.95+0.6)</f>
        <v>3.5500000000000003</v>
      </c>
      <c r="M156">
        <v>0</v>
      </c>
      <c r="N156" s="2">
        <f>(10/0.15*2)</f>
        <v>133.33333333333334</v>
      </c>
      <c r="O156">
        <v>12</v>
      </c>
      <c r="P156">
        <f t="shared" ref="P156:P157" si="53">IF(O156=8,0.395,IF(O156=10,0.617,IF(O156=12,0.888,IF(O156=14,1.208,IF(O156=16,1.578)))))</f>
        <v>0.88800000000000001</v>
      </c>
      <c r="Q156">
        <f t="shared" ref="Q156:Q157" si="54">(L156+M156)*N156</f>
        <v>473.33333333333343</v>
      </c>
      <c r="R156" s="1">
        <f t="shared" ref="R156:R157" si="55">P156*Q156/100</f>
        <v>4.2032000000000007</v>
      </c>
    </row>
    <row r="157" spans="7:20" x14ac:dyDescent="0.25">
      <c r="K157" t="s">
        <v>61</v>
      </c>
      <c r="L157">
        <v>13.1</v>
      </c>
      <c r="M157">
        <v>0.4</v>
      </c>
      <c r="N157" s="2">
        <f>2.8/0.15*2</f>
        <v>37.333333333333336</v>
      </c>
      <c r="O157">
        <v>10</v>
      </c>
      <c r="P157">
        <f t="shared" si="53"/>
        <v>0.61699999999999999</v>
      </c>
      <c r="Q157">
        <f t="shared" si="54"/>
        <v>504.00000000000006</v>
      </c>
      <c r="R157" s="1">
        <f t="shared" si="55"/>
        <v>3.10968</v>
      </c>
    </row>
    <row r="159" spans="7:20" x14ac:dyDescent="0.25">
      <c r="J159" t="s">
        <v>63</v>
      </c>
      <c r="K159" t="s">
        <v>64</v>
      </c>
      <c r="L159">
        <f>(2.95+0.6)</f>
        <v>3.5500000000000003</v>
      </c>
      <c r="M159">
        <v>0</v>
      </c>
      <c r="N159" s="2">
        <f>11.3/0.15*2</f>
        <v>150.66666666666669</v>
      </c>
      <c r="O159">
        <v>14</v>
      </c>
      <c r="P159">
        <f t="shared" ref="P159:P182" si="56">IF(O159=8,0.395,IF(O159=10,0.617,IF(O159=12,0.888,IF(O159=14,1.208,IF(O159=16,1.578)))))</f>
        <v>1.208</v>
      </c>
      <c r="Q159">
        <f t="shared" ref="Q159" si="57">(L159+M159)*N159</f>
        <v>534.86666666666679</v>
      </c>
      <c r="R159" s="1">
        <f t="shared" ref="R159" si="58">P159*Q159/100</f>
        <v>6.4611893333333343</v>
      </c>
      <c r="S159" s="8" t="s">
        <v>100</v>
      </c>
      <c r="T159" s="8"/>
    </row>
    <row r="160" spans="7:20" x14ac:dyDescent="0.25">
      <c r="K160" t="s">
        <v>65</v>
      </c>
      <c r="L160">
        <v>11.3</v>
      </c>
      <c r="M160">
        <v>0.4</v>
      </c>
      <c r="N160" s="2">
        <f>3.23/0.15*2</f>
        <v>43.06666666666667</v>
      </c>
      <c r="O160">
        <v>14</v>
      </c>
      <c r="P160">
        <f t="shared" si="56"/>
        <v>1.208</v>
      </c>
      <c r="Q160">
        <f t="shared" ref="Q160" si="59">(L160+M160)*N160</f>
        <v>503.88000000000011</v>
      </c>
      <c r="R160" s="1">
        <f t="shared" ref="R160" si="60">P160*Q160/100</f>
        <v>6.0868704000000013</v>
      </c>
      <c r="S160" s="8"/>
      <c r="T160" s="8"/>
    </row>
    <row r="161" spans="4:18" x14ac:dyDescent="0.25">
      <c r="P161" t="b">
        <f t="shared" si="56"/>
        <v>0</v>
      </c>
      <c r="Q161">
        <f t="shared" ref="Q161" si="61">(L161+M161)*N161</f>
        <v>0</v>
      </c>
      <c r="R161" s="1">
        <f t="shared" ref="R161:R162" si="62">P161*Q161/100</f>
        <v>0</v>
      </c>
    </row>
    <row r="162" spans="4:18" x14ac:dyDescent="0.25">
      <c r="J162" t="s">
        <v>66</v>
      </c>
      <c r="K162" t="s">
        <v>26</v>
      </c>
      <c r="L162">
        <f>3.23+(1.4*0.5)</f>
        <v>3.9299999999999997</v>
      </c>
      <c r="M162">
        <v>0</v>
      </c>
      <c r="N162" s="2">
        <f>3.3/0.15*2</f>
        <v>44</v>
      </c>
      <c r="O162">
        <v>14</v>
      </c>
      <c r="P162">
        <f t="shared" si="56"/>
        <v>1.208</v>
      </c>
      <c r="Q162" s="4">
        <f>(L162+M162)*N162</f>
        <v>172.92</v>
      </c>
      <c r="R162" s="1">
        <f t="shared" si="62"/>
        <v>2.0888735999999999</v>
      </c>
    </row>
    <row r="163" spans="4:18" x14ac:dyDescent="0.25">
      <c r="D163">
        <f>1.2*50</f>
        <v>60</v>
      </c>
      <c r="K163" t="s">
        <v>65</v>
      </c>
      <c r="L163">
        <v>3.3</v>
      </c>
      <c r="M163">
        <v>0.2</v>
      </c>
      <c r="N163" s="2">
        <f>2.95/0.15*2</f>
        <v>39.333333333333336</v>
      </c>
      <c r="O163">
        <v>10</v>
      </c>
      <c r="P163">
        <f t="shared" si="56"/>
        <v>0.61699999999999999</v>
      </c>
      <c r="Q163" s="4">
        <f>(L163+M163)*N163</f>
        <v>137.66666666666669</v>
      </c>
      <c r="R163" s="1">
        <f t="shared" ref="R163" si="63">P163*Q163/100</f>
        <v>0.8494033333333334</v>
      </c>
    </row>
    <row r="164" spans="4:18" x14ac:dyDescent="0.25">
      <c r="J164" t="s">
        <v>67</v>
      </c>
      <c r="K164" t="s">
        <v>26</v>
      </c>
      <c r="L164">
        <v>3.93</v>
      </c>
      <c r="M164">
        <v>0</v>
      </c>
      <c r="N164" s="2">
        <f>2.1/0.1*2</f>
        <v>42</v>
      </c>
      <c r="O164">
        <v>16</v>
      </c>
      <c r="P164">
        <f t="shared" si="56"/>
        <v>1.5780000000000001</v>
      </c>
      <c r="Q164" s="4">
        <f>(L164+M164)*N164</f>
        <v>165.06</v>
      </c>
      <c r="R164" s="1">
        <f t="shared" ref="R164" si="64">P164*Q164/100</f>
        <v>2.6046467999999998</v>
      </c>
    </row>
    <row r="165" spans="4:18" x14ac:dyDescent="0.25">
      <c r="K165" t="s">
        <v>65</v>
      </c>
      <c r="L165">
        <v>2.5</v>
      </c>
      <c r="M165">
        <v>0</v>
      </c>
      <c r="N165" s="2">
        <f>2.95/0.15*2</f>
        <v>39.333333333333336</v>
      </c>
      <c r="O165">
        <v>10</v>
      </c>
      <c r="P165">
        <f t="shared" ref="P165" si="65">IF(O165=8,0.395,IF(O165=10,0.617,IF(O165=12,0.888,IF(O165=14,1.208,IF(O165=16,1.578)))))</f>
        <v>0.61699999999999999</v>
      </c>
      <c r="Q165" s="4">
        <f>(L165+M165)*N165</f>
        <v>98.333333333333343</v>
      </c>
      <c r="R165" s="1">
        <f t="shared" ref="R165" si="66">P165*Q165/100</f>
        <v>0.60671666666666679</v>
      </c>
    </row>
    <row r="166" spans="4:18" x14ac:dyDescent="0.25">
      <c r="J166" t="s">
        <v>69</v>
      </c>
      <c r="K166" t="s">
        <v>26</v>
      </c>
      <c r="L166">
        <v>3.93</v>
      </c>
      <c r="M166">
        <v>0</v>
      </c>
      <c r="N166" s="2">
        <f>2.15/0.1*2</f>
        <v>42.999999999999993</v>
      </c>
      <c r="O166">
        <v>14</v>
      </c>
      <c r="P166">
        <f t="shared" si="56"/>
        <v>1.208</v>
      </c>
      <c r="Q166" s="4">
        <f t="shared" ref="Q166:Q170" si="67">(L166+M166)*N166</f>
        <v>168.98999999999998</v>
      </c>
      <c r="R166" s="1">
        <f t="shared" ref="R166:R170" si="68">P166*Q166/100</f>
        <v>2.0413991999999994</v>
      </c>
    </row>
    <row r="167" spans="4:18" x14ac:dyDescent="0.25">
      <c r="K167" t="s">
        <v>65</v>
      </c>
      <c r="L167">
        <v>2</v>
      </c>
      <c r="N167" s="2">
        <f>2.1/0.15*2</f>
        <v>28.000000000000004</v>
      </c>
      <c r="O167">
        <v>10</v>
      </c>
      <c r="P167">
        <f t="shared" si="56"/>
        <v>0.61699999999999999</v>
      </c>
      <c r="Q167" s="4">
        <f t="shared" si="67"/>
        <v>56.000000000000007</v>
      </c>
      <c r="R167" s="1">
        <f t="shared" si="68"/>
        <v>0.34552000000000005</v>
      </c>
    </row>
    <row r="168" spans="4:18" x14ac:dyDescent="0.25">
      <c r="J168" t="s">
        <v>70</v>
      </c>
      <c r="K168" t="s">
        <v>26</v>
      </c>
      <c r="L168">
        <v>4.05</v>
      </c>
      <c r="N168" s="2">
        <f>8*4</f>
        <v>32</v>
      </c>
      <c r="O168">
        <v>16</v>
      </c>
      <c r="P168">
        <f t="shared" si="56"/>
        <v>1.5780000000000001</v>
      </c>
      <c r="Q168" s="4">
        <f t="shared" si="67"/>
        <v>129.6</v>
      </c>
      <c r="R168" s="1">
        <f t="shared" si="68"/>
        <v>2.0450880000000002</v>
      </c>
    </row>
    <row r="169" spans="4:18" x14ac:dyDescent="0.25">
      <c r="K169" t="s">
        <v>71</v>
      </c>
      <c r="L169">
        <f>1.2+0.9</f>
        <v>2.1</v>
      </c>
      <c r="M169">
        <v>0</v>
      </c>
      <c r="N169" s="2">
        <f>27*4</f>
        <v>108</v>
      </c>
      <c r="O169">
        <v>8</v>
      </c>
      <c r="P169">
        <f t="shared" si="56"/>
        <v>0.39500000000000002</v>
      </c>
      <c r="Q169" s="4">
        <f t="shared" si="67"/>
        <v>226.8</v>
      </c>
      <c r="R169" s="1">
        <f t="shared" si="68"/>
        <v>0.8958600000000001</v>
      </c>
    </row>
    <row r="170" spans="4:18" x14ac:dyDescent="0.25">
      <c r="J170" t="s">
        <v>72</v>
      </c>
      <c r="K170" t="s">
        <v>26</v>
      </c>
      <c r="L170">
        <v>4.05</v>
      </c>
      <c r="N170" s="2">
        <f>8*3</f>
        <v>24</v>
      </c>
      <c r="O170">
        <v>16</v>
      </c>
      <c r="P170">
        <f t="shared" si="56"/>
        <v>1.5780000000000001</v>
      </c>
      <c r="Q170" s="4">
        <f t="shared" si="67"/>
        <v>97.199999999999989</v>
      </c>
      <c r="R170" s="1">
        <f t="shared" si="68"/>
        <v>1.5338159999999998</v>
      </c>
    </row>
    <row r="171" spans="4:18" x14ac:dyDescent="0.25">
      <c r="K171" t="s">
        <v>65</v>
      </c>
      <c r="L171">
        <v>2.8</v>
      </c>
      <c r="N171" s="2">
        <f>27*3</f>
        <v>81</v>
      </c>
      <c r="O171">
        <v>8</v>
      </c>
      <c r="P171">
        <f t="shared" si="56"/>
        <v>0.39500000000000002</v>
      </c>
      <c r="Q171" s="4">
        <f>(L173+M171)*N171</f>
        <v>247.04999999999998</v>
      </c>
      <c r="R171" s="1">
        <f t="shared" ref="R171" si="69">P171*Q171/100</f>
        <v>0.97584749999999998</v>
      </c>
    </row>
    <row r="172" spans="4:18" x14ac:dyDescent="0.25">
      <c r="J172" t="s">
        <v>73</v>
      </c>
      <c r="K172" t="s">
        <v>74</v>
      </c>
      <c r="L172">
        <v>4.05</v>
      </c>
      <c r="M172">
        <v>0</v>
      </c>
      <c r="N172" s="2">
        <v>8</v>
      </c>
      <c r="O172">
        <v>16</v>
      </c>
      <c r="P172">
        <f t="shared" si="56"/>
        <v>1.5780000000000001</v>
      </c>
      <c r="Q172" s="4">
        <f t="shared" ref="Q172:Q213" si="70">(L172+M172)*N172</f>
        <v>32.4</v>
      </c>
      <c r="R172" s="1">
        <f t="shared" ref="R172:R213" si="71">P172*Q172/100</f>
        <v>0.51127200000000006</v>
      </c>
    </row>
    <row r="173" spans="4:18" x14ac:dyDescent="0.25">
      <c r="K173" t="s">
        <v>65</v>
      </c>
      <c r="L173">
        <v>3.05</v>
      </c>
      <c r="M173">
        <v>0</v>
      </c>
      <c r="N173" s="2">
        <v>24</v>
      </c>
      <c r="O173">
        <v>8</v>
      </c>
      <c r="P173">
        <f t="shared" si="56"/>
        <v>0.39500000000000002</v>
      </c>
      <c r="Q173" s="4">
        <f t="shared" ref="Q173" si="72">(L173+M173)*N173</f>
        <v>73.199999999999989</v>
      </c>
      <c r="R173" s="5">
        <f>P173*Q173/100</f>
        <v>0.28913999999999995</v>
      </c>
    </row>
    <row r="174" spans="4:18" x14ac:dyDescent="0.25">
      <c r="P174" t="b">
        <f t="shared" si="56"/>
        <v>0</v>
      </c>
      <c r="Q174" s="4">
        <f t="shared" si="70"/>
        <v>0</v>
      </c>
      <c r="R174" s="1">
        <f t="shared" si="71"/>
        <v>0</v>
      </c>
    </row>
    <row r="175" spans="4:18" x14ac:dyDescent="0.25">
      <c r="H175" t="s">
        <v>76</v>
      </c>
      <c r="J175" t="s">
        <v>77</v>
      </c>
      <c r="K175">
        <v>14</v>
      </c>
      <c r="L175">
        <f>(11.8+11.5)</f>
        <v>23.3</v>
      </c>
      <c r="M175">
        <v>0</v>
      </c>
      <c r="N175" s="2">
        <v>3</v>
      </c>
      <c r="O175">
        <v>14</v>
      </c>
      <c r="P175">
        <f t="shared" si="56"/>
        <v>1.208</v>
      </c>
      <c r="Q175" s="4">
        <f t="shared" si="70"/>
        <v>69.900000000000006</v>
      </c>
      <c r="R175" s="1">
        <f t="shared" si="71"/>
        <v>0.84439200000000003</v>
      </c>
    </row>
    <row r="176" spans="4:18" x14ac:dyDescent="0.25">
      <c r="K176">
        <v>16</v>
      </c>
      <c r="L176">
        <f>(1.8+4+3+4.25+1.8)</f>
        <v>14.850000000000001</v>
      </c>
      <c r="N176" s="2">
        <v>3</v>
      </c>
      <c r="O176">
        <v>16</v>
      </c>
      <c r="P176">
        <f t="shared" si="56"/>
        <v>1.5780000000000001</v>
      </c>
      <c r="Q176" s="4">
        <f t="shared" si="70"/>
        <v>44.550000000000004</v>
      </c>
      <c r="R176" s="1">
        <f t="shared" si="71"/>
        <v>0.70299900000000004</v>
      </c>
    </row>
    <row r="177" spans="10:20" x14ac:dyDescent="0.25">
      <c r="K177" t="s">
        <v>22</v>
      </c>
      <c r="L177">
        <v>1.42</v>
      </c>
      <c r="N177" s="2">
        <f>9+9+9+9+26</f>
        <v>62</v>
      </c>
      <c r="O177">
        <v>10</v>
      </c>
      <c r="P177">
        <f t="shared" si="56"/>
        <v>0.61699999999999999</v>
      </c>
      <c r="Q177" s="4">
        <f t="shared" si="70"/>
        <v>88.039999999999992</v>
      </c>
      <c r="R177" s="1">
        <f t="shared" si="71"/>
        <v>0.54320679999999999</v>
      </c>
      <c r="T177">
        <f>154*100</f>
        <v>15400</v>
      </c>
    </row>
    <row r="178" spans="10:20" x14ac:dyDescent="0.25">
      <c r="K178" t="s">
        <v>23</v>
      </c>
      <c r="L178">
        <v>0.94</v>
      </c>
      <c r="M178">
        <v>0</v>
      </c>
      <c r="N178" s="2">
        <v>62</v>
      </c>
      <c r="O178">
        <v>10</v>
      </c>
      <c r="P178">
        <f t="shared" si="56"/>
        <v>0.61699999999999999</v>
      </c>
      <c r="Q178" s="4">
        <f t="shared" si="70"/>
        <v>58.279999999999994</v>
      </c>
      <c r="R178" s="1">
        <f t="shared" si="71"/>
        <v>0.35958760000000001</v>
      </c>
      <c r="T178">
        <f>T177/1000</f>
        <v>15.4</v>
      </c>
    </row>
    <row r="179" spans="10:20" x14ac:dyDescent="0.25">
      <c r="P179" t="b">
        <f t="shared" si="56"/>
        <v>0</v>
      </c>
      <c r="Q179" s="4">
        <f t="shared" si="70"/>
        <v>0</v>
      </c>
      <c r="R179" s="1">
        <f t="shared" si="71"/>
        <v>0</v>
      </c>
    </row>
    <row r="180" spans="10:20" x14ac:dyDescent="0.25">
      <c r="J180" t="s">
        <v>78</v>
      </c>
      <c r="K180">
        <v>16</v>
      </c>
      <c r="L180">
        <f>(1.6+1.6+3.2+11.8+11.5+6.65+1.8)</f>
        <v>38.15</v>
      </c>
      <c r="N180" s="2">
        <v>3</v>
      </c>
      <c r="O180">
        <v>16</v>
      </c>
      <c r="P180">
        <f t="shared" si="56"/>
        <v>1.5780000000000001</v>
      </c>
      <c r="Q180" s="4">
        <f t="shared" si="70"/>
        <v>114.44999999999999</v>
      </c>
      <c r="R180" s="1">
        <f t="shared" si="71"/>
        <v>1.8060209999999999</v>
      </c>
    </row>
    <row r="181" spans="10:20" x14ac:dyDescent="0.25">
      <c r="K181" t="s">
        <v>22</v>
      </c>
      <c r="L181">
        <v>1.42</v>
      </c>
      <c r="N181" s="2">
        <f>39+18</f>
        <v>57</v>
      </c>
      <c r="O181">
        <v>10</v>
      </c>
      <c r="P181">
        <f t="shared" si="56"/>
        <v>0.61699999999999999</v>
      </c>
      <c r="Q181" s="4">
        <f t="shared" si="70"/>
        <v>80.94</v>
      </c>
      <c r="R181" s="1">
        <f t="shared" si="71"/>
        <v>0.4993998</v>
      </c>
    </row>
    <row r="182" spans="10:20" x14ac:dyDescent="0.25">
      <c r="K182" t="s">
        <v>23</v>
      </c>
      <c r="L182">
        <v>0.94</v>
      </c>
      <c r="N182" s="2">
        <v>57</v>
      </c>
      <c r="O182">
        <v>10</v>
      </c>
      <c r="P182">
        <f t="shared" si="56"/>
        <v>0.61699999999999999</v>
      </c>
      <c r="Q182" s="4">
        <f t="shared" si="70"/>
        <v>53.58</v>
      </c>
      <c r="R182" s="1">
        <f t="shared" si="71"/>
        <v>0.33058859999999995</v>
      </c>
    </row>
    <row r="183" spans="10:20" x14ac:dyDescent="0.25">
      <c r="Q183" s="4">
        <f t="shared" si="70"/>
        <v>0</v>
      </c>
      <c r="R183" s="1">
        <f t="shared" si="71"/>
        <v>0</v>
      </c>
    </row>
    <row r="184" spans="10:20" x14ac:dyDescent="0.25">
      <c r="J184" t="s">
        <v>79</v>
      </c>
      <c r="K184">
        <v>14</v>
      </c>
      <c r="L184">
        <f>(11.8+11.5)</f>
        <v>23.3</v>
      </c>
      <c r="M184">
        <v>0</v>
      </c>
      <c r="N184" s="2">
        <v>3</v>
      </c>
      <c r="O184">
        <v>14</v>
      </c>
      <c r="P184">
        <f t="shared" ref="P184:P239" si="73">IF(O184=8,0.395,IF(O184=10,0.617,IF(O184=12,0.888,IF(O184=14,1.208,IF(O184=16,1.578)))))</f>
        <v>1.208</v>
      </c>
      <c r="Q184" s="4">
        <f t="shared" ref="Q184:Q187" si="74">(L184+M184)*N184</f>
        <v>69.900000000000006</v>
      </c>
      <c r="R184" s="1">
        <f t="shared" ref="R184:R187" si="75">P184*Q184/100</f>
        <v>0.84439200000000003</v>
      </c>
    </row>
    <row r="185" spans="10:20" x14ac:dyDescent="0.25">
      <c r="K185">
        <v>16</v>
      </c>
      <c r="L185">
        <f>(1.8+4+3+4.25+1.8)</f>
        <v>14.850000000000001</v>
      </c>
      <c r="N185" s="2">
        <v>3</v>
      </c>
      <c r="O185">
        <v>16</v>
      </c>
      <c r="P185">
        <f t="shared" si="73"/>
        <v>1.5780000000000001</v>
      </c>
      <c r="Q185" s="4">
        <f t="shared" si="74"/>
        <v>44.550000000000004</v>
      </c>
      <c r="R185" s="1">
        <f t="shared" si="75"/>
        <v>0.70299900000000004</v>
      </c>
    </row>
    <row r="186" spans="10:20" x14ac:dyDescent="0.25">
      <c r="K186" t="s">
        <v>22</v>
      </c>
      <c r="L186">
        <v>1.42</v>
      </c>
      <c r="N186" s="2">
        <f>9+9+9+9+26</f>
        <v>62</v>
      </c>
      <c r="O186">
        <v>10</v>
      </c>
      <c r="P186">
        <f t="shared" si="73"/>
        <v>0.61699999999999999</v>
      </c>
      <c r="Q186" s="4">
        <f t="shared" si="74"/>
        <v>88.039999999999992</v>
      </c>
      <c r="R186" s="1">
        <f t="shared" si="75"/>
        <v>0.54320679999999999</v>
      </c>
    </row>
    <row r="187" spans="10:20" x14ac:dyDescent="0.25">
      <c r="K187" t="s">
        <v>23</v>
      </c>
      <c r="L187">
        <v>0.94</v>
      </c>
      <c r="M187">
        <v>0</v>
      </c>
      <c r="N187" s="2">
        <v>62</v>
      </c>
      <c r="O187">
        <v>10</v>
      </c>
      <c r="P187">
        <f t="shared" si="73"/>
        <v>0.61699999999999999</v>
      </c>
      <c r="Q187" s="4">
        <f t="shared" si="74"/>
        <v>58.279999999999994</v>
      </c>
      <c r="R187" s="1">
        <f t="shared" si="75"/>
        <v>0.35958760000000001</v>
      </c>
    </row>
    <row r="188" spans="10:20" x14ac:dyDescent="0.25">
      <c r="P188" t="b">
        <f t="shared" si="73"/>
        <v>0</v>
      </c>
      <c r="Q188" s="4">
        <f t="shared" si="70"/>
        <v>0</v>
      </c>
      <c r="R188" s="1">
        <f t="shared" si="71"/>
        <v>0</v>
      </c>
    </row>
    <row r="189" spans="10:20" x14ac:dyDescent="0.25">
      <c r="J189" t="s">
        <v>80</v>
      </c>
      <c r="K189">
        <v>14</v>
      </c>
      <c r="L189">
        <f>(2.5+3.5)</f>
        <v>6</v>
      </c>
      <c r="N189" s="2">
        <v>2</v>
      </c>
      <c r="O189">
        <v>14</v>
      </c>
      <c r="P189">
        <f t="shared" si="73"/>
        <v>1.208</v>
      </c>
      <c r="Q189" s="4">
        <f t="shared" si="70"/>
        <v>12</v>
      </c>
      <c r="R189" s="1">
        <f t="shared" si="71"/>
        <v>0.14495999999999998</v>
      </c>
    </row>
    <row r="190" spans="10:20" x14ac:dyDescent="0.25">
      <c r="K190">
        <v>16</v>
      </c>
      <c r="L190">
        <f>(14.05+14.05)</f>
        <v>28.1</v>
      </c>
      <c r="N190" s="2">
        <v>3</v>
      </c>
      <c r="O190">
        <v>16</v>
      </c>
      <c r="P190">
        <f t="shared" si="73"/>
        <v>1.5780000000000001</v>
      </c>
      <c r="Q190" s="4">
        <f t="shared" si="70"/>
        <v>84.300000000000011</v>
      </c>
      <c r="R190" s="1">
        <f t="shared" si="71"/>
        <v>1.3302540000000003</v>
      </c>
    </row>
    <row r="191" spans="10:20" x14ac:dyDescent="0.25">
      <c r="K191" t="s">
        <v>22</v>
      </c>
      <c r="L191">
        <v>1.32</v>
      </c>
      <c r="N191" s="2">
        <f>(3.6/0.15)+10+9+9+15+10</f>
        <v>77</v>
      </c>
      <c r="O191">
        <v>10</v>
      </c>
      <c r="P191">
        <f t="shared" si="73"/>
        <v>0.61699999999999999</v>
      </c>
      <c r="Q191" s="4">
        <f t="shared" si="70"/>
        <v>101.64</v>
      </c>
      <c r="R191" s="1">
        <f t="shared" si="71"/>
        <v>0.62711879999999998</v>
      </c>
    </row>
    <row r="192" spans="10:20" x14ac:dyDescent="0.25">
      <c r="K192" t="s">
        <v>23</v>
      </c>
      <c r="L192">
        <v>0.84</v>
      </c>
      <c r="N192" s="2">
        <v>77</v>
      </c>
      <c r="O192">
        <v>10</v>
      </c>
      <c r="P192">
        <f t="shared" si="73"/>
        <v>0.61699999999999999</v>
      </c>
      <c r="Q192" s="4">
        <f t="shared" si="70"/>
        <v>64.679999999999993</v>
      </c>
      <c r="R192" s="1">
        <f t="shared" si="71"/>
        <v>0.39907559999999997</v>
      </c>
    </row>
    <row r="193" spans="10:18" x14ac:dyDescent="0.25">
      <c r="P193" t="b">
        <f t="shared" si="73"/>
        <v>0</v>
      </c>
      <c r="Q193" s="4">
        <f t="shared" si="70"/>
        <v>0</v>
      </c>
      <c r="R193" s="1">
        <f t="shared" si="71"/>
        <v>0</v>
      </c>
    </row>
    <row r="194" spans="10:18" x14ac:dyDescent="0.25">
      <c r="J194" t="s">
        <v>81</v>
      </c>
      <c r="K194">
        <v>14</v>
      </c>
      <c r="L194">
        <f>(2.9+3.5)</f>
        <v>6.4</v>
      </c>
      <c r="N194" s="2">
        <v>2</v>
      </c>
      <c r="O194">
        <v>14</v>
      </c>
      <c r="P194">
        <f t="shared" si="73"/>
        <v>1.208</v>
      </c>
      <c r="Q194" s="4">
        <f t="shared" si="70"/>
        <v>12.8</v>
      </c>
      <c r="R194" s="1">
        <f t="shared" si="71"/>
        <v>0.15462400000000001</v>
      </c>
    </row>
    <row r="195" spans="10:18" x14ac:dyDescent="0.25">
      <c r="K195">
        <v>16</v>
      </c>
      <c r="L195">
        <f>(6+3+14.6+14.6)</f>
        <v>38.200000000000003</v>
      </c>
      <c r="N195" s="2">
        <v>3</v>
      </c>
      <c r="O195">
        <v>16</v>
      </c>
      <c r="P195">
        <f t="shared" si="73"/>
        <v>1.5780000000000001</v>
      </c>
      <c r="Q195" s="4">
        <f t="shared" si="70"/>
        <v>114.60000000000001</v>
      </c>
      <c r="R195" s="1">
        <f t="shared" si="71"/>
        <v>1.8083880000000001</v>
      </c>
    </row>
    <row r="196" spans="10:18" x14ac:dyDescent="0.25">
      <c r="K196" t="s">
        <v>22</v>
      </c>
      <c r="L196">
        <v>1.32</v>
      </c>
      <c r="N196" s="2">
        <f>(15+9+3.16/0.15+9+9+3/0.15+9)</f>
        <v>92.066666666666663</v>
      </c>
      <c r="O196">
        <v>10</v>
      </c>
      <c r="P196">
        <f t="shared" si="73"/>
        <v>0.61699999999999999</v>
      </c>
      <c r="Q196" s="4">
        <f t="shared" si="70"/>
        <v>121.52800000000001</v>
      </c>
      <c r="R196" s="1">
        <f t="shared" si="71"/>
        <v>0.74982776000000007</v>
      </c>
    </row>
    <row r="197" spans="10:18" x14ac:dyDescent="0.25">
      <c r="K197" t="s">
        <v>23</v>
      </c>
      <c r="L197">
        <v>0.84</v>
      </c>
      <c r="N197" s="2">
        <v>92</v>
      </c>
      <c r="O197">
        <v>10</v>
      </c>
      <c r="P197">
        <f t="shared" si="73"/>
        <v>0.61699999999999999</v>
      </c>
      <c r="Q197" s="4">
        <f t="shared" si="70"/>
        <v>77.28</v>
      </c>
      <c r="R197" s="1">
        <f t="shared" si="71"/>
        <v>0.47681759999999995</v>
      </c>
    </row>
    <row r="198" spans="10:18" x14ac:dyDescent="0.25">
      <c r="P198" t="b">
        <f t="shared" si="73"/>
        <v>0</v>
      </c>
      <c r="Q198" s="4">
        <f t="shared" si="70"/>
        <v>0</v>
      </c>
      <c r="R198" s="1">
        <f t="shared" si="71"/>
        <v>0</v>
      </c>
    </row>
    <row r="199" spans="10:18" x14ac:dyDescent="0.25">
      <c r="J199" t="s">
        <v>82</v>
      </c>
      <c r="K199">
        <v>14</v>
      </c>
      <c r="L199">
        <f>2.9+3.5</f>
        <v>6.4</v>
      </c>
      <c r="N199" s="2">
        <v>4</v>
      </c>
      <c r="O199">
        <v>14</v>
      </c>
      <c r="P199">
        <f t="shared" si="73"/>
        <v>1.208</v>
      </c>
      <c r="Q199" s="4">
        <f t="shared" si="70"/>
        <v>25.6</v>
      </c>
      <c r="R199" s="1">
        <f t="shared" si="71"/>
        <v>0.30924800000000002</v>
      </c>
    </row>
    <row r="200" spans="10:18" x14ac:dyDescent="0.25">
      <c r="K200">
        <v>16</v>
      </c>
      <c r="L200">
        <v>14.55</v>
      </c>
      <c r="N200" s="2">
        <v>6</v>
      </c>
      <c r="O200">
        <v>16</v>
      </c>
      <c r="P200">
        <f t="shared" si="73"/>
        <v>1.5780000000000001</v>
      </c>
      <c r="Q200" s="4">
        <f t="shared" si="70"/>
        <v>87.300000000000011</v>
      </c>
      <c r="R200" s="1">
        <f t="shared" si="71"/>
        <v>1.3775940000000002</v>
      </c>
    </row>
    <row r="201" spans="10:18" x14ac:dyDescent="0.25">
      <c r="K201" t="s">
        <v>22</v>
      </c>
      <c r="L201">
        <v>1.32</v>
      </c>
      <c r="N201" s="2">
        <f>(13+9+20+9+9+12+9+16)</f>
        <v>97</v>
      </c>
      <c r="O201">
        <v>10</v>
      </c>
      <c r="P201">
        <f t="shared" si="73"/>
        <v>0.61699999999999999</v>
      </c>
      <c r="Q201" s="4">
        <f t="shared" si="70"/>
        <v>128.04</v>
      </c>
      <c r="R201" s="1">
        <f t="shared" si="71"/>
        <v>0.7900067999999999</v>
      </c>
    </row>
    <row r="202" spans="10:18" x14ac:dyDescent="0.25">
      <c r="K202" t="s">
        <v>23</v>
      </c>
      <c r="L202">
        <v>0.84</v>
      </c>
      <c r="N202" s="2">
        <v>97</v>
      </c>
      <c r="O202">
        <v>10</v>
      </c>
      <c r="P202">
        <f t="shared" si="73"/>
        <v>0.61699999999999999</v>
      </c>
      <c r="Q202" s="4">
        <f t="shared" si="70"/>
        <v>81.48</v>
      </c>
      <c r="R202" s="1">
        <f t="shared" si="71"/>
        <v>0.50273160000000006</v>
      </c>
    </row>
    <row r="203" spans="10:18" x14ac:dyDescent="0.25">
      <c r="P203" t="b">
        <f t="shared" si="73"/>
        <v>0</v>
      </c>
      <c r="Q203" s="4">
        <f t="shared" si="70"/>
        <v>0</v>
      </c>
      <c r="R203" s="1">
        <f t="shared" si="71"/>
        <v>0</v>
      </c>
    </row>
    <row r="204" spans="10:18" x14ac:dyDescent="0.25">
      <c r="J204" t="s">
        <v>83</v>
      </c>
      <c r="L204">
        <f>(11.8+11.5)/2</f>
        <v>11.65</v>
      </c>
      <c r="M204">
        <v>0</v>
      </c>
      <c r="N204" s="2">
        <v>3</v>
      </c>
      <c r="O204">
        <v>14</v>
      </c>
      <c r="P204">
        <f t="shared" si="73"/>
        <v>1.208</v>
      </c>
      <c r="Q204" s="4">
        <f t="shared" si="70"/>
        <v>34.950000000000003</v>
      </c>
      <c r="R204" s="1">
        <f t="shared" si="71"/>
        <v>0.42219600000000002</v>
      </c>
    </row>
    <row r="205" spans="10:18" x14ac:dyDescent="0.25">
      <c r="L205">
        <f>(1.8+4+3+4.25+1.8)/2</f>
        <v>7.4250000000000007</v>
      </c>
      <c r="N205" s="2">
        <v>3</v>
      </c>
      <c r="O205">
        <v>16</v>
      </c>
      <c r="P205">
        <f t="shared" si="73"/>
        <v>1.5780000000000001</v>
      </c>
      <c r="Q205" s="4">
        <f t="shared" si="70"/>
        <v>22.275000000000002</v>
      </c>
      <c r="R205" s="1">
        <f t="shared" si="71"/>
        <v>0.35149950000000002</v>
      </c>
    </row>
    <row r="206" spans="10:18" x14ac:dyDescent="0.25">
      <c r="L206">
        <v>1.42</v>
      </c>
      <c r="N206" s="2">
        <f>(9+9+9+9+26)/2</f>
        <v>31</v>
      </c>
      <c r="O206">
        <v>10</v>
      </c>
      <c r="P206">
        <f t="shared" si="73"/>
        <v>0.61699999999999999</v>
      </c>
      <c r="Q206" s="4">
        <f t="shared" si="70"/>
        <v>44.019999999999996</v>
      </c>
      <c r="R206" s="1">
        <f t="shared" si="71"/>
        <v>0.27160339999999999</v>
      </c>
    </row>
    <row r="207" spans="10:18" x14ac:dyDescent="0.25">
      <c r="L207">
        <v>0.94</v>
      </c>
      <c r="M207">
        <v>0</v>
      </c>
      <c r="N207" s="6">
        <v>31</v>
      </c>
      <c r="O207">
        <v>10</v>
      </c>
      <c r="P207">
        <f t="shared" si="73"/>
        <v>0.61699999999999999</v>
      </c>
      <c r="Q207" s="4">
        <f t="shared" si="70"/>
        <v>29.139999999999997</v>
      </c>
      <c r="R207" s="1">
        <f t="shared" si="71"/>
        <v>0.1797938</v>
      </c>
    </row>
    <row r="208" spans="10:18" x14ac:dyDescent="0.25">
      <c r="P208" t="b">
        <f t="shared" si="73"/>
        <v>0</v>
      </c>
      <c r="Q208" s="4">
        <f t="shared" si="70"/>
        <v>0</v>
      </c>
      <c r="R208" s="1">
        <f t="shared" si="71"/>
        <v>0</v>
      </c>
    </row>
    <row r="209" spans="7:18" x14ac:dyDescent="0.25">
      <c r="J209" t="s">
        <v>84</v>
      </c>
      <c r="L209">
        <v>2.7</v>
      </c>
      <c r="N209" s="2">
        <f>1.6/0.15*2</f>
        <v>21.333333333333336</v>
      </c>
      <c r="O209">
        <v>12</v>
      </c>
      <c r="P209">
        <f t="shared" si="73"/>
        <v>0.88800000000000001</v>
      </c>
      <c r="Q209" s="4">
        <f t="shared" si="70"/>
        <v>57.600000000000009</v>
      </c>
      <c r="R209" s="1">
        <f t="shared" si="71"/>
        <v>0.51148800000000005</v>
      </c>
    </row>
    <row r="210" spans="7:18" x14ac:dyDescent="0.25">
      <c r="L210">
        <v>1.6</v>
      </c>
      <c r="N210" s="2">
        <f>2.7/0.15*2</f>
        <v>36.000000000000007</v>
      </c>
      <c r="O210">
        <v>12</v>
      </c>
      <c r="P210">
        <f t="shared" si="73"/>
        <v>0.88800000000000001</v>
      </c>
      <c r="Q210" s="4">
        <f t="shared" si="70"/>
        <v>57.600000000000016</v>
      </c>
      <c r="R210" s="1">
        <f t="shared" si="71"/>
        <v>0.51148800000000016</v>
      </c>
    </row>
    <row r="211" spans="7:18" x14ac:dyDescent="0.25">
      <c r="P211" t="b">
        <f t="shared" si="73"/>
        <v>0</v>
      </c>
      <c r="Q211" s="4">
        <f t="shared" si="70"/>
        <v>0</v>
      </c>
      <c r="R211" s="1">
        <f t="shared" si="71"/>
        <v>0</v>
      </c>
    </row>
    <row r="212" spans="7:18" x14ac:dyDescent="0.25">
      <c r="I212" t="s">
        <v>85</v>
      </c>
      <c r="J212" t="s">
        <v>88</v>
      </c>
      <c r="K212" t="s">
        <v>86</v>
      </c>
      <c r="L212">
        <v>4.5999999999999996</v>
      </c>
      <c r="N212" s="2">
        <f>12.16/0.15</f>
        <v>81.066666666666677</v>
      </c>
      <c r="O212">
        <v>14</v>
      </c>
      <c r="P212">
        <f t="shared" si="73"/>
        <v>1.208</v>
      </c>
      <c r="Q212" s="4">
        <f t="shared" si="70"/>
        <v>372.90666666666669</v>
      </c>
      <c r="R212" s="1">
        <f t="shared" si="71"/>
        <v>4.5047125333333335</v>
      </c>
    </row>
    <row r="213" spans="7:18" x14ac:dyDescent="0.25">
      <c r="K213" t="s">
        <v>65</v>
      </c>
      <c r="L213">
        <v>12.6</v>
      </c>
      <c r="N213" s="2">
        <f>4.6/0.15</f>
        <v>30.666666666666664</v>
      </c>
      <c r="O213">
        <v>14</v>
      </c>
      <c r="P213">
        <f t="shared" si="73"/>
        <v>1.208</v>
      </c>
      <c r="Q213" s="4">
        <f t="shared" si="70"/>
        <v>386.4</v>
      </c>
      <c r="R213" s="1">
        <f t="shared" si="71"/>
        <v>4.6677119999999999</v>
      </c>
    </row>
    <row r="214" spans="7:18" x14ac:dyDescent="0.25">
      <c r="J214" t="s">
        <v>87</v>
      </c>
      <c r="K214" t="s">
        <v>86</v>
      </c>
      <c r="L214">
        <v>4.0999999999999996</v>
      </c>
      <c r="N214" s="2">
        <f>5.7/0.15</f>
        <v>38</v>
      </c>
      <c r="O214">
        <v>14</v>
      </c>
      <c r="P214">
        <f t="shared" si="73"/>
        <v>1.208</v>
      </c>
      <c r="Q214" s="4">
        <f t="shared" ref="Q214:Q229" si="76">(L214+M214)*N214</f>
        <v>155.79999999999998</v>
      </c>
      <c r="R214" s="1">
        <f t="shared" ref="R214:R229" si="77">P214*Q214/100</f>
        <v>1.8820639999999997</v>
      </c>
    </row>
    <row r="215" spans="7:18" x14ac:dyDescent="0.25">
      <c r="K215" t="s">
        <v>65</v>
      </c>
      <c r="L215">
        <v>6.25</v>
      </c>
      <c r="N215" s="2">
        <f>3.6/0.15</f>
        <v>24</v>
      </c>
      <c r="O215">
        <v>14</v>
      </c>
      <c r="P215">
        <f t="shared" si="73"/>
        <v>1.208</v>
      </c>
      <c r="Q215" s="4">
        <f t="shared" si="76"/>
        <v>150</v>
      </c>
      <c r="R215" s="1">
        <f t="shared" si="77"/>
        <v>1.8119999999999998</v>
      </c>
    </row>
    <row r="216" spans="7:18" x14ac:dyDescent="0.25">
      <c r="P216" t="b">
        <f t="shared" si="73"/>
        <v>0</v>
      </c>
      <c r="Q216" s="4">
        <f t="shared" si="76"/>
        <v>0</v>
      </c>
      <c r="R216" s="1">
        <f t="shared" si="77"/>
        <v>0</v>
      </c>
    </row>
    <row r="217" spans="7:18" x14ac:dyDescent="0.25">
      <c r="G217" t="s">
        <v>2</v>
      </c>
      <c r="H217" t="s">
        <v>89</v>
      </c>
      <c r="J217" t="s">
        <v>70</v>
      </c>
      <c r="K217" t="s">
        <v>26</v>
      </c>
      <c r="L217">
        <v>4.05</v>
      </c>
      <c r="N217" s="2">
        <f>8*4</f>
        <v>32</v>
      </c>
      <c r="O217">
        <v>16</v>
      </c>
      <c r="P217">
        <f t="shared" si="73"/>
        <v>1.5780000000000001</v>
      </c>
      <c r="Q217" s="4">
        <f t="shared" si="76"/>
        <v>129.6</v>
      </c>
      <c r="R217" s="1">
        <f t="shared" si="77"/>
        <v>2.0450880000000002</v>
      </c>
    </row>
    <row r="218" spans="7:18" x14ac:dyDescent="0.25">
      <c r="K218" t="s">
        <v>71</v>
      </c>
      <c r="L218">
        <f>1.2+0.9</f>
        <v>2.1</v>
      </c>
      <c r="M218">
        <v>0</v>
      </c>
      <c r="N218" s="2">
        <f>27*4</f>
        <v>108</v>
      </c>
      <c r="O218">
        <v>8</v>
      </c>
      <c r="P218">
        <f t="shared" si="73"/>
        <v>0.39500000000000002</v>
      </c>
      <c r="Q218" s="4">
        <f t="shared" si="76"/>
        <v>226.8</v>
      </c>
      <c r="R218" s="1">
        <f t="shared" si="77"/>
        <v>0.8958600000000001</v>
      </c>
    </row>
    <row r="219" spans="7:18" x14ac:dyDescent="0.25">
      <c r="J219" t="s">
        <v>90</v>
      </c>
      <c r="K219" t="s">
        <v>26</v>
      </c>
      <c r="L219">
        <v>4.05</v>
      </c>
      <c r="N219" s="2">
        <f>8*2</f>
        <v>16</v>
      </c>
      <c r="O219">
        <v>16</v>
      </c>
      <c r="P219">
        <f t="shared" si="73"/>
        <v>1.5780000000000001</v>
      </c>
      <c r="Q219" s="4">
        <f t="shared" si="76"/>
        <v>64.8</v>
      </c>
      <c r="R219" s="1">
        <f t="shared" si="77"/>
        <v>1.0225440000000001</v>
      </c>
    </row>
    <row r="220" spans="7:18" x14ac:dyDescent="0.25">
      <c r="K220" t="s">
        <v>65</v>
      </c>
      <c r="L220">
        <v>2.8</v>
      </c>
      <c r="N220" s="2">
        <f>27*3</f>
        <v>81</v>
      </c>
      <c r="O220">
        <v>8</v>
      </c>
      <c r="P220">
        <f t="shared" si="73"/>
        <v>0.39500000000000002</v>
      </c>
      <c r="Q220" s="4">
        <f>(L222+M220)*N220</f>
        <v>247.04999999999998</v>
      </c>
      <c r="R220" s="1">
        <f t="shared" si="77"/>
        <v>0.97584749999999998</v>
      </c>
    </row>
    <row r="221" spans="7:18" x14ac:dyDescent="0.25">
      <c r="J221" t="s">
        <v>73</v>
      </c>
      <c r="K221" t="s">
        <v>74</v>
      </c>
      <c r="L221">
        <v>4.05</v>
      </c>
      <c r="M221">
        <v>0</v>
      </c>
      <c r="N221" s="2">
        <v>8</v>
      </c>
      <c r="O221">
        <v>16</v>
      </c>
      <c r="P221">
        <f t="shared" si="73"/>
        <v>1.5780000000000001</v>
      </c>
      <c r="Q221" s="4">
        <f t="shared" ref="Q221:Q222" si="78">(L221+M221)*N221</f>
        <v>32.4</v>
      </c>
      <c r="R221" s="1">
        <f t="shared" si="77"/>
        <v>0.51127200000000006</v>
      </c>
    </row>
    <row r="222" spans="7:18" x14ac:dyDescent="0.25">
      <c r="K222" t="s">
        <v>65</v>
      </c>
      <c r="L222">
        <v>3.05</v>
      </c>
      <c r="M222">
        <v>0</v>
      </c>
      <c r="N222" s="2">
        <v>24</v>
      </c>
      <c r="O222">
        <v>8</v>
      </c>
      <c r="P222">
        <f t="shared" si="73"/>
        <v>0.39500000000000002</v>
      </c>
      <c r="Q222" s="4">
        <f t="shared" si="78"/>
        <v>73.199999999999989</v>
      </c>
      <c r="R222" s="5">
        <f>P222*Q222/100</f>
        <v>0.28913999999999995</v>
      </c>
    </row>
    <row r="223" spans="7:18" x14ac:dyDescent="0.25">
      <c r="P223" t="b">
        <f t="shared" si="73"/>
        <v>0</v>
      </c>
      <c r="Q223" s="4">
        <f t="shared" si="76"/>
        <v>0</v>
      </c>
      <c r="R223" s="1">
        <f t="shared" si="77"/>
        <v>0</v>
      </c>
    </row>
    <row r="224" spans="7:18" x14ac:dyDescent="0.25">
      <c r="J224" t="s">
        <v>66</v>
      </c>
      <c r="K224" t="s">
        <v>26</v>
      </c>
      <c r="L224">
        <f>3.23+(1.4*0.5)</f>
        <v>3.9299999999999997</v>
      </c>
      <c r="M224">
        <v>0</v>
      </c>
      <c r="N224" s="2">
        <f>3.3/0.15*2</f>
        <v>44</v>
      </c>
      <c r="O224">
        <v>14</v>
      </c>
      <c r="P224">
        <f t="shared" si="73"/>
        <v>1.208</v>
      </c>
      <c r="Q224" s="4">
        <f>(L224+M224)*N224</f>
        <v>172.92</v>
      </c>
      <c r="R224" s="1">
        <f t="shared" si="77"/>
        <v>2.0888735999999999</v>
      </c>
    </row>
    <row r="225" spans="8:18" x14ac:dyDescent="0.25">
      <c r="K225" t="s">
        <v>65</v>
      </c>
      <c r="L225">
        <v>3.3</v>
      </c>
      <c r="M225">
        <v>0.2</v>
      </c>
      <c r="N225" s="2">
        <f>2.95/0.15*2</f>
        <v>39.333333333333336</v>
      </c>
      <c r="O225">
        <v>10</v>
      </c>
      <c r="P225">
        <f t="shared" si="73"/>
        <v>0.61699999999999999</v>
      </c>
      <c r="Q225" s="4">
        <f>(L225+M225)*N225</f>
        <v>137.66666666666669</v>
      </c>
      <c r="R225" s="1">
        <f t="shared" si="77"/>
        <v>0.8494033333333334</v>
      </c>
    </row>
    <row r="226" spans="8:18" x14ac:dyDescent="0.25">
      <c r="J226" t="s">
        <v>67</v>
      </c>
      <c r="K226" t="s">
        <v>26</v>
      </c>
      <c r="L226">
        <v>3.93</v>
      </c>
      <c r="M226">
        <v>0</v>
      </c>
      <c r="N226" s="2">
        <f>2.1/0.1*2</f>
        <v>42</v>
      </c>
      <c r="O226">
        <v>16</v>
      </c>
      <c r="P226">
        <f t="shared" si="73"/>
        <v>1.5780000000000001</v>
      </c>
      <c r="Q226" s="4">
        <f>(L226+M226)*N226</f>
        <v>165.06</v>
      </c>
      <c r="R226" s="1">
        <f t="shared" si="77"/>
        <v>2.6046467999999998</v>
      </c>
    </row>
    <row r="227" spans="8:18" x14ac:dyDescent="0.25">
      <c r="K227" t="s">
        <v>65</v>
      </c>
      <c r="L227">
        <v>2.5</v>
      </c>
      <c r="M227">
        <v>0</v>
      </c>
      <c r="N227" s="2">
        <f>2.95/0.15*2</f>
        <v>39.333333333333336</v>
      </c>
      <c r="O227">
        <v>10</v>
      </c>
      <c r="P227">
        <f t="shared" si="73"/>
        <v>0.61699999999999999</v>
      </c>
      <c r="Q227" s="4">
        <f>(L227+M227)*N227</f>
        <v>98.333333333333343</v>
      </c>
      <c r="R227" s="1">
        <f t="shared" si="77"/>
        <v>0.60671666666666679</v>
      </c>
    </row>
    <row r="228" spans="8:18" x14ac:dyDescent="0.25">
      <c r="J228" t="s">
        <v>68</v>
      </c>
      <c r="K228" t="s">
        <v>26</v>
      </c>
      <c r="L228">
        <v>3.93</v>
      </c>
      <c r="M228">
        <v>0</v>
      </c>
      <c r="N228" s="2">
        <f>2.15/0.1*2</f>
        <v>42.999999999999993</v>
      </c>
      <c r="O228">
        <v>14</v>
      </c>
      <c r="P228">
        <f t="shared" si="73"/>
        <v>1.208</v>
      </c>
      <c r="Q228" s="4">
        <f t="shared" ref="Q228" si="79">(L228+M228)*N228</f>
        <v>168.98999999999998</v>
      </c>
      <c r="R228" s="1">
        <f t="shared" si="77"/>
        <v>2.0413991999999994</v>
      </c>
    </row>
    <row r="229" spans="8:18" x14ac:dyDescent="0.25">
      <c r="P229" t="b">
        <f t="shared" si="73"/>
        <v>0</v>
      </c>
      <c r="Q229" s="4">
        <f t="shared" si="76"/>
        <v>0</v>
      </c>
      <c r="R229" s="1">
        <f t="shared" si="77"/>
        <v>0</v>
      </c>
    </row>
    <row r="230" spans="8:18" x14ac:dyDescent="0.25">
      <c r="J230" t="s">
        <v>91</v>
      </c>
      <c r="P230" t="b">
        <f t="shared" si="73"/>
        <v>0</v>
      </c>
    </row>
    <row r="231" spans="8:18" x14ac:dyDescent="0.25">
      <c r="P231" t="b">
        <f t="shared" si="73"/>
        <v>0</v>
      </c>
    </row>
    <row r="232" spans="8:18" x14ac:dyDescent="0.25">
      <c r="H232" s="70" t="s">
        <v>93</v>
      </c>
      <c r="I232" s="70"/>
      <c r="J232" t="s">
        <v>77</v>
      </c>
      <c r="K232">
        <v>14</v>
      </c>
      <c r="L232">
        <f>(11.8+11.5)</f>
        <v>23.3</v>
      </c>
      <c r="M232">
        <v>0</v>
      </c>
      <c r="N232" s="2">
        <v>3</v>
      </c>
      <c r="O232">
        <v>14</v>
      </c>
      <c r="P232">
        <f t="shared" si="73"/>
        <v>1.208</v>
      </c>
      <c r="Q232" s="4">
        <f t="shared" ref="Q232:Q263" si="80">(L232+M232)*N232</f>
        <v>69.900000000000006</v>
      </c>
      <c r="R232" s="1">
        <f t="shared" ref="R232:R263" si="81">P232*Q232/100</f>
        <v>0.84439200000000003</v>
      </c>
    </row>
    <row r="233" spans="8:18" x14ac:dyDescent="0.25">
      <c r="K233">
        <v>16</v>
      </c>
      <c r="L233">
        <f>(1.8+4+3+4.25+1.8)</f>
        <v>14.850000000000001</v>
      </c>
      <c r="N233" s="2">
        <v>3</v>
      </c>
      <c r="O233">
        <v>16</v>
      </c>
      <c r="P233">
        <f t="shared" si="73"/>
        <v>1.5780000000000001</v>
      </c>
      <c r="Q233" s="4">
        <f t="shared" si="80"/>
        <v>44.550000000000004</v>
      </c>
      <c r="R233" s="1">
        <f t="shared" si="81"/>
        <v>0.70299900000000004</v>
      </c>
    </row>
    <row r="234" spans="8:18" x14ac:dyDescent="0.25">
      <c r="K234" t="s">
        <v>22</v>
      </c>
      <c r="L234">
        <v>1.42</v>
      </c>
      <c r="N234" s="2">
        <f>9+9+9+9+26</f>
        <v>62</v>
      </c>
      <c r="O234">
        <v>10</v>
      </c>
      <c r="P234">
        <f t="shared" si="73"/>
        <v>0.61699999999999999</v>
      </c>
      <c r="Q234" s="4">
        <f t="shared" si="80"/>
        <v>88.039999999999992</v>
      </c>
      <c r="R234" s="1">
        <f t="shared" si="81"/>
        <v>0.54320679999999999</v>
      </c>
    </row>
    <row r="235" spans="8:18" x14ac:dyDescent="0.25">
      <c r="K235" t="s">
        <v>23</v>
      </c>
      <c r="L235">
        <v>0.94</v>
      </c>
      <c r="M235">
        <v>0</v>
      </c>
      <c r="N235" s="2">
        <v>62</v>
      </c>
      <c r="O235">
        <v>10</v>
      </c>
      <c r="P235">
        <f t="shared" si="73"/>
        <v>0.61699999999999999</v>
      </c>
      <c r="Q235" s="4">
        <f t="shared" si="80"/>
        <v>58.279999999999994</v>
      </c>
      <c r="R235" s="1">
        <f t="shared" si="81"/>
        <v>0.35958760000000001</v>
      </c>
    </row>
    <row r="236" spans="8:18" x14ac:dyDescent="0.25">
      <c r="P236" t="b">
        <f t="shared" si="73"/>
        <v>0</v>
      </c>
      <c r="Q236" s="4">
        <f t="shared" si="80"/>
        <v>0</v>
      </c>
      <c r="R236" s="1">
        <f t="shared" si="81"/>
        <v>0</v>
      </c>
    </row>
    <row r="237" spans="8:18" x14ac:dyDescent="0.25">
      <c r="J237" t="s">
        <v>78</v>
      </c>
      <c r="K237">
        <v>16</v>
      </c>
      <c r="L237">
        <f>(1.6+1.6+3.2+11.8+11.5+6.65+1.8)</f>
        <v>38.15</v>
      </c>
      <c r="N237" s="2">
        <v>3</v>
      </c>
      <c r="O237">
        <v>16</v>
      </c>
      <c r="P237">
        <f t="shared" si="73"/>
        <v>1.5780000000000001</v>
      </c>
      <c r="Q237" s="4">
        <f t="shared" si="80"/>
        <v>114.44999999999999</v>
      </c>
      <c r="R237" s="1">
        <f t="shared" si="81"/>
        <v>1.8060209999999999</v>
      </c>
    </row>
    <row r="238" spans="8:18" x14ac:dyDescent="0.25">
      <c r="K238" t="s">
        <v>22</v>
      </c>
      <c r="L238">
        <v>1.42</v>
      </c>
      <c r="N238" s="2">
        <f>39+18</f>
        <v>57</v>
      </c>
      <c r="O238">
        <v>10</v>
      </c>
      <c r="P238">
        <f t="shared" si="73"/>
        <v>0.61699999999999999</v>
      </c>
      <c r="Q238" s="4">
        <f t="shared" si="80"/>
        <v>80.94</v>
      </c>
      <c r="R238" s="1">
        <f t="shared" si="81"/>
        <v>0.4993998</v>
      </c>
    </row>
    <row r="239" spans="8:18" x14ac:dyDescent="0.25">
      <c r="K239" t="s">
        <v>23</v>
      </c>
      <c r="L239">
        <v>0.94</v>
      </c>
      <c r="N239" s="2">
        <v>57</v>
      </c>
      <c r="O239">
        <v>10</v>
      </c>
      <c r="P239">
        <f t="shared" si="73"/>
        <v>0.61699999999999999</v>
      </c>
      <c r="Q239" s="4">
        <f t="shared" si="80"/>
        <v>53.58</v>
      </c>
      <c r="R239" s="1">
        <f t="shared" si="81"/>
        <v>0.33058859999999995</v>
      </c>
    </row>
    <row r="240" spans="8:18" x14ac:dyDescent="0.25">
      <c r="Q240" s="4">
        <f t="shared" si="80"/>
        <v>0</v>
      </c>
      <c r="R240" s="1">
        <f t="shared" si="81"/>
        <v>0</v>
      </c>
    </row>
    <row r="241" spans="10:18" x14ac:dyDescent="0.25">
      <c r="J241" t="s">
        <v>79</v>
      </c>
      <c r="K241">
        <v>14</v>
      </c>
      <c r="L241">
        <f>(11.8+11.5)</f>
        <v>23.3</v>
      </c>
      <c r="M241">
        <v>0</v>
      </c>
      <c r="N241" s="2">
        <v>3</v>
      </c>
      <c r="O241">
        <v>14</v>
      </c>
      <c r="P241">
        <f t="shared" ref="P241:P263" si="82">IF(O241=8,0.395,IF(O241=10,0.617,IF(O241=12,0.888,IF(O241=14,1.208,IF(O241=16,1.578)))))</f>
        <v>1.208</v>
      </c>
      <c r="Q241" s="4">
        <f t="shared" si="80"/>
        <v>69.900000000000006</v>
      </c>
      <c r="R241" s="1">
        <f t="shared" si="81"/>
        <v>0.84439200000000003</v>
      </c>
    </row>
    <row r="242" spans="10:18" x14ac:dyDescent="0.25">
      <c r="K242">
        <v>16</v>
      </c>
      <c r="L242">
        <f>(1.8+4+3+4.25+1.8)</f>
        <v>14.850000000000001</v>
      </c>
      <c r="N242" s="2">
        <v>3</v>
      </c>
      <c r="O242">
        <v>16</v>
      </c>
      <c r="P242">
        <f t="shared" si="82"/>
        <v>1.5780000000000001</v>
      </c>
      <c r="Q242" s="4">
        <f t="shared" si="80"/>
        <v>44.550000000000004</v>
      </c>
      <c r="R242" s="1">
        <f t="shared" si="81"/>
        <v>0.70299900000000004</v>
      </c>
    </row>
    <row r="243" spans="10:18" x14ac:dyDescent="0.25">
      <c r="K243" t="s">
        <v>22</v>
      </c>
      <c r="L243">
        <v>1.42</v>
      </c>
      <c r="N243" s="2">
        <f>9+9+9+9+26</f>
        <v>62</v>
      </c>
      <c r="O243">
        <v>10</v>
      </c>
      <c r="P243">
        <f t="shared" si="82"/>
        <v>0.61699999999999999</v>
      </c>
      <c r="Q243" s="4">
        <f t="shared" si="80"/>
        <v>88.039999999999992</v>
      </c>
      <c r="R243" s="1">
        <f t="shared" si="81"/>
        <v>0.54320679999999999</v>
      </c>
    </row>
    <row r="244" spans="10:18" x14ac:dyDescent="0.25">
      <c r="K244" t="s">
        <v>23</v>
      </c>
      <c r="L244">
        <v>0.94</v>
      </c>
      <c r="M244">
        <v>0</v>
      </c>
      <c r="N244" s="2">
        <v>62</v>
      </c>
      <c r="O244">
        <v>10</v>
      </c>
      <c r="P244">
        <f t="shared" si="82"/>
        <v>0.61699999999999999</v>
      </c>
      <c r="Q244" s="4">
        <f t="shared" si="80"/>
        <v>58.279999999999994</v>
      </c>
      <c r="R244" s="1">
        <f t="shared" si="81"/>
        <v>0.35958760000000001</v>
      </c>
    </row>
    <row r="245" spans="10:18" x14ac:dyDescent="0.25">
      <c r="P245" t="b">
        <f t="shared" si="82"/>
        <v>0</v>
      </c>
      <c r="Q245" s="4">
        <f t="shared" si="80"/>
        <v>0</v>
      </c>
      <c r="R245" s="1">
        <f t="shared" si="81"/>
        <v>0</v>
      </c>
    </row>
    <row r="246" spans="10:18" x14ac:dyDescent="0.25">
      <c r="J246" t="s">
        <v>80</v>
      </c>
      <c r="K246">
        <v>14</v>
      </c>
      <c r="L246">
        <f>(2.5+3.5+7)</f>
        <v>13</v>
      </c>
      <c r="N246" s="2">
        <v>2</v>
      </c>
      <c r="O246">
        <v>14</v>
      </c>
      <c r="P246">
        <f t="shared" si="82"/>
        <v>1.208</v>
      </c>
      <c r="Q246" s="4">
        <f t="shared" si="80"/>
        <v>26</v>
      </c>
      <c r="R246" s="1">
        <f t="shared" si="81"/>
        <v>0.31407999999999997</v>
      </c>
    </row>
    <row r="247" spans="10:18" x14ac:dyDescent="0.25">
      <c r="K247">
        <v>16</v>
      </c>
      <c r="L247">
        <f>(14.05+14.05)</f>
        <v>28.1</v>
      </c>
      <c r="N247" s="2">
        <v>3</v>
      </c>
      <c r="O247">
        <v>16</v>
      </c>
      <c r="P247">
        <f t="shared" si="82"/>
        <v>1.5780000000000001</v>
      </c>
      <c r="Q247" s="4">
        <f t="shared" si="80"/>
        <v>84.300000000000011</v>
      </c>
      <c r="R247" s="1">
        <f t="shared" si="81"/>
        <v>1.3302540000000003</v>
      </c>
    </row>
    <row r="248" spans="10:18" x14ac:dyDescent="0.25">
      <c r="K248" t="s">
        <v>22</v>
      </c>
      <c r="L248">
        <v>1.32</v>
      </c>
      <c r="N248" s="2">
        <f>(3.6/0.15)+10+9+9+15+10</f>
        <v>77</v>
      </c>
      <c r="O248">
        <v>10</v>
      </c>
      <c r="P248">
        <f t="shared" si="82"/>
        <v>0.61699999999999999</v>
      </c>
      <c r="Q248" s="4">
        <f t="shared" si="80"/>
        <v>101.64</v>
      </c>
      <c r="R248" s="1">
        <f t="shared" si="81"/>
        <v>0.62711879999999998</v>
      </c>
    </row>
    <row r="249" spans="10:18" x14ac:dyDescent="0.25">
      <c r="K249" t="s">
        <v>23</v>
      </c>
      <c r="L249">
        <v>0.84</v>
      </c>
      <c r="N249" s="2">
        <v>77</v>
      </c>
      <c r="O249">
        <v>10</v>
      </c>
      <c r="P249">
        <f t="shared" si="82"/>
        <v>0.61699999999999999</v>
      </c>
      <c r="Q249" s="4">
        <f t="shared" si="80"/>
        <v>64.679999999999993</v>
      </c>
      <c r="R249" s="1">
        <f t="shared" si="81"/>
        <v>0.39907559999999997</v>
      </c>
    </row>
    <row r="250" spans="10:18" x14ac:dyDescent="0.25">
      <c r="P250" t="b">
        <f t="shared" si="82"/>
        <v>0</v>
      </c>
      <c r="Q250" s="4">
        <f t="shared" si="80"/>
        <v>0</v>
      </c>
      <c r="R250" s="1">
        <f t="shared" si="81"/>
        <v>0</v>
      </c>
    </row>
    <row r="251" spans="10:18" x14ac:dyDescent="0.25">
      <c r="J251" t="s">
        <v>81</v>
      </c>
      <c r="K251">
        <v>14</v>
      </c>
      <c r="L251">
        <f>(2.9+3.5+1.2)</f>
        <v>7.6000000000000005</v>
      </c>
      <c r="N251" s="2">
        <v>2</v>
      </c>
      <c r="O251">
        <v>14</v>
      </c>
      <c r="P251">
        <f t="shared" si="82"/>
        <v>1.208</v>
      </c>
      <c r="Q251" s="4">
        <f t="shared" si="80"/>
        <v>15.200000000000001</v>
      </c>
      <c r="R251" s="1">
        <f t="shared" si="81"/>
        <v>0.183616</v>
      </c>
    </row>
    <row r="252" spans="10:18" x14ac:dyDescent="0.25">
      <c r="K252">
        <v>16</v>
      </c>
      <c r="L252">
        <f>(6+3+14.6+14.6)</f>
        <v>38.200000000000003</v>
      </c>
      <c r="N252" s="2">
        <v>3</v>
      </c>
      <c r="O252">
        <v>16</v>
      </c>
      <c r="P252">
        <f t="shared" si="82"/>
        <v>1.5780000000000001</v>
      </c>
      <c r="Q252" s="4">
        <f t="shared" si="80"/>
        <v>114.60000000000001</v>
      </c>
      <c r="R252" s="1">
        <f t="shared" si="81"/>
        <v>1.8083880000000001</v>
      </c>
    </row>
    <row r="253" spans="10:18" x14ac:dyDescent="0.25">
      <c r="K253" t="s">
        <v>22</v>
      </c>
      <c r="L253">
        <v>1.32</v>
      </c>
      <c r="N253" s="2">
        <f>(15+9+3.16/0.15+9+9+3/0.15+9+5)</f>
        <v>97.066666666666663</v>
      </c>
      <c r="O253">
        <v>10</v>
      </c>
      <c r="P253">
        <f t="shared" si="82"/>
        <v>0.61699999999999999</v>
      </c>
      <c r="Q253" s="4">
        <f t="shared" si="80"/>
        <v>128.12800000000001</v>
      </c>
      <c r="R253" s="1">
        <f t="shared" si="81"/>
        <v>0.7905497600000001</v>
      </c>
    </row>
    <row r="254" spans="10:18" x14ac:dyDescent="0.25">
      <c r="K254" t="s">
        <v>23</v>
      </c>
      <c r="L254">
        <v>0.84</v>
      </c>
      <c r="N254" s="2">
        <f>92+5</f>
        <v>97</v>
      </c>
      <c r="O254">
        <v>10</v>
      </c>
      <c r="P254">
        <f t="shared" si="82"/>
        <v>0.61699999999999999</v>
      </c>
      <c r="Q254" s="4">
        <f t="shared" si="80"/>
        <v>81.48</v>
      </c>
      <c r="R254" s="1">
        <f t="shared" si="81"/>
        <v>0.50273160000000006</v>
      </c>
    </row>
    <row r="255" spans="10:18" x14ac:dyDescent="0.25">
      <c r="P255" t="b">
        <f t="shared" si="82"/>
        <v>0</v>
      </c>
      <c r="Q255" s="4">
        <f t="shared" si="80"/>
        <v>0</v>
      </c>
      <c r="R255" s="1">
        <f t="shared" si="81"/>
        <v>0</v>
      </c>
    </row>
    <row r="256" spans="10:18" x14ac:dyDescent="0.25">
      <c r="J256" t="s">
        <v>82</v>
      </c>
      <c r="K256">
        <v>14</v>
      </c>
      <c r="L256">
        <f>2.9+3.5</f>
        <v>6.4</v>
      </c>
      <c r="N256" s="2">
        <v>4</v>
      </c>
      <c r="O256">
        <v>14</v>
      </c>
      <c r="P256">
        <f t="shared" si="82"/>
        <v>1.208</v>
      </c>
      <c r="Q256" s="4">
        <f t="shared" si="80"/>
        <v>25.6</v>
      </c>
      <c r="R256" s="1">
        <f t="shared" si="81"/>
        <v>0.30924800000000002</v>
      </c>
    </row>
    <row r="257" spans="7:18" x14ac:dyDescent="0.25">
      <c r="K257">
        <v>16</v>
      </c>
      <c r="L257">
        <v>14.55</v>
      </c>
      <c r="N257" s="2">
        <v>6</v>
      </c>
      <c r="O257">
        <v>16</v>
      </c>
      <c r="P257">
        <f t="shared" si="82"/>
        <v>1.5780000000000001</v>
      </c>
      <c r="Q257" s="4">
        <f t="shared" si="80"/>
        <v>87.300000000000011</v>
      </c>
      <c r="R257" s="1">
        <f t="shared" si="81"/>
        <v>1.3775940000000002</v>
      </c>
    </row>
    <row r="258" spans="7:18" x14ac:dyDescent="0.25">
      <c r="K258" t="s">
        <v>22</v>
      </c>
      <c r="L258">
        <v>1.32</v>
      </c>
      <c r="N258" s="2">
        <f>(13+9+20+9+9+12+9+16)</f>
        <v>97</v>
      </c>
      <c r="O258">
        <v>10</v>
      </c>
      <c r="P258">
        <f t="shared" si="82"/>
        <v>0.61699999999999999</v>
      </c>
      <c r="Q258" s="4">
        <f t="shared" si="80"/>
        <v>128.04</v>
      </c>
      <c r="R258" s="1">
        <f t="shared" si="81"/>
        <v>0.7900067999999999</v>
      </c>
    </row>
    <row r="259" spans="7:18" x14ac:dyDescent="0.25">
      <c r="K259" t="s">
        <v>23</v>
      </c>
      <c r="L259">
        <v>0.84</v>
      </c>
      <c r="N259" s="2">
        <v>97</v>
      </c>
      <c r="O259">
        <v>10</v>
      </c>
      <c r="P259">
        <f t="shared" si="82"/>
        <v>0.61699999999999999</v>
      </c>
      <c r="Q259" s="4">
        <f t="shared" si="80"/>
        <v>81.48</v>
      </c>
      <c r="R259" s="1">
        <f t="shared" si="81"/>
        <v>0.50273160000000006</v>
      </c>
    </row>
    <row r="260" spans="7:18" x14ac:dyDescent="0.25">
      <c r="P260" t="b">
        <f t="shared" si="82"/>
        <v>0</v>
      </c>
      <c r="Q260" s="4">
        <f t="shared" si="80"/>
        <v>0</v>
      </c>
      <c r="R260" s="1">
        <f t="shared" si="81"/>
        <v>0</v>
      </c>
    </row>
    <row r="261" spans="7:18" x14ac:dyDescent="0.25">
      <c r="J261" t="s">
        <v>94</v>
      </c>
      <c r="K261" t="s">
        <v>74</v>
      </c>
      <c r="L261">
        <v>3.15</v>
      </c>
      <c r="N261" s="2">
        <f>5.1/0.15*2</f>
        <v>68</v>
      </c>
      <c r="O261">
        <v>12</v>
      </c>
      <c r="P261">
        <f t="shared" si="82"/>
        <v>0.88800000000000001</v>
      </c>
      <c r="Q261" s="4">
        <f t="shared" si="80"/>
        <v>214.2</v>
      </c>
      <c r="R261" s="1">
        <f t="shared" si="81"/>
        <v>1.902096</v>
      </c>
    </row>
    <row r="262" spans="7:18" x14ac:dyDescent="0.25">
      <c r="K262" t="s">
        <v>65</v>
      </c>
      <c r="L262">
        <v>5.0999999999999996</v>
      </c>
      <c r="N262" s="2">
        <f>3.15/0.15*2</f>
        <v>42</v>
      </c>
      <c r="O262">
        <v>12</v>
      </c>
      <c r="P262">
        <f t="shared" si="82"/>
        <v>0.88800000000000001</v>
      </c>
      <c r="Q262" s="4">
        <f t="shared" si="80"/>
        <v>214.2</v>
      </c>
      <c r="R262" s="1">
        <f t="shared" si="81"/>
        <v>1.902096</v>
      </c>
    </row>
    <row r="263" spans="7:18" x14ac:dyDescent="0.25">
      <c r="P263" t="b">
        <f t="shared" si="82"/>
        <v>0</v>
      </c>
      <c r="Q263" s="4">
        <f t="shared" si="80"/>
        <v>0</v>
      </c>
      <c r="R263" s="1">
        <f t="shared" si="81"/>
        <v>0</v>
      </c>
    </row>
    <row r="264" spans="7:18" x14ac:dyDescent="0.25">
      <c r="J264" t="s">
        <v>95</v>
      </c>
      <c r="K264" t="s">
        <v>74</v>
      </c>
      <c r="L264">
        <v>3.5</v>
      </c>
      <c r="N264" s="2">
        <f>L265/0.15</f>
        <v>10.666666666666668</v>
      </c>
      <c r="O264">
        <v>12</v>
      </c>
      <c r="P264">
        <f t="shared" ref="P264:P289" si="83">IF(O264=8,0.395,IF(O264=10,0.617,IF(O264=12,0.888,IF(O264=14,1.208,IF(O264=16,1.578)))))</f>
        <v>0.88800000000000001</v>
      </c>
      <c r="Q264" s="4">
        <f t="shared" ref="Q264:Q269" si="84">(L264+M264)*N264</f>
        <v>37.333333333333336</v>
      </c>
      <c r="R264" s="1">
        <f t="shared" ref="R264:R271" si="85">P264*Q264/100</f>
        <v>0.33152000000000004</v>
      </c>
    </row>
    <row r="265" spans="7:18" x14ac:dyDescent="0.25">
      <c r="K265" t="s">
        <v>65</v>
      </c>
      <c r="L265">
        <v>1.6</v>
      </c>
      <c r="N265" s="2">
        <f>L264/0.15</f>
        <v>23.333333333333336</v>
      </c>
      <c r="O265">
        <v>12</v>
      </c>
      <c r="P265">
        <f t="shared" si="83"/>
        <v>0.88800000000000001</v>
      </c>
      <c r="Q265" s="4">
        <f t="shared" si="84"/>
        <v>37.333333333333336</v>
      </c>
      <c r="R265" s="1">
        <f t="shared" si="85"/>
        <v>0.33152000000000004</v>
      </c>
    </row>
    <row r="266" spans="7:18" x14ac:dyDescent="0.25">
      <c r="P266" t="b">
        <f t="shared" si="83"/>
        <v>0</v>
      </c>
      <c r="Q266" s="4">
        <f t="shared" si="84"/>
        <v>0</v>
      </c>
      <c r="R266" s="1">
        <f t="shared" si="85"/>
        <v>0</v>
      </c>
    </row>
    <row r="267" spans="7:18" x14ac:dyDescent="0.25">
      <c r="G267" t="s">
        <v>96</v>
      </c>
      <c r="H267" t="s">
        <v>89</v>
      </c>
      <c r="J267" t="s">
        <v>70</v>
      </c>
      <c r="K267" t="s">
        <v>26</v>
      </c>
      <c r="L267">
        <v>4.05</v>
      </c>
      <c r="N267" s="2">
        <f>8*4</f>
        <v>32</v>
      </c>
      <c r="O267">
        <v>16</v>
      </c>
      <c r="P267">
        <f t="shared" si="83"/>
        <v>1.5780000000000001</v>
      </c>
      <c r="Q267" s="4">
        <f t="shared" si="84"/>
        <v>129.6</v>
      </c>
      <c r="R267" s="1">
        <f t="shared" si="85"/>
        <v>2.0450880000000002</v>
      </c>
    </row>
    <row r="268" spans="7:18" x14ac:dyDescent="0.25">
      <c r="K268" t="s">
        <v>71</v>
      </c>
      <c r="L268">
        <f>1.2+0.9</f>
        <v>2.1</v>
      </c>
      <c r="M268">
        <v>0</v>
      </c>
      <c r="N268" s="2">
        <f>27*4</f>
        <v>108</v>
      </c>
      <c r="O268">
        <v>8</v>
      </c>
      <c r="P268">
        <f t="shared" si="83"/>
        <v>0.39500000000000002</v>
      </c>
      <c r="Q268" s="4">
        <f t="shared" si="84"/>
        <v>226.8</v>
      </c>
      <c r="R268" s="1">
        <f t="shared" si="85"/>
        <v>0.8958600000000001</v>
      </c>
    </row>
    <row r="269" spans="7:18" x14ac:dyDescent="0.25">
      <c r="J269" t="s">
        <v>90</v>
      </c>
      <c r="K269" t="s">
        <v>26</v>
      </c>
      <c r="L269">
        <v>4.05</v>
      </c>
      <c r="N269" s="2">
        <f>8*2</f>
        <v>16</v>
      </c>
      <c r="O269">
        <v>16</v>
      </c>
      <c r="P269">
        <f t="shared" si="83"/>
        <v>1.5780000000000001</v>
      </c>
      <c r="Q269" s="4">
        <f t="shared" si="84"/>
        <v>64.8</v>
      </c>
      <c r="R269" s="1">
        <f t="shared" si="85"/>
        <v>1.0225440000000001</v>
      </c>
    </row>
    <row r="270" spans="7:18" x14ac:dyDescent="0.25">
      <c r="K270" t="s">
        <v>65</v>
      </c>
      <c r="L270">
        <v>2.8</v>
      </c>
      <c r="N270" s="2">
        <f>27*3</f>
        <v>81</v>
      </c>
      <c r="O270">
        <v>8</v>
      </c>
      <c r="P270">
        <f t="shared" si="83"/>
        <v>0.39500000000000002</v>
      </c>
      <c r="Q270" s="4">
        <f>(L272+M270)*N270</f>
        <v>247.04999999999998</v>
      </c>
      <c r="R270" s="1">
        <f t="shared" si="85"/>
        <v>0.97584749999999998</v>
      </c>
    </row>
    <row r="271" spans="7:18" x14ac:dyDescent="0.25">
      <c r="J271" t="s">
        <v>73</v>
      </c>
      <c r="K271" t="s">
        <v>74</v>
      </c>
      <c r="L271">
        <v>4.05</v>
      </c>
      <c r="M271">
        <v>0</v>
      </c>
      <c r="N271" s="2">
        <v>8</v>
      </c>
      <c r="O271">
        <v>16</v>
      </c>
      <c r="P271">
        <f t="shared" si="83"/>
        <v>1.5780000000000001</v>
      </c>
      <c r="Q271" s="4">
        <f t="shared" ref="Q271:Q273" si="86">(L271+M271)*N271</f>
        <v>32.4</v>
      </c>
      <c r="R271" s="1">
        <f t="shared" si="85"/>
        <v>0.51127200000000006</v>
      </c>
    </row>
    <row r="272" spans="7:18" x14ac:dyDescent="0.25">
      <c r="K272" t="s">
        <v>65</v>
      </c>
      <c r="L272">
        <v>3.05</v>
      </c>
      <c r="M272">
        <v>0</v>
      </c>
      <c r="N272" s="2">
        <v>24</v>
      </c>
      <c r="O272">
        <v>8</v>
      </c>
      <c r="P272">
        <f t="shared" si="83"/>
        <v>0.39500000000000002</v>
      </c>
      <c r="Q272" s="4">
        <f t="shared" si="86"/>
        <v>73.199999999999989</v>
      </c>
      <c r="R272" s="5">
        <f>P272*Q272/100</f>
        <v>0.28913999999999995</v>
      </c>
    </row>
    <row r="273" spans="8:18" x14ac:dyDescent="0.25">
      <c r="P273" t="b">
        <f t="shared" si="83"/>
        <v>0</v>
      </c>
      <c r="Q273" s="4">
        <f t="shared" si="86"/>
        <v>0</v>
      </c>
      <c r="R273" s="1">
        <f t="shared" ref="R273:R279" si="87">P273*Q273/100</f>
        <v>0</v>
      </c>
    </row>
    <row r="274" spans="8:18" x14ac:dyDescent="0.25">
      <c r="J274" t="s">
        <v>66</v>
      </c>
      <c r="K274" t="s">
        <v>26</v>
      </c>
      <c r="L274">
        <f>3.23+(1.4*0.5)</f>
        <v>3.9299999999999997</v>
      </c>
      <c r="M274">
        <v>0</v>
      </c>
      <c r="N274" s="2">
        <f>3.3/0.15*2</f>
        <v>44</v>
      </c>
      <c r="O274">
        <v>14</v>
      </c>
      <c r="P274">
        <f t="shared" si="83"/>
        <v>1.208</v>
      </c>
      <c r="Q274" s="4">
        <f>(L274+M274)*N274</f>
        <v>172.92</v>
      </c>
      <c r="R274" s="1">
        <f t="shared" si="87"/>
        <v>2.0888735999999999</v>
      </c>
    </row>
    <row r="275" spans="8:18" x14ac:dyDescent="0.25">
      <c r="K275" t="s">
        <v>65</v>
      </c>
      <c r="L275">
        <v>3.3</v>
      </c>
      <c r="M275">
        <v>0.2</v>
      </c>
      <c r="N275" s="2">
        <f>2.95/0.15*2</f>
        <v>39.333333333333336</v>
      </c>
      <c r="O275">
        <v>10</v>
      </c>
      <c r="P275">
        <f t="shared" si="83"/>
        <v>0.61699999999999999</v>
      </c>
      <c r="Q275" s="4">
        <f>(L275+M275)*N275</f>
        <v>137.66666666666669</v>
      </c>
      <c r="R275" s="1">
        <f t="shared" si="87"/>
        <v>0.8494033333333334</v>
      </c>
    </row>
    <row r="276" spans="8:18" x14ac:dyDescent="0.25">
      <c r="J276" t="s">
        <v>67</v>
      </c>
      <c r="K276" t="s">
        <v>26</v>
      </c>
      <c r="L276">
        <v>3.93</v>
      </c>
      <c r="M276">
        <v>0</v>
      </c>
      <c r="N276" s="2">
        <f>2.1/0.1*2</f>
        <v>42</v>
      </c>
      <c r="O276">
        <v>16</v>
      </c>
      <c r="P276">
        <f t="shared" si="83"/>
        <v>1.5780000000000001</v>
      </c>
      <c r="Q276" s="4">
        <f>(L276+M276)*N276</f>
        <v>165.06</v>
      </c>
      <c r="R276" s="1">
        <f t="shared" si="87"/>
        <v>2.6046467999999998</v>
      </c>
    </row>
    <row r="277" spans="8:18" x14ac:dyDescent="0.25">
      <c r="K277" t="s">
        <v>65</v>
      </c>
      <c r="L277">
        <v>2.5</v>
      </c>
      <c r="M277">
        <v>0</v>
      </c>
      <c r="N277" s="2">
        <f>2.95/0.15*2</f>
        <v>39.333333333333336</v>
      </c>
      <c r="O277">
        <v>10</v>
      </c>
      <c r="P277">
        <f t="shared" si="83"/>
        <v>0.61699999999999999</v>
      </c>
      <c r="Q277" s="4">
        <f>(L277+M277)*N277</f>
        <v>98.333333333333343</v>
      </c>
      <c r="R277" s="1">
        <f t="shared" si="87"/>
        <v>0.60671666666666679</v>
      </c>
    </row>
    <row r="278" spans="8:18" x14ac:dyDescent="0.25">
      <c r="J278" t="s">
        <v>68</v>
      </c>
      <c r="K278" t="s">
        <v>26</v>
      </c>
      <c r="L278">
        <v>3.93</v>
      </c>
      <c r="M278">
        <v>0</v>
      </c>
      <c r="N278" s="2">
        <f>2.15/0.1*2</f>
        <v>42.999999999999993</v>
      </c>
      <c r="O278">
        <v>14</v>
      </c>
      <c r="P278">
        <f t="shared" si="83"/>
        <v>1.208</v>
      </c>
      <c r="Q278" s="4">
        <f t="shared" ref="Q278:Q279" si="88">(L278+M278)*N278</f>
        <v>168.98999999999998</v>
      </c>
      <c r="R278" s="1">
        <f t="shared" si="87"/>
        <v>2.0413991999999994</v>
      </c>
    </row>
    <row r="279" spans="8:18" x14ac:dyDescent="0.25">
      <c r="P279" t="b">
        <f t="shared" si="83"/>
        <v>0</v>
      </c>
      <c r="Q279" s="4">
        <f t="shared" si="88"/>
        <v>0</v>
      </c>
      <c r="R279" s="1">
        <f t="shared" si="87"/>
        <v>0</v>
      </c>
    </row>
    <row r="280" spans="8:18" x14ac:dyDescent="0.25">
      <c r="J280" t="s">
        <v>91</v>
      </c>
      <c r="P280" t="b">
        <f t="shared" si="83"/>
        <v>0</v>
      </c>
    </row>
    <row r="281" spans="8:18" x14ac:dyDescent="0.25">
      <c r="P281" t="b">
        <f t="shared" si="83"/>
        <v>0</v>
      </c>
    </row>
    <row r="282" spans="8:18" x14ac:dyDescent="0.25">
      <c r="H282" s="70" t="s">
        <v>93</v>
      </c>
      <c r="I282" s="70"/>
      <c r="J282" t="s">
        <v>77</v>
      </c>
      <c r="K282">
        <v>14</v>
      </c>
      <c r="L282">
        <f>(11.8+11.5)</f>
        <v>23.3</v>
      </c>
      <c r="M282">
        <v>0</v>
      </c>
      <c r="N282" s="2">
        <v>3</v>
      </c>
      <c r="O282">
        <v>14</v>
      </c>
      <c r="P282">
        <f t="shared" si="83"/>
        <v>1.208</v>
      </c>
      <c r="Q282" s="4">
        <f t="shared" ref="Q282:Q316" si="89">(L282+M282)*N282</f>
        <v>69.900000000000006</v>
      </c>
      <c r="R282" s="1">
        <f t="shared" ref="R282:R316" si="90">P282*Q282/100</f>
        <v>0.84439200000000003</v>
      </c>
    </row>
    <row r="283" spans="8:18" x14ac:dyDescent="0.25">
      <c r="K283">
        <v>16</v>
      </c>
      <c r="L283">
        <f>(1.8+4+3+4.25+1.8)</f>
        <v>14.850000000000001</v>
      </c>
      <c r="N283" s="2">
        <v>3</v>
      </c>
      <c r="O283">
        <v>16</v>
      </c>
      <c r="P283">
        <f t="shared" si="83"/>
        <v>1.5780000000000001</v>
      </c>
      <c r="Q283" s="4">
        <f t="shared" si="89"/>
        <v>44.550000000000004</v>
      </c>
      <c r="R283" s="1">
        <f t="shared" si="90"/>
        <v>0.70299900000000004</v>
      </c>
    </row>
    <row r="284" spans="8:18" x14ac:dyDescent="0.25">
      <c r="K284" t="s">
        <v>22</v>
      </c>
      <c r="L284">
        <v>1.42</v>
      </c>
      <c r="N284" s="2">
        <f>9+9+9+9+26</f>
        <v>62</v>
      </c>
      <c r="O284">
        <v>10</v>
      </c>
      <c r="P284">
        <f t="shared" si="83"/>
        <v>0.61699999999999999</v>
      </c>
      <c r="Q284" s="4">
        <f t="shared" si="89"/>
        <v>88.039999999999992</v>
      </c>
      <c r="R284" s="1">
        <f t="shared" si="90"/>
        <v>0.54320679999999999</v>
      </c>
    </row>
    <row r="285" spans="8:18" x14ac:dyDescent="0.25">
      <c r="K285" t="s">
        <v>23</v>
      </c>
      <c r="L285">
        <v>0.94</v>
      </c>
      <c r="M285">
        <v>0</v>
      </c>
      <c r="N285" s="2">
        <v>62</v>
      </c>
      <c r="O285">
        <v>10</v>
      </c>
      <c r="P285">
        <f t="shared" si="83"/>
        <v>0.61699999999999999</v>
      </c>
      <c r="Q285" s="4">
        <f t="shared" si="89"/>
        <v>58.279999999999994</v>
      </c>
      <c r="R285" s="1">
        <f t="shared" si="90"/>
        <v>0.35958760000000001</v>
      </c>
    </row>
    <row r="286" spans="8:18" x14ac:dyDescent="0.25">
      <c r="P286" t="b">
        <f t="shared" si="83"/>
        <v>0</v>
      </c>
      <c r="Q286" s="4">
        <f t="shared" si="89"/>
        <v>0</v>
      </c>
      <c r="R286" s="1">
        <f t="shared" si="90"/>
        <v>0</v>
      </c>
    </row>
    <row r="287" spans="8:18" x14ac:dyDescent="0.25">
      <c r="J287" t="s">
        <v>78</v>
      </c>
      <c r="K287">
        <v>16</v>
      </c>
      <c r="L287">
        <f>(1.6+1.6+3.2+11.8+11.5+6.65+1.8)</f>
        <v>38.15</v>
      </c>
      <c r="N287" s="2">
        <v>3</v>
      </c>
      <c r="O287">
        <v>16</v>
      </c>
      <c r="P287">
        <f t="shared" si="83"/>
        <v>1.5780000000000001</v>
      </c>
      <c r="Q287" s="4">
        <f t="shared" si="89"/>
        <v>114.44999999999999</v>
      </c>
      <c r="R287" s="1">
        <f t="shared" si="90"/>
        <v>1.8060209999999999</v>
      </c>
    </row>
    <row r="288" spans="8:18" x14ac:dyDescent="0.25">
      <c r="K288" t="s">
        <v>22</v>
      </c>
      <c r="L288">
        <v>1.42</v>
      </c>
      <c r="N288" s="2">
        <f>39+18</f>
        <v>57</v>
      </c>
      <c r="O288">
        <v>10</v>
      </c>
      <c r="P288">
        <f t="shared" si="83"/>
        <v>0.61699999999999999</v>
      </c>
      <c r="Q288" s="4">
        <f t="shared" si="89"/>
        <v>80.94</v>
      </c>
      <c r="R288" s="1">
        <f t="shared" si="90"/>
        <v>0.4993998</v>
      </c>
    </row>
    <row r="289" spans="10:18" x14ac:dyDescent="0.25">
      <c r="K289" t="s">
        <v>23</v>
      </c>
      <c r="L289">
        <v>0.94</v>
      </c>
      <c r="N289" s="2">
        <v>57</v>
      </c>
      <c r="O289">
        <v>10</v>
      </c>
      <c r="P289">
        <f t="shared" si="83"/>
        <v>0.61699999999999999</v>
      </c>
      <c r="Q289" s="4">
        <f t="shared" si="89"/>
        <v>53.58</v>
      </c>
      <c r="R289" s="1">
        <f t="shared" si="90"/>
        <v>0.33058859999999995</v>
      </c>
    </row>
    <row r="290" spans="10:18" x14ac:dyDescent="0.25">
      <c r="Q290" s="4">
        <f t="shared" si="89"/>
        <v>0</v>
      </c>
      <c r="R290" s="1">
        <f t="shared" si="90"/>
        <v>0</v>
      </c>
    </row>
    <row r="291" spans="10:18" x14ac:dyDescent="0.25">
      <c r="J291" t="s">
        <v>79</v>
      </c>
      <c r="K291">
        <v>14</v>
      </c>
      <c r="L291">
        <f>(11.8+11.5)</f>
        <v>23.3</v>
      </c>
      <c r="M291">
        <v>0</v>
      </c>
      <c r="N291" s="2">
        <v>3</v>
      </c>
      <c r="O291">
        <v>14</v>
      </c>
      <c r="P291">
        <f t="shared" ref="P291:P318" si="91">IF(O291=8,0.395,IF(O291=10,0.617,IF(O291=12,0.888,IF(O291=14,1.208,IF(O291=16,1.578)))))</f>
        <v>1.208</v>
      </c>
      <c r="Q291" s="4">
        <f t="shared" si="89"/>
        <v>69.900000000000006</v>
      </c>
      <c r="R291" s="1">
        <f t="shared" si="90"/>
        <v>0.84439200000000003</v>
      </c>
    </row>
    <row r="292" spans="10:18" x14ac:dyDescent="0.25">
      <c r="K292">
        <v>16</v>
      </c>
      <c r="L292">
        <f>(1.8+4+3+4.25+1.8)</f>
        <v>14.850000000000001</v>
      </c>
      <c r="N292" s="2">
        <v>3</v>
      </c>
      <c r="O292">
        <v>16</v>
      </c>
      <c r="P292">
        <f t="shared" si="91"/>
        <v>1.5780000000000001</v>
      </c>
      <c r="Q292" s="4">
        <f t="shared" si="89"/>
        <v>44.550000000000004</v>
      </c>
      <c r="R292" s="1">
        <f t="shared" si="90"/>
        <v>0.70299900000000004</v>
      </c>
    </row>
    <row r="293" spans="10:18" x14ac:dyDescent="0.25">
      <c r="K293" t="s">
        <v>22</v>
      </c>
      <c r="L293">
        <v>1.42</v>
      </c>
      <c r="N293" s="2">
        <f>9+9+9+9+26</f>
        <v>62</v>
      </c>
      <c r="O293">
        <v>10</v>
      </c>
      <c r="P293">
        <f t="shared" si="91"/>
        <v>0.61699999999999999</v>
      </c>
      <c r="Q293" s="4">
        <f t="shared" si="89"/>
        <v>88.039999999999992</v>
      </c>
      <c r="R293" s="1">
        <f t="shared" si="90"/>
        <v>0.54320679999999999</v>
      </c>
    </row>
    <row r="294" spans="10:18" x14ac:dyDescent="0.25">
      <c r="K294" t="s">
        <v>23</v>
      </c>
      <c r="L294">
        <v>0.94</v>
      </c>
      <c r="M294">
        <v>0</v>
      </c>
      <c r="N294" s="2">
        <v>62</v>
      </c>
      <c r="O294">
        <v>10</v>
      </c>
      <c r="P294">
        <f t="shared" si="91"/>
        <v>0.61699999999999999</v>
      </c>
      <c r="Q294" s="4">
        <f t="shared" si="89"/>
        <v>58.279999999999994</v>
      </c>
      <c r="R294" s="1">
        <f t="shared" si="90"/>
        <v>0.35958760000000001</v>
      </c>
    </row>
    <row r="295" spans="10:18" x14ac:dyDescent="0.25">
      <c r="P295" t="b">
        <f t="shared" si="91"/>
        <v>0</v>
      </c>
      <c r="Q295" s="4">
        <f t="shared" si="89"/>
        <v>0</v>
      </c>
      <c r="R295" s="1">
        <f t="shared" si="90"/>
        <v>0</v>
      </c>
    </row>
    <row r="296" spans="10:18" x14ac:dyDescent="0.25">
      <c r="J296" t="s">
        <v>80</v>
      </c>
      <c r="K296">
        <v>14</v>
      </c>
      <c r="L296">
        <f>(2.5+3.5+7)</f>
        <v>13</v>
      </c>
      <c r="N296" s="2">
        <v>2</v>
      </c>
      <c r="O296">
        <v>14</v>
      </c>
      <c r="P296">
        <f t="shared" si="91"/>
        <v>1.208</v>
      </c>
      <c r="Q296" s="4">
        <f t="shared" si="89"/>
        <v>26</v>
      </c>
      <c r="R296" s="1">
        <f t="shared" si="90"/>
        <v>0.31407999999999997</v>
      </c>
    </row>
    <row r="297" spans="10:18" x14ac:dyDescent="0.25">
      <c r="K297">
        <v>16</v>
      </c>
      <c r="L297">
        <f>(14.05+14.05)</f>
        <v>28.1</v>
      </c>
      <c r="N297" s="2">
        <v>3</v>
      </c>
      <c r="O297">
        <v>16</v>
      </c>
      <c r="P297">
        <f t="shared" si="91"/>
        <v>1.5780000000000001</v>
      </c>
      <c r="Q297" s="4">
        <f t="shared" si="89"/>
        <v>84.300000000000011</v>
      </c>
      <c r="R297" s="1">
        <f t="shared" si="90"/>
        <v>1.3302540000000003</v>
      </c>
    </row>
    <row r="298" spans="10:18" x14ac:dyDescent="0.25">
      <c r="K298" t="s">
        <v>22</v>
      </c>
      <c r="L298">
        <v>1.32</v>
      </c>
      <c r="N298" s="2">
        <f>(3.6/0.15)+10+9+9+15+10</f>
        <v>77</v>
      </c>
      <c r="O298">
        <v>10</v>
      </c>
      <c r="P298">
        <f t="shared" si="91"/>
        <v>0.61699999999999999</v>
      </c>
      <c r="Q298" s="4">
        <f t="shared" si="89"/>
        <v>101.64</v>
      </c>
      <c r="R298" s="1">
        <f t="shared" si="90"/>
        <v>0.62711879999999998</v>
      </c>
    </row>
    <row r="299" spans="10:18" x14ac:dyDescent="0.25">
      <c r="K299" t="s">
        <v>23</v>
      </c>
      <c r="L299">
        <v>0.84</v>
      </c>
      <c r="N299" s="2">
        <v>77</v>
      </c>
      <c r="O299">
        <v>10</v>
      </c>
      <c r="P299">
        <f t="shared" si="91"/>
        <v>0.61699999999999999</v>
      </c>
      <c r="Q299" s="4">
        <f t="shared" si="89"/>
        <v>64.679999999999993</v>
      </c>
      <c r="R299" s="1">
        <f t="shared" si="90"/>
        <v>0.39907559999999997</v>
      </c>
    </row>
    <row r="300" spans="10:18" x14ac:dyDescent="0.25">
      <c r="P300" t="b">
        <f t="shared" si="91"/>
        <v>0</v>
      </c>
      <c r="Q300" s="4">
        <f t="shared" si="89"/>
        <v>0</v>
      </c>
      <c r="R300" s="1">
        <f t="shared" si="90"/>
        <v>0</v>
      </c>
    </row>
    <row r="301" spans="10:18" x14ac:dyDescent="0.25">
      <c r="J301" t="s">
        <v>81</v>
      </c>
      <c r="K301">
        <v>14</v>
      </c>
      <c r="L301">
        <f>(2.9+3.5+1.2)</f>
        <v>7.6000000000000005</v>
      </c>
      <c r="N301" s="2">
        <v>2</v>
      </c>
      <c r="O301">
        <v>14</v>
      </c>
      <c r="P301">
        <f t="shared" si="91"/>
        <v>1.208</v>
      </c>
      <c r="Q301" s="4">
        <f t="shared" si="89"/>
        <v>15.200000000000001</v>
      </c>
      <c r="R301" s="1">
        <f t="shared" si="90"/>
        <v>0.183616</v>
      </c>
    </row>
    <row r="302" spans="10:18" x14ac:dyDescent="0.25">
      <c r="K302">
        <v>16</v>
      </c>
      <c r="L302">
        <f>(6+3+14.6+14.6)</f>
        <v>38.200000000000003</v>
      </c>
      <c r="N302" s="2">
        <v>3</v>
      </c>
      <c r="O302">
        <v>16</v>
      </c>
      <c r="P302">
        <f t="shared" si="91"/>
        <v>1.5780000000000001</v>
      </c>
      <c r="Q302" s="4">
        <f t="shared" si="89"/>
        <v>114.60000000000001</v>
      </c>
      <c r="R302" s="1">
        <f t="shared" si="90"/>
        <v>1.8083880000000001</v>
      </c>
    </row>
    <row r="303" spans="10:18" x14ac:dyDescent="0.25">
      <c r="K303" t="s">
        <v>22</v>
      </c>
      <c r="L303">
        <v>1.32</v>
      </c>
      <c r="N303" s="2">
        <f>(15+9+3.16/0.15+9+9+3/0.15+9+5)</f>
        <v>97.066666666666663</v>
      </c>
      <c r="O303">
        <v>10</v>
      </c>
      <c r="P303">
        <f t="shared" si="91"/>
        <v>0.61699999999999999</v>
      </c>
      <c r="Q303" s="4">
        <f t="shared" si="89"/>
        <v>128.12800000000001</v>
      </c>
      <c r="R303" s="1">
        <f t="shared" si="90"/>
        <v>0.7905497600000001</v>
      </c>
    </row>
    <row r="304" spans="10:18" x14ac:dyDescent="0.25">
      <c r="K304" t="s">
        <v>23</v>
      </c>
      <c r="L304">
        <v>0.84</v>
      </c>
      <c r="N304" s="2">
        <f>92+5</f>
        <v>97</v>
      </c>
      <c r="O304">
        <v>10</v>
      </c>
      <c r="P304">
        <f t="shared" si="91"/>
        <v>0.61699999999999999</v>
      </c>
      <c r="Q304" s="4">
        <f t="shared" si="89"/>
        <v>81.48</v>
      </c>
      <c r="R304" s="1">
        <f t="shared" si="90"/>
        <v>0.50273160000000006</v>
      </c>
    </row>
    <row r="305" spans="7:18" x14ac:dyDescent="0.25">
      <c r="P305" t="b">
        <f t="shared" si="91"/>
        <v>0</v>
      </c>
      <c r="Q305" s="4">
        <f t="shared" si="89"/>
        <v>0</v>
      </c>
      <c r="R305" s="1">
        <f t="shared" si="90"/>
        <v>0</v>
      </c>
    </row>
    <row r="306" spans="7:18" x14ac:dyDescent="0.25">
      <c r="J306" t="s">
        <v>82</v>
      </c>
      <c r="K306">
        <v>14</v>
      </c>
      <c r="L306">
        <f>2.9+3.5</f>
        <v>6.4</v>
      </c>
      <c r="N306" s="2">
        <v>4</v>
      </c>
      <c r="O306">
        <v>14</v>
      </c>
      <c r="P306">
        <f t="shared" si="91"/>
        <v>1.208</v>
      </c>
      <c r="Q306" s="4">
        <f t="shared" si="89"/>
        <v>25.6</v>
      </c>
      <c r="R306" s="1">
        <f t="shared" si="90"/>
        <v>0.30924800000000002</v>
      </c>
    </row>
    <row r="307" spans="7:18" x14ac:dyDescent="0.25">
      <c r="K307">
        <v>16</v>
      </c>
      <c r="L307">
        <v>14.55</v>
      </c>
      <c r="N307" s="2">
        <v>6</v>
      </c>
      <c r="O307">
        <v>16</v>
      </c>
      <c r="P307">
        <f t="shared" si="91"/>
        <v>1.5780000000000001</v>
      </c>
      <c r="Q307" s="4">
        <f t="shared" si="89"/>
        <v>87.300000000000011</v>
      </c>
      <c r="R307" s="1">
        <f t="shared" si="90"/>
        <v>1.3775940000000002</v>
      </c>
    </row>
    <row r="308" spans="7:18" x14ac:dyDescent="0.25">
      <c r="K308" t="s">
        <v>22</v>
      </c>
      <c r="L308">
        <v>1.32</v>
      </c>
      <c r="N308" s="2">
        <f>(13+9+20+9+9+12+9+16)</f>
        <v>97</v>
      </c>
      <c r="O308">
        <v>10</v>
      </c>
      <c r="P308">
        <f t="shared" si="91"/>
        <v>0.61699999999999999</v>
      </c>
      <c r="Q308" s="4">
        <f t="shared" si="89"/>
        <v>128.04</v>
      </c>
      <c r="R308" s="1">
        <f t="shared" si="90"/>
        <v>0.7900067999999999</v>
      </c>
    </row>
    <row r="309" spans="7:18" x14ac:dyDescent="0.25">
      <c r="K309" t="s">
        <v>23</v>
      </c>
      <c r="L309">
        <v>0.84</v>
      </c>
      <c r="N309" s="2">
        <v>97</v>
      </c>
      <c r="O309">
        <v>10</v>
      </c>
      <c r="P309">
        <f t="shared" si="91"/>
        <v>0.61699999999999999</v>
      </c>
      <c r="Q309" s="4">
        <f t="shared" si="89"/>
        <v>81.48</v>
      </c>
      <c r="R309" s="1">
        <f t="shared" si="90"/>
        <v>0.50273160000000006</v>
      </c>
    </row>
    <row r="310" spans="7:18" x14ac:dyDescent="0.25">
      <c r="P310" t="b">
        <f t="shared" si="91"/>
        <v>0</v>
      </c>
      <c r="Q310" s="4">
        <f t="shared" si="89"/>
        <v>0</v>
      </c>
      <c r="R310" s="1">
        <f t="shared" si="90"/>
        <v>0</v>
      </c>
    </row>
    <row r="311" spans="7:18" x14ac:dyDescent="0.25">
      <c r="J311" t="s">
        <v>94</v>
      </c>
      <c r="K311" t="s">
        <v>74</v>
      </c>
      <c r="L311">
        <v>3.15</v>
      </c>
      <c r="N311" s="2">
        <f>5.1/0.15*2</f>
        <v>68</v>
      </c>
      <c r="O311">
        <v>12</v>
      </c>
      <c r="P311">
        <f t="shared" si="91"/>
        <v>0.88800000000000001</v>
      </c>
      <c r="Q311" s="4">
        <f t="shared" si="89"/>
        <v>214.2</v>
      </c>
      <c r="R311" s="1">
        <f t="shared" si="90"/>
        <v>1.902096</v>
      </c>
    </row>
    <row r="312" spans="7:18" x14ac:dyDescent="0.25">
      <c r="K312" t="s">
        <v>65</v>
      </c>
      <c r="L312">
        <v>5.0999999999999996</v>
      </c>
      <c r="N312" s="2">
        <f>3.15/0.15*2</f>
        <v>42</v>
      </c>
      <c r="O312">
        <v>12</v>
      </c>
      <c r="P312">
        <f t="shared" si="91"/>
        <v>0.88800000000000001</v>
      </c>
      <c r="Q312" s="4">
        <f t="shared" si="89"/>
        <v>214.2</v>
      </c>
      <c r="R312" s="1">
        <f t="shared" si="90"/>
        <v>1.902096</v>
      </c>
    </row>
    <row r="313" spans="7:18" x14ac:dyDescent="0.25">
      <c r="P313" t="b">
        <f t="shared" si="91"/>
        <v>0</v>
      </c>
      <c r="Q313" s="4">
        <f t="shared" si="89"/>
        <v>0</v>
      </c>
      <c r="R313" s="1">
        <f t="shared" si="90"/>
        <v>0</v>
      </c>
    </row>
    <row r="314" spans="7:18" x14ac:dyDescent="0.25">
      <c r="J314" t="s">
        <v>95</v>
      </c>
      <c r="K314" t="s">
        <v>74</v>
      </c>
      <c r="L314">
        <v>3.5</v>
      </c>
      <c r="N314" s="2">
        <f>L315/0.15</f>
        <v>10.666666666666668</v>
      </c>
      <c r="O314">
        <v>12</v>
      </c>
      <c r="P314">
        <f t="shared" si="91"/>
        <v>0.88800000000000001</v>
      </c>
      <c r="Q314" s="4">
        <f t="shared" si="89"/>
        <v>37.333333333333336</v>
      </c>
      <c r="R314" s="1">
        <f t="shared" si="90"/>
        <v>0.33152000000000004</v>
      </c>
    </row>
    <row r="315" spans="7:18" x14ac:dyDescent="0.25">
      <c r="K315" t="s">
        <v>65</v>
      </c>
      <c r="L315">
        <v>1.6</v>
      </c>
      <c r="N315" s="2">
        <f>L314/0.15</f>
        <v>23.333333333333336</v>
      </c>
      <c r="O315">
        <v>12</v>
      </c>
      <c r="P315">
        <f t="shared" si="91"/>
        <v>0.88800000000000001</v>
      </c>
      <c r="Q315" s="4">
        <f t="shared" si="89"/>
        <v>37.333333333333336</v>
      </c>
      <c r="R315" s="1">
        <f t="shared" si="90"/>
        <v>0.33152000000000004</v>
      </c>
    </row>
    <row r="316" spans="7:18" x14ac:dyDescent="0.25">
      <c r="P316" t="b">
        <f t="shared" si="91"/>
        <v>0</v>
      </c>
      <c r="Q316" s="4">
        <f t="shared" si="89"/>
        <v>0</v>
      </c>
      <c r="R316" s="1">
        <f t="shared" si="90"/>
        <v>0</v>
      </c>
    </row>
    <row r="317" spans="7:18" x14ac:dyDescent="0.25">
      <c r="J317" t="s">
        <v>97</v>
      </c>
      <c r="K317" t="s">
        <v>74</v>
      </c>
      <c r="L317">
        <v>4</v>
      </c>
      <c r="N317" s="2">
        <f>L318/0.15</f>
        <v>8.6666666666666679</v>
      </c>
      <c r="O317">
        <v>12</v>
      </c>
      <c r="P317">
        <f t="shared" si="91"/>
        <v>0.88800000000000001</v>
      </c>
      <c r="Q317" s="4">
        <f t="shared" ref="Q317:Q318" si="92">(L317+M317)*N317</f>
        <v>34.666666666666671</v>
      </c>
      <c r="R317" s="1">
        <f t="shared" ref="R317:R318" si="93">P317*Q317/100</f>
        <v>0.30784000000000006</v>
      </c>
    </row>
    <row r="318" spans="7:18" x14ac:dyDescent="0.25">
      <c r="K318" t="s">
        <v>65</v>
      </c>
      <c r="L318">
        <v>1.3</v>
      </c>
      <c r="N318" s="2">
        <f>L317/0.15</f>
        <v>26.666666666666668</v>
      </c>
      <c r="O318">
        <v>12</v>
      </c>
      <c r="P318">
        <f t="shared" si="91"/>
        <v>0.88800000000000001</v>
      </c>
      <c r="Q318" s="4">
        <f t="shared" si="92"/>
        <v>34.666666666666671</v>
      </c>
      <c r="R318" s="1">
        <f t="shared" si="93"/>
        <v>0.30784000000000006</v>
      </c>
    </row>
    <row r="320" spans="7:18" x14ac:dyDescent="0.25">
      <c r="G320" t="s">
        <v>98</v>
      </c>
      <c r="H320" t="s">
        <v>89</v>
      </c>
      <c r="J320" t="s">
        <v>99</v>
      </c>
      <c r="K320" t="s">
        <v>26</v>
      </c>
      <c r="L320">
        <v>4.05</v>
      </c>
      <c r="N320" s="2">
        <f>8*6</f>
        <v>48</v>
      </c>
      <c r="O320">
        <v>16</v>
      </c>
      <c r="P320">
        <f t="shared" ref="P320:P336" si="94">IF(O320=8,0.395,IF(O320=10,0.617,IF(O320=12,0.888,IF(O320=14,1.208,IF(O320=16,1.578)))))</f>
        <v>1.5780000000000001</v>
      </c>
      <c r="Q320" s="4">
        <f t="shared" ref="Q320:Q322" si="95">(L320+M320)*N320</f>
        <v>194.39999999999998</v>
      </c>
      <c r="R320" s="1">
        <f t="shared" ref="R320:R324" si="96">P320*Q320/100</f>
        <v>3.0676319999999997</v>
      </c>
    </row>
    <row r="321" spans="8:18" x14ac:dyDescent="0.25">
      <c r="K321" t="s">
        <v>71</v>
      </c>
      <c r="L321">
        <f>1.2+0.9</f>
        <v>2.1</v>
      </c>
      <c r="M321">
        <v>0</v>
      </c>
      <c r="N321" s="2">
        <f>27*6</f>
        <v>162</v>
      </c>
      <c r="O321">
        <v>8</v>
      </c>
      <c r="P321">
        <f t="shared" si="94"/>
        <v>0.39500000000000002</v>
      </c>
      <c r="Q321" s="4">
        <f t="shared" si="95"/>
        <v>340.2</v>
      </c>
      <c r="R321" s="1">
        <f t="shared" si="96"/>
        <v>1.3437899999999998</v>
      </c>
    </row>
    <row r="322" spans="8:18" x14ac:dyDescent="0.25">
      <c r="J322" t="s">
        <v>90</v>
      </c>
      <c r="K322" t="s">
        <v>26</v>
      </c>
      <c r="L322">
        <v>4.05</v>
      </c>
      <c r="N322" s="2">
        <f>8*2</f>
        <v>16</v>
      </c>
      <c r="O322">
        <v>16</v>
      </c>
      <c r="P322">
        <f t="shared" si="94"/>
        <v>1.5780000000000001</v>
      </c>
      <c r="Q322" s="4">
        <f t="shared" si="95"/>
        <v>64.8</v>
      </c>
      <c r="R322" s="1">
        <f t="shared" si="96"/>
        <v>1.0225440000000001</v>
      </c>
    </row>
    <row r="323" spans="8:18" x14ac:dyDescent="0.25">
      <c r="K323" t="s">
        <v>65</v>
      </c>
      <c r="L323">
        <v>2.8</v>
      </c>
      <c r="N323" s="2">
        <f>27*3</f>
        <v>81</v>
      </c>
      <c r="O323">
        <v>8</v>
      </c>
      <c r="P323">
        <f t="shared" si="94"/>
        <v>0.39500000000000002</v>
      </c>
      <c r="Q323" s="4">
        <f>(L325+M323)*N323</f>
        <v>247.04999999999998</v>
      </c>
      <c r="R323" s="1">
        <f t="shared" si="96"/>
        <v>0.97584749999999998</v>
      </c>
    </row>
    <row r="324" spans="8:18" x14ac:dyDescent="0.25">
      <c r="J324" t="s">
        <v>73</v>
      </c>
      <c r="K324" t="s">
        <v>74</v>
      </c>
      <c r="L324">
        <v>4.05</v>
      </c>
      <c r="M324">
        <v>0</v>
      </c>
      <c r="N324" s="2">
        <v>8</v>
      </c>
      <c r="O324">
        <v>16</v>
      </c>
      <c r="P324">
        <f t="shared" si="94"/>
        <v>1.5780000000000001</v>
      </c>
      <c r="Q324" s="4">
        <f t="shared" ref="Q324:Q326" si="97">(L324+M324)*N324</f>
        <v>32.4</v>
      </c>
      <c r="R324" s="1">
        <f t="shared" si="96"/>
        <v>0.51127200000000006</v>
      </c>
    </row>
    <row r="325" spans="8:18" x14ac:dyDescent="0.25">
      <c r="K325" t="s">
        <v>65</v>
      </c>
      <c r="L325">
        <v>3.05</v>
      </c>
      <c r="M325">
        <v>0</v>
      </c>
      <c r="N325" s="2">
        <v>24</v>
      </c>
      <c r="O325">
        <v>8</v>
      </c>
      <c r="P325">
        <f t="shared" si="94"/>
        <v>0.39500000000000002</v>
      </c>
      <c r="Q325" s="4">
        <f t="shared" si="97"/>
        <v>73.199999999999989</v>
      </c>
      <c r="R325" s="5">
        <f>P325*Q325/100</f>
        <v>0.28913999999999995</v>
      </c>
    </row>
    <row r="326" spans="8:18" x14ac:dyDescent="0.25">
      <c r="P326" t="b">
        <f t="shared" si="94"/>
        <v>0</v>
      </c>
      <c r="Q326" s="4">
        <f t="shared" si="97"/>
        <v>0</v>
      </c>
      <c r="R326" s="1">
        <f t="shared" ref="R326" si="98">P326*Q326/100</f>
        <v>0</v>
      </c>
    </row>
    <row r="327" spans="8:18" x14ac:dyDescent="0.25">
      <c r="J327" t="s">
        <v>91</v>
      </c>
      <c r="P327" t="b">
        <f t="shared" si="94"/>
        <v>0</v>
      </c>
    </row>
    <row r="328" spans="8:18" x14ac:dyDescent="0.25">
      <c r="P328" t="b">
        <f t="shared" si="94"/>
        <v>0</v>
      </c>
    </row>
    <row r="329" spans="8:18" x14ac:dyDescent="0.25">
      <c r="H329" s="70" t="s">
        <v>93</v>
      </c>
      <c r="I329" s="70"/>
      <c r="J329" t="s">
        <v>77</v>
      </c>
      <c r="K329">
        <v>14</v>
      </c>
      <c r="L329">
        <f>(1.8+11.7+11.7+3+4+1.8)</f>
        <v>34</v>
      </c>
      <c r="M329">
        <v>0</v>
      </c>
      <c r="N329" s="2">
        <v>3</v>
      </c>
      <c r="O329">
        <v>14</v>
      </c>
      <c r="P329">
        <f t="shared" si="94"/>
        <v>1.208</v>
      </c>
      <c r="Q329" s="4">
        <f t="shared" ref="Q329:Q358" si="99">(L329+M329)*N329</f>
        <v>102</v>
      </c>
      <c r="R329" s="1">
        <f t="shared" ref="R329:R358" si="100">P329*Q329/100</f>
        <v>1.2321599999999999</v>
      </c>
    </row>
    <row r="330" spans="8:18" x14ac:dyDescent="0.25">
      <c r="K330" t="s">
        <v>22</v>
      </c>
      <c r="L330">
        <v>1.42</v>
      </c>
      <c r="N330" s="2">
        <f>9+9+9+9+2.5/0.15+1.85/0.15</f>
        <v>65</v>
      </c>
      <c r="O330">
        <v>10</v>
      </c>
      <c r="P330">
        <f t="shared" si="94"/>
        <v>0.61699999999999999</v>
      </c>
      <c r="Q330" s="4">
        <f t="shared" si="99"/>
        <v>92.3</v>
      </c>
      <c r="R330" s="1">
        <f t="shared" si="100"/>
        <v>0.56949099999999997</v>
      </c>
    </row>
    <row r="331" spans="8:18" x14ac:dyDescent="0.25">
      <c r="K331" t="s">
        <v>23</v>
      </c>
      <c r="L331">
        <v>0.94</v>
      </c>
      <c r="M331">
        <v>0</v>
      </c>
      <c r="N331" s="2">
        <f>9+9+9+9+2.5/0.15+1.85/0.15</f>
        <v>65</v>
      </c>
      <c r="O331">
        <v>10</v>
      </c>
      <c r="P331">
        <f t="shared" si="94"/>
        <v>0.61699999999999999</v>
      </c>
      <c r="Q331" s="4">
        <f t="shared" si="99"/>
        <v>61.099999999999994</v>
      </c>
      <c r="R331" s="1">
        <f t="shared" si="100"/>
        <v>0.37698699999999996</v>
      </c>
    </row>
    <row r="332" spans="8:18" x14ac:dyDescent="0.25">
      <c r="P332" t="b">
        <f t="shared" si="94"/>
        <v>0</v>
      </c>
      <c r="Q332" s="4">
        <f t="shared" si="99"/>
        <v>0</v>
      </c>
      <c r="R332" s="1">
        <f t="shared" si="100"/>
        <v>0</v>
      </c>
    </row>
    <row r="333" spans="8:18" x14ac:dyDescent="0.25">
      <c r="J333" t="s">
        <v>78</v>
      </c>
      <c r="K333">
        <v>14</v>
      </c>
      <c r="L333">
        <f>11.6*2</f>
        <v>23.2</v>
      </c>
      <c r="M333">
        <v>0</v>
      </c>
      <c r="N333" s="2">
        <v>3</v>
      </c>
      <c r="O333">
        <v>14</v>
      </c>
      <c r="P333">
        <f t="shared" si="94"/>
        <v>1.208</v>
      </c>
      <c r="Q333" s="4">
        <f t="shared" ref="Q333" si="101">(L333+M333)*N333</f>
        <v>69.599999999999994</v>
      </c>
      <c r="R333" s="1">
        <f t="shared" ref="R333" si="102">P333*Q333/100</f>
        <v>0.84076799999999996</v>
      </c>
    </row>
    <row r="334" spans="8:18" x14ac:dyDescent="0.25">
      <c r="K334">
        <v>16</v>
      </c>
      <c r="L334">
        <f>(1.8+3+3+4+1.8)</f>
        <v>13.600000000000001</v>
      </c>
      <c r="N334" s="2">
        <v>3</v>
      </c>
      <c r="O334">
        <v>16</v>
      </c>
      <c r="P334">
        <f t="shared" si="94"/>
        <v>1.5780000000000001</v>
      </c>
      <c r="Q334" s="4">
        <f t="shared" si="99"/>
        <v>40.800000000000004</v>
      </c>
      <c r="R334" s="1">
        <f t="shared" si="100"/>
        <v>0.64382400000000006</v>
      </c>
    </row>
    <row r="335" spans="8:18" x14ac:dyDescent="0.25">
      <c r="K335" t="s">
        <v>22</v>
      </c>
      <c r="L335">
        <v>1.42</v>
      </c>
      <c r="N335" s="2">
        <f>9+9+9+9+2.5/0.15+1.85/0.15</f>
        <v>65</v>
      </c>
      <c r="O335">
        <v>10</v>
      </c>
      <c r="P335">
        <f t="shared" si="94"/>
        <v>0.61699999999999999</v>
      </c>
      <c r="Q335" s="4">
        <f t="shared" si="99"/>
        <v>92.3</v>
      </c>
      <c r="R335" s="1">
        <f t="shared" si="100"/>
        <v>0.56949099999999997</v>
      </c>
    </row>
    <row r="336" spans="8:18" x14ac:dyDescent="0.25">
      <c r="K336" t="s">
        <v>23</v>
      </c>
      <c r="L336">
        <v>0.94</v>
      </c>
      <c r="N336" s="2">
        <f>9+9+9+9+2.5/0.15+1.85/0.15</f>
        <v>65</v>
      </c>
      <c r="O336">
        <v>10</v>
      </c>
      <c r="P336">
        <f t="shared" si="94"/>
        <v>0.61699999999999999</v>
      </c>
      <c r="Q336" s="4">
        <f t="shared" si="99"/>
        <v>61.099999999999994</v>
      </c>
      <c r="R336" s="1">
        <f t="shared" si="100"/>
        <v>0.37698699999999996</v>
      </c>
    </row>
    <row r="337" spans="10:18" x14ac:dyDescent="0.25">
      <c r="Q337" s="4">
        <f t="shared" si="99"/>
        <v>0</v>
      </c>
      <c r="R337" s="1">
        <f t="shared" si="100"/>
        <v>0</v>
      </c>
    </row>
    <row r="338" spans="10:18" x14ac:dyDescent="0.25">
      <c r="J338" t="s">
        <v>79</v>
      </c>
      <c r="K338">
        <v>14</v>
      </c>
      <c r="L338">
        <f>(1.8+11.7+11.7+3+4+1.8)</f>
        <v>34</v>
      </c>
      <c r="M338">
        <v>0</v>
      </c>
      <c r="N338" s="2">
        <v>3</v>
      </c>
      <c r="O338">
        <v>14</v>
      </c>
      <c r="P338">
        <f t="shared" ref="P338:P340" si="103">IF(O338=8,0.395,IF(O338=10,0.617,IF(O338=12,0.888,IF(O338=14,1.208,IF(O338=16,1.578)))))</f>
        <v>1.208</v>
      </c>
      <c r="Q338" s="4">
        <f t="shared" ref="Q338:Q340" si="104">(L338+M338)*N338</f>
        <v>102</v>
      </c>
      <c r="R338" s="1">
        <f t="shared" ref="R338:R340" si="105">P338*Q338/100</f>
        <v>1.2321599999999999</v>
      </c>
    </row>
    <row r="339" spans="10:18" x14ac:dyDescent="0.25">
      <c r="K339" t="s">
        <v>22</v>
      </c>
      <c r="L339">
        <v>1.42</v>
      </c>
      <c r="N339" s="2">
        <f>9+9+9+9+2.5/0.15+1.85/0.15</f>
        <v>65</v>
      </c>
      <c r="O339">
        <v>10</v>
      </c>
      <c r="P339">
        <f t="shared" si="103"/>
        <v>0.61699999999999999</v>
      </c>
      <c r="Q339" s="4">
        <f t="shared" si="104"/>
        <v>92.3</v>
      </c>
      <c r="R339" s="1">
        <f t="shared" si="105"/>
        <v>0.56949099999999997</v>
      </c>
    </row>
    <row r="340" spans="10:18" x14ac:dyDescent="0.25">
      <c r="K340" t="s">
        <v>23</v>
      </c>
      <c r="L340">
        <v>0.94</v>
      </c>
      <c r="M340">
        <v>0</v>
      </c>
      <c r="N340" s="2">
        <f>9+9+9+9+2.5/0.15+1.85/0.15</f>
        <v>65</v>
      </c>
      <c r="O340">
        <v>10</v>
      </c>
      <c r="P340">
        <f t="shared" si="103"/>
        <v>0.61699999999999999</v>
      </c>
      <c r="Q340" s="4">
        <f t="shared" si="104"/>
        <v>61.099999999999994</v>
      </c>
      <c r="R340" s="1">
        <f t="shared" si="105"/>
        <v>0.37698699999999996</v>
      </c>
    </row>
    <row r="341" spans="10:18" x14ac:dyDescent="0.25">
      <c r="P341" t="b">
        <f t="shared" ref="P341:P358" si="106">IF(O341=8,0.395,IF(O341=10,0.617,IF(O341=12,0.888,IF(O341=14,1.208,IF(O341=16,1.578)))))</f>
        <v>0</v>
      </c>
      <c r="Q341" s="4">
        <f t="shared" si="99"/>
        <v>0</v>
      </c>
      <c r="R341" s="1">
        <f t="shared" si="100"/>
        <v>0</v>
      </c>
    </row>
    <row r="342" spans="10:18" x14ac:dyDescent="0.25">
      <c r="J342" t="s">
        <v>80</v>
      </c>
      <c r="K342">
        <v>12</v>
      </c>
      <c r="L342">
        <f>5+2+15+3.5</f>
        <v>25.5</v>
      </c>
      <c r="M342">
        <v>0</v>
      </c>
      <c r="N342" s="2">
        <v>3</v>
      </c>
      <c r="O342">
        <v>12</v>
      </c>
      <c r="P342">
        <f t="shared" si="106"/>
        <v>0.88800000000000001</v>
      </c>
      <c r="Q342" s="4">
        <f t="shared" ref="Q342" si="107">(L342+M342)*N342</f>
        <v>76.5</v>
      </c>
      <c r="R342" s="1">
        <f t="shared" ref="R342" si="108">P342*Q342/100</f>
        <v>0.67932000000000003</v>
      </c>
    </row>
    <row r="343" spans="10:18" x14ac:dyDescent="0.25">
      <c r="K343">
        <v>14</v>
      </c>
      <c r="L343">
        <v>15.55</v>
      </c>
      <c r="N343" s="2">
        <v>3</v>
      </c>
      <c r="O343">
        <v>14</v>
      </c>
      <c r="P343">
        <f t="shared" si="106"/>
        <v>1.208</v>
      </c>
      <c r="Q343" s="4">
        <f t="shared" si="99"/>
        <v>46.650000000000006</v>
      </c>
      <c r="R343" s="1">
        <f t="shared" si="100"/>
        <v>0.56353200000000003</v>
      </c>
    </row>
    <row r="344" spans="10:18" x14ac:dyDescent="0.25">
      <c r="K344">
        <v>16</v>
      </c>
      <c r="L344">
        <v>6.45</v>
      </c>
      <c r="N344" s="2">
        <v>3</v>
      </c>
      <c r="O344">
        <v>16</v>
      </c>
      <c r="P344">
        <f t="shared" si="106"/>
        <v>1.5780000000000001</v>
      </c>
      <c r="Q344" s="4">
        <f t="shared" si="99"/>
        <v>19.350000000000001</v>
      </c>
      <c r="R344" s="1">
        <f t="shared" si="100"/>
        <v>0.30534300000000003</v>
      </c>
    </row>
    <row r="345" spans="10:18" x14ac:dyDescent="0.25">
      <c r="K345" t="s">
        <v>22</v>
      </c>
      <c r="L345">
        <v>1.32</v>
      </c>
      <c r="N345" s="2">
        <f>19+9+9+3/0.15+3.4/0.15+9+1.6/0.1</f>
        <v>104.66666666666667</v>
      </c>
      <c r="O345">
        <v>10</v>
      </c>
      <c r="P345">
        <f t="shared" si="106"/>
        <v>0.61699999999999999</v>
      </c>
      <c r="Q345" s="4">
        <f t="shared" si="99"/>
        <v>138.16000000000003</v>
      </c>
      <c r="R345" s="1">
        <f t="shared" si="100"/>
        <v>0.85244720000000018</v>
      </c>
    </row>
    <row r="346" spans="10:18" x14ac:dyDescent="0.25">
      <c r="K346" t="s">
        <v>23</v>
      </c>
      <c r="L346">
        <v>0.84</v>
      </c>
      <c r="N346" s="2">
        <f>19+9+9+3/0.15+3.4/0.15+9+1.6/0.1</f>
        <v>104.66666666666667</v>
      </c>
      <c r="O346">
        <v>10</v>
      </c>
      <c r="P346">
        <f t="shared" si="106"/>
        <v>0.61699999999999999</v>
      </c>
      <c r="Q346" s="4">
        <f t="shared" si="99"/>
        <v>87.92</v>
      </c>
      <c r="R346" s="1">
        <f t="shared" si="100"/>
        <v>0.54246640000000002</v>
      </c>
    </row>
    <row r="347" spans="10:18" x14ac:dyDescent="0.25">
      <c r="P347" t="b">
        <f t="shared" si="106"/>
        <v>0</v>
      </c>
      <c r="Q347" s="4">
        <f t="shared" si="99"/>
        <v>0</v>
      </c>
      <c r="R347" s="1">
        <f t="shared" si="100"/>
        <v>0</v>
      </c>
    </row>
    <row r="348" spans="10:18" x14ac:dyDescent="0.25">
      <c r="J348" t="s">
        <v>81</v>
      </c>
      <c r="K348">
        <v>12</v>
      </c>
      <c r="L348">
        <f>3+3+3.3+15.5</f>
        <v>24.8</v>
      </c>
      <c r="M348">
        <v>0</v>
      </c>
      <c r="N348" s="2">
        <v>3</v>
      </c>
      <c r="O348">
        <v>12</v>
      </c>
      <c r="P348">
        <f t="shared" ref="P348" si="109">IF(O348=8,0.395,IF(O348=10,0.617,IF(O348=12,0.888,IF(O348=14,1.208,IF(O348=16,1.578)))))</f>
        <v>0.88800000000000001</v>
      </c>
      <c r="Q348" s="4">
        <f t="shared" ref="Q348" si="110">(L348+M348)*N348</f>
        <v>74.400000000000006</v>
      </c>
      <c r="R348" s="1">
        <f t="shared" ref="R348" si="111">P348*Q348/100</f>
        <v>0.66067200000000004</v>
      </c>
    </row>
    <row r="349" spans="10:18" x14ac:dyDescent="0.25">
      <c r="K349">
        <v>14</v>
      </c>
      <c r="L349">
        <v>15.5</v>
      </c>
      <c r="N349" s="2">
        <v>3</v>
      </c>
      <c r="O349">
        <v>14</v>
      </c>
      <c r="P349">
        <f t="shared" si="106"/>
        <v>1.208</v>
      </c>
      <c r="Q349" s="4">
        <f t="shared" si="99"/>
        <v>46.5</v>
      </c>
      <c r="R349" s="1">
        <f t="shared" si="100"/>
        <v>0.56172</v>
      </c>
    </row>
    <row r="350" spans="10:18" x14ac:dyDescent="0.25">
      <c r="K350">
        <v>16</v>
      </c>
      <c r="L350">
        <v>6.5</v>
      </c>
      <c r="N350" s="2">
        <v>2</v>
      </c>
      <c r="O350">
        <v>16</v>
      </c>
      <c r="P350">
        <f t="shared" si="106"/>
        <v>1.5780000000000001</v>
      </c>
      <c r="Q350" s="4">
        <f t="shared" si="99"/>
        <v>13</v>
      </c>
      <c r="R350" s="1">
        <f t="shared" si="100"/>
        <v>0.20513999999999999</v>
      </c>
    </row>
    <row r="351" spans="10:18" x14ac:dyDescent="0.25">
      <c r="K351" t="s">
        <v>22</v>
      </c>
      <c r="L351">
        <v>1.32</v>
      </c>
      <c r="N351" s="2">
        <f>19+9+9+3/0.15+3.4/0.15+9+1.6/0.1</f>
        <v>104.66666666666667</v>
      </c>
      <c r="O351">
        <v>10</v>
      </c>
      <c r="P351">
        <f t="shared" si="106"/>
        <v>0.61699999999999999</v>
      </c>
      <c r="Q351" s="4">
        <f t="shared" si="99"/>
        <v>138.16000000000003</v>
      </c>
      <c r="R351" s="1">
        <f t="shared" si="100"/>
        <v>0.85244720000000018</v>
      </c>
    </row>
    <row r="352" spans="10:18" x14ac:dyDescent="0.25">
      <c r="K352" t="s">
        <v>23</v>
      </c>
      <c r="L352">
        <v>0.84</v>
      </c>
      <c r="N352" s="2">
        <f>19+9+9+3/0.15+3.4/0.15+9+1.6/0.1</f>
        <v>104.66666666666667</v>
      </c>
      <c r="O352">
        <v>10</v>
      </c>
      <c r="P352">
        <f t="shared" si="106"/>
        <v>0.61699999999999999</v>
      </c>
      <c r="Q352" s="4">
        <f t="shared" si="99"/>
        <v>87.92</v>
      </c>
      <c r="R352" s="1">
        <f t="shared" si="100"/>
        <v>0.54246640000000002</v>
      </c>
    </row>
    <row r="353" spans="10:21" x14ac:dyDescent="0.25">
      <c r="P353" t="b">
        <f t="shared" si="106"/>
        <v>0</v>
      </c>
      <c r="Q353" s="4">
        <f t="shared" si="99"/>
        <v>0</v>
      </c>
      <c r="R353" s="1">
        <f t="shared" si="100"/>
        <v>0</v>
      </c>
    </row>
    <row r="354" spans="10:21" x14ac:dyDescent="0.25">
      <c r="J354" t="s">
        <v>82</v>
      </c>
      <c r="K354">
        <v>12</v>
      </c>
      <c r="L354">
        <f>3+2+14.5+3</f>
        <v>22.5</v>
      </c>
      <c r="N354" s="2">
        <v>3</v>
      </c>
      <c r="O354">
        <v>12</v>
      </c>
      <c r="P354">
        <f t="shared" ref="P354" si="112">IF(O354=8,0.395,IF(O354=10,0.617,IF(O354=12,0.888,IF(O354=14,1.208,IF(O354=16,1.578)))))</f>
        <v>0.88800000000000001</v>
      </c>
      <c r="Q354" s="4">
        <f t="shared" ref="Q354" si="113">(L354+M354)*N354</f>
        <v>67.5</v>
      </c>
      <c r="R354" s="1">
        <f t="shared" ref="R354" si="114">P354*Q354/100</f>
        <v>0.59939999999999993</v>
      </c>
    </row>
    <row r="355" spans="10:21" x14ac:dyDescent="0.25">
      <c r="K355">
        <v>14</v>
      </c>
      <c r="L355">
        <v>14.65</v>
      </c>
      <c r="N355" s="2">
        <v>3</v>
      </c>
      <c r="O355">
        <v>14</v>
      </c>
      <c r="P355">
        <f t="shared" si="106"/>
        <v>1.208</v>
      </c>
      <c r="Q355" s="4">
        <f t="shared" si="99"/>
        <v>43.95</v>
      </c>
      <c r="R355" s="1">
        <f t="shared" si="100"/>
        <v>0.53091599999999994</v>
      </c>
    </row>
    <row r="356" spans="10:21" x14ac:dyDescent="0.25">
      <c r="K356" t="s">
        <v>22</v>
      </c>
      <c r="L356">
        <v>1.32</v>
      </c>
      <c r="N356" s="2">
        <f>19+9+9+3/0.15+3.4/0.15+9+1.6/0.1</f>
        <v>104.66666666666667</v>
      </c>
      <c r="O356">
        <v>10</v>
      </c>
      <c r="P356">
        <f t="shared" si="106"/>
        <v>0.61699999999999999</v>
      </c>
      <c r="Q356" s="4">
        <f t="shared" si="99"/>
        <v>138.16000000000003</v>
      </c>
      <c r="R356" s="1">
        <f t="shared" si="100"/>
        <v>0.85244720000000018</v>
      </c>
    </row>
    <row r="357" spans="10:21" x14ac:dyDescent="0.25">
      <c r="K357" t="s">
        <v>23</v>
      </c>
      <c r="L357">
        <v>0.84</v>
      </c>
      <c r="N357" s="2">
        <f>19+9+9+3/0.15+3.4/0.15+9+1.6/0.1</f>
        <v>104.66666666666667</v>
      </c>
      <c r="O357">
        <v>10</v>
      </c>
      <c r="P357">
        <f t="shared" si="106"/>
        <v>0.61699999999999999</v>
      </c>
      <c r="Q357" s="4">
        <f t="shared" si="99"/>
        <v>87.92</v>
      </c>
      <c r="R357" s="1">
        <f t="shared" si="100"/>
        <v>0.54246640000000002</v>
      </c>
    </row>
    <row r="358" spans="10:21" x14ac:dyDescent="0.25">
      <c r="P358" t="b">
        <f t="shared" si="106"/>
        <v>0</v>
      </c>
      <c r="Q358" s="4">
        <f t="shared" si="99"/>
        <v>0</v>
      </c>
      <c r="R358" s="1">
        <f t="shared" si="100"/>
        <v>0</v>
      </c>
    </row>
    <row r="359" spans="10:21" x14ac:dyDescent="0.25">
      <c r="J359" t="s">
        <v>103</v>
      </c>
      <c r="K359">
        <v>14</v>
      </c>
      <c r="L359">
        <v>6.22</v>
      </c>
      <c r="M359">
        <v>0.3</v>
      </c>
      <c r="N359" s="2">
        <v>4</v>
      </c>
      <c r="O359">
        <v>14</v>
      </c>
      <c r="P359">
        <f t="shared" ref="P359:P360" si="115">IF(O359=8,0.395,IF(O359=10,0.617,IF(O359=12,0.888,IF(O359=14,1.208,IF(O359=16,1.578)))))</f>
        <v>1.208</v>
      </c>
      <c r="Q359" s="4">
        <f t="shared" ref="Q359" si="116">(L359+M359)*N359</f>
        <v>26.08</v>
      </c>
      <c r="R359" s="1">
        <f t="shared" ref="R359" si="117">P359*Q359/100</f>
        <v>0.3150464</v>
      </c>
    </row>
    <row r="360" spans="10:21" x14ac:dyDescent="0.25">
      <c r="K360" t="s">
        <v>22</v>
      </c>
      <c r="L360">
        <v>0.48</v>
      </c>
      <c r="N360">
        <f>L359/0.15</f>
        <v>41.466666666666669</v>
      </c>
      <c r="O360">
        <v>10</v>
      </c>
      <c r="P360">
        <f t="shared" si="115"/>
        <v>0.61699999999999999</v>
      </c>
      <c r="Q360" s="4">
        <f t="shared" ref="Q360" si="118">(L360+M360)*N360</f>
        <v>19.904</v>
      </c>
      <c r="R360" s="1">
        <f t="shared" ref="R360" si="119">P360*Q360/100</f>
        <v>0.12280768</v>
      </c>
    </row>
    <row r="361" spans="10:21" x14ac:dyDescent="0.25">
      <c r="P361" t="b">
        <f t="shared" ref="P361:P362" si="120">IF(O361=8,0.395,IF(O361=10,0.617,IF(O361=12,0.888,IF(O361=14,1.208,IF(O361=16,1.578)))))</f>
        <v>0</v>
      </c>
      <c r="Q361" s="4">
        <f t="shared" ref="Q361" si="121">(L361+M361)*N361</f>
        <v>0</v>
      </c>
      <c r="R361" s="1">
        <f t="shared" ref="R361" si="122">P361*Q361/100</f>
        <v>0</v>
      </c>
    </row>
    <row r="362" spans="10:21" x14ac:dyDescent="0.25">
      <c r="O362">
        <v>10</v>
      </c>
      <c r="P362">
        <f t="shared" si="120"/>
        <v>0.61699999999999999</v>
      </c>
      <c r="Q362" s="4">
        <v>12</v>
      </c>
      <c r="R362" s="5">
        <f>P362*Q362</f>
        <v>7.4039999999999999</v>
      </c>
    </row>
    <row r="363" spans="10:21" x14ac:dyDescent="0.25">
      <c r="O363">
        <v>12</v>
      </c>
      <c r="P363">
        <f t="shared" ref="P363:P366" si="123">IF(O363=8,0.395,IF(O363=10,0.617,IF(O363=12,0.888,IF(O363=14,1.208,IF(O363=16,1.578)))))</f>
        <v>0.88800000000000001</v>
      </c>
      <c r="Q363" s="4">
        <v>12</v>
      </c>
      <c r="R363" s="5">
        <f t="shared" ref="R363:R366" si="124">P363*Q363</f>
        <v>10.656000000000001</v>
      </c>
    </row>
    <row r="364" spans="10:21" x14ac:dyDescent="0.25">
      <c r="J364" s="8" t="s">
        <v>114</v>
      </c>
      <c r="K364" s="8" t="s">
        <v>115</v>
      </c>
      <c r="L364" s="8"/>
      <c r="O364">
        <v>14</v>
      </c>
      <c r="P364">
        <f t="shared" si="123"/>
        <v>1.208</v>
      </c>
      <c r="Q364" s="4">
        <v>12</v>
      </c>
      <c r="R364" s="5">
        <f t="shared" si="124"/>
        <v>14.495999999999999</v>
      </c>
      <c r="U364" t="s">
        <v>175</v>
      </c>
    </row>
    <row r="365" spans="10:21" x14ac:dyDescent="0.25">
      <c r="O365">
        <v>16</v>
      </c>
      <c r="P365">
        <f t="shared" si="123"/>
        <v>1.5780000000000001</v>
      </c>
      <c r="Q365" s="4">
        <v>12</v>
      </c>
      <c r="R365" s="5">
        <f t="shared" si="124"/>
        <v>18.936</v>
      </c>
      <c r="T365" t="s">
        <v>174</v>
      </c>
    </row>
    <row r="366" spans="10:21" x14ac:dyDescent="0.25">
      <c r="P366" t="b">
        <f t="shared" si="123"/>
        <v>0</v>
      </c>
      <c r="Q366" s="4">
        <v>16</v>
      </c>
      <c r="R366" s="5">
        <f t="shared" si="124"/>
        <v>0</v>
      </c>
    </row>
    <row r="369" spans="7:20" x14ac:dyDescent="0.25">
      <c r="T369">
        <f>SUM(R14:R360)</f>
        <v>278.87481536000001</v>
      </c>
    </row>
    <row r="370" spans="7:20" x14ac:dyDescent="0.25">
      <c r="R370" s="1" t="s">
        <v>175</v>
      </c>
    </row>
    <row r="371" spans="7:20" x14ac:dyDescent="0.25">
      <c r="R371" s="1">
        <f>SUM(R14:R361)*100</f>
        <v>27887.481536000003</v>
      </c>
      <c r="T371">
        <v>27887.5</v>
      </c>
    </row>
    <row r="383" spans="7:20" x14ac:dyDescent="0.25">
      <c r="G383" t="s">
        <v>2</v>
      </c>
    </row>
  </sheetData>
  <mergeCells count="3">
    <mergeCell ref="H232:I232"/>
    <mergeCell ref="H282:I282"/>
    <mergeCell ref="H329:I329"/>
  </mergeCells>
  <phoneticPr fontId="2" type="noConversion"/>
  <pageMargins left="0.7" right="0.7" top="0.75" bottom="0.75" header="0.3" footer="0.3"/>
  <pageSetup paperSize="9" orientation="portrait" horizontalDpi="300" verticalDpi="300" r:id="rId1"/>
  <ignoredErrors>
    <ignoredError sqref="N16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D310-BF68-40F6-BDDC-0C438C5E79FE}">
  <dimension ref="C2:R100"/>
  <sheetViews>
    <sheetView topLeftCell="B64" zoomScale="85" zoomScaleNormal="85" workbookViewId="0">
      <selection activeCell="C2" sqref="C2:J97"/>
    </sheetView>
  </sheetViews>
  <sheetFormatPr baseColWidth="10" defaultRowHeight="15" x14ac:dyDescent="0.25"/>
  <cols>
    <col min="4" max="4" width="21" customWidth="1"/>
    <col min="5" max="5" width="17.85546875" customWidth="1"/>
    <col min="6" max="6" width="24.85546875" customWidth="1"/>
    <col min="11" max="11" width="30.5703125" customWidth="1"/>
    <col min="16" max="16" width="41.85546875" customWidth="1"/>
    <col min="19" max="19" width="24.5703125" customWidth="1"/>
  </cols>
  <sheetData>
    <row r="2" spans="3:10" x14ac:dyDescent="0.25">
      <c r="G2" t="s">
        <v>41</v>
      </c>
      <c r="H2" t="s">
        <v>42</v>
      </c>
      <c r="I2" t="s">
        <v>43</v>
      </c>
      <c r="J2" t="s">
        <v>44</v>
      </c>
    </row>
    <row r="3" spans="3:10" x14ac:dyDescent="0.25">
      <c r="C3" t="s">
        <v>38</v>
      </c>
      <c r="D3" t="s">
        <v>39</v>
      </c>
      <c r="E3" t="s">
        <v>40</v>
      </c>
      <c r="G3">
        <v>13.8</v>
      </c>
      <c r="H3">
        <v>11.3</v>
      </c>
      <c r="I3">
        <v>0.15</v>
      </c>
      <c r="J3">
        <f>G3*H3*I3</f>
        <v>23.391000000000002</v>
      </c>
    </row>
    <row r="4" spans="3:10" x14ac:dyDescent="0.25">
      <c r="E4" t="s">
        <v>4</v>
      </c>
      <c r="F4" t="s">
        <v>45</v>
      </c>
      <c r="G4">
        <v>13.8</v>
      </c>
      <c r="H4">
        <v>2</v>
      </c>
      <c r="I4">
        <v>0.4</v>
      </c>
      <c r="J4">
        <f t="shared" ref="J4:J15" si="0">G4*H4*I4</f>
        <v>11.040000000000001</v>
      </c>
    </row>
    <row r="5" spans="3:10" x14ac:dyDescent="0.25">
      <c r="F5" t="s">
        <v>21</v>
      </c>
      <c r="G5">
        <v>13.8</v>
      </c>
      <c r="H5">
        <v>0.35</v>
      </c>
      <c r="I5">
        <v>0.35</v>
      </c>
      <c r="J5">
        <f t="shared" si="0"/>
        <v>1.6904999999999999</v>
      </c>
    </row>
    <row r="6" spans="3:10" x14ac:dyDescent="0.25">
      <c r="E6" t="s">
        <v>5</v>
      </c>
      <c r="F6" t="s">
        <v>46</v>
      </c>
      <c r="G6">
        <v>13.8</v>
      </c>
      <c r="H6">
        <v>1.8</v>
      </c>
      <c r="I6">
        <v>0.4</v>
      </c>
      <c r="J6">
        <f t="shared" si="0"/>
        <v>9.9360000000000017</v>
      </c>
    </row>
    <row r="7" spans="3:10" x14ac:dyDescent="0.25">
      <c r="F7" t="s">
        <v>21</v>
      </c>
      <c r="G7">
        <v>13.8</v>
      </c>
      <c r="H7">
        <v>0.45</v>
      </c>
      <c r="I7">
        <v>0.35</v>
      </c>
      <c r="J7">
        <f t="shared" si="0"/>
        <v>2.1735000000000002</v>
      </c>
    </row>
    <row r="8" spans="3:10" x14ac:dyDescent="0.25">
      <c r="E8" t="s">
        <v>6</v>
      </c>
      <c r="F8" t="s">
        <v>45</v>
      </c>
      <c r="G8">
        <v>13.8</v>
      </c>
      <c r="H8">
        <v>2</v>
      </c>
      <c r="I8">
        <v>0.4</v>
      </c>
      <c r="J8">
        <f t="shared" si="0"/>
        <v>11.040000000000001</v>
      </c>
    </row>
    <row r="9" spans="3:10" x14ac:dyDescent="0.25">
      <c r="F9" t="s">
        <v>47</v>
      </c>
      <c r="G9">
        <v>13.8</v>
      </c>
      <c r="H9">
        <v>0.35</v>
      </c>
      <c r="I9">
        <v>0.35</v>
      </c>
      <c r="J9">
        <f t="shared" si="0"/>
        <v>1.6904999999999999</v>
      </c>
    </row>
    <row r="10" spans="3:10" x14ac:dyDescent="0.25">
      <c r="E10" t="s">
        <v>32</v>
      </c>
      <c r="F10" t="s">
        <v>46</v>
      </c>
      <c r="G10">
        <v>1.8</v>
      </c>
      <c r="H10">
        <f>2.4+3</f>
        <v>5.4</v>
      </c>
      <c r="I10">
        <v>0.4</v>
      </c>
      <c r="J10">
        <f t="shared" si="0"/>
        <v>3.8880000000000003</v>
      </c>
    </row>
    <row r="11" spans="3:10" x14ac:dyDescent="0.25">
      <c r="F11" t="s">
        <v>21</v>
      </c>
      <c r="G11">
        <v>0.35</v>
      </c>
      <c r="H11">
        <v>11.3</v>
      </c>
      <c r="I11">
        <v>0.35</v>
      </c>
      <c r="J11">
        <f t="shared" si="0"/>
        <v>1.38425</v>
      </c>
    </row>
    <row r="12" spans="3:10" x14ac:dyDescent="0.25">
      <c r="E12" t="s">
        <v>33</v>
      </c>
      <c r="F12" t="s">
        <v>46</v>
      </c>
      <c r="G12">
        <v>2.5</v>
      </c>
      <c r="H12">
        <v>5.4</v>
      </c>
      <c r="I12">
        <v>0.4</v>
      </c>
      <c r="J12">
        <f t="shared" si="0"/>
        <v>5.4</v>
      </c>
    </row>
    <row r="13" spans="3:10" x14ac:dyDescent="0.25">
      <c r="F13" t="s">
        <v>21</v>
      </c>
      <c r="G13">
        <v>0.45</v>
      </c>
      <c r="H13">
        <v>11.3</v>
      </c>
      <c r="I13">
        <v>0.35</v>
      </c>
      <c r="J13">
        <f t="shared" si="0"/>
        <v>1.7797500000000002</v>
      </c>
    </row>
    <row r="14" spans="3:10" x14ac:dyDescent="0.25">
      <c r="E14" t="s">
        <v>34</v>
      </c>
      <c r="F14" t="s">
        <v>46</v>
      </c>
      <c r="G14">
        <v>2.8</v>
      </c>
      <c r="H14">
        <v>5.4</v>
      </c>
      <c r="I14">
        <v>0.4</v>
      </c>
      <c r="J14">
        <f t="shared" si="0"/>
        <v>6.048</v>
      </c>
    </row>
    <row r="15" spans="3:10" x14ac:dyDescent="0.25">
      <c r="F15" t="s">
        <v>21</v>
      </c>
      <c r="G15">
        <v>0.35</v>
      </c>
      <c r="H15">
        <v>11.3</v>
      </c>
      <c r="I15">
        <v>0.35</v>
      </c>
      <c r="J15">
        <f t="shared" si="0"/>
        <v>1.38425</v>
      </c>
    </row>
    <row r="16" spans="3:10" x14ac:dyDescent="0.25">
      <c r="E16" t="s">
        <v>54</v>
      </c>
      <c r="J16">
        <v>10</v>
      </c>
    </row>
    <row r="17" spans="4:13" x14ac:dyDescent="0.25">
      <c r="E17" t="s">
        <v>48</v>
      </c>
      <c r="G17">
        <v>12.7</v>
      </c>
      <c r="H17">
        <v>11.4</v>
      </c>
      <c r="I17">
        <v>0.2</v>
      </c>
      <c r="J17">
        <f>G17*H17*I17</f>
        <v>28.956000000000003</v>
      </c>
    </row>
    <row r="19" spans="4:13" x14ac:dyDescent="0.25">
      <c r="E19" t="s">
        <v>140</v>
      </c>
      <c r="F19">
        <v>7</v>
      </c>
      <c r="G19">
        <v>1</v>
      </c>
      <c r="H19">
        <v>0.36</v>
      </c>
      <c r="J19">
        <f>PRODUCT(F19:H19)</f>
        <v>2.52</v>
      </c>
    </row>
    <row r="21" spans="4:13" x14ac:dyDescent="0.25">
      <c r="D21" t="s">
        <v>131</v>
      </c>
      <c r="E21" t="s">
        <v>49</v>
      </c>
      <c r="G21">
        <v>0</v>
      </c>
      <c r="H21">
        <v>0</v>
      </c>
      <c r="I21">
        <v>0</v>
      </c>
      <c r="J21">
        <v>3</v>
      </c>
      <c r="M21">
        <f>119*0.4</f>
        <v>47.6</v>
      </c>
    </row>
    <row r="22" spans="4:13" x14ac:dyDescent="0.25">
      <c r="E22" t="s">
        <v>50</v>
      </c>
      <c r="F22" t="s">
        <v>51</v>
      </c>
      <c r="G22">
        <v>13</v>
      </c>
      <c r="H22">
        <v>0.25</v>
      </c>
      <c r="I22">
        <v>2.95</v>
      </c>
      <c r="J22">
        <f>G22*H22*I22</f>
        <v>9.5875000000000004</v>
      </c>
    </row>
    <row r="23" spans="4:13" x14ac:dyDescent="0.25">
      <c r="F23" t="s">
        <v>52</v>
      </c>
      <c r="G23">
        <v>13</v>
      </c>
      <c r="H23">
        <v>0.25</v>
      </c>
      <c r="I23">
        <v>2.95</v>
      </c>
      <c r="J23">
        <f>G23*H23*I23</f>
        <v>9.5875000000000004</v>
      </c>
    </row>
    <row r="24" spans="4:13" x14ac:dyDescent="0.25">
      <c r="F24" t="s">
        <v>53</v>
      </c>
      <c r="G24">
        <v>0.3</v>
      </c>
      <c r="H24">
        <v>11.3</v>
      </c>
      <c r="I24">
        <v>3.23</v>
      </c>
      <c r="J24">
        <f>G24*H24*I24</f>
        <v>10.9497</v>
      </c>
    </row>
    <row r="26" spans="4:13" x14ac:dyDescent="0.25">
      <c r="E26" t="s">
        <v>121</v>
      </c>
      <c r="F26">
        <v>3</v>
      </c>
      <c r="G26">
        <v>0.4</v>
      </c>
      <c r="H26">
        <v>0.4</v>
      </c>
      <c r="I26">
        <v>3.23</v>
      </c>
      <c r="J26">
        <f>F26*G26*H26*I26</f>
        <v>1.5504000000000002</v>
      </c>
    </row>
    <row r="28" spans="4:13" ht="18" customHeight="1" x14ac:dyDescent="0.25">
      <c r="E28" t="s">
        <v>122</v>
      </c>
      <c r="F28">
        <v>1</v>
      </c>
      <c r="G28">
        <v>0.45</v>
      </c>
      <c r="H28">
        <v>0.45</v>
      </c>
      <c r="I28">
        <v>3.23</v>
      </c>
      <c r="J28">
        <f>G28*H28*I28</f>
        <v>0.65407500000000007</v>
      </c>
    </row>
    <row r="29" spans="4:13" ht="18" customHeight="1" x14ac:dyDescent="0.25"/>
    <row r="30" spans="4:13" x14ac:dyDescent="0.25">
      <c r="E30" t="s">
        <v>123</v>
      </c>
      <c r="F30" t="s">
        <v>113</v>
      </c>
      <c r="G30">
        <f>28*2+23*9+26*9+28*2+24*2+26*8+8*8</f>
        <v>873</v>
      </c>
      <c r="H30" s="9" t="s">
        <v>112</v>
      </c>
      <c r="I30">
        <v>8.9999999999999993E-3</v>
      </c>
      <c r="J30">
        <f>0.009*900</f>
        <v>8.1</v>
      </c>
      <c r="K30" s="71" t="s">
        <v>119</v>
      </c>
    </row>
    <row r="31" spans="4:13" x14ac:dyDescent="0.25">
      <c r="F31" t="s">
        <v>51</v>
      </c>
      <c r="G31">
        <v>13.4</v>
      </c>
      <c r="H31">
        <v>0.3</v>
      </c>
      <c r="I31">
        <v>0.4</v>
      </c>
      <c r="J31">
        <f>G31*H31*I31</f>
        <v>1.6079999999999999</v>
      </c>
      <c r="K31" s="71"/>
    </row>
    <row r="32" spans="4:13" x14ac:dyDescent="0.25">
      <c r="F32" t="s">
        <v>116</v>
      </c>
      <c r="G32">
        <v>13.4</v>
      </c>
      <c r="H32">
        <v>0.3</v>
      </c>
      <c r="I32">
        <v>0.4</v>
      </c>
      <c r="J32">
        <f>G32*H32*I32</f>
        <v>1.6079999999999999</v>
      </c>
      <c r="K32" s="71"/>
    </row>
    <row r="33" spans="4:18" x14ac:dyDescent="0.25">
      <c r="F33" t="s">
        <v>52</v>
      </c>
      <c r="G33">
        <v>13.4</v>
      </c>
      <c r="H33">
        <v>0.3</v>
      </c>
      <c r="I33">
        <v>0.4</v>
      </c>
      <c r="J33">
        <f>G33*H33*I33</f>
        <v>1.6079999999999999</v>
      </c>
      <c r="K33" s="71"/>
    </row>
    <row r="34" spans="4:18" x14ac:dyDescent="0.25">
      <c r="F34" t="s">
        <v>32</v>
      </c>
      <c r="G34">
        <v>11.3</v>
      </c>
      <c r="H34">
        <v>0.3</v>
      </c>
      <c r="I34">
        <v>0.45</v>
      </c>
      <c r="J34">
        <f t="shared" ref="J34:J38" si="1">G34*H34*I34</f>
        <v>1.5255000000000001</v>
      </c>
      <c r="K34" s="71"/>
      <c r="P34" t="s">
        <v>110</v>
      </c>
      <c r="Q34" t="s">
        <v>109</v>
      </c>
      <c r="R34" t="s">
        <v>44</v>
      </c>
    </row>
    <row r="35" spans="4:18" x14ac:dyDescent="0.25">
      <c r="F35" t="s">
        <v>117</v>
      </c>
      <c r="G35">
        <v>5.4</v>
      </c>
      <c r="H35">
        <v>0.3</v>
      </c>
      <c r="I35">
        <v>0.45</v>
      </c>
      <c r="J35">
        <f t="shared" si="1"/>
        <v>0.72900000000000009</v>
      </c>
      <c r="K35" s="71"/>
      <c r="P35" t="s">
        <v>111</v>
      </c>
      <c r="Q35" t="s">
        <v>108</v>
      </c>
      <c r="R35">
        <f>0.2*0.045</f>
        <v>8.9999999999999993E-3</v>
      </c>
    </row>
    <row r="36" spans="4:18" x14ac:dyDescent="0.25">
      <c r="F36" t="s">
        <v>33</v>
      </c>
      <c r="G36">
        <v>11.4</v>
      </c>
      <c r="H36">
        <v>0.3</v>
      </c>
      <c r="I36">
        <v>0.45</v>
      </c>
      <c r="J36">
        <f t="shared" si="1"/>
        <v>1.5389999999999999</v>
      </c>
      <c r="K36" s="71"/>
    </row>
    <row r="37" spans="4:18" x14ac:dyDescent="0.25">
      <c r="F37" t="s">
        <v>34</v>
      </c>
      <c r="G37">
        <v>11.4</v>
      </c>
      <c r="H37">
        <v>0.3</v>
      </c>
      <c r="I37">
        <v>0.45</v>
      </c>
      <c r="J37">
        <f t="shared" si="1"/>
        <v>1.5389999999999999</v>
      </c>
      <c r="K37" s="71"/>
    </row>
    <row r="38" spans="4:18" x14ac:dyDescent="0.25">
      <c r="F38" t="s">
        <v>53</v>
      </c>
      <c r="G38">
        <v>11.4</v>
      </c>
      <c r="H38">
        <v>0.3</v>
      </c>
      <c r="I38">
        <v>0.35</v>
      </c>
      <c r="J38">
        <f t="shared" si="1"/>
        <v>1.1969999999999998</v>
      </c>
      <c r="K38" s="71"/>
    </row>
    <row r="39" spans="4:18" x14ac:dyDescent="0.25">
      <c r="F39" t="s">
        <v>118</v>
      </c>
      <c r="G39">
        <v>1.64</v>
      </c>
      <c r="H39">
        <v>2.7</v>
      </c>
      <c r="I39">
        <v>0.21</v>
      </c>
      <c r="J39">
        <f>G39*H39*I39</f>
        <v>0.92987999999999993</v>
      </c>
      <c r="K39" s="71"/>
    </row>
    <row r="41" spans="4:18" x14ac:dyDescent="0.25">
      <c r="D41" t="s">
        <v>132</v>
      </c>
      <c r="E41" t="s">
        <v>120</v>
      </c>
      <c r="J41">
        <v>3</v>
      </c>
    </row>
    <row r="43" spans="4:18" x14ac:dyDescent="0.25">
      <c r="E43" t="s">
        <v>66</v>
      </c>
      <c r="G43">
        <v>3.23</v>
      </c>
      <c r="H43">
        <v>0.3</v>
      </c>
      <c r="I43">
        <v>3</v>
      </c>
      <c r="J43">
        <f>G43*H43*I43</f>
        <v>2.907</v>
      </c>
    </row>
    <row r="44" spans="4:18" x14ac:dyDescent="0.25">
      <c r="E44" t="s">
        <v>67</v>
      </c>
      <c r="G44">
        <v>3.23</v>
      </c>
      <c r="H44">
        <v>0.3</v>
      </c>
      <c r="I44">
        <v>2.25</v>
      </c>
      <c r="J44">
        <f>G44*H44*I44</f>
        <v>2.18025</v>
      </c>
    </row>
    <row r="45" spans="4:18" x14ac:dyDescent="0.25">
      <c r="E45" t="s">
        <v>68</v>
      </c>
      <c r="G45">
        <v>3.23</v>
      </c>
      <c r="H45">
        <v>0.3</v>
      </c>
      <c r="I45">
        <v>2.15</v>
      </c>
      <c r="J45">
        <f t="shared" ref="J45:J49" si="2">G45*H45*I45</f>
        <v>2.0833499999999998</v>
      </c>
    </row>
    <row r="46" spans="4:18" x14ac:dyDescent="0.25">
      <c r="E46" t="s">
        <v>124</v>
      </c>
      <c r="F46">
        <v>4</v>
      </c>
      <c r="G46">
        <v>3.23</v>
      </c>
      <c r="H46">
        <v>0.3</v>
      </c>
      <c r="I46">
        <v>0.3</v>
      </c>
      <c r="J46">
        <f>G46*H46*I46*F46</f>
        <v>1.1627999999999998</v>
      </c>
    </row>
    <row r="47" spans="4:18" x14ac:dyDescent="0.25">
      <c r="E47" t="s">
        <v>125</v>
      </c>
      <c r="F47">
        <v>3</v>
      </c>
      <c r="G47">
        <v>3.23</v>
      </c>
      <c r="H47">
        <v>0.4</v>
      </c>
      <c r="I47">
        <v>0.4</v>
      </c>
      <c r="J47">
        <f>G47*H47*I47*3</f>
        <v>1.5504000000000002</v>
      </c>
    </row>
    <row r="48" spans="4:18" x14ac:dyDescent="0.25">
      <c r="E48" t="s">
        <v>126</v>
      </c>
      <c r="F48">
        <v>1</v>
      </c>
      <c r="G48">
        <v>3.23</v>
      </c>
      <c r="H48">
        <v>0.45</v>
      </c>
      <c r="I48">
        <v>0.45</v>
      </c>
      <c r="J48">
        <f t="shared" si="2"/>
        <v>0.65407500000000007</v>
      </c>
    </row>
    <row r="49" spans="4:10" x14ac:dyDescent="0.25">
      <c r="J49">
        <f t="shared" si="2"/>
        <v>0</v>
      </c>
    </row>
    <row r="50" spans="4:10" x14ac:dyDescent="0.25">
      <c r="E50" t="s">
        <v>127</v>
      </c>
      <c r="F50" t="s">
        <v>113</v>
      </c>
      <c r="G50">
        <v>900</v>
      </c>
      <c r="I50">
        <v>8.9999999999999993E-3</v>
      </c>
      <c r="J50">
        <f>900*I50</f>
        <v>8.1</v>
      </c>
    </row>
    <row r="51" spans="4:10" x14ac:dyDescent="0.25">
      <c r="F51" t="s">
        <v>51</v>
      </c>
      <c r="G51">
        <v>13.4</v>
      </c>
      <c r="H51">
        <v>0.3</v>
      </c>
      <c r="I51">
        <v>0.4</v>
      </c>
      <c r="J51">
        <f>G51*H51*I51</f>
        <v>1.6079999999999999</v>
      </c>
    </row>
    <row r="52" spans="4:10" x14ac:dyDescent="0.25">
      <c r="F52" t="s">
        <v>116</v>
      </c>
      <c r="G52">
        <v>13.4</v>
      </c>
      <c r="H52">
        <v>0.3</v>
      </c>
      <c r="I52">
        <v>0.4</v>
      </c>
      <c r="J52">
        <f>G52*H52*I52</f>
        <v>1.6079999999999999</v>
      </c>
    </row>
    <row r="53" spans="4:10" x14ac:dyDescent="0.25">
      <c r="F53" t="s">
        <v>52</v>
      </c>
      <c r="G53">
        <v>13.4</v>
      </c>
      <c r="H53">
        <v>0.3</v>
      </c>
      <c r="I53">
        <v>0.4</v>
      </c>
      <c r="J53">
        <f>G53*H53*I53</f>
        <v>1.6079999999999999</v>
      </c>
    </row>
    <row r="54" spans="4:10" x14ac:dyDescent="0.25">
      <c r="F54" t="s">
        <v>32</v>
      </c>
      <c r="G54">
        <v>11.3</v>
      </c>
      <c r="H54">
        <v>0.3</v>
      </c>
      <c r="I54">
        <v>0.45</v>
      </c>
      <c r="J54">
        <f t="shared" ref="J54:J59" si="3">G54*H54*I54</f>
        <v>1.5255000000000001</v>
      </c>
    </row>
    <row r="55" spans="4:10" x14ac:dyDescent="0.25">
      <c r="F55" t="s">
        <v>33</v>
      </c>
      <c r="G55">
        <v>11.4</v>
      </c>
      <c r="H55">
        <v>0.3</v>
      </c>
      <c r="I55">
        <v>0.45</v>
      </c>
      <c r="J55">
        <f t="shared" si="3"/>
        <v>1.5389999999999999</v>
      </c>
    </row>
    <row r="56" spans="4:10" x14ac:dyDescent="0.25">
      <c r="F56" t="s">
        <v>34</v>
      </c>
      <c r="G56">
        <v>11.4</v>
      </c>
      <c r="H56">
        <v>0.3</v>
      </c>
      <c r="I56">
        <v>0.45</v>
      </c>
      <c r="J56">
        <f t="shared" si="3"/>
        <v>1.5389999999999999</v>
      </c>
    </row>
    <row r="57" spans="4:10" x14ac:dyDescent="0.25">
      <c r="F57" t="s">
        <v>128</v>
      </c>
      <c r="G57">
        <v>0.2</v>
      </c>
      <c r="H57">
        <v>3.3</v>
      </c>
      <c r="I57">
        <v>1.6</v>
      </c>
      <c r="J57">
        <f t="shared" si="3"/>
        <v>1.056</v>
      </c>
    </row>
    <row r="58" spans="4:10" x14ac:dyDescent="0.25">
      <c r="F58" t="s">
        <v>129</v>
      </c>
      <c r="G58">
        <v>1</v>
      </c>
      <c r="H58">
        <v>12.8</v>
      </c>
      <c r="I58">
        <v>0.21</v>
      </c>
      <c r="J58">
        <f t="shared" si="3"/>
        <v>2.6880000000000002</v>
      </c>
    </row>
    <row r="59" spans="4:10" x14ac:dyDescent="0.25">
      <c r="J59">
        <f t="shared" si="3"/>
        <v>0</v>
      </c>
    </row>
    <row r="60" spans="4:10" x14ac:dyDescent="0.25">
      <c r="D60" t="s">
        <v>133</v>
      </c>
      <c r="E60" t="s">
        <v>120</v>
      </c>
      <c r="J60">
        <v>3</v>
      </c>
    </row>
    <row r="62" spans="4:10" x14ac:dyDescent="0.25">
      <c r="E62" t="s">
        <v>66</v>
      </c>
      <c r="G62">
        <v>3.23</v>
      </c>
      <c r="H62">
        <v>0.3</v>
      </c>
      <c r="I62">
        <v>3</v>
      </c>
      <c r="J62">
        <f>G62*H62*I62</f>
        <v>2.907</v>
      </c>
    </row>
    <row r="63" spans="4:10" x14ac:dyDescent="0.25">
      <c r="E63" t="s">
        <v>67</v>
      </c>
      <c r="G63">
        <v>3.23</v>
      </c>
      <c r="H63">
        <v>0.3</v>
      </c>
      <c r="I63">
        <v>2.25</v>
      </c>
      <c r="J63">
        <f>G63*H63*I63</f>
        <v>2.18025</v>
      </c>
    </row>
    <row r="64" spans="4:10" x14ac:dyDescent="0.25">
      <c r="E64" t="s">
        <v>68</v>
      </c>
      <c r="G64">
        <v>3.23</v>
      </c>
      <c r="H64">
        <v>0.3</v>
      </c>
      <c r="I64">
        <v>2.15</v>
      </c>
      <c r="J64">
        <f t="shared" ref="J64" si="4">G64*H64*I64</f>
        <v>2.0833499999999998</v>
      </c>
    </row>
    <row r="65" spans="4:10" x14ac:dyDescent="0.25">
      <c r="E65" t="s">
        <v>124</v>
      </c>
      <c r="F65">
        <v>4</v>
      </c>
      <c r="G65">
        <v>3.23</v>
      </c>
      <c r="H65">
        <v>0.3</v>
      </c>
      <c r="I65">
        <v>0.3</v>
      </c>
      <c r="J65">
        <f>G65*H65*I65*F65</f>
        <v>1.1627999999999998</v>
      </c>
    </row>
    <row r="66" spans="4:10" x14ac:dyDescent="0.25">
      <c r="E66" t="s">
        <v>125</v>
      </c>
      <c r="F66">
        <v>3</v>
      </c>
      <c r="G66">
        <v>3.23</v>
      </c>
      <c r="H66">
        <v>0.4</v>
      </c>
      <c r="I66">
        <v>0.4</v>
      </c>
      <c r="J66">
        <f>G66*H66*I66*3</f>
        <v>1.5504000000000002</v>
      </c>
    </row>
    <row r="67" spans="4:10" x14ac:dyDescent="0.25">
      <c r="E67" t="s">
        <v>126</v>
      </c>
      <c r="F67">
        <v>1</v>
      </c>
      <c r="G67">
        <v>3.23</v>
      </c>
      <c r="H67">
        <v>0.45</v>
      </c>
      <c r="I67">
        <v>0.45</v>
      </c>
      <c r="J67">
        <f t="shared" ref="J67:J68" si="5">G67*H67*I67</f>
        <v>0.65407500000000007</v>
      </c>
    </row>
    <row r="68" spans="4:10" x14ac:dyDescent="0.25">
      <c r="J68">
        <f t="shared" si="5"/>
        <v>0</v>
      </c>
    </row>
    <row r="69" spans="4:10" x14ac:dyDescent="0.25">
      <c r="E69" t="s">
        <v>136</v>
      </c>
      <c r="F69" t="s">
        <v>113</v>
      </c>
      <c r="G69">
        <v>900</v>
      </c>
      <c r="I69">
        <v>8.9999999999999993E-3</v>
      </c>
      <c r="J69">
        <f>900*I69</f>
        <v>8.1</v>
      </c>
    </row>
    <row r="70" spans="4:10" x14ac:dyDescent="0.25">
      <c r="F70" t="s">
        <v>51</v>
      </c>
      <c r="G70">
        <v>13.4</v>
      </c>
      <c r="H70">
        <v>0.3</v>
      </c>
      <c r="I70">
        <v>0.4</v>
      </c>
      <c r="J70">
        <f>G70*H70*I70</f>
        <v>1.6079999999999999</v>
      </c>
    </row>
    <row r="71" spans="4:10" x14ac:dyDescent="0.25">
      <c r="F71" t="s">
        <v>116</v>
      </c>
      <c r="G71">
        <v>13.4</v>
      </c>
      <c r="H71">
        <v>0.3</v>
      </c>
      <c r="I71">
        <v>0.4</v>
      </c>
      <c r="J71">
        <f>G71*H71*I71</f>
        <v>1.6079999999999999</v>
      </c>
    </row>
    <row r="72" spans="4:10" x14ac:dyDescent="0.25">
      <c r="F72" t="s">
        <v>52</v>
      </c>
      <c r="G72">
        <v>13.4</v>
      </c>
      <c r="H72">
        <v>0.3</v>
      </c>
      <c r="I72">
        <v>0.4</v>
      </c>
      <c r="J72">
        <f>G72*H72*I72</f>
        <v>1.6079999999999999</v>
      </c>
    </row>
    <row r="73" spans="4:10" x14ac:dyDescent="0.25">
      <c r="F73" t="s">
        <v>32</v>
      </c>
      <c r="G73">
        <v>11.3</v>
      </c>
      <c r="H73">
        <v>0.3</v>
      </c>
      <c r="I73">
        <v>0.45</v>
      </c>
      <c r="J73">
        <f t="shared" ref="J73:J78" si="6">G73*H73*I73</f>
        <v>1.5255000000000001</v>
      </c>
    </row>
    <row r="74" spans="4:10" x14ac:dyDescent="0.25">
      <c r="F74" t="s">
        <v>33</v>
      </c>
      <c r="G74">
        <v>11.4</v>
      </c>
      <c r="H74">
        <v>0.3</v>
      </c>
      <c r="I74">
        <v>0.45</v>
      </c>
      <c r="J74">
        <f t="shared" si="6"/>
        <v>1.5389999999999999</v>
      </c>
    </row>
    <row r="75" spans="4:10" x14ac:dyDescent="0.25">
      <c r="F75" t="s">
        <v>34</v>
      </c>
      <c r="G75">
        <v>11.4</v>
      </c>
      <c r="H75">
        <v>0.3</v>
      </c>
      <c r="I75">
        <v>0.45</v>
      </c>
      <c r="J75">
        <f t="shared" si="6"/>
        <v>1.5389999999999999</v>
      </c>
    </row>
    <row r="76" spans="4:10" x14ac:dyDescent="0.25">
      <c r="F76" t="s">
        <v>134</v>
      </c>
      <c r="G76">
        <v>0.2</v>
      </c>
      <c r="H76">
        <v>3.3</v>
      </c>
      <c r="I76">
        <v>1.6</v>
      </c>
      <c r="J76">
        <f t="shared" si="6"/>
        <v>1.056</v>
      </c>
    </row>
    <row r="77" spans="4:10" x14ac:dyDescent="0.25">
      <c r="F77" t="s">
        <v>129</v>
      </c>
      <c r="G77">
        <v>1</v>
      </c>
      <c r="H77">
        <v>12.8</v>
      </c>
      <c r="I77">
        <v>0.21</v>
      </c>
      <c r="J77">
        <f t="shared" si="6"/>
        <v>2.6880000000000002</v>
      </c>
    </row>
    <row r="78" spans="4:10" x14ac:dyDescent="0.25">
      <c r="F78" t="s">
        <v>135</v>
      </c>
      <c r="G78">
        <v>0.2</v>
      </c>
      <c r="H78">
        <v>4</v>
      </c>
      <c r="I78">
        <v>1.3</v>
      </c>
      <c r="J78">
        <f t="shared" si="6"/>
        <v>1.04</v>
      </c>
    </row>
    <row r="80" spans="4:10" x14ac:dyDescent="0.25">
      <c r="D80" t="s">
        <v>139</v>
      </c>
      <c r="E80" t="s">
        <v>66</v>
      </c>
      <c r="G80">
        <v>3.23</v>
      </c>
      <c r="H80">
        <v>0.3</v>
      </c>
      <c r="I80">
        <v>3</v>
      </c>
      <c r="J80">
        <f>G80*H80*I80</f>
        <v>2.907</v>
      </c>
    </row>
    <row r="81" spans="5:10" x14ac:dyDescent="0.25">
      <c r="E81" t="s">
        <v>67</v>
      </c>
      <c r="G81">
        <v>3.23</v>
      </c>
      <c r="H81">
        <v>0.3</v>
      </c>
      <c r="I81">
        <v>2.25</v>
      </c>
      <c r="J81">
        <f>G81*H81*I81</f>
        <v>2.18025</v>
      </c>
    </row>
    <row r="82" spans="5:10" x14ac:dyDescent="0.25">
      <c r="E82" t="s">
        <v>68</v>
      </c>
      <c r="G82">
        <v>3.23</v>
      </c>
      <c r="H82">
        <v>0.3</v>
      </c>
      <c r="I82">
        <v>2.15</v>
      </c>
      <c r="J82">
        <f t="shared" ref="J82" si="7">G82*H82*I82</f>
        <v>2.0833499999999998</v>
      </c>
    </row>
    <row r="83" spans="5:10" x14ac:dyDescent="0.25">
      <c r="E83" t="s">
        <v>137</v>
      </c>
      <c r="F83">
        <v>4</v>
      </c>
      <c r="G83">
        <v>3.23</v>
      </c>
      <c r="H83">
        <v>0.3</v>
      </c>
      <c r="I83">
        <v>0.3</v>
      </c>
      <c r="J83">
        <f>G83*H83*I83*F83</f>
        <v>1.1627999999999998</v>
      </c>
    </row>
    <row r="84" spans="5:10" x14ac:dyDescent="0.25">
      <c r="E84" t="s">
        <v>125</v>
      </c>
      <c r="F84">
        <v>3</v>
      </c>
      <c r="G84">
        <v>3.23</v>
      </c>
      <c r="H84">
        <v>0.4</v>
      </c>
      <c r="I84">
        <v>0.4</v>
      </c>
      <c r="J84">
        <f>G84*H84*I84*3</f>
        <v>1.5504000000000002</v>
      </c>
    </row>
    <row r="85" spans="5:10" x14ac:dyDescent="0.25">
      <c r="E85" t="s">
        <v>126</v>
      </c>
      <c r="F85">
        <v>1</v>
      </c>
      <c r="G85">
        <v>3.23</v>
      </c>
      <c r="H85">
        <v>0.45</v>
      </c>
      <c r="I85">
        <v>0.45</v>
      </c>
      <c r="J85">
        <f t="shared" ref="J85:J86" si="8">G85*H85*I85</f>
        <v>0.65407500000000007</v>
      </c>
    </row>
    <row r="86" spans="5:10" x14ac:dyDescent="0.25">
      <c r="J86">
        <f t="shared" si="8"/>
        <v>0</v>
      </c>
    </row>
    <row r="87" spans="5:10" x14ac:dyDescent="0.25">
      <c r="E87" t="s">
        <v>138</v>
      </c>
      <c r="F87" t="s">
        <v>113</v>
      </c>
      <c r="G87">
        <v>900</v>
      </c>
      <c r="I87">
        <v>8.9999999999999993E-3</v>
      </c>
      <c r="J87">
        <f>900*I87</f>
        <v>8.1</v>
      </c>
    </row>
    <row r="88" spans="5:10" x14ac:dyDescent="0.25">
      <c r="F88" t="s">
        <v>51</v>
      </c>
      <c r="G88">
        <v>13.4</v>
      </c>
      <c r="H88">
        <v>0.3</v>
      </c>
      <c r="I88">
        <v>0.4</v>
      </c>
      <c r="J88">
        <f>G88*H88*I88</f>
        <v>1.6079999999999999</v>
      </c>
    </row>
    <row r="89" spans="5:10" x14ac:dyDescent="0.25">
      <c r="F89" t="s">
        <v>116</v>
      </c>
      <c r="G89">
        <v>13.4</v>
      </c>
      <c r="H89">
        <v>0.3</v>
      </c>
      <c r="I89">
        <v>0.4</v>
      </c>
      <c r="J89">
        <f>G89*H89*I89</f>
        <v>1.6079999999999999</v>
      </c>
    </row>
    <row r="90" spans="5:10" x14ac:dyDescent="0.25">
      <c r="F90" t="s">
        <v>52</v>
      </c>
      <c r="G90">
        <v>13.4</v>
      </c>
      <c r="H90">
        <v>0.3</v>
      </c>
      <c r="I90">
        <v>0.4</v>
      </c>
      <c r="J90">
        <f>G90*H90*I90</f>
        <v>1.6079999999999999</v>
      </c>
    </row>
    <row r="91" spans="5:10" x14ac:dyDescent="0.25">
      <c r="F91" t="s">
        <v>32</v>
      </c>
      <c r="G91">
        <v>11.3</v>
      </c>
      <c r="H91">
        <v>0.3</v>
      </c>
      <c r="I91">
        <v>0.45</v>
      </c>
      <c r="J91">
        <f t="shared" ref="J91:J93" si="9">G91*H91*I91</f>
        <v>1.5255000000000001</v>
      </c>
    </row>
    <row r="92" spans="5:10" x14ac:dyDescent="0.25">
      <c r="F92" t="s">
        <v>33</v>
      </c>
      <c r="G92">
        <v>11.4</v>
      </c>
      <c r="H92">
        <v>0.3</v>
      </c>
      <c r="I92">
        <v>0.45</v>
      </c>
      <c r="J92">
        <f t="shared" si="9"/>
        <v>1.5389999999999999</v>
      </c>
    </row>
    <row r="93" spans="5:10" x14ac:dyDescent="0.25">
      <c r="F93" t="s">
        <v>34</v>
      </c>
      <c r="G93">
        <v>11.4</v>
      </c>
      <c r="H93">
        <v>0.3</v>
      </c>
      <c r="I93">
        <v>0.45</v>
      </c>
      <c r="J93">
        <f t="shared" si="9"/>
        <v>1.5389999999999999</v>
      </c>
    </row>
    <row r="95" spans="5:10" x14ac:dyDescent="0.25">
      <c r="E95" t="s">
        <v>103</v>
      </c>
      <c r="F95">
        <v>11</v>
      </c>
      <c r="G95">
        <v>6.1</v>
      </c>
      <c r="H95">
        <v>0.2</v>
      </c>
      <c r="I95">
        <v>0.2</v>
      </c>
      <c r="J95">
        <f>PRODUCT(F95:I95)</f>
        <v>2.6840000000000002</v>
      </c>
    </row>
    <row r="97" spans="4:11" x14ac:dyDescent="0.25">
      <c r="D97" t="s">
        <v>141</v>
      </c>
      <c r="J97">
        <v>2</v>
      </c>
      <c r="K97" s="11"/>
    </row>
    <row r="100" spans="4:11" x14ac:dyDescent="0.25">
      <c r="D100" s="8" t="s">
        <v>142</v>
      </c>
      <c r="E100" s="8"/>
      <c r="F100" s="8"/>
      <c r="G100" s="8"/>
      <c r="H100" s="8"/>
      <c r="I100" s="8"/>
      <c r="J100" s="8">
        <f>SUM(J3:J97)</f>
        <v>281.44243000000006</v>
      </c>
    </row>
  </sheetData>
  <mergeCells count="1">
    <mergeCell ref="K30:K3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7A24-AAFF-451C-93E9-76509F3DDF3F}">
  <dimension ref="C3:P47"/>
  <sheetViews>
    <sheetView topLeftCell="A19" workbookViewId="0">
      <selection activeCell="N31" sqref="N31"/>
    </sheetView>
  </sheetViews>
  <sheetFormatPr baseColWidth="10" defaultRowHeight="15" x14ac:dyDescent="0.25"/>
  <cols>
    <col min="7" max="7" width="31.5703125" customWidth="1"/>
  </cols>
  <sheetData>
    <row r="3" spans="3:14" ht="15.75" thickBot="1" x14ac:dyDescent="0.3"/>
    <row r="4" spans="3:14" x14ac:dyDescent="0.25">
      <c r="C4" s="72" t="s">
        <v>169</v>
      </c>
      <c r="D4" s="73"/>
      <c r="E4" s="73"/>
      <c r="F4" s="73"/>
      <c r="G4" s="73"/>
      <c r="H4" s="73"/>
      <c r="I4" s="73"/>
      <c r="J4" s="74"/>
    </row>
    <row r="5" spans="3:14" ht="15.75" thickBot="1" x14ac:dyDescent="0.3">
      <c r="C5" s="75"/>
      <c r="D5" s="76"/>
      <c r="E5" s="76"/>
      <c r="F5" s="76"/>
      <c r="G5" s="76"/>
      <c r="H5" s="76"/>
      <c r="I5" s="76"/>
      <c r="J5" s="77"/>
    </row>
    <row r="7" spans="3:14" x14ac:dyDescent="0.25">
      <c r="G7" t="s">
        <v>146</v>
      </c>
      <c r="H7" t="s">
        <v>148</v>
      </c>
      <c r="I7" t="s">
        <v>149</v>
      </c>
      <c r="J7" t="s">
        <v>145</v>
      </c>
    </row>
    <row r="9" spans="3:14" x14ac:dyDescent="0.25">
      <c r="K9" s="3"/>
    </row>
    <row r="10" spans="3:14" x14ac:dyDescent="0.25">
      <c r="C10" t="s">
        <v>39</v>
      </c>
      <c r="E10" t="s">
        <v>106</v>
      </c>
      <c r="J10">
        <v>3000</v>
      </c>
    </row>
    <row r="11" spans="3:14" x14ac:dyDescent="0.25">
      <c r="E11" t="s">
        <v>143</v>
      </c>
      <c r="G11" t="s">
        <v>150</v>
      </c>
      <c r="J11">
        <v>20000</v>
      </c>
    </row>
    <row r="12" spans="3:14" x14ac:dyDescent="0.25">
      <c r="E12" t="s">
        <v>104</v>
      </c>
      <c r="G12" t="s">
        <v>151</v>
      </c>
      <c r="J12">
        <v>4500</v>
      </c>
    </row>
    <row r="13" spans="3:14" x14ac:dyDescent="0.25">
      <c r="E13" t="s">
        <v>105</v>
      </c>
      <c r="G13" t="s">
        <v>147</v>
      </c>
      <c r="H13">
        <v>24000</v>
      </c>
      <c r="I13">
        <v>3</v>
      </c>
      <c r="J13">
        <f>I13*H13</f>
        <v>72000</v>
      </c>
    </row>
    <row r="14" spans="3:14" x14ac:dyDescent="0.25">
      <c r="E14" t="s">
        <v>144</v>
      </c>
      <c r="G14" t="s">
        <v>152</v>
      </c>
      <c r="H14">
        <v>4500</v>
      </c>
      <c r="I14">
        <v>3</v>
      </c>
      <c r="J14">
        <v>13500</v>
      </c>
      <c r="L14" s="12">
        <f>25/8</f>
        <v>3.125</v>
      </c>
    </row>
    <row r="15" spans="3:14" x14ac:dyDescent="0.25">
      <c r="E15" t="s">
        <v>153</v>
      </c>
      <c r="G15" t="s">
        <v>154</v>
      </c>
      <c r="H15">
        <v>2300</v>
      </c>
      <c r="I15">
        <v>3</v>
      </c>
      <c r="J15">
        <v>6900</v>
      </c>
      <c r="N15">
        <f>28/15</f>
        <v>1.8666666666666667</v>
      </c>
    </row>
    <row r="16" spans="3:14" x14ac:dyDescent="0.25">
      <c r="C16" t="s">
        <v>107</v>
      </c>
      <c r="E16" t="s">
        <v>153</v>
      </c>
      <c r="G16" t="s">
        <v>155</v>
      </c>
      <c r="H16">
        <v>2300</v>
      </c>
      <c r="I16">
        <v>3</v>
      </c>
      <c r="J16">
        <v>6900</v>
      </c>
    </row>
    <row r="17" spans="3:16" x14ac:dyDescent="0.25">
      <c r="E17" t="s">
        <v>156</v>
      </c>
      <c r="G17" t="s">
        <v>157</v>
      </c>
      <c r="H17">
        <v>45</v>
      </c>
      <c r="I17">
        <v>900</v>
      </c>
      <c r="J17">
        <f>I17*H17</f>
        <v>40500</v>
      </c>
    </row>
    <row r="18" spans="3:16" x14ac:dyDescent="0.25">
      <c r="E18" t="s">
        <v>158</v>
      </c>
      <c r="J18">
        <v>85000</v>
      </c>
    </row>
    <row r="19" spans="3:16" x14ac:dyDescent="0.25">
      <c r="E19" t="s">
        <v>105</v>
      </c>
      <c r="G19" t="s">
        <v>147</v>
      </c>
      <c r="H19">
        <v>24000</v>
      </c>
      <c r="I19">
        <v>3</v>
      </c>
      <c r="J19">
        <f>H19*I19</f>
        <v>72000</v>
      </c>
    </row>
    <row r="20" spans="3:16" x14ac:dyDescent="0.25">
      <c r="C20" t="s">
        <v>2</v>
      </c>
      <c r="E20" t="s">
        <v>156</v>
      </c>
      <c r="G20" t="s">
        <v>157</v>
      </c>
      <c r="H20">
        <v>45</v>
      </c>
      <c r="I20">
        <v>900</v>
      </c>
      <c r="J20">
        <f>I20*H20</f>
        <v>40500</v>
      </c>
    </row>
    <row r="21" spans="3:16" x14ac:dyDescent="0.25">
      <c r="E21" t="s">
        <v>158</v>
      </c>
      <c r="J21">
        <v>85000</v>
      </c>
      <c r="O21">
        <v>244000</v>
      </c>
      <c r="P21">
        <f>O21/3</f>
        <v>81333.333333333328</v>
      </c>
    </row>
    <row r="22" spans="3:16" x14ac:dyDescent="0.25">
      <c r="E22" t="s">
        <v>105</v>
      </c>
      <c r="G22" t="s">
        <v>147</v>
      </c>
      <c r="H22">
        <v>24000</v>
      </c>
      <c r="I22">
        <v>3</v>
      </c>
      <c r="J22">
        <f>H22*I22</f>
        <v>72000</v>
      </c>
      <c r="P22" t="s">
        <v>160</v>
      </c>
    </row>
    <row r="23" spans="3:16" x14ac:dyDescent="0.25">
      <c r="C23" t="s">
        <v>130</v>
      </c>
      <c r="E23" t="s">
        <v>156</v>
      </c>
      <c r="G23" t="s">
        <v>157</v>
      </c>
      <c r="H23">
        <v>45</v>
      </c>
      <c r="I23">
        <v>900</v>
      </c>
      <c r="J23">
        <f t="shared" ref="J23:J26" si="0">H23*I23</f>
        <v>40500</v>
      </c>
    </row>
    <row r="24" spans="3:16" x14ac:dyDescent="0.25">
      <c r="E24" t="s">
        <v>158</v>
      </c>
      <c r="J24">
        <v>85000</v>
      </c>
    </row>
    <row r="25" spans="3:16" x14ac:dyDescent="0.25">
      <c r="E25" t="s">
        <v>105</v>
      </c>
      <c r="G25" t="s">
        <v>147</v>
      </c>
      <c r="H25">
        <v>24000</v>
      </c>
      <c r="I25">
        <v>3</v>
      </c>
      <c r="J25">
        <f t="shared" si="0"/>
        <v>72000</v>
      </c>
    </row>
    <row r="26" spans="3:16" x14ac:dyDescent="0.25">
      <c r="C26" t="s">
        <v>159</v>
      </c>
      <c r="E26" t="s">
        <v>156</v>
      </c>
      <c r="G26" t="s">
        <v>161</v>
      </c>
      <c r="H26">
        <v>45</v>
      </c>
      <c r="I26">
        <v>900</v>
      </c>
      <c r="J26">
        <f t="shared" si="0"/>
        <v>40500</v>
      </c>
    </row>
    <row r="27" spans="3:16" x14ac:dyDescent="0.25">
      <c r="E27" t="s">
        <v>158</v>
      </c>
      <c r="G27" t="s">
        <v>162</v>
      </c>
      <c r="J27">
        <v>85000</v>
      </c>
    </row>
    <row r="28" spans="3:16" x14ac:dyDescent="0.25">
      <c r="E28" t="s">
        <v>105</v>
      </c>
      <c r="G28" t="s">
        <v>147</v>
      </c>
      <c r="H28">
        <v>24000</v>
      </c>
      <c r="I28">
        <v>3</v>
      </c>
      <c r="J28">
        <f>I28*H28</f>
        <v>72000</v>
      </c>
    </row>
    <row r="29" spans="3:16" x14ac:dyDescent="0.25">
      <c r="M29">
        <f>1.6*1.4*0.2</f>
        <v>0.44799999999999995</v>
      </c>
      <c r="N29">
        <v>2</v>
      </c>
    </row>
    <row r="30" spans="3:16" x14ac:dyDescent="0.25">
      <c r="E30" t="s">
        <v>163</v>
      </c>
      <c r="G30" t="s">
        <v>164</v>
      </c>
      <c r="H30">
        <v>4500</v>
      </c>
      <c r="I30">
        <v>1</v>
      </c>
      <c r="J30">
        <v>4500</v>
      </c>
      <c r="N30">
        <v>3</v>
      </c>
    </row>
    <row r="31" spans="3:16" x14ac:dyDescent="0.25">
      <c r="N31">
        <v>1.5</v>
      </c>
    </row>
    <row r="32" spans="3:16" x14ac:dyDescent="0.25">
      <c r="E32" t="s">
        <v>165</v>
      </c>
      <c r="G32" t="s">
        <v>166</v>
      </c>
      <c r="H32">
        <v>2200</v>
      </c>
      <c r="I32">
        <v>20</v>
      </c>
      <c r="J32">
        <f>I32*H32</f>
        <v>44000</v>
      </c>
    </row>
    <row r="33" spans="5:14" x14ac:dyDescent="0.25">
      <c r="E33" t="s">
        <v>167</v>
      </c>
      <c r="G33" t="s">
        <v>170</v>
      </c>
      <c r="H33">
        <v>2200</v>
      </c>
      <c r="I33">
        <v>8</v>
      </c>
      <c r="J33">
        <f>I33*H33</f>
        <v>17600</v>
      </c>
    </row>
    <row r="34" spans="5:14" x14ac:dyDescent="0.25">
      <c r="E34" t="s">
        <v>168</v>
      </c>
      <c r="G34" t="s">
        <v>170</v>
      </c>
      <c r="H34">
        <v>2200</v>
      </c>
      <c r="I34">
        <v>8</v>
      </c>
      <c r="J34">
        <v>17600</v>
      </c>
      <c r="M34">
        <f>0.3*5.8*0.2</f>
        <v>0.34800000000000003</v>
      </c>
    </row>
    <row r="36" spans="5:14" x14ac:dyDescent="0.25">
      <c r="H36" t="s">
        <v>173</v>
      </c>
      <c r="J36" s="13">
        <f>SUM(J10:J34)</f>
        <v>1000500</v>
      </c>
    </row>
    <row r="38" spans="5:14" x14ac:dyDescent="0.25">
      <c r="M38">
        <f>10+10+20+15+10+10+10+15+10+10+30</f>
        <v>150</v>
      </c>
      <c r="N38">
        <f>150/8</f>
        <v>18.75</v>
      </c>
    </row>
    <row r="47" spans="5:14" x14ac:dyDescent="0.25">
      <c r="M47">
        <f>2150/8</f>
        <v>268.75</v>
      </c>
    </row>
  </sheetData>
  <mergeCells count="1">
    <mergeCell ref="C4:J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7D3A-507A-4A62-8401-C6FA260678BA}">
  <dimension ref="E6:F7"/>
  <sheetViews>
    <sheetView workbookViewId="0">
      <selection activeCell="H22" sqref="H22"/>
    </sheetView>
  </sheetViews>
  <sheetFormatPr baseColWidth="10" defaultRowHeight="15" x14ac:dyDescent="0.25"/>
  <sheetData>
    <row r="6" spans="5:6" x14ac:dyDescent="0.25">
      <c r="E6" t="s">
        <v>107</v>
      </c>
      <c r="F6" t="s">
        <v>183</v>
      </c>
    </row>
    <row r="7" spans="5:6" x14ac:dyDescent="0.25">
      <c r="E7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5A778-04C4-429F-97D0-DA26163891D7}">
  <dimension ref="D3:L10"/>
  <sheetViews>
    <sheetView topLeftCell="C1" zoomScale="130" zoomScaleNormal="130" workbookViewId="0">
      <selection activeCell="K8" sqref="K8"/>
    </sheetView>
  </sheetViews>
  <sheetFormatPr baseColWidth="10" defaultRowHeight="15" x14ac:dyDescent="0.25"/>
  <cols>
    <col min="5" max="5" width="27.42578125" customWidth="1"/>
    <col min="8" max="9" width="13.85546875" customWidth="1"/>
    <col min="10" max="10" width="15.28515625" customWidth="1"/>
    <col min="11" max="11" width="18.140625" customWidth="1"/>
  </cols>
  <sheetData>
    <row r="3" spans="4:12" x14ac:dyDescent="0.25">
      <c r="E3" s="70" t="s">
        <v>182</v>
      </c>
      <c r="F3" s="70"/>
      <c r="G3" s="70"/>
      <c r="H3" s="70"/>
      <c r="I3" s="70"/>
      <c r="J3" s="70"/>
      <c r="K3" s="70"/>
      <c r="L3" s="70"/>
    </row>
    <row r="4" spans="4:12" x14ac:dyDescent="0.25">
      <c r="E4" s="7"/>
      <c r="F4" s="7"/>
      <c r="G4" s="7"/>
      <c r="H4" s="7"/>
      <c r="I4" s="10"/>
      <c r="J4" s="7"/>
      <c r="K4" s="7"/>
      <c r="L4" s="7"/>
    </row>
    <row r="5" spans="4:12" x14ac:dyDescent="0.25">
      <c r="H5" s="14" t="s">
        <v>149</v>
      </c>
      <c r="I5" s="14" t="s">
        <v>177</v>
      </c>
      <c r="J5" s="14" t="s">
        <v>181</v>
      </c>
      <c r="K5" s="14" t="s">
        <v>171</v>
      </c>
    </row>
    <row r="6" spans="4:12" x14ac:dyDescent="0.25">
      <c r="D6" s="78" t="s">
        <v>180</v>
      </c>
      <c r="E6" t="s">
        <v>38</v>
      </c>
      <c r="H6" s="15">
        <v>285</v>
      </c>
      <c r="I6" s="15" t="s">
        <v>178</v>
      </c>
      <c r="J6" s="14">
        <v>7500</v>
      </c>
      <c r="K6" s="16">
        <f>J6*H6</f>
        <v>2137500</v>
      </c>
    </row>
    <row r="7" spans="4:12" x14ac:dyDescent="0.25">
      <c r="D7" s="78"/>
      <c r="E7" t="s">
        <v>172</v>
      </c>
      <c r="H7" s="14">
        <v>280</v>
      </c>
      <c r="I7" s="14" t="s">
        <v>179</v>
      </c>
      <c r="J7" s="14">
        <v>14000</v>
      </c>
      <c r="K7" s="16">
        <f>J7*H7</f>
        <v>3920000</v>
      </c>
    </row>
    <row r="8" spans="4:12" x14ac:dyDescent="0.25">
      <c r="D8" s="78"/>
      <c r="E8" t="s">
        <v>176</v>
      </c>
      <c r="H8" s="14">
        <v>285</v>
      </c>
      <c r="I8" s="14" t="s">
        <v>178</v>
      </c>
      <c r="J8" s="14">
        <v>16000</v>
      </c>
      <c r="K8" s="16">
        <f>J8*H8</f>
        <v>4560000</v>
      </c>
    </row>
    <row r="9" spans="4:12" x14ac:dyDescent="0.25">
      <c r="D9" s="78"/>
      <c r="E9" t="s">
        <v>184</v>
      </c>
      <c r="H9" s="14"/>
      <c r="I9" s="14"/>
      <c r="J9" s="14"/>
      <c r="K9" s="16">
        <v>1000500</v>
      </c>
    </row>
    <row r="10" spans="4:12" x14ac:dyDescent="0.25">
      <c r="K10" s="2">
        <f>SUM(K6:K9)</f>
        <v>11618000</v>
      </c>
    </row>
  </sheetData>
  <mergeCells count="2">
    <mergeCell ref="E3:L3"/>
    <mergeCell ref="D6:D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3AD4-5103-46F3-B297-E822C0F1B026}">
  <dimension ref="C8:AB383"/>
  <sheetViews>
    <sheetView topLeftCell="D124" zoomScale="85" zoomScaleNormal="85" workbookViewId="0">
      <selection activeCell="J105" sqref="J105"/>
    </sheetView>
  </sheetViews>
  <sheetFormatPr baseColWidth="10" defaultColWidth="9.140625" defaultRowHeight="15" x14ac:dyDescent="0.25"/>
  <cols>
    <col min="7" max="7" width="14.85546875" customWidth="1"/>
    <col min="10" max="10" width="17" customWidth="1"/>
    <col min="11" max="11" width="17.28515625" customWidth="1"/>
    <col min="12" max="12" width="11.42578125" customWidth="1"/>
    <col min="13" max="13" width="12" customWidth="1"/>
    <col min="14" max="14" width="15.140625" style="2" customWidth="1"/>
    <col min="15" max="15" width="13.28515625" customWidth="1"/>
    <col min="16" max="16" width="6.28515625" customWidth="1"/>
    <col min="17" max="17" width="18.42578125" customWidth="1"/>
    <col min="18" max="18" width="11.5703125" style="1" bestFit="1" customWidth="1"/>
    <col min="20" max="20" width="17.42578125" customWidth="1"/>
  </cols>
  <sheetData>
    <row r="8" spans="3:18" x14ac:dyDescent="0.25">
      <c r="D8" t="s">
        <v>36</v>
      </c>
    </row>
    <row r="13" spans="3:18" ht="90" x14ac:dyDescent="0.25">
      <c r="L13" t="s">
        <v>14</v>
      </c>
      <c r="M13" t="s">
        <v>15</v>
      </c>
      <c r="N13" s="2" t="s">
        <v>16</v>
      </c>
      <c r="O13" t="s">
        <v>17</v>
      </c>
      <c r="P13" t="s">
        <v>18</v>
      </c>
      <c r="Q13" t="s">
        <v>19</v>
      </c>
      <c r="R13" s="1" t="s">
        <v>20</v>
      </c>
    </row>
    <row r="14" spans="3:18" x14ac:dyDescent="0.25">
      <c r="C14" t="s">
        <v>37</v>
      </c>
      <c r="E14" t="s">
        <v>0</v>
      </c>
      <c r="G14" t="s">
        <v>1</v>
      </c>
      <c r="H14" t="s">
        <v>3</v>
      </c>
      <c r="I14" t="s">
        <v>4</v>
      </c>
      <c r="J14" t="s">
        <v>12</v>
      </c>
    </row>
    <row r="15" spans="3:18" x14ac:dyDescent="0.25">
      <c r="K15" t="s">
        <v>10</v>
      </c>
      <c r="L15">
        <v>13.1</v>
      </c>
      <c r="M15">
        <v>0.5</v>
      </c>
      <c r="N15" s="2">
        <v>6</v>
      </c>
      <c r="O15">
        <v>12</v>
      </c>
      <c r="P15">
        <f t="shared" ref="P15:P123" si="0">IF(O15=8,0.395,IF(O15=10,0.617,IF(O15=12,0.888,IF(O15=14,1.208,IF(O15=16,1.578)))))</f>
        <v>0.88800000000000001</v>
      </c>
      <c r="Q15">
        <f t="shared" ref="Q15:Q30" si="1">(L15+M15)*N15</f>
        <v>81.599999999999994</v>
      </c>
      <c r="R15" s="1">
        <f t="shared" ref="R15:R30" si="2">P15*Q15/100</f>
        <v>0.72460799999999992</v>
      </c>
    </row>
    <row r="16" spans="3:18" x14ac:dyDescent="0.25">
      <c r="J16" t="s">
        <v>13</v>
      </c>
    </row>
    <row r="17" spans="9:21" x14ac:dyDescent="0.25">
      <c r="K17" t="s">
        <v>10</v>
      </c>
      <c r="L17">
        <v>1.1000000000000001</v>
      </c>
      <c r="M17">
        <v>0.5</v>
      </c>
      <c r="N17" s="2">
        <f>13.1/0.15</f>
        <v>87.333333333333329</v>
      </c>
      <c r="O17">
        <v>12</v>
      </c>
      <c r="P17">
        <f t="shared" si="0"/>
        <v>0.88800000000000001</v>
      </c>
      <c r="Q17">
        <f t="shared" si="1"/>
        <v>139.73333333333332</v>
      </c>
      <c r="R17" s="1">
        <f t="shared" si="2"/>
        <v>1.2408319999999999</v>
      </c>
    </row>
    <row r="19" spans="9:21" x14ac:dyDescent="0.25">
      <c r="J19" t="s">
        <v>21</v>
      </c>
      <c r="K19">
        <v>10</v>
      </c>
      <c r="L19">
        <v>13</v>
      </c>
      <c r="M19">
        <v>0.5</v>
      </c>
      <c r="N19" s="2">
        <v>4</v>
      </c>
      <c r="O19">
        <v>10</v>
      </c>
      <c r="P19">
        <f t="shared" si="0"/>
        <v>0.61699999999999999</v>
      </c>
      <c r="Q19">
        <f t="shared" si="1"/>
        <v>54</v>
      </c>
      <c r="R19" s="1">
        <f t="shared" si="2"/>
        <v>0.33317999999999998</v>
      </c>
    </row>
    <row r="20" spans="9:21" x14ac:dyDescent="0.25">
      <c r="K20">
        <v>14</v>
      </c>
      <c r="L20">
        <v>13.6</v>
      </c>
      <c r="M20">
        <v>0.5</v>
      </c>
      <c r="N20" s="2">
        <v>6</v>
      </c>
      <c r="O20">
        <v>14</v>
      </c>
      <c r="P20">
        <f t="shared" si="0"/>
        <v>1.208</v>
      </c>
      <c r="Q20">
        <f t="shared" si="1"/>
        <v>84.6</v>
      </c>
      <c r="R20" s="1">
        <f t="shared" si="2"/>
        <v>1.021968</v>
      </c>
      <c r="T20" t="s">
        <v>45</v>
      </c>
      <c r="U20">
        <f>SUM(R15,R17,R33,R35,R48,R50,R93,R94,R95,R96,R97,R105,R106,R107,R108,R109,R119,R120,R121,R122,R123)</f>
        <v>24.754172000000008</v>
      </c>
    </row>
    <row r="21" spans="9:21" x14ac:dyDescent="0.25">
      <c r="K21">
        <v>16</v>
      </c>
      <c r="L21">
        <f>(7.4+1.1+4.25+3.5)</f>
        <v>16.25</v>
      </c>
      <c r="M21">
        <v>0.5</v>
      </c>
      <c r="N21" s="2">
        <v>3</v>
      </c>
      <c r="O21">
        <v>16</v>
      </c>
      <c r="P21">
        <f t="shared" si="0"/>
        <v>1.5780000000000001</v>
      </c>
      <c r="Q21">
        <f t="shared" si="1"/>
        <v>50.25</v>
      </c>
      <c r="R21" s="1">
        <f t="shared" si="2"/>
        <v>0.79294500000000001</v>
      </c>
    </row>
    <row r="22" spans="9:21" x14ac:dyDescent="0.25">
      <c r="K22" t="s">
        <v>22</v>
      </c>
      <c r="L22">
        <v>1.9</v>
      </c>
      <c r="M22">
        <v>0</v>
      </c>
      <c r="N22" s="2">
        <f>(34+14+14+7+13)</f>
        <v>82</v>
      </c>
      <c r="O22">
        <v>10</v>
      </c>
      <c r="P22">
        <f t="shared" si="0"/>
        <v>0.61699999999999999</v>
      </c>
      <c r="Q22">
        <f t="shared" si="1"/>
        <v>155.79999999999998</v>
      </c>
      <c r="R22" s="1">
        <f t="shared" si="2"/>
        <v>0.96128599999999986</v>
      </c>
    </row>
    <row r="23" spans="9:21" x14ac:dyDescent="0.25">
      <c r="K23" t="s">
        <v>23</v>
      </c>
      <c r="L23">
        <v>1.45</v>
      </c>
      <c r="M23">
        <v>0</v>
      </c>
      <c r="N23" s="2">
        <f>(34+14+14+7+13)</f>
        <v>82</v>
      </c>
      <c r="O23">
        <v>10</v>
      </c>
      <c r="P23">
        <f t="shared" si="0"/>
        <v>0.61699999999999999</v>
      </c>
      <c r="Q23">
        <f t="shared" si="1"/>
        <v>118.89999999999999</v>
      </c>
      <c r="R23" s="1">
        <f t="shared" si="2"/>
        <v>0.73361299999999996</v>
      </c>
    </row>
    <row r="24" spans="9:21" x14ac:dyDescent="0.25">
      <c r="K24" t="s">
        <v>24</v>
      </c>
      <c r="L24">
        <v>0.35</v>
      </c>
      <c r="M24">
        <v>0</v>
      </c>
      <c r="N24" s="2">
        <v>60</v>
      </c>
      <c r="O24">
        <v>10</v>
      </c>
      <c r="P24">
        <f t="shared" si="0"/>
        <v>0.61699999999999999</v>
      </c>
      <c r="Q24">
        <f t="shared" si="1"/>
        <v>21</v>
      </c>
      <c r="R24" s="1">
        <f t="shared" si="2"/>
        <v>0.12957000000000002</v>
      </c>
    </row>
    <row r="25" spans="9:21" x14ac:dyDescent="0.25">
      <c r="J25" t="s">
        <v>25</v>
      </c>
      <c r="K25" t="s">
        <v>26</v>
      </c>
      <c r="L25">
        <v>2</v>
      </c>
      <c r="M25">
        <v>0</v>
      </c>
      <c r="N25" s="2">
        <v>40</v>
      </c>
      <c r="O25">
        <v>14</v>
      </c>
      <c r="P25">
        <f t="shared" si="0"/>
        <v>1.208</v>
      </c>
      <c r="Q25">
        <f t="shared" si="1"/>
        <v>80</v>
      </c>
      <c r="R25" s="1">
        <f t="shared" si="2"/>
        <v>0.96640000000000004</v>
      </c>
    </row>
    <row r="26" spans="9:21" x14ac:dyDescent="0.25">
      <c r="K26" t="s">
        <v>27</v>
      </c>
      <c r="L26">
        <v>3.5</v>
      </c>
      <c r="M26">
        <v>0</v>
      </c>
      <c r="N26" s="2">
        <f>(70/15)*2</f>
        <v>9.3333333333333339</v>
      </c>
      <c r="O26">
        <v>10</v>
      </c>
      <c r="P26">
        <f t="shared" si="0"/>
        <v>0.61699999999999999</v>
      </c>
      <c r="Q26">
        <f t="shared" si="1"/>
        <v>32.666666666666671</v>
      </c>
      <c r="R26" s="1">
        <f t="shared" si="2"/>
        <v>0.20155333333333336</v>
      </c>
    </row>
    <row r="27" spans="9:21" x14ac:dyDescent="0.25">
      <c r="J27" t="s">
        <v>28</v>
      </c>
      <c r="K27" t="s">
        <v>26</v>
      </c>
      <c r="L27">
        <v>4</v>
      </c>
      <c r="N27" s="2">
        <f>(13/0.15)*2</f>
        <v>173.33333333333334</v>
      </c>
      <c r="O27">
        <v>12</v>
      </c>
      <c r="P27">
        <f t="shared" si="0"/>
        <v>0.88800000000000001</v>
      </c>
      <c r="Q27">
        <f t="shared" si="1"/>
        <v>693.33333333333337</v>
      </c>
      <c r="R27" s="1">
        <f t="shared" si="2"/>
        <v>6.1568000000000005</v>
      </c>
      <c r="T27" t="s">
        <v>102</v>
      </c>
    </row>
    <row r="28" spans="9:21" x14ac:dyDescent="0.25">
      <c r="K28" t="s">
        <v>27</v>
      </c>
      <c r="L28">
        <f>13-3.3</f>
        <v>9.6999999999999993</v>
      </c>
      <c r="N28" s="2">
        <f>(2.9 /0.15)*2</f>
        <v>38.666666666666664</v>
      </c>
      <c r="O28">
        <v>10</v>
      </c>
      <c r="P28">
        <f t="shared" si="0"/>
        <v>0.61699999999999999</v>
      </c>
      <c r="Q28">
        <f t="shared" si="1"/>
        <v>375.06666666666661</v>
      </c>
      <c r="R28" s="1">
        <f t="shared" si="2"/>
        <v>2.3141613333333328</v>
      </c>
    </row>
    <row r="29" spans="9:21" x14ac:dyDescent="0.25">
      <c r="J29" t="s">
        <v>29</v>
      </c>
      <c r="K29" t="s">
        <v>26</v>
      </c>
      <c r="L29">
        <f>2*2.1</f>
        <v>4.2</v>
      </c>
      <c r="N29" s="2">
        <v>8</v>
      </c>
      <c r="O29">
        <v>16</v>
      </c>
      <c r="P29">
        <f t="shared" si="0"/>
        <v>1.5780000000000001</v>
      </c>
      <c r="Q29">
        <f t="shared" si="1"/>
        <v>33.6</v>
      </c>
      <c r="R29" s="1">
        <f t="shared" si="2"/>
        <v>0.53020800000000001</v>
      </c>
    </row>
    <row r="30" spans="9:21" x14ac:dyDescent="0.25">
      <c r="K30" t="s">
        <v>27</v>
      </c>
      <c r="L30">
        <f>(0.9+1.2)*2</f>
        <v>4.2</v>
      </c>
      <c r="N30" s="2">
        <f>(1.7/0.1)</f>
        <v>17</v>
      </c>
      <c r="O30">
        <v>8</v>
      </c>
      <c r="P30">
        <f t="shared" si="0"/>
        <v>0.39500000000000002</v>
      </c>
      <c r="Q30">
        <f t="shared" si="1"/>
        <v>71.400000000000006</v>
      </c>
      <c r="R30" s="1">
        <f t="shared" si="2"/>
        <v>0.28203</v>
      </c>
    </row>
    <row r="32" spans="9:21" x14ac:dyDescent="0.25">
      <c r="I32" t="s">
        <v>5</v>
      </c>
      <c r="J32" t="s">
        <v>12</v>
      </c>
    </row>
    <row r="33" spans="9:28" x14ac:dyDescent="0.25">
      <c r="K33" t="s">
        <v>10</v>
      </c>
      <c r="L33">
        <v>13.1</v>
      </c>
      <c r="M33">
        <v>0.5</v>
      </c>
      <c r="N33" s="2">
        <v>8</v>
      </c>
      <c r="O33">
        <v>12</v>
      </c>
      <c r="P33">
        <f t="shared" si="0"/>
        <v>0.88800000000000001</v>
      </c>
      <c r="Q33">
        <f t="shared" ref="Q33:Q45" si="3">(L33+M33)*N33</f>
        <v>108.8</v>
      </c>
      <c r="R33" s="1">
        <f t="shared" ref="R33:R45" si="4">P33*Q33/100</f>
        <v>0.966144</v>
      </c>
    </row>
    <row r="34" spans="9:28" x14ac:dyDescent="0.25">
      <c r="J34" t="s">
        <v>13</v>
      </c>
    </row>
    <row r="35" spans="9:28" x14ac:dyDescent="0.25">
      <c r="K35" t="s">
        <v>10</v>
      </c>
      <c r="L35">
        <v>1.3</v>
      </c>
      <c r="M35">
        <v>0.5</v>
      </c>
      <c r="N35" s="2">
        <f>13/0.15</f>
        <v>86.666666666666671</v>
      </c>
      <c r="O35">
        <v>12</v>
      </c>
      <c r="P35">
        <f t="shared" si="0"/>
        <v>0.88800000000000001</v>
      </c>
      <c r="Q35">
        <f t="shared" si="3"/>
        <v>156</v>
      </c>
      <c r="R35" s="1">
        <f t="shared" si="4"/>
        <v>1.3852799999999998</v>
      </c>
    </row>
    <row r="36" spans="9:28" x14ac:dyDescent="0.25">
      <c r="J36" t="s">
        <v>11</v>
      </c>
    </row>
    <row r="37" spans="9:28" x14ac:dyDescent="0.25">
      <c r="J37" t="s">
        <v>21</v>
      </c>
      <c r="K37">
        <v>10</v>
      </c>
      <c r="L37">
        <v>13</v>
      </c>
      <c r="M37">
        <v>0</v>
      </c>
      <c r="N37" s="2">
        <v>4</v>
      </c>
      <c r="O37">
        <v>10</v>
      </c>
      <c r="P37">
        <f t="shared" si="0"/>
        <v>0.61699999999999999</v>
      </c>
      <c r="Q37">
        <f t="shared" si="3"/>
        <v>52</v>
      </c>
      <c r="R37" s="1">
        <f t="shared" si="4"/>
        <v>0.32084000000000001</v>
      </c>
    </row>
    <row r="38" spans="9:28" x14ac:dyDescent="0.25">
      <c r="K38">
        <v>14</v>
      </c>
      <c r="L38">
        <v>0</v>
      </c>
      <c r="M38">
        <v>0</v>
      </c>
      <c r="N38" s="2">
        <v>0</v>
      </c>
      <c r="O38">
        <v>14</v>
      </c>
      <c r="P38">
        <f t="shared" si="0"/>
        <v>1.208</v>
      </c>
      <c r="Q38">
        <f t="shared" si="3"/>
        <v>0</v>
      </c>
      <c r="R38" s="1">
        <f t="shared" si="4"/>
        <v>0</v>
      </c>
    </row>
    <row r="39" spans="9:28" x14ac:dyDescent="0.25">
      <c r="K39">
        <v>16</v>
      </c>
      <c r="L39">
        <f>(4+1.1+2.1+3+13.6+13.6+4.25+3.5)</f>
        <v>45.15</v>
      </c>
      <c r="M39">
        <v>0.5</v>
      </c>
      <c r="N39" s="2">
        <v>3</v>
      </c>
      <c r="O39">
        <v>16</v>
      </c>
      <c r="P39">
        <f t="shared" si="0"/>
        <v>1.5780000000000001</v>
      </c>
      <c r="Q39">
        <f t="shared" si="3"/>
        <v>136.94999999999999</v>
      </c>
      <c r="R39" s="1">
        <f t="shared" si="4"/>
        <v>2.1610710000000002</v>
      </c>
    </row>
    <row r="40" spans="9:28" x14ac:dyDescent="0.25">
      <c r="K40" t="s">
        <v>22</v>
      </c>
      <c r="L40">
        <v>2.1</v>
      </c>
      <c r="M40">
        <v>0</v>
      </c>
      <c r="N40" s="2">
        <f>(3.5/0.1)+(1.44/0.1)+(2.5/0.1)+(2/0.15)</f>
        <v>87.733333333333334</v>
      </c>
      <c r="O40">
        <v>10</v>
      </c>
      <c r="P40">
        <f t="shared" si="0"/>
        <v>0.61699999999999999</v>
      </c>
      <c r="Q40">
        <f t="shared" si="3"/>
        <v>184.24</v>
      </c>
      <c r="R40" s="1">
        <f t="shared" si="4"/>
        <v>1.1367608</v>
      </c>
    </row>
    <row r="41" spans="9:28" x14ac:dyDescent="0.25">
      <c r="K41" t="s">
        <v>23</v>
      </c>
      <c r="L41">
        <v>1.45</v>
      </c>
      <c r="M41">
        <v>0</v>
      </c>
      <c r="N41" s="2">
        <f>(34+14+14+7+13)</f>
        <v>82</v>
      </c>
      <c r="O41">
        <v>10</v>
      </c>
      <c r="P41">
        <f t="shared" si="0"/>
        <v>0.61699999999999999</v>
      </c>
      <c r="Q41">
        <f t="shared" si="3"/>
        <v>118.89999999999999</v>
      </c>
      <c r="R41" s="1">
        <f t="shared" si="4"/>
        <v>0.73361299999999996</v>
      </c>
    </row>
    <row r="42" spans="9:28" x14ac:dyDescent="0.25">
      <c r="K42" t="s">
        <v>24</v>
      </c>
      <c r="L42">
        <v>0.35</v>
      </c>
      <c r="M42">
        <v>0</v>
      </c>
      <c r="N42" s="2">
        <v>60</v>
      </c>
      <c r="O42">
        <v>10</v>
      </c>
      <c r="P42">
        <f t="shared" si="0"/>
        <v>0.61699999999999999</v>
      </c>
      <c r="Q42">
        <f t="shared" si="3"/>
        <v>21</v>
      </c>
      <c r="R42" s="1">
        <f t="shared" si="4"/>
        <v>0.12957000000000002</v>
      </c>
    </row>
    <row r="43" spans="9:28" x14ac:dyDescent="0.25">
      <c r="J43" t="s">
        <v>29</v>
      </c>
      <c r="K43" t="s">
        <v>26</v>
      </c>
      <c r="L43">
        <f>4*2.1</f>
        <v>8.4</v>
      </c>
      <c r="N43" s="2">
        <v>8</v>
      </c>
      <c r="O43">
        <v>16</v>
      </c>
      <c r="P43">
        <f t="shared" si="0"/>
        <v>1.5780000000000001</v>
      </c>
      <c r="Q43">
        <f t="shared" si="3"/>
        <v>67.2</v>
      </c>
      <c r="R43" s="1">
        <f t="shared" si="4"/>
        <v>1.060416</v>
      </c>
      <c r="T43" t="s">
        <v>29</v>
      </c>
      <c r="U43" t="s">
        <v>26</v>
      </c>
      <c r="V43">
        <f>2*2.1</f>
        <v>4.2</v>
      </c>
      <c r="X43">
        <v>8</v>
      </c>
      <c r="Y43">
        <v>16</v>
      </c>
      <c r="Z43">
        <f t="shared" ref="Z43:Z44" si="5">IF(Y43=8,0.395,IF(Y43=10,0.617,IF(Y43=12,0.888,IF(Y43=14,1.208,IF(Y43=16,1.578)))))</f>
        <v>1.5780000000000001</v>
      </c>
      <c r="AA43">
        <f t="shared" ref="AA43:AA44" si="6">(V43+W43)*X43</f>
        <v>33.6</v>
      </c>
      <c r="AB43" s="1">
        <f t="shared" ref="AB43:AB44" si="7">Z43*AA43/100</f>
        <v>0.53020800000000001</v>
      </c>
    </row>
    <row r="44" spans="9:28" x14ac:dyDescent="0.25">
      <c r="K44" t="s">
        <v>30</v>
      </c>
      <c r="L44">
        <f>(1.2+1.6)*3</f>
        <v>8.3999999999999986</v>
      </c>
      <c r="N44" s="2">
        <f>(1.7/0.1)</f>
        <v>17</v>
      </c>
      <c r="O44">
        <v>8</v>
      </c>
      <c r="P44">
        <f t="shared" si="0"/>
        <v>0.39500000000000002</v>
      </c>
      <c r="Q44">
        <f t="shared" si="3"/>
        <v>142.79999999999998</v>
      </c>
      <c r="R44" s="1">
        <f t="shared" si="4"/>
        <v>0.56406000000000001</v>
      </c>
      <c r="U44" t="s">
        <v>27</v>
      </c>
      <c r="V44">
        <f>(0.9+1.2)*2</f>
        <v>4.2</v>
      </c>
      <c r="X44">
        <f>(1.7/0.1)</f>
        <v>17</v>
      </c>
      <c r="Y44">
        <v>8</v>
      </c>
      <c r="Z44">
        <f t="shared" si="5"/>
        <v>0.39500000000000002</v>
      </c>
      <c r="AA44">
        <f t="shared" si="6"/>
        <v>71.400000000000006</v>
      </c>
      <c r="AB44" s="1">
        <f t="shared" si="7"/>
        <v>0.28203</v>
      </c>
    </row>
    <row r="45" spans="9:28" x14ac:dyDescent="0.25">
      <c r="K45" t="s">
        <v>31</v>
      </c>
      <c r="L45">
        <f>1.25+1.8</f>
        <v>3.05</v>
      </c>
      <c r="M45">
        <v>0</v>
      </c>
      <c r="N45" s="2">
        <f t="shared" ref="N45" si="8">(1.7/0.1)</f>
        <v>17</v>
      </c>
      <c r="O45">
        <v>8</v>
      </c>
      <c r="P45">
        <f t="shared" si="0"/>
        <v>0.39500000000000002</v>
      </c>
      <c r="Q45">
        <f t="shared" si="3"/>
        <v>51.849999999999994</v>
      </c>
      <c r="R45" s="1">
        <f t="shared" si="4"/>
        <v>0.20480749999999998</v>
      </c>
    </row>
    <row r="47" spans="9:28" x14ac:dyDescent="0.25">
      <c r="I47" t="s">
        <v>6</v>
      </c>
      <c r="J47" t="s">
        <v>12</v>
      </c>
    </row>
    <row r="48" spans="9:28" x14ac:dyDescent="0.25">
      <c r="K48" t="s">
        <v>10</v>
      </c>
      <c r="L48">
        <v>13.1</v>
      </c>
      <c r="M48">
        <v>0.5</v>
      </c>
      <c r="N48" s="2">
        <v>6</v>
      </c>
      <c r="O48">
        <v>12</v>
      </c>
      <c r="P48">
        <f>IF(O48=8,0.395,IF(O48=10,0.617,IF(O48=12,0.888,IF(O48=14,1.208,IF(O48=16,1.578)))))</f>
        <v>0.88800000000000001</v>
      </c>
      <c r="Q48">
        <f>(L48+M48)*N48</f>
        <v>81.599999999999994</v>
      </c>
      <c r="R48" s="1">
        <f>P48*Q48/100</f>
        <v>0.72460799999999992</v>
      </c>
    </row>
    <row r="49" spans="10:20" x14ac:dyDescent="0.25">
      <c r="J49" t="s">
        <v>13</v>
      </c>
    </row>
    <row r="50" spans="10:20" x14ac:dyDescent="0.25">
      <c r="K50" t="s">
        <v>10</v>
      </c>
      <c r="L50">
        <v>1.1000000000000001</v>
      </c>
      <c r="M50">
        <v>0.5</v>
      </c>
      <c r="N50" s="2">
        <f>13.1/0.15</f>
        <v>87.333333333333329</v>
      </c>
      <c r="O50">
        <v>12</v>
      </c>
      <c r="P50">
        <f>IF(O50=8,0.395,IF(O50=10,0.617,IF(O50=12,0.888,IF(O50=14,1.208,IF(O50=16,1.578)))))</f>
        <v>0.88800000000000001</v>
      </c>
      <c r="Q50">
        <f>(L50+M50)*N50</f>
        <v>139.73333333333332</v>
      </c>
      <c r="R50" s="1">
        <f>P50*Q50/100</f>
        <v>1.2408319999999999</v>
      </c>
    </row>
    <row r="51" spans="10:20" x14ac:dyDescent="0.25">
      <c r="J51" t="s">
        <v>11</v>
      </c>
    </row>
    <row r="52" spans="10:20" x14ac:dyDescent="0.25">
      <c r="J52" t="s">
        <v>21</v>
      </c>
      <c r="K52">
        <v>10</v>
      </c>
      <c r="L52">
        <v>13</v>
      </c>
      <c r="M52">
        <v>0.5</v>
      </c>
      <c r="N52" s="2">
        <v>4</v>
      </c>
      <c r="O52">
        <v>10</v>
      </c>
      <c r="P52">
        <f t="shared" si="0"/>
        <v>0.61699999999999999</v>
      </c>
      <c r="Q52">
        <f t="shared" ref="Q52:Q63" si="9">(L52+M52)*N52</f>
        <v>54</v>
      </c>
      <c r="R52" s="1">
        <f t="shared" ref="R52:R63" si="10">P52*Q52/100</f>
        <v>0.33317999999999998</v>
      </c>
    </row>
    <row r="53" spans="10:20" x14ac:dyDescent="0.25">
      <c r="K53">
        <v>14</v>
      </c>
      <c r="L53">
        <v>13.6</v>
      </c>
      <c r="M53">
        <v>0.5</v>
      </c>
      <c r="N53" s="2">
        <v>6</v>
      </c>
      <c r="O53">
        <v>14</v>
      </c>
      <c r="P53">
        <f t="shared" si="0"/>
        <v>1.208</v>
      </c>
      <c r="Q53">
        <f t="shared" si="9"/>
        <v>84.6</v>
      </c>
      <c r="R53" s="1">
        <f t="shared" si="10"/>
        <v>1.021968</v>
      </c>
    </row>
    <row r="54" spans="10:20" x14ac:dyDescent="0.25">
      <c r="K54">
        <v>16</v>
      </c>
      <c r="L54">
        <f>(7.4+1.1+4.25+3.5)</f>
        <v>16.25</v>
      </c>
      <c r="M54">
        <v>0.5</v>
      </c>
      <c r="N54" s="2">
        <v>3</v>
      </c>
      <c r="O54">
        <v>16</v>
      </c>
      <c r="P54">
        <f t="shared" si="0"/>
        <v>1.5780000000000001</v>
      </c>
      <c r="Q54">
        <f t="shared" si="9"/>
        <v>50.25</v>
      </c>
      <c r="R54" s="1">
        <f t="shared" si="10"/>
        <v>0.79294500000000001</v>
      </c>
    </row>
    <row r="55" spans="10:20" x14ac:dyDescent="0.25">
      <c r="K55" t="s">
        <v>22</v>
      </c>
      <c r="L55">
        <v>1.9</v>
      </c>
      <c r="M55">
        <v>0</v>
      </c>
      <c r="N55" s="2">
        <f>(34+14+14+7+13)</f>
        <v>82</v>
      </c>
      <c r="O55">
        <v>10</v>
      </c>
      <c r="P55">
        <f t="shared" si="0"/>
        <v>0.61699999999999999</v>
      </c>
      <c r="Q55">
        <f t="shared" si="9"/>
        <v>155.79999999999998</v>
      </c>
      <c r="R55" s="1">
        <f t="shared" si="10"/>
        <v>0.96128599999999986</v>
      </c>
    </row>
    <row r="56" spans="10:20" x14ac:dyDescent="0.25">
      <c r="K56" t="s">
        <v>23</v>
      </c>
      <c r="L56">
        <v>1.45</v>
      </c>
      <c r="M56">
        <v>0</v>
      </c>
      <c r="N56" s="2">
        <f>(34+14+14+7+13)</f>
        <v>82</v>
      </c>
      <c r="O56">
        <v>10</v>
      </c>
      <c r="P56">
        <f t="shared" si="0"/>
        <v>0.61699999999999999</v>
      </c>
      <c r="Q56">
        <f t="shared" si="9"/>
        <v>118.89999999999999</v>
      </c>
      <c r="R56" s="1">
        <f t="shared" si="10"/>
        <v>0.73361299999999996</v>
      </c>
    </row>
    <row r="57" spans="10:20" x14ac:dyDescent="0.25">
      <c r="K57" t="s">
        <v>24</v>
      </c>
      <c r="L57">
        <v>0.35</v>
      </c>
      <c r="M57">
        <v>0</v>
      </c>
      <c r="N57" s="2">
        <v>60</v>
      </c>
      <c r="O57">
        <v>10</v>
      </c>
      <c r="P57">
        <f t="shared" si="0"/>
        <v>0.61699999999999999</v>
      </c>
      <c r="Q57">
        <f t="shared" si="9"/>
        <v>21</v>
      </c>
      <c r="R57" s="1">
        <f t="shared" si="10"/>
        <v>0.12957000000000002</v>
      </c>
    </row>
    <row r="58" spans="10:20" x14ac:dyDescent="0.25">
      <c r="J58" t="s">
        <v>25</v>
      </c>
      <c r="K58" t="s">
        <v>26</v>
      </c>
      <c r="L58">
        <v>2</v>
      </c>
      <c r="M58">
        <v>0</v>
      </c>
      <c r="N58" s="2">
        <v>42</v>
      </c>
      <c r="O58">
        <v>14</v>
      </c>
      <c r="P58">
        <f t="shared" si="0"/>
        <v>1.208</v>
      </c>
      <c r="Q58">
        <f t="shared" si="9"/>
        <v>84</v>
      </c>
      <c r="R58" s="1">
        <f t="shared" si="10"/>
        <v>1.0147199999999998</v>
      </c>
    </row>
    <row r="59" spans="10:20" x14ac:dyDescent="0.25">
      <c r="K59" t="s">
        <v>27</v>
      </c>
      <c r="L59">
        <v>2.5</v>
      </c>
      <c r="M59">
        <v>0</v>
      </c>
      <c r="N59" s="2">
        <f>(70/15)*2</f>
        <v>9.3333333333333339</v>
      </c>
      <c r="O59">
        <v>10</v>
      </c>
      <c r="P59">
        <f t="shared" si="0"/>
        <v>0.61699999999999999</v>
      </c>
      <c r="Q59">
        <f t="shared" si="9"/>
        <v>23.333333333333336</v>
      </c>
      <c r="R59" s="1">
        <f t="shared" si="10"/>
        <v>0.14396666666666669</v>
      </c>
    </row>
    <row r="60" spans="10:20" x14ac:dyDescent="0.25">
      <c r="J60" t="s">
        <v>28</v>
      </c>
      <c r="K60" t="s">
        <v>26</v>
      </c>
      <c r="L60">
        <v>4</v>
      </c>
      <c r="N60" s="2">
        <f>(13/0.15)*2</f>
        <v>173.33333333333334</v>
      </c>
      <c r="O60">
        <v>12</v>
      </c>
      <c r="P60">
        <f t="shared" si="0"/>
        <v>0.88800000000000001</v>
      </c>
      <c r="Q60">
        <f t="shared" si="9"/>
        <v>693.33333333333337</v>
      </c>
      <c r="R60" s="1">
        <f t="shared" si="10"/>
        <v>6.1568000000000005</v>
      </c>
      <c r="T60" t="s">
        <v>101</v>
      </c>
    </row>
    <row r="61" spans="10:20" x14ac:dyDescent="0.25">
      <c r="K61" t="s">
        <v>27</v>
      </c>
      <c r="L61">
        <f>13-3.3</f>
        <v>9.6999999999999993</v>
      </c>
      <c r="N61" s="2">
        <f>(2.9 /0.15)*2</f>
        <v>38.666666666666664</v>
      </c>
      <c r="O61">
        <v>10</v>
      </c>
      <c r="P61">
        <f t="shared" si="0"/>
        <v>0.61699999999999999</v>
      </c>
      <c r="Q61">
        <f t="shared" si="9"/>
        <v>375.06666666666661</v>
      </c>
      <c r="R61" s="1">
        <f t="shared" si="10"/>
        <v>2.3141613333333328</v>
      </c>
    </row>
    <row r="62" spans="10:20" x14ac:dyDescent="0.25">
      <c r="J62" t="s">
        <v>29</v>
      </c>
      <c r="K62" t="s">
        <v>26</v>
      </c>
      <c r="L62">
        <f>2*2.1</f>
        <v>4.2</v>
      </c>
      <c r="N62" s="2">
        <v>8</v>
      </c>
      <c r="O62">
        <v>16</v>
      </c>
      <c r="P62">
        <f t="shared" si="0"/>
        <v>1.5780000000000001</v>
      </c>
      <c r="Q62">
        <f t="shared" si="9"/>
        <v>33.6</v>
      </c>
      <c r="R62" s="1">
        <f t="shared" si="10"/>
        <v>0.53020800000000001</v>
      </c>
    </row>
    <row r="63" spans="10:20" x14ac:dyDescent="0.25">
      <c r="K63" t="s">
        <v>27</v>
      </c>
      <c r="L63">
        <f>(0.9+1.2)*2</f>
        <v>4.2</v>
      </c>
      <c r="N63" s="2">
        <f>(1.7/0.1)</f>
        <v>17</v>
      </c>
      <c r="O63">
        <v>8</v>
      </c>
      <c r="P63">
        <f t="shared" si="0"/>
        <v>0.39500000000000002</v>
      </c>
      <c r="Q63">
        <f t="shared" si="9"/>
        <v>71.400000000000006</v>
      </c>
      <c r="R63" s="1">
        <f t="shared" si="10"/>
        <v>0.28203</v>
      </c>
    </row>
    <row r="65" spans="9:18" x14ac:dyDescent="0.25">
      <c r="I65" t="s">
        <v>7</v>
      </c>
      <c r="J65" t="s">
        <v>12</v>
      </c>
      <c r="K65" t="s">
        <v>9</v>
      </c>
      <c r="L65">
        <v>3.65</v>
      </c>
      <c r="M65">
        <v>0.5</v>
      </c>
      <c r="N65" s="2">
        <v>6</v>
      </c>
      <c r="O65">
        <v>12</v>
      </c>
      <c r="P65">
        <f>IF(O65=8,0.395,IF(O65=10,0.617,IF(O65=12,0.888,IF(O65=14,1.208,IF(O65=16,1.578)))))</f>
        <v>0.88800000000000001</v>
      </c>
      <c r="Q65">
        <f>(L65+M65)*N65</f>
        <v>24.900000000000002</v>
      </c>
      <c r="R65" s="1">
        <f>P65*Q65/100</f>
        <v>0.22111200000000003</v>
      </c>
    </row>
    <row r="66" spans="9:18" x14ac:dyDescent="0.25">
      <c r="K66" t="s">
        <v>10</v>
      </c>
      <c r="L66">
        <v>3.65</v>
      </c>
      <c r="M66">
        <v>0.5</v>
      </c>
      <c r="N66" s="2">
        <v>6</v>
      </c>
      <c r="O66">
        <v>12</v>
      </c>
      <c r="P66">
        <f t="shared" si="0"/>
        <v>0.88800000000000001</v>
      </c>
      <c r="Q66">
        <f t="shared" ref="Q66:Q77" si="11">(L66+M66)*N66</f>
        <v>24.900000000000002</v>
      </c>
      <c r="R66" s="1">
        <f t="shared" ref="R66:R77" si="12">P66*Q66/100</f>
        <v>0.22111200000000003</v>
      </c>
    </row>
    <row r="67" spans="9:18" x14ac:dyDescent="0.25">
      <c r="J67" t="s">
        <v>13</v>
      </c>
      <c r="K67" t="s">
        <v>9</v>
      </c>
      <c r="L67">
        <v>1.4</v>
      </c>
      <c r="M67">
        <v>0</v>
      </c>
      <c r="N67" s="2">
        <f>3.65/0.15</f>
        <v>24.333333333333332</v>
      </c>
      <c r="O67">
        <v>12</v>
      </c>
      <c r="P67">
        <f t="shared" si="0"/>
        <v>0.88800000000000001</v>
      </c>
      <c r="Q67">
        <f t="shared" si="11"/>
        <v>34.066666666666663</v>
      </c>
      <c r="R67" s="1">
        <f t="shared" si="12"/>
        <v>0.30251199999999995</v>
      </c>
    </row>
    <row r="68" spans="9:18" x14ac:dyDescent="0.25">
      <c r="K68" t="s">
        <v>10</v>
      </c>
      <c r="L68">
        <v>1.4</v>
      </c>
      <c r="M68">
        <v>0</v>
      </c>
      <c r="N68" s="2">
        <f>3.65/0.15</f>
        <v>24.333333333333332</v>
      </c>
      <c r="O68">
        <v>12</v>
      </c>
      <c r="P68">
        <f t="shared" si="0"/>
        <v>0.88800000000000001</v>
      </c>
      <c r="Q68">
        <f t="shared" si="11"/>
        <v>34.066666666666663</v>
      </c>
      <c r="R68" s="1">
        <f t="shared" si="12"/>
        <v>0.30251199999999995</v>
      </c>
    </row>
    <row r="69" spans="9:18" x14ac:dyDescent="0.25">
      <c r="J69" t="s">
        <v>11</v>
      </c>
      <c r="P69" t="b">
        <f t="shared" si="0"/>
        <v>0</v>
      </c>
      <c r="R69" s="1">
        <f t="shared" si="12"/>
        <v>0</v>
      </c>
    </row>
    <row r="70" spans="9:18" x14ac:dyDescent="0.25">
      <c r="J70" t="s">
        <v>21</v>
      </c>
      <c r="K70">
        <v>10</v>
      </c>
      <c r="L70">
        <v>3.65</v>
      </c>
      <c r="N70" s="2">
        <v>4</v>
      </c>
      <c r="O70">
        <v>10</v>
      </c>
      <c r="P70">
        <f t="shared" si="0"/>
        <v>0.61699999999999999</v>
      </c>
      <c r="Q70">
        <f t="shared" si="11"/>
        <v>14.6</v>
      </c>
      <c r="R70" s="1">
        <f t="shared" si="12"/>
        <v>9.0082000000000009E-2</v>
      </c>
    </row>
    <row r="71" spans="9:18" x14ac:dyDescent="0.25">
      <c r="K71">
        <v>14</v>
      </c>
      <c r="P71" t="b">
        <f t="shared" si="0"/>
        <v>0</v>
      </c>
    </row>
    <row r="72" spans="9:18" x14ac:dyDescent="0.25">
      <c r="K72">
        <v>16</v>
      </c>
      <c r="L72">
        <v>3.65</v>
      </c>
      <c r="M72">
        <v>0.5</v>
      </c>
      <c r="N72" s="2">
        <v>12</v>
      </c>
      <c r="O72">
        <v>16</v>
      </c>
      <c r="P72">
        <f t="shared" si="0"/>
        <v>1.5780000000000001</v>
      </c>
      <c r="Q72">
        <f t="shared" si="11"/>
        <v>49.800000000000004</v>
      </c>
      <c r="R72" s="1">
        <f t="shared" si="12"/>
        <v>0.78584400000000021</v>
      </c>
    </row>
    <row r="73" spans="9:18" x14ac:dyDescent="0.25">
      <c r="K73" t="s">
        <v>22</v>
      </c>
      <c r="L73">
        <v>2.1</v>
      </c>
      <c r="M73">
        <v>0</v>
      </c>
      <c r="N73" s="2">
        <v>15</v>
      </c>
      <c r="O73">
        <v>10</v>
      </c>
      <c r="P73">
        <f t="shared" si="0"/>
        <v>0.61699999999999999</v>
      </c>
      <c r="Q73">
        <f t="shared" si="11"/>
        <v>31.5</v>
      </c>
      <c r="R73" s="1">
        <f t="shared" si="12"/>
        <v>0.194355</v>
      </c>
    </row>
    <row r="74" spans="9:18" x14ac:dyDescent="0.25">
      <c r="K74" t="s">
        <v>23</v>
      </c>
      <c r="L74">
        <v>1.45</v>
      </c>
      <c r="M74">
        <v>0</v>
      </c>
      <c r="N74" s="2">
        <v>15</v>
      </c>
      <c r="O74">
        <v>10</v>
      </c>
      <c r="P74">
        <f t="shared" si="0"/>
        <v>0.61699999999999999</v>
      </c>
      <c r="Q74">
        <f t="shared" si="11"/>
        <v>21.75</v>
      </c>
      <c r="R74" s="1">
        <f t="shared" si="12"/>
        <v>0.1341975</v>
      </c>
    </row>
    <row r="75" spans="9:18" x14ac:dyDescent="0.25">
      <c r="K75" t="s">
        <v>24</v>
      </c>
      <c r="L75">
        <v>0.45</v>
      </c>
      <c r="M75">
        <v>0</v>
      </c>
      <c r="N75" s="2">
        <v>15</v>
      </c>
      <c r="O75">
        <v>10</v>
      </c>
      <c r="P75">
        <f t="shared" si="0"/>
        <v>0.61699999999999999</v>
      </c>
      <c r="Q75">
        <f t="shared" si="11"/>
        <v>6.75</v>
      </c>
      <c r="R75" s="1">
        <f t="shared" si="12"/>
        <v>4.1647499999999997E-2</v>
      </c>
    </row>
    <row r="76" spans="9:18" x14ac:dyDescent="0.25">
      <c r="J76" t="s">
        <v>25</v>
      </c>
      <c r="K76" t="s">
        <v>26</v>
      </c>
      <c r="L76">
        <v>2</v>
      </c>
      <c r="M76">
        <v>0</v>
      </c>
      <c r="N76" s="2">
        <f>(3.3/0.15)*2</f>
        <v>44</v>
      </c>
      <c r="O76">
        <v>14</v>
      </c>
      <c r="P76">
        <f t="shared" si="0"/>
        <v>1.208</v>
      </c>
      <c r="Q76">
        <f t="shared" si="11"/>
        <v>88</v>
      </c>
      <c r="R76" s="1">
        <f t="shared" si="12"/>
        <v>1.06304</v>
      </c>
    </row>
    <row r="77" spans="9:18" x14ac:dyDescent="0.25">
      <c r="K77" t="s">
        <v>27</v>
      </c>
      <c r="L77">
        <v>3.3</v>
      </c>
      <c r="M77">
        <v>0</v>
      </c>
      <c r="N77" s="2">
        <f>(70/15)*2</f>
        <v>9.3333333333333339</v>
      </c>
      <c r="O77">
        <v>10</v>
      </c>
      <c r="P77">
        <f t="shared" si="0"/>
        <v>0.61699999999999999</v>
      </c>
      <c r="Q77">
        <f t="shared" si="11"/>
        <v>30.8</v>
      </c>
      <c r="R77" s="1">
        <f t="shared" si="12"/>
        <v>0.19003599999999998</v>
      </c>
    </row>
    <row r="79" spans="9:18" x14ac:dyDescent="0.25">
      <c r="I79" t="s">
        <v>8</v>
      </c>
      <c r="J79" t="s">
        <v>12</v>
      </c>
      <c r="K79" t="s">
        <v>9</v>
      </c>
      <c r="L79">
        <v>3.65</v>
      </c>
      <c r="M79">
        <v>0.5</v>
      </c>
      <c r="N79" s="2">
        <v>6</v>
      </c>
      <c r="O79">
        <v>12</v>
      </c>
      <c r="P79">
        <f>IF(O79=8,0.395,IF(O79=10,0.617,IF(O79=12,0.888,IF(O79=14,1.208,IF(O79=16,1.578)))))</f>
        <v>0.88800000000000001</v>
      </c>
      <c r="Q79">
        <f>(L79+M79)*N79</f>
        <v>24.900000000000002</v>
      </c>
      <c r="R79" s="1">
        <f>P79*Q79/100</f>
        <v>0.22111200000000003</v>
      </c>
    </row>
    <row r="80" spans="9:18" x14ac:dyDescent="0.25">
      <c r="K80" t="s">
        <v>10</v>
      </c>
      <c r="L80">
        <v>3.65</v>
      </c>
      <c r="M80">
        <v>0.5</v>
      </c>
      <c r="N80" s="2">
        <v>6</v>
      </c>
      <c r="O80">
        <v>12</v>
      </c>
      <c r="P80">
        <f t="shared" si="0"/>
        <v>0.88800000000000001</v>
      </c>
      <c r="Q80">
        <f t="shared" ref="Q80:Q82" si="13">(L80+M80)*N80</f>
        <v>24.900000000000002</v>
      </c>
      <c r="R80" s="1">
        <f t="shared" ref="R80:R84" si="14">P80*Q80/100</f>
        <v>0.22111200000000003</v>
      </c>
    </row>
    <row r="81" spans="9:18" x14ac:dyDescent="0.25">
      <c r="J81" t="s">
        <v>13</v>
      </c>
      <c r="K81" t="s">
        <v>9</v>
      </c>
      <c r="L81">
        <v>1.4</v>
      </c>
      <c r="M81">
        <v>0</v>
      </c>
      <c r="N81" s="2">
        <f>3.65/0.15</f>
        <v>24.333333333333332</v>
      </c>
      <c r="O81">
        <v>12</v>
      </c>
      <c r="P81">
        <f t="shared" si="0"/>
        <v>0.88800000000000001</v>
      </c>
      <c r="Q81">
        <f t="shared" si="13"/>
        <v>34.066666666666663</v>
      </c>
      <c r="R81" s="1">
        <f t="shared" si="14"/>
        <v>0.30251199999999995</v>
      </c>
    </row>
    <row r="82" spans="9:18" x14ac:dyDescent="0.25">
      <c r="K82" t="s">
        <v>10</v>
      </c>
      <c r="L82">
        <v>1.4</v>
      </c>
      <c r="M82">
        <v>0</v>
      </c>
      <c r="N82" s="2">
        <f>3.65/0.15</f>
        <v>24.333333333333332</v>
      </c>
      <c r="O82">
        <v>12</v>
      </c>
      <c r="P82">
        <f t="shared" si="0"/>
        <v>0.88800000000000001</v>
      </c>
      <c r="Q82">
        <f t="shared" si="13"/>
        <v>34.066666666666663</v>
      </c>
      <c r="R82" s="1">
        <f t="shared" si="14"/>
        <v>0.30251199999999995</v>
      </c>
    </row>
    <row r="83" spans="9:18" x14ac:dyDescent="0.25">
      <c r="J83" t="s">
        <v>11</v>
      </c>
      <c r="P83" t="b">
        <f t="shared" si="0"/>
        <v>0</v>
      </c>
      <c r="R83" s="1">
        <f t="shared" si="14"/>
        <v>0</v>
      </c>
    </row>
    <row r="84" spans="9:18" x14ac:dyDescent="0.25">
      <c r="J84" t="s">
        <v>21</v>
      </c>
      <c r="K84">
        <v>10</v>
      </c>
      <c r="L84">
        <v>3.65</v>
      </c>
      <c r="N84" s="2">
        <v>4</v>
      </c>
      <c r="O84">
        <v>10</v>
      </c>
      <c r="P84">
        <f t="shared" si="0"/>
        <v>0.61699999999999999</v>
      </c>
      <c r="Q84">
        <f t="shared" ref="Q84" si="15">(L84+M84)*N84</f>
        <v>14.6</v>
      </c>
      <c r="R84" s="1">
        <f t="shared" si="14"/>
        <v>9.0082000000000009E-2</v>
      </c>
    </row>
    <row r="85" spans="9:18" x14ac:dyDescent="0.25">
      <c r="K85">
        <v>14</v>
      </c>
      <c r="P85" t="b">
        <f t="shared" si="0"/>
        <v>0</v>
      </c>
    </row>
    <row r="86" spans="9:18" x14ac:dyDescent="0.25">
      <c r="K86">
        <v>16</v>
      </c>
      <c r="L86">
        <v>3.65</v>
      </c>
      <c r="M86">
        <v>0.5</v>
      </c>
      <c r="N86" s="2">
        <v>12</v>
      </c>
      <c r="O86">
        <v>16</v>
      </c>
      <c r="P86">
        <f t="shared" si="0"/>
        <v>1.5780000000000001</v>
      </c>
      <c r="Q86">
        <f t="shared" ref="Q86:Q92" si="16">(L86+M86)*N86</f>
        <v>49.800000000000004</v>
      </c>
      <c r="R86" s="1">
        <f t="shared" ref="R86:R92" si="17">P86*Q86/100</f>
        <v>0.78584400000000021</v>
      </c>
    </row>
    <row r="87" spans="9:18" x14ac:dyDescent="0.25">
      <c r="K87" t="s">
        <v>22</v>
      </c>
      <c r="L87">
        <v>2.1</v>
      </c>
      <c r="M87">
        <v>0</v>
      </c>
      <c r="N87" s="2">
        <v>15</v>
      </c>
      <c r="O87">
        <v>10</v>
      </c>
      <c r="P87">
        <f t="shared" si="0"/>
        <v>0.61699999999999999</v>
      </c>
      <c r="Q87">
        <f t="shared" si="16"/>
        <v>31.5</v>
      </c>
      <c r="R87" s="1">
        <f t="shared" si="17"/>
        <v>0.194355</v>
      </c>
    </row>
    <row r="88" spans="9:18" x14ac:dyDescent="0.25">
      <c r="K88" t="s">
        <v>23</v>
      </c>
      <c r="L88">
        <v>1.45</v>
      </c>
      <c r="M88">
        <v>0</v>
      </c>
      <c r="N88" s="2">
        <v>15</v>
      </c>
      <c r="O88">
        <v>10</v>
      </c>
      <c r="P88">
        <f t="shared" si="0"/>
        <v>0.61699999999999999</v>
      </c>
      <c r="Q88">
        <f t="shared" si="16"/>
        <v>21.75</v>
      </c>
      <c r="R88" s="1">
        <f t="shared" si="17"/>
        <v>0.1341975</v>
      </c>
    </row>
    <row r="89" spans="9:18" x14ac:dyDescent="0.25">
      <c r="K89" t="s">
        <v>24</v>
      </c>
      <c r="L89">
        <v>0.45</v>
      </c>
      <c r="M89">
        <v>0</v>
      </c>
      <c r="N89" s="2">
        <v>15</v>
      </c>
      <c r="O89">
        <v>10</v>
      </c>
      <c r="P89">
        <f t="shared" si="0"/>
        <v>0.61699999999999999</v>
      </c>
      <c r="Q89">
        <f t="shared" si="16"/>
        <v>6.75</v>
      </c>
      <c r="R89" s="1">
        <f t="shared" si="17"/>
        <v>4.1647499999999997E-2</v>
      </c>
    </row>
    <row r="90" spans="9:18" x14ac:dyDescent="0.25">
      <c r="J90" t="s">
        <v>25</v>
      </c>
      <c r="K90" t="s">
        <v>26</v>
      </c>
      <c r="L90">
        <v>2</v>
      </c>
      <c r="M90">
        <v>0</v>
      </c>
      <c r="N90" s="2">
        <f>(3.3/0.15)*2</f>
        <v>44</v>
      </c>
      <c r="O90">
        <v>14</v>
      </c>
      <c r="P90">
        <f t="shared" si="0"/>
        <v>1.208</v>
      </c>
      <c r="Q90">
        <f t="shared" si="16"/>
        <v>88</v>
      </c>
      <c r="R90" s="1">
        <f t="shared" si="17"/>
        <v>1.06304</v>
      </c>
    </row>
    <row r="91" spans="9:18" x14ac:dyDescent="0.25">
      <c r="K91" t="s">
        <v>27</v>
      </c>
      <c r="L91">
        <v>3.3</v>
      </c>
      <c r="M91">
        <v>0</v>
      </c>
      <c r="N91" s="2">
        <f>(70/15)*2</f>
        <v>9.3333333333333339</v>
      </c>
      <c r="O91">
        <v>14</v>
      </c>
      <c r="P91">
        <f t="shared" si="0"/>
        <v>1.208</v>
      </c>
      <c r="Q91">
        <f t="shared" si="16"/>
        <v>30.8</v>
      </c>
      <c r="R91" s="1">
        <f t="shared" si="17"/>
        <v>0.37206400000000001</v>
      </c>
    </row>
    <row r="92" spans="9:18" x14ac:dyDescent="0.25">
      <c r="P92" t="b">
        <f t="shared" si="0"/>
        <v>0</v>
      </c>
      <c r="Q92">
        <f t="shared" si="16"/>
        <v>0</v>
      </c>
      <c r="R92" s="1">
        <f t="shared" si="17"/>
        <v>0</v>
      </c>
    </row>
    <row r="93" spans="9:18" x14ac:dyDescent="0.25">
      <c r="I93" t="s">
        <v>32</v>
      </c>
      <c r="J93" t="s">
        <v>12</v>
      </c>
      <c r="K93" t="s">
        <v>9</v>
      </c>
      <c r="L93">
        <v>11.3</v>
      </c>
      <c r="M93">
        <v>0.5</v>
      </c>
      <c r="N93" s="2">
        <v>8</v>
      </c>
      <c r="O93">
        <v>12</v>
      </c>
      <c r="P93">
        <f>IF(O93=8,0.395,IF(O93=10,0.617,IF(O93=12,0.888,IF(O93=14,1.208,IF(O93=16,1.578)))))</f>
        <v>0.88800000000000001</v>
      </c>
      <c r="Q93">
        <f>(L93+M93)*N93</f>
        <v>94.4</v>
      </c>
      <c r="R93" s="1">
        <f>P93*Q93/100</f>
        <v>0.83827200000000002</v>
      </c>
    </row>
    <row r="94" spans="9:18" x14ac:dyDescent="0.25">
      <c r="K94" t="s">
        <v>10</v>
      </c>
      <c r="L94">
        <v>11.3</v>
      </c>
      <c r="M94">
        <v>0.5</v>
      </c>
      <c r="N94" s="2">
        <v>8</v>
      </c>
      <c r="O94">
        <v>12</v>
      </c>
      <c r="P94">
        <f t="shared" si="0"/>
        <v>0.88800000000000001</v>
      </c>
      <c r="Q94">
        <f t="shared" ref="Q94:Q103" si="18">(L94+M94)*N94</f>
        <v>94.4</v>
      </c>
      <c r="R94" s="1">
        <f t="shared" ref="R94:R104" si="19">P94*Q94/100</f>
        <v>0.83827200000000002</v>
      </c>
    </row>
    <row r="95" spans="9:18" x14ac:dyDescent="0.25">
      <c r="J95" t="s">
        <v>13</v>
      </c>
      <c r="K95" t="s">
        <v>9</v>
      </c>
      <c r="L95">
        <v>1.8</v>
      </c>
      <c r="M95">
        <v>0</v>
      </c>
      <c r="N95" s="2">
        <f>L93/0.15</f>
        <v>75.333333333333343</v>
      </c>
      <c r="O95">
        <v>12</v>
      </c>
      <c r="P95">
        <f t="shared" si="0"/>
        <v>0.88800000000000001</v>
      </c>
      <c r="Q95">
        <f t="shared" si="18"/>
        <v>135.60000000000002</v>
      </c>
      <c r="R95" s="1">
        <f t="shared" si="19"/>
        <v>1.2041280000000001</v>
      </c>
    </row>
    <row r="96" spans="9:18" x14ac:dyDescent="0.25">
      <c r="K96" t="s">
        <v>10</v>
      </c>
      <c r="L96">
        <v>1.8</v>
      </c>
      <c r="M96">
        <v>0</v>
      </c>
      <c r="N96" s="2">
        <f>L93/0.15</f>
        <v>75.333333333333343</v>
      </c>
      <c r="O96">
        <v>12</v>
      </c>
      <c r="P96">
        <f t="shared" si="0"/>
        <v>0.88800000000000001</v>
      </c>
      <c r="Q96">
        <f t="shared" si="18"/>
        <v>135.60000000000002</v>
      </c>
      <c r="R96" s="1">
        <f t="shared" si="19"/>
        <v>1.2041280000000001</v>
      </c>
    </row>
    <row r="97" spans="9:18" x14ac:dyDescent="0.25">
      <c r="J97" t="s">
        <v>11</v>
      </c>
      <c r="L97">
        <v>1</v>
      </c>
      <c r="M97">
        <v>0</v>
      </c>
      <c r="N97" s="2">
        <f>L94*L96*4</f>
        <v>81.360000000000014</v>
      </c>
      <c r="O97">
        <v>8</v>
      </c>
      <c r="P97">
        <f t="shared" si="0"/>
        <v>0.39500000000000002</v>
      </c>
      <c r="Q97">
        <f t="shared" si="18"/>
        <v>81.360000000000014</v>
      </c>
      <c r="R97" s="1">
        <f t="shared" si="19"/>
        <v>0.32137200000000005</v>
      </c>
    </row>
    <row r="98" spans="9:18" x14ac:dyDescent="0.25">
      <c r="J98" t="s">
        <v>21</v>
      </c>
      <c r="K98">
        <v>10</v>
      </c>
      <c r="L98">
        <v>11.3</v>
      </c>
      <c r="M98">
        <v>0</v>
      </c>
      <c r="N98" s="2">
        <v>4</v>
      </c>
      <c r="O98">
        <v>10</v>
      </c>
      <c r="P98">
        <f t="shared" si="0"/>
        <v>0.61699999999999999</v>
      </c>
      <c r="Q98">
        <f t="shared" si="18"/>
        <v>45.2</v>
      </c>
      <c r="R98" s="1">
        <f t="shared" si="19"/>
        <v>0.27888400000000002</v>
      </c>
    </row>
    <row r="99" spans="9:18" x14ac:dyDescent="0.25">
      <c r="K99">
        <v>14</v>
      </c>
      <c r="L99">
        <v>11.8</v>
      </c>
      <c r="M99">
        <v>0</v>
      </c>
      <c r="N99" s="2">
        <v>6</v>
      </c>
      <c r="O99">
        <v>14</v>
      </c>
      <c r="P99">
        <f t="shared" si="0"/>
        <v>1.208</v>
      </c>
      <c r="Q99">
        <f t="shared" si="18"/>
        <v>70.800000000000011</v>
      </c>
      <c r="R99" s="1">
        <f t="shared" si="19"/>
        <v>0.85526400000000014</v>
      </c>
    </row>
    <row r="100" spans="9:18" x14ac:dyDescent="0.25">
      <c r="K100">
        <v>16</v>
      </c>
      <c r="L100">
        <f>(2+4+3+4.25+2)</f>
        <v>15.25</v>
      </c>
      <c r="N100" s="2">
        <v>3</v>
      </c>
      <c r="O100">
        <v>16</v>
      </c>
      <c r="P100">
        <f t="shared" si="0"/>
        <v>1.5780000000000001</v>
      </c>
      <c r="Q100">
        <f t="shared" si="18"/>
        <v>45.75</v>
      </c>
      <c r="R100" s="1">
        <f t="shared" si="19"/>
        <v>0.72193499999999999</v>
      </c>
    </row>
    <row r="101" spans="9:18" x14ac:dyDescent="0.25">
      <c r="K101" t="s">
        <v>22</v>
      </c>
      <c r="L101">
        <v>1.9</v>
      </c>
      <c r="M101">
        <v>0</v>
      </c>
      <c r="N101" s="2">
        <f>(60+(1.85+1.9)/0.15)</f>
        <v>85</v>
      </c>
      <c r="O101">
        <v>10</v>
      </c>
      <c r="P101">
        <f t="shared" si="0"/>
        <v>0.61699999999999999</v>
      </c>
      <c r="Q101">
        <f t="shared" si="18"/>
        <v>161.5</v>
      </c>
      <c r="R101" s="1">
        <f t="shared" si="19"/>
        <v>0.99645499999999998</v>
      </c>
    </row>
    <row r="102" spans="9:18" x14ac:dyDescent="0.25">
      <c r="K102" t="s">
        <v>23</v>
      </c>
      <c r="L102">
        <v>1.45</v>
      </c>
      <c r="M102">
        <v>0</v>
      </c>
      <c r="N102" s="2">
        <v>85</v>
      </c>
      <c r="O102">
        <v>10</v>
      </c>
      <c r="P102">
        <f t="shared" si="0"/>
        <v>0.61699999999999999</v>
      </c>
      <c r="Q102">
        <f t="shared" si="18"/>
        <v>123.25</v>
      </c>
      <c r="R102" s="1">
        <f t="shared" si="19"/>
        <v>0.76045249999999998</v>
      </c>
    </row>
    <row r="103" spans="9:18" x14ac:dyDescent="0.25">
      <c r="K103" t="s">
        <v>24</v>
      </c>
      <c r="L103">
        <v>0.35</v>
      </c>
      <c r="M103">
        <v>0</v>
      </c>
      <c r="N103" s="2">
        <v>60</v>
      </c>
      <c r="O103">
        <v>10</v>
      </c>
      <c r="P103">
        <f t="shared" si="0"/>
        <v>0.61699999999999999</v>
      </c>
      <c r="Q103">
        <f t="shared" si="18"/>
        <v>21</v>
      </c>
      <c r="R103" s="1">
        <f t="shared" si="19"/>
        <v>0.12957000000000002</v>
      </c>
    </row>
    <row r="104" spans="9:18" x14ac:dyDescent="0.25">
      <c r="P104" t="b">
        <f t="shared" si="0"/>
        <v>0</v>
      </c>
      <c r="R104" s="1">
        <f t="shared" si="19"/>
        <v>0</v>
      </c>
    </row>
    <row r="105" spans="9:18" x14ac:dyDescent="0.25">
      <c r="I105" t="s">
        <v>33</v>
      </c>
      <c r="J105" t="s">
        <v>288</v>
      </c>
      <c r="K105" t="s">
        <v>9</v>
      </c>
      <c r="L105">
        <v>11.3</v>
      </c>
      <c r="M105">
        <v>0.5</v>
      </c>
      <c r="N105" s="2">
        <v>10</v>
      </c>
      <c r="O105">
        <v>12</v>
      </c>
      <c r="P105">
        <f>IF(O105=8,0.395,IF(O105=10,0.617,IF(O105=12,0.888,IF(O105=14,1.208,IF(O105=16,1.578)))))</f>
        <v>0.88800000000000001</v>
      </c>
      <c r="Q105">
        <f>(L105+M105)*N105</f>
        <v>118</v>
      </c>
      <c r="R105" s="1">
        <f>P105*Q105/100</f>
        <v>1.0478400000000001</v>
      </c>
    </row>
    <row r="106" spans="9:18" x14ac:dyDescent="0.25">
      <c r="K106" t="s">
        <v>10</v>
      </c>
      <c r="L106">
        <v>11.3</v>
      </c>
      <c r="M106">
        <v>0.5</v>
      </c>
      <c r="N106" s="2">
        <v>10</v>
      </c>
      <c r="O106">
        <v>12</v>
      </c>
      <c r="P106">
        <f t="shared" si="0"/>
        <v>0.88800000000000001</v>
      </c>
      <c r="Q106">
        <f t="shared" ref="Q106:Q117" si="20">(L106+M106)*N106</f>
        <v>118</v>
      </c>
      <c r="R106" s="1">
        <f t="shared" ref="R106:R117" si="21">P106*Q106/100</f>
        <v>1.0478400000000001</v>
      </c>
    </row>
    <row r="107" spans="9:18" x14ac:dyDescent="0.25">
      <c r="J107" t="s">
        <v>13</v>
      </c>
      <c r="K107" t="s">
        <v>9</v>
      </c>
      <c r="L107">
        <v>1.7</v>
      </c>
      <c r="M107">
        <v>0.5</v>
      </c>
      <c r="N107" s="2">
        <f>L105/0.15</f>
        <v>75.333333333333343</v>
      </c>
      <c r="O107">
        <v>12</v>
      </c>
      <c r="P107">
        <f t="shared" si="0"/>
        <v>0.88800000000000001</v>
      </c>
      <c r="Q107">
        <f t="shared" si="20"/>
        <v>165.73333333333338</v>
      </c>
      <c r="R107" s="1">
        <f t="shared" si="21"/>
        <v>1.4717120000000004</v>
      </c>
    </row>
    <row r="108" spans="9:18" x14ac:dyDescent="0.25">
      <c r="K108" t="s">
        <v>10</v>
      </c>
      <c r="L108">
        <v>1.7</v>
      </c>
      <c r="M108">
        <v>0.5</v>
      </c>
      <c r="N108" s="2">
        <f>L105/0.15</f>
        <v>75.333333333333343</v>
      </c>
      <c r="O108">
        <v>12</v>
      </c>
      <c r="P108">
        <f t="shared" si="0"/>
        <v>0.88800000000000001</v>
      </c>
      <c r="Q108">
        <f t="shared" si="20"/>
        <v>165.73333333333338</v>
      </c>
      <c r="R108" s="1">
        <f t="shared" si="21"/>
        <v>1.4717120000000004</v>
      </c>
    </row>
    <row r="109" spans="9:18" x14ac:dyDescent="0.25">
      <c r="J109" t="s">
        <v>11</v>
      </c>
      <c r="L109">
        <v>1</v>
      </c>
      <c r="M109">
        <v>0</v>
      </c>
      <c r="N109" s="2">
        <f>L106*L108*4</f>
        <v>76.84</v>
      </c>
      <c r="O109">
        <v>8</v>
      </c>
      <c r="P109">
        <f t="shared" si="0"/>
        <v>0.39500000000000002</v>
      </c>
      <c r="Q109">
        <f t="shared" si="20"/>
        <v>76.84</v>
      </c>
      <c r="R109" s="1">
        <f t="shared" si="21"/>
        <v>0.30351800000000007</v>
      </c>
    </row>
    <row r="110" spans="9:18" x14ac:dyDescent="0.25">
      <c r="J110" t="s">
        <v>21</v>
      </c>
      <c r="K110">
        <v>10</v>
      </c>
      <c r="L110">
        <v>11.3</v>
      </c>
      <c r="M110">
        <v>0</v>
      </c>
      <c r="N110" s="2">
        <v>4</v>
      </c>
      <c r="O110">
        <v>10</v>
      </c>
      <c r="P110">
        <f t="shared" si="0"/>
        <v>0.61699999999999999</v>
      </c>
      <c r="Q110">
        <f t="shared" si="20"/>
        <v>45.2</v>
      </c>
      <c r="R110" s="1">
        <f t="shared" si="21"/>
        <v>0.27888400000000002</v>
      </c>
    </row>
    <row r="111" spans="9:18" x14ac:dyDescent="0.25">
      <c r="K111">
        <v>14</v>
      </c>
      <c r="O111">
        <v>14</v>
      </c>
      <c r="P111">
        <f t="shared" si="0"/>
        <v>1.208</v>
      </c>
      <c r="Q111">
        <f t="shared" si="20"/>
        <v>0</v>
      </c>
      <c r="R111" s="1">
        <f t="shared" si="21"/>
        <v>0</v>
      </c>
    </row>
    <row r="112" spans="9:18" x14ac:dyDescent="0.25">
      <c r="K112">
        <v>16</v>
      </c>
      <c r="L112">
        <f>(11.8+11.8+3.5+2.3+3+4.25+2)</f>
        <v>38.650000000000006</v>
      </c>
      <c r="N112" s="2">
        <v>3</v>
      </c>
      <c r="O112">
        <v>16</v>
      </c>
      <c r="P112">
        <f t="shared" si="0"/>
        <v>1.5780000000000001</v>
      </c>
      <c r="Q112">
        <f t="shared" si="20"/>
        <v>115.95000000000002</v>
      </c>
      <c r="R112" s="1">
        <f t="shared" si="21"/>
        <v>1.8296910000000002</v>
      </c>
    </row>
    <row r="113" spans="9:18" x14ac:dyDescent="0.25">
      <c r="K113" t="s">
        <v>22</v>
      </c>
      <c r="L113">
        <v>1.9</v>
      </c>
      <c r="M113">
        <v>0</v>
      </c>
      <c r="N113" s="2">
        <f>(60+(1.85+1.9)/0.15)</f>
        <v>85</v>
      </c>
      <c r="O113">
        <v>10</v>
      </c>
      <c r="P113">
        <f t="shared" si="0"/>
        <v>0.61699999999999999</v>
      </c>
      <c r="Q113">
        <f t="shared" si="20"/>
        <v>161.5</v>
      </c>
      <c r="R113" s="1">
        <f t="shared" si="21"/>
        <v>0.99645499999999998</v>
      </c>
    </row>
    <row r="114" spans="9:18" x14ac:dyDescent="0.25">
      <c r="K114" t="s">
        <v>23</v>
      </c>
      <c r="L114">
        <v>1.45</v>
      </c>
      <c r="M114">
        <v>0</v>
      </c>
      <c r="N114" s="2">
        <v>85</v>
      </c>
      <c r="O114">
        <v>10</v>
      </c>
      <c r="P114">
        <f t="shared" si="0"/>
        <v>0.61699999999999999</v>
      </c>
      <c r="Q114">
        <f t="shared" si="20"/>
        <v>123.25</v>
      </c>
      <c r="R114" s="1">
        <f t="shared" si="21"/>
        <v>0.76045249999999998</v>
      </c>
    </row>
    <row r="115" spans="9:18" x14ac:dyDescent="0.25">
      <c r="K115" t="s">
        <v>24</v>
      </c>
      <c r="L115">
        <v>0.35</v>
      </c>
      <c r="M115">
        <v>0</v>
      </c>
      <c r="N115" s="2">
        <v>60</v>
      </c>
      <c r="O115">
        <v>10</v>
      </c>
      <c r="P115">
        <f t="shared" si="0"/>
        <v>0.61699999999999999</v>
      </c>
      <c r="Q115">
        <f t="shared" si="20"/>
        <v>21</v>
      </c>
      <c r="R115" s="1">
        <f t="shared" si="21"/>
        <v>0.12957000000000002</v>
      </c>
    </row>
    <row r="116" spans="9:18" x14ac:dyDescent="0.25">
      <c r="J116" t="s">
        <v>25</v>
      </c>
      <c r="K116" t="s">
        <v>26</v>
      </c>
      <c r="L116">
        <v>1.5</v>
      </c>
      <c r="M116">
        <v>0.6</v>
      </c>
      <c r="N116" s="2">
        <v>44</v>
      </c>
      <c r="O116">
        <v>16</v>
      </c>
      <c r="P116">
        <f t="shared" si="0"/>
        <v>1.5780000000000001</v>
      </c>
      <c r="Q116">
        <f t="shared" si="20"/>
        <v>92.4</v>
      </c>
      <c r="R116" s="1">
        <f t="shared" si="21"/>
        <v>1.4580720000000003</v>
      </c>
    </row>
    <row r="117" spans="9:18" x14ac:dyDescent="0.25">
      <c r="K117" t="s">
        <v>27</v>
      </c>
      <c r="L117">
        <v>2.1</v>
      </c>
      <c r="M117">
        <v>0.4</v>
      </c>
      <c r="N117" s="2">
        <f>(70/15)*2</f>
        <v>9.3333333333333339</v>
      </c>
      <c r="O117">
        <v>10</v>
      </c>
      <c r="P117">
        <f t="shared" si="0"/>
        <v>0.61699999999999999</v>
      </c>
      <c r="Q117">
        <f t="shared" si="20"/>
        <v>23.333333333333336</v>
      </c>
      <c r="R117" s="1">
        <f t="shared" si="21"/>
        <v>0.14396666666666669</v>
      </c>
    </row>
    <row r="119" spans="9:18" x14ac:dyDescent="0.25">
      <c r="I119" t="s">
        <v>34</v>
      </c>
      <c r="J119" t="s">
        <v>12</v>
      </c>
      <c r="K119" t="s">
        <v>9</v>
      </c>
      <c r="L119">
        <v>11.3</v>
      </c>
      <c r="M119">
        <v>0.5</v>
      </c>
      <c r="N119" s="2">
        <v>16</v>
      </c>
      <c r="O119">
        <v>12</v>
      </c>
      <c r="P119">
        <f>IF(O119=8,0.395,IF(O119=10,0.617,IF(O119=12,0.888,IF(O119=14,1.208,IF(O119=16,1.578)))))</f>
        <v>0.88800000000000001</v>
      </c>
      <c r="Q119">
        <f>(L119+M119)*N119</f>
        <v>188.8</v>
      </c>
      <c r="R119" s="1">
        <f>P119*Q119/100</f>
        <v>1.676544</v>
      </c>
    </row>
    <row r="120" spans="9:18" x14ac:dyDescent="0.25">
      <c r="K120" t="s">
        <v>10</v>
      </c>
      <c r="L120">
        <v>11.3</v>
      </c>
      <c r="M120">
        <v>0.5</v>
      </c>
      <c r="N120" s="2">
        <v>16</v>
      </c>
      <c r="O120">
        <v>12</v>
      </c>
      <c r="P120">
        <f t="shared" si="0"/>
        <v>0.88800000000000001</v>
      </c>
      <c r="Q120">
        <f t="shared" ref="Q120:Q131" si="22">(L120+M120)*N120</f>
        <v>188.8</v>
      </c>
      <c r="R120" s="1">
        <f t="shared" ref="R120:R131" si="23">P120*Q120/100</f>
        <v>1.676544</v>
      </c>
    </row>
    <row r="121" spans="9:18" x14ac:dyDescent="0.25">
      <c r="J121" t="s">
        <v>13</v>
      </c>
      <c r="K121" t="s">
        <v>9</v>
      </c>
      <c r="L121">
        <v>3.1</v>
      </c>
      <c r="M121">
        <v>0.5</v>
      </c>
      <c r="N121" s="2">
        <f>L119/0.15</f>
        <v>75.333333333333343</v>
      </c>
      <c r="O121">
        <v>12</v>
      </c>
      <c r="P121">
        <f t="shared" si="0"/>
        <v>0.88800000000000001</v>
      </c>
      <c r="Q121">
        <f t="shared" si="22"/>
        <v>271.20000000000005</v>
      </c>
      <c r="R121" s="1">
        <f t="shared" si="23"/>
        <v>2.4082560000000002</v>
      </c>
    </row>
    <row r="122" spans="9:18" x14ac:dyDescent="0.25">
      <c r="K122" t="s">
        <v>10</v>
      </c>
      <c r="L122">
        <v>3.1</v>
      </c>
      <c r="M122">
        <v>0.5</v>
      </c>
      <c r="N122" s="2">
        <f>L119/0.15</f>
        <v>75.333333333333343</v>
      </c>
      <c r="O122">
        <v>12</v>
      </c>
      <c r="P122">
        <f t="shared" si="0"/>
        <v>0.88800000000000001</v>
      </c>
      <c r="Q122">
        <f t="shared" si="22"/>
        <v>271.20000000000005</v>
      </c>
      <c r="R122" s="1">
        <f t="shared" si="23"/>
        <v>2.4082560000000002</v>
      </c>
    </row>
    <row r="123" spans="9:18" x14ac:dyDescent="0.25">
      <c r="J123" t="s">
        <v>11</v>
      </c>
      <c r="L123">
        <v>1</v>
      </c>
      <c r="M123">
        <v>0</v>
      </c>
      <c r="N123" s="2">
        <f>L120*L122*4</f>
        <v>140.12</v>
      </c>
      <c r="O123">
        <v>8</v>
      </c>
      <c r="P123">
        <f t="shared" si="0"/>
        <v>0.39500000000000002</v>
      </c>
      <c r="Q123">
        <f t="shared" si="22"/>
        <v>140.12</v>
      </c>
      <c r="R123" s="1">
        <f t="shared" si="23"/>
        <v>0.55347400000000002</v>
      </c>
    </row>
    <row r="124" spans="9:18" x14ac:dyDescent="0.25">
      <c r="J124" t="s">
        <v>21</v>
      </c>
      <c r="K124">
        <v>10</v>
      </c>
      <c r="L124">
        <v>11.3</v>
      </c>
      <c r="M124">
        <v>0</v>
      </c>
      <c r="N124" s="2">
        <v>4</v>
      </c>
      <c r="O124">
        <v>10</v>
      </c>
      <c r="P124">
        <f t="shared" ref="P124:P131" si="24">IF(O124=8,0.395,IF(O124=10,0.617,IF(O124=12,0.888,IF(O124=14,1.208,IF(O124=16,1.578)))))</f>
        <v>0.61699999999999999</v>
      </c>
      <c r="Q124">
        <f t="shared" si="22"/>
        <v>45.2</v>
      </c>
      <c r="R124" s="1">
        <f t="shared" si="23"/>
        <v>0.27888400000000002</v>
      </c>
    </row>
    <row r="125" spans="9:18" x14ac:dyDescent="0.25">
      <c r="K125">
        <v>14</v>
      </c>
      <c r="L125">
        <v>11.8</v>
      </c>
      <c r="M125">
        <v>0</v>
      </c>
      <c r="N125" s="2">
        <v>6</v>
      </c>
      <c r="O125">
        <v>14</v>
      </c>
      <c r="P125">
        <f t="shared" si="24"/>
        <v>1.208</v>
      </c>
      <c r="Q125">
        <f t="shared" si="22"/>
        <v>70.800000000000011</v>
      </c>
      <c r="R125" s="1">
        <f t="shared" si="23"/>
        <v>0.85526400000000014</v>
      </c>
    </row>
    <row r="126" spans="9:18" x14ac:dyDescent="0.25">
      <c r="K126">
        <v>16</v>
      </c>
      <c r="L126">
        <v>15.25</v>
      </c>
      <c r="N126" s="2">
        <v>3</v>
      </c>
      <c r="O126">
        <v>16</v>
      </c>
      <c r="P126">
        <f t="shared" si="24"/>
        <v>1.5780000000000001</v>
      </c>
      <c r="Q126">
        <f t="shared" si="22"/>
        <v>45.75</v>
      </c>
      <c r="R126" s="1">
        <f t="shared" si="23"/>
        <v>0.72193499999999999</v>
      </c>
    </row>
    <row r="127" spans="9:18" x14ac:dyDescent="0.25">
      <c r="K127" t="s">
        <v>22</v>
      </c>
      <c r="L127">
        <v>1.9</v>
      </c>
      <c r="M127">
        <v>0</v>
      </c>
      <c r="N127" s="2">
        <f>(60+(1.85+1.9)/0.15)</f>
        <v>85</v>
      </c>
      <c r="O127">
        <v>10</v>
      </c>
      <c r="P127">
        <f t="shared" si="24"/>
        <v>0.61699999999999999</v>
      </c>
      <c r="Q127">
        <f t="shared" si="22"/>
        <v>161.5</v>
      </c>
      <c r="R127" s="1">
        <f t="shared" si="23"/>
        <v>0.99645499999999998</v>
      </c>
    </row>
    <row r="128" spans="9:18" x14ac:dyDescent="0.25">
      <c r="K128" t="s">
        <v>23</v>
      </c>
      <c r="L128">
        <v>1.45</v>
      </c>
      <c r="M128">
        <v>0</v>
      </c>
      <c r="N128" s="2">
        <v>85</v>
      </c>
      <c r="O128">
        <v>10</v>
      </c>
      <c r="P128">
        <f t="shared" si="24"/>
        <v>0.61699999999999999</v>
      </c>
      <c r="Q128">
        <f t="shared" si="22"/>
        <v>123.25</v>
      </c>
      <c r="R128" s="1">
        <f t="shared" si="23"/>
        <v>0.76045249999999998</v>
      </c>
    </row>
    <row r="129" spans="9:18" x14ac:dyDescent="0.25">
      <c r="K129" t="s">
        <v>24</v>
      </c>
      <c r="L129">
        <v>0.35</v>
      </c>
      <c r="M129">
        <v>0</v>
      </c>
      <c r="N129" s="2">
        <v>85</v>
      </c>
      <c r="O129">
        <v>10</v>
      </c>
      <c r="P129">
        <f t="shared" si="24"/>
        <v>0.61699999999999999</v>
      </c>
      <c r="Q129">
        <f t="shared" si="22"/>
        <v>29.749999999999996</v>
      </c>
      <c r="R129" s="1">
        <f t="shared" si="23"/>
        <v>0.18355749999999996</v>
      </c>
    </row>
    <row r="130" spans="9:18" x14ac:dyDescent="0.25">
      <c r="J130" t="s">
        <v>35</v>
      </c>
      <c r="K130" t="s">
        <v>26</v>
      </c>
      <c r="L130">
        <v>2</v>
      </c>
      <c r="M130">
        <v>0.6</v>
      </c>
      <c r="N130" s="2">
        <f>11.3/0.15</f>
        <v>75.333333333333343</v>
      </c>
      <c r="O130">
        <v>14</v>
      </c>
      <c r="P130">
        <f t="shared" si="24"/>
        <v>1.208</v>
      </c>
      <c r="Q130">
        <f t="shared" si="22"/>
        <v>195.8666666666667</v>
      </c>
      <c r="R130" s="1">
        <f t="shared" si="23"/>
        <v>2.3660693333333338</v>
      </c>
    </row>
    <row r="131" spans="9:18" x14ac:dyDescent="0.25">
      <c r="K131" t="s">
        <v>27</v>
      </c>
      <c r="L131">
        <v>11.3</v>
      </c>
      <c r="M131">
        <v>0.5</v>
      </c>
      <c r="N131" s="2">
        <f>(70/15)*2</f>
        <v>9.3333333333333339</v>
      </c>
      <c r="O131">
        <v>14</v>
      </c>
      <c r="P131">
        <f t="shared" si="24"/>
        <v>1.208</v>
      </c>
      <c r="Q131">
        <f t="shared" si="22"/>
        <v>110.13333333333334</v>
      </c>
      <c r="R131" s="1">
        <f t="shared" si="23"/>
        <v>1.3304106666666666</v>
      </c>
    </row>
    <row r="133" spans="9:18" x14ac:dyDescent="0.25">
      <c r="I133" t="s">
        <v>8</v>
      </c>
      <c r="J133" t="s">
        <v>12</v>
      </c>
      <c r="K133" t="s">
        <v>9</v>
      </c>
      <c r="L133">
        <v>3.65</v>
      </c>
      <c r="M133">
        <v>0.5</v>
      </c>
      <c r="N133" s="2">
        <v>6</v>
      </c>
      <c r="O133">
        <v>12</v>
      </c>
      <c r="P133">
        <f>IF(O133=8,0.395,IF(O133=10,0.617,IF(O133=12,0.888,IF(O133=14,1.208,IF(O133=16,1.578)))))</f>
        <v>0.88800000000000001</v>
      </c>
      <c r="Q133">
        <f>(L133+M133)*N133</f>
        <v>24.900000000000002</v>
      </c>
      <c r="R133" s="1">
        <f>P133*Q133/100</f>
        <v>0.22111200000000003</v>
      </c>
    </row>
    <row r="134" spans="9:18" x14ac:dyDescent="0.25">
      <c r="K134" t="s">
        <v>10</v>
      </c>
      <c r="L134">
        <v>3.65</v>
      </c>
      <c r="M134">
        <v>0.5</v>
      </c>
      <c r="N134" s="2">
        <v>6</v>
      </c>
      <c r="O134">
        <v>12</v>
      </c>
      <c r="P134">
        <f t="shared" ref="P134:P149" si="25">IF(O134=8,0.395,IF(O134=10,0.617,IF(O134=12,0.888,IF(O134=14,1.208,IF(O134=16,1.578)))))</f>
        <v>0.88800000000000001</v>
      </c>
      <c r="Q134">
        <f t="shared" ref="Q134:Q136" si="26">(L134+M134)*N134</f>
        <v>24.900000000000002</v>
      </c>
      <c r="R134" s="1">
        <f t="shared" ref="R134:R138" si="27">P134*Q134/100</f>
        <v>0.22111200000000003</v>
      </c>
    </row>
    <row r="135" spans="9:18" x14ac:dyDescent="0.25">
      <c r="J135" t="s">
        <v>13</v>
      </c>
      <c r="K135" t="s">
        <v>9</v>
      </c>
      <c r="L135">
        <v>1.4</v>
      </c>
      <c r="M135">
        <v>0</v>
      </c>
      <c r="N135" s="2">
        <f>3.65/0.15</f>
        <v>24.333333333333332</v>
      </c>
      <c r="O135">
        <v>12</v>
      </c>
      <c r="P135">
        <f t="shared" si="25"/>
        <v>0.88800000000000001</v>
      </c>
      <c r="Q135">
        <f t="shared" si="26"/>
        <v>34.066666666666663</v>
      </c>
      <c r="R135" s="1">
        <f t="shared" si="27"/>
        <v>0.30251199999999995</v>
      </c>
    </row>
    <row r="136" spans="9:18" x14ac:dyDescent="0.25">
      <c r="K136" t="s">
        <v>10</v>
      </c>
      <c r="L136">
        <v>1.4</v>
      </c>
      <c r="M136">
        <v>0</v>
      </c>
      <c r="N136" s="2">
        <f>3.65/0.15</f>
        <v>24.333333333333332</v>
      </c>
      <c r="O136">
        <v>12</v>
      </c>
      <c r="P136">
        <f t="shared" si="25"/>
        <v>0.88800000000000001</v>
      </c>
      <c r="Q136">
        <f t="shared" si="26"/>
        <v>34.066666666666663</v>
      </c>
      <c r="R136" s="1">
        <f t="shared" si="27"/>
        <v>0.30251199999999995</v>
      </c>
    </row>
    <row r="137" spans="9:18" x14ac:dyDescent="0.25">
      <c r="J137" t="s">
        <v>11</v>
      </c>
      <c r="P137" t="b">
        <f t="shared" si="25"/>
        <v>0</v>
      </c>
      <c r="R137" s="1">
        <f t="shared" si="27"/>
        <v>0</v>
      </c>
    </row>
    <row r="138" spans="9:18" x14ac:dyDescent="0.25">
      <c r="J138" t="s">
        <v>21</v>
      </c>
      <c r="K138">
        <v>10</v>
      </c>
      <c r="L138">
        <v>3.65</v>
      </c>
      <c r="N138" s="2">
        <v>4</v>
      </c>
      <c r="O138">
        <v>10</v>
      </c>
      <c r="P138">
        <f t="shared" si="25"/>
        <v>0.61699999999999999</v>
      </c>
      <c r="Q138">
        <f t="shared" ref="Q138" si="28">(L138+M138)*N138</f>
        <v>14.6</v>
      </c>
      <c r="R138" s="1">
        <f t="shared" si="27"/>
        <v>9.0082000000000009E-2</v>
      </c>
    </row>
    <row r="139" spans="9:18" x14ac:dyDescent="0.25">
      <c r="K139">
        <v>14</v>
      </c>
      <c r="P139" t="b">
        <f t="shared" si="25"/>
        <v>0</v>
      </c>
    </row>
    <row r="140" spans="9:18" x14ac:dyDescent="0.25">
      <c r="K140">
        <v>16</v>
      </c>
      <c r="L140">
        <v>3.65</v>
      </c>
      <c r="M140">
        <v>0.5</v>
      </c>
      <c r="N140" s="2">
        <v>12</v>
      </c>
      <c r="O140">
        <v>16</v>
      </c>
      <c r="P140">
        <f t="shared" si="25"/>
        <v>1.5780000000000001</v>
      </c>
      <c r="Q140">
        <f t="shared" ref="Q140:Q149" si="29">(L140+M140)*N140</f>
        <v>49.800000000000004</v>
      </c>
      <c r="R140" s="1">
        <f t="shared" ref="R140:R145" si="30">P140*Q140/100</f>
        <v>0.78584400000000021</v>
      </c>
    </row>
    <row r="141" spans="9:18" x14ac:dyDescent="0.25">
      <c r="K141" t="s">
        <v>22</v>
      </c>
      <c r="L141">
        <v>2.1</v>
      </c>
      <c r="M141">
        <v>0</v>
      </c>
      <c r="N141" s="2">
        <v>15</v>
      </c>
      <c r="O141">
        <v>10</v>
      </c>
      <c r="P141">
        <f t="shared" si="25"/>
        <v>0.61699999999999999</v>
      </c>
      <c r="Q141">
        <f t="shared" si="29"/>
        <v>31.5</v>
      </c>
      <c r="R141" s="1">
        <f t="shared" si="30"/>
        <v>0.194355</v>
      </c>
    </row>
    <row r="142" spans="9:18" x14ac:dyDescent="0.25">
      <c r="K142" t="s">
        <v>23</v>
      </c>
      <c r="L142">
        <v>1.45</v>
      </c>
      <c r="M142">
        <v>0</v>
      </c>
      <c r="N142" s="2">
        <v>15</v>
      </c>
      <c r="O142">
        <v>10</v>
      </c>
      <c r="P142">
        <f t="shared" si="25"/>
        <v>0.61699999999999999</v>
      </c>
      <c r="Q142">
        <f t="shared" si="29"/>
        <v>21.75</v>
      </c>
      <c r="R142" s="1">
        <f t="shared" si="30"/>
        <v>0.1341975</v>
      </c>
    </row>
    <row r="143" spans="9:18" x14ac:dyDescent="0.25">
      <c r="K143" t="s">
        <v>24</v>
      </c>
      <c r="L143">
        <v>0.45</v>
      </c>
      <c r="M143">
        <v>0</v>
      </c>
      <c r="N143" s="2">
        <v>15</v>
      </c>
      <c r="O143">
        <v>10</v>
      </c>
      <c r="P143">
        <f t="shared" si="25"/>
        <v>0.61699999999999999</v>
      </c>
      <c r="Q143">
        <f t="shared" si="29"/>
        <v>6.75</v>
      </c>
      <c r="R143" s="1">
        <f t="shared" si="30"/>
        <v>4.1647499999999997E-2</v>
      </c>
    </row>
    <row r="144" spans="9:18" x14ac:dyDescent="0.25">
      <c r="J144" t="s">
        <v>25</v>
      </c>
      <c r="K144" t="s">
        <v>26</v>
      </c>
      <c r="L144">
        <v>2</v>
      </c>
      <c r="M144">
        <v>0</v>
      </c>
      <c r="N144" s="2">
        <f>(3.3/0.15)*2</f>
        <v>44</v>
      </c>
      <c r="O144">
        <v>14</v>
      </c>
      <c r="P144">
        <f t="shared" si="25"/>
        <v>1.208</v>
      </c>
      <c r="Q144">
        <f t="shared" si="29"/>
        <v>88</v>
      </c>
      <c r="R144" s="1">
        <f t="shared" si="30"/>
        <v>1.06304</v>
      </c>
    </row>
    <row r="145" spans="7:20" x14ac:dyDescent="0.25">
      <c r="K145" t="s">
        <v>27</v>
      </c>
      <c r="L145">
        <v>3.3</v>
      </c>
      <c r="M145">
        <v>0</v>
      </c>
      <c r="N145" s="2">
        <f>(70/15)*2</f>
        <v>9.3333333333333339</v>
      </c>
      <c r="O145">
        <v>14</v>
      </c>
      <c r="P145">
        <f t="shared" si="25"/>
        <v>1.208</v>
      </c>
      <c r="Q145">
        <f t="shared" si="29"/>
        <v>30.8</v>
      </c>
      <c r="R145" s="1">
        <f t="shared" si="30"/>
        <v>0.37206400000000001</v>
      </c>
    </row>
    <row r="146" spans="7:20" x14ac:dyDescent="0.25">
      <c r="K146" t="s">
        <v>27</v>
      </c>
      <c r="L146">
        <v>0</v>
      </c>
      <c r="M146">
        <v>0</v>
      </c>
      <c r="N146" s="2">
        <v>0</v>
      </c>
      <c r="O146">
        <v>14</v>
      </c>
      <c r="P146">
        <f t="shared" si="25"/>
        <v>1.208</v>
      </c>
      <c r="Q146">
        <f t="shared" si="29"/>
        <v>0</v>
      </c>
    </row>
    <row r="147" spans="7:20" x14ac:dyDescent="0.25">
      <c r="H147" t="s">
        <v>54</v>
      </c>
      <c r="K147" t="s">
        <v>55</v>
      </c>
      <c r="L147">
        <v>7.6</v>
      </c>
      <c r="M147">
        <v>0</v>
      </c>
      <c r="N147" s="2">
        <v>44</v>
      </c>
      <c r="O147">
        <v>14</v>
      </c>
      <c r="P147">
        <f t="shared" si="25"/>
        <v>1.208</v>
      </c>
      <c r="Q147">
        <f t="shared" si="29"/>
        <v>334.4</v>
      </c>
      <c r="R147" s="1">
        <f t="shared" ref="R147:R149" si="31">P147*Q147/100</f>
        <v>4.0395519999999996</v>
      </c>
    </row>
    <row r="148" spans="7:20" x14ac:dyDescent="0.25">
      <c r="K148" t="s">
        <v>56</v>
      </c>
      <c r="L148">
        <v>7.6</v>
      </c>
      <c r="M148">
        <v>0</v>
      </c>
      <c r="N148" s="2">
        <v>40</v>
      </c>
      <c r="O148">
        <v>14</v>
      </c>
      <c r="P148">
        <f t="shared" si="25"/>
        <v>1.208</v>
      </c>
      <c r="Q148">
        <f t="shared" si="29"/>
        <v>304</v>
      </c>
      <c r="R148" s="1">
        <f t="shared" si="31"/>
        <v>3.6723199999999996</v>
      </c>
    </row>
    <row r="149" spans="7:20" x14ac:dyDescent="0.25">
      <c r="K149" t="s">
        <v>27</v>
      </c>
      <c r="L149">
        <v>10</v>
      </c>
      <c r="M149">
        <v>0</v>
      </c>
      <c r="N149" s="2">
        <v>15</v>
      </c>
      <c r="O149">
        <v>12</v>
      </c>
      <c r="P149">
        <f t="shared" si="25"/>
        <v>0.88800000000000001</v>
      </c>
      <c r="Q149">
        <f t="shared" si="29"/>
        <v>150</v>
      </c>
      <c r="R149" s="1">
        <f t="shared" si="31"/>
        <v>1.3319999999999999</v>
      </c>
    </row>
    <row r="151" spans="7:20" x14ac:dyDescent="0.25">
      <c r="J151" t="s">
        <v>57</v>
      </c>
      <c r="S151">
        <f>144*2</f>
        <v>288</v>
      </c>
      <c r="T151" t="s">
        <v>58</v>
      </c>
    </row>
    <row r="153" spans="7:20" x14ac:dyDescent="0.25">
      <c r="G153" t="s">
        <v>92</v>
      </c>
      <c r="H153" t="s">
        <v>75</v>
      </c>
      <c r="J153" t="s">
        <v>60</v>
      </c>
      <c r="K153" t="s">
        <v>59</v>
      </c>
      <c r="L153">
        <f>(2.95+0.6)</f>
        <v>3.5500000000000003</v>
      </c>
      <c r="M153">
        <v>0</v>
      </c>
      <c r="N153" s="2">
        <f>(10/0.15*2)</f>
        <v>133.33333333333334</v>
      </c>
      <c r="O153">
        <v>12</v>
      </c>
      <c r="P153">
        <f t="shared" ref="P153:P154" si="32">IF(O153=8,0.395,IF(O153=10,0.617,IF(O153=12,0.888,IF(O153=14,1.208,IF(O153=16,1.578)))))</f>
        <v>0.88800000000000001</v>
      </c>
      <c r="Q153">
        <f t="shared" ref="Q153:Q154" si="33">(L153+M153)*N153</f>
        <v>473.33333333333343</v>
      </c>
      <c r="R153" s="1">
        <f t="shared" ref="R153:R154" si="34">P153*Q153/100</f>
        <v>4.2032000000000007</v>
      </c>
    </row>
    <row r="154" spans="7:20" x14ac:dyDescent="0.25">
      <c r="K154" t="s">
        <v>61</v>
      </c>
      <c r="L154">
        <v>13.1</v>
      </c>
      <c r="M154">
        <v>0.4</v>
      </c>
      <c r="N154" s="2">
        <f>2.8/0.15*2</f>
        <v>37.333333333333336</v>
      </c>
      <c r="O154">
        <v>10</v>
      </c>
      <c r="P154">
        <f t="shared" si="32"/>
        <v>0.61699999999999999</v>
      </c>
      <c r="Q154">
        <f t="shared" si="33"/>
        <v>504.00000000000006</v>
      </c>
      <c r="R154" s="1">
        <f t="shared" si="34"/>
        <v>3.10968</v>
      </c>
    </row>
    <row r="156" spans="7:20" x14ac:dyDescent="0.25">
      <c r="J156" t="s">
        <v>62</v>
      </c>
      <c r="K156" t="s">
        <v>12</v>
      </c>
      <c r="L156">
        <f>(2.95+0.6)</f>
        <v>3.5500000000000003</v>
      </c>
      <c r="M156">
        <v>0</v>
      </c>
      <c r="N156" s="2">
        <f>(10/0.15*2)</f>
        <v>133.33333333333334</v>
      </c>
      <c r="O156">
        <v>12</v>
      </c>
      <c r="P156">
        <f t="shared" ref="P156:P157" si="35">IF(O156=8,0.395,IF(O156=10,0.617,IF(O156=12,0.888,IF(O156=14,1.208,IF(O156=16,1.578)))))</f>
        <v>0.88800000000000001</v>
      </c>
      <c r="Q156">
        <f t="shared" ref="Q156:Q157" si="36">(L156+M156)*N156</f>
        <v>473.33333333333343</v>
      </c>
      <c r="R156" s="1">
        <f t="shared" ref="R156:R157" si="37">P156*Q156/100</f>
        <v>4.2032000000000007</v>
      </c>
    </row>
    <row r="157" spans="7:20" x14ac:dyDescent="0.25">
      <c r="K157" t="s">
        <v>61</v>
      </c>
      <c r="L157">
        <v>13.1</v>
      </c>
      <c r="M157">
        <v>0.4</v>
      </c>
      <c r="N157" s="2">
        <f>2.8/0.15*2</f>
        <v>37.333333333333336</v>
      </c>
      <c r="O157">
        <v>10</v>
      </c>
      <c r="P157">
        <f t="shared" si="35"/>
        <v>0.61699999999999999</v>
      </c>
      <c r="Q157">
        <f t="shared" si="36"/>
        <v>504.00000000000006</v>
      </c>
      <c r="R157" s="1">
        <f t="shared" si="37"/>
        <v>3.10968</v>
      </c>
    </row>
    <row r="159" spans="7:20" x14ac:dyDescent="0.25">
      <c r="J159" t="s">
        <v>63</v>
      </c>
      <c r="K159" t="s">
        <v>64</v>
      </c>
      <c r="L159">
        <f>(2.95+0.6)</f>
        <v>3.5500000000000003</v>
      </c>
      <c r="M159">
        <v>0</v>
      </c>
      <c r="N159" s="2">
        <f>11.3/0.15*2</f>
        <v>150.66666666666669</v>
      </c>
      <c r="O159">
        <v>14</v>
      </c>
      <c r="P159">
        <f t="shared" ref="P159:P182" si="38">IF(O159=8,0.395,IF(O159=10,0.617,IF(O159=12,0.888,IF(O159=14,1.208,IF(O159=16,1.578)))))</f>
        <v>1.208</v>
      </c>
      <c r="Q159">
        <f t="shared" ref="Q159:Q161" si="39">(L159+M159)*N159</f>
        <v>534.86666666666679</v>
      </c>
      <c r="R159" s="1">
        <f t="shared" ref="R159:R221" si="40">P159*Q159/100</f>
        <v>6.4611893333333343</v>
      </c>
      <c r="S159" s="8" t="s">
        <v>100</v>
      </c>
      <c r="T159" s="8"/>
    </row>
    <row r="160" spans="7:20" x14ac:dyDescent="0.25">
      <c r="K160" t="s">
        <v>65</v>
      </c>
      <c r="L160">
        <v>11.3</v>
      </c>
      <c r="M160">
        <v>0.4</v>
      </c>
      <c r="N160" s="2">
        <f>3.23/0.15*2</f>
        <v>43.06666666666667</v>
      </c>
      <c r="O160">
        <v>14</v>
      </c>
      <c r="P160">
        <f t="shared" si="38"/>
        <v>1.208</v>
      </c>
      <c r="Q160">
        <f t="shared" si="39"/>
        <v>503.88000000000011</v>
      </c>
      <c r="R160" s="1">
        <f t="shared" si="40"/>
        <v>6.0868704000000013</v>
      </c>
      <c r="S160" s="8"/>
      <c r="T160" s="8"/>
    </row>
    <row r="161" spans="4:21" x14ac:dyDescent="0.25">
      <c r="P161" t="b">
        <f t="shared" si="38"/>
        <v>0</v>
      </c>
      <c r="Q161">
        <f t="shared" si="39"/>
        <v>0</v>
      </c>
      <c r="R161" s="1">
        <f t="shared" si="40"/>
        <v>0</v>
      </c>
    </row>
    <row r="162" spans="4:21" x14ac:dyDescent="0.25">
      <c r="J162" t="s">
        <v>66</v>
      </c>
      <c r="K162" t="s">
        <v>26</v>
      </c>
      <c r="L162">
        <f>3.23+(1.4*0.5)</f>
        <v>3.9299999999999997</v>
      </c>
      <c r="M162">
        <v>0</v>
      </c>
      <c r="N162" s="2">
        <f>3.3/0.15*2</f>
        <v>44</v>
      </c>
      <c r="O162">
        <v>14</v>
      </c>
      <c r="P162">
        <f t="shared" si="38"/>
        <v>1.208</v>
      </c>
      <c r="Q162" s="4">
        <f>(L162+M162)*N162</f>
        <v>172.92</v>
      </c>
      <c r="R162" s="1">
        <f t="shared" si="40"/>
        <v>2.0888735999999999</v>
      </c>
    </row>
    <row r="163" spans="4:21" x14ac:dyDescent="0.25">
      <c r="D163">
        <f>1.2*50</f>
        <v>60</v>
      </c>
      <c r="K163" t="s">
        <v>65</v>
      </c>
      <c r="L163">
        <v>3.3</v>
      </c>
      <c r="M163">
        <v>0.2</v>
      </c>
      <c r="N163" s="2">
        <f>2.95/0.15*2</f>
        <v>39.333333333333336</v>
      </c>
      <c r="O163">
        <v>10</v>
      </c>
      <c r="P163">
        <f t="shared" si="38"/>
        <v>0.61699999999999999</v>
      </c>
      <c r="Q163" s="4">
        <f>(L163+M163)*N163</f>
        <v>137.66666666666669</v>
      </c>
      <c r="R163" s="1">
        <f t="shared" si="40"/>
        <v>0.8494033333333334</v>
      </c>
    </row>
    <row r="164" spans="4:21" x14ac:dyDescent="0.25">
      <c r="J164" t="s">
        <v>67</v>
      </c>
      <c r="K164" t="s">
        <v>26</v>
      </c>
      <c r="L164">
        <v>3.93</v>
      </c>
      <c r="M164">
        <v>0</v>
      </c>
      <c r="N164" s="2">
        <f>2.1/0.1*2</f>
        <v>42</v>
      </c>
      <c r="O164">
        <v>16</v>
      </c>
      <c r="P164">
        <f t="shared" si="38"/>
        <v>1.5780000000000001</v>
      </c>
      <c r="Q164" s="4">
        <f>(L164+M164)*N164</f>
        <v>165.06</v>
      </c>
      <c r="R164" s="1">
        <f t="shared" si="40"/>
        <v>2.6046467999999998</v>
      </c>
    </row>
    <row r="165" spans="4:21" x14ac:dyDescent="0.25">
      <c r="K165" t="s">
        <v>65</v>
      </c>
      <c r="L165">
        <v>2.5</v>
      </c>
      <c r="M165">
        <v>0</v>
      </c>
      <c r="N165" s="2">
        <f>2.95/0.15*2</f>
        <v>39.333333333333336</v>
      </c>
      <c r="O165">
        <v>10</v>
      </c>
      <c r="P165">
        <f t="shared" si="38"/>
        <v>0.61699999999999999</v>
      </c>
      <c r="Q165" s="4">
        <f>(L165+M165)*N165</f>
        <v>98.333333333333343</v>
      </c>
      <c r="R165" s="1">
        <f t="shared" si="40"/>
        <v>0.60671666666666679</v>
      </c>
      <c r="U165">
        <f>22+21+43</f>
        <v>86</v>
      </c>
    </row>
    <row r="166" spans="4:21" x14ac:dyDescent="0.25">
      <c r="J166" t="s">
        <v>69</v>
      </c>
      <c r="K166" t="s">
        <v>26</v>
      </c>
      <c r="L166">
        <v>3.93</v>
      </c>
      <c r="M166">
        <v>0</v>
      </c>
      <c r="N166" s="2">
        <f>2.15/0.1*2</f>
        <v>42.999999999999993</v>
      </c>
      <c r="O166">
        <v>14</v>
      </c>
      <c r="P166">
        <f t="shared" si="38"/>
        <v>1.208</v>
      </c>
      <c r="Q166" s="4">
        <f t="shared" ref="Q166:Q170" si="41">(L166+M166)*N166</f>
        <v>168.98999999999998</v>
      </c>
      <c r="R166" s="1">
        <f t="shared" si="40"/>
        <v>2.0413991999999994</v>
      </c>
    </row>
    <row r="167" spans="4:21" x14ac:dyDescent="0.25">
      <c r="K167" t="s">
        <v>65</v>
      </c>
      <c r="L167">
        <v>2</v>
      </c>
      <c r="N167" s="2">
        <f>2.1/0.15*2</f>
        <v>28.000000000000004</v>
      </c>
      <c r="O167">
        <v>10</v>
      </c>
      <c r="P167">
        <f t="shared" si="38"/>
        <v>0.61699999999999999</v>
      </c>
      <c r="Q167" s="4">
        <f t="shared" si="41"/>
        <v>56.000000000000007</v>
      </c>
      <c r="R167" s="1">
        <f t="shared" si="40"/>
        <v>0.34552000000000005</v>
      </c>
    </row>
    <row r="168" spans="4:21" x14ac:dyDescent="0.25">
      <c r="J168" t="s">
        <v>70</v>
      </c>
      <c r="K168" t="s">
        <v>26</v>
      </c>
      <c r="L168">
        <v>4.05</v>
      </c>
      <c r="N168" s="2">
        <f>8*4</f>
        <v>32</v>
      </c>
      <c r="O168">
        <v>16</v>
      </c>
      <c r="P168">
        <f t="shared" si="38"/>
        <v>1.5780000000000001</v>
      </c>
      <c r="Q168" s="4">
        <f t="shared" si="41"/>
        <v>129.6</v>
      </c>
      <c r="R168" s="1">
        <f t="shared" si="40"/>
        <v>2.0450880000000002</v>
      </c>
    </row>
    <row r="169" spans="4:21" x14ac:dyDescent="0.25">
      <c r="K169" t="s">
        <v>71</v>
      </c>
      <c r="L169">
        <f>1.2+0.9</f>
        <v>2.1</v>
      </c>
      <c r="M169">
        <v>0</v>
      </c>
      <c r="N169" s="2">
        <f>27*4</f>
        <v>108</v>
      </c>
      <c r="O169">
        <v>8</v>
      </c>
      <c r="P169">
        <f t="shared" si="38"/>
        <v>0.39500000000000002</v>
      </c>
      <c r="Q169" s="4">
        <f t="shared" si="41"/>
        <v>226.8</v>
      </c>
      <c r="R169" s="1">
        <f t="shared" si="40"/>
        <v>0.8958600000000001</v>
      </c>
    </row>
    <row r="170" spans="4:21" x14ac:dyDescent="0.25">
      <c r="J170" t="s">
        <v>72</v>
      </c>
      <c r="K170" t="s">
        <v>26</v>
      </c>
      <c r="L170">
        <v>4.05</v>
      </c>
      <c r="N170" s="2">
        <f>8*3</f>
        <v>24</v>
      </c>
      <c r="O170">
        <v>16</v>
      </c>
      <c r="P170">
        <f t="shared" si="38"/>
        <v>1.5780000000000001</v>
      </c>
      <c r="Q170" s="4">
        <f t="shared" si="41"/>
        <v>97.199999999999989</v>
      </c>
      <c r="R170" s="1">
        <f t="shared" si="40"/>
        <v>1.5338159999999998</v>
      </c>
    </row>
    <row r="171" spans="4:21" x14ac:dyDescent="0.25">
      <c r="K171" t="s">
        <v>65</v>
      </c>
      <c r="L171">
        <v>2.8</v>
      </c>
      <c r="N171" s="2">
        <f>27*3</f>
        <v>81</v>
      </c>
      <c r="O171">
        <v>8</v>
      </c>
      <c r="P171">
        <f t="shared" si="38"/>
        <v>0.39500000000000002</v>
      </c>
      <c r="Q171" s="4">
        <f>(L173+M171)*N171</f>
        <v>247.04999999999998</v>
      </c>
      <c r="R171" s="1">
        <f t="shared" si="40"/>
        <v>0.97584749999999998</v>
      </c>
    </row>
    <row r="172" spans="4:21" x14ac:dyDescent="0.25">
      <c r="J172" t="s">
        <v>73</v>
      </c>
      <c r="K172" t="s">
        <v>74</v>
      </c>
      <c r="L172">
        <v>4.05</v>
      </c>
      <c r="M172">
        <v>0</v>
      </c>
      <c r="N172" s="2">
        <v>8</v>
      </c>
      <c r="O172">
        <v>16</v>
      </c>
      <c r="P172">
        <f t="shared" si="38"/>
        <v>1.5780000000000001</v>
      </c>
      <c r="Q172" s="4">
        <f t="shared" ref="Q172:Q229" si="42">(L172+M172)*N172</f>
        <v>32.4</v>
      </c>
      <c r="R172" s="1">
        <f t="shared" si="40"/>
        <v>0.51127200000000006</v>
      </c>
    </row>
    <row r="173" spans="4:21" x14ac:dyDescent="0.25">
      <c r="K173" t="s">
        <v>65</v>
      </c>
      <c r="L173">
        <v>3.05</v>
      </c>
      <c r="M173">
        <v>0</v>
      </c>
      <c r="N173" s="2">
        <v>24</v>
      </c>
      <c r="O173">
        <v>8</v>
      </c>
      <c r="P173">
        <f t="shared" si="38"/>
        <v>0.39500000000000002</v>
      </c>
      <c r="Q173" s="4">
        <f t="shared" si="42"/>
        <v>73.199999999999989</v>
      </c>
      <c r="R173" s="5">
        <f>P173*Q173/100</f>
        <v>0.28913999999999995</v>
      </c>
    </row>
    <row r="174" spans="4:21" x14ac:dyDescent="0.25">
      <c r="P174" t="b">
        <f t="shared" si="38"/>
        <v>0</v>
      </c>
      <c r="Q174" s="4">
        <f t="shared" si="42"/>
        <v>0</v>
      </c>
      <c r="R174" s="1">
        <f t="shared" si="40"/>
        <v>0</v>
      </c>
    </row>
    <row r="175" spans="4:21" x14ac:dyDescent="0.25">
      <c r="H175" t="s">
        <v>76</v>
      </c>
      <c r="J175" t="s">
        <v>77</v>
      </c>
      <c r="K175">
        <v>14</v>
      </c>
      <c r="L175">
        <f>(11.8+11.5)</f>
        <v>23.3</v>
      </c>
      <c r="M175">
        <v>0</v>
      </c>
      <c r="N175" s="2">
        <v>3</v>
      </c>
      <c r="O175">
        <v>14</v>
      </c>
      <c r="P175">
        <f t="shared" si="38"/>
        <v>1.208</v>
      </c>
      <c r="Q175" s="4">
        <f t="shared" si="42"/>
        <v>69.900000000000006</v>
      </c>
      <c r="R175" s="1">
        <f t="shared" si="40"/>
        <v>0.84439200000000003</v>
      </c>
    </row>
    <row r="176" spans="4:21" x14ac:dyDescent="0.25">
      <c r="K176">
        <v>16</v>
      </c>
      <c r="L176">
        <f>(1.8+4+3+4.25+1.8)</f>
        <v>14.850000000000001</v>
      </c>
      <c r="N176" s="2">
        <v>3</v>
      </c>
      <c r="O176">
        <v>16</v>
      </c>
      <c r="P176">
        <f t="shared" si="38"/>
        <v>1.5780000000000001</v>
      </c>
      <c r="Q176" s="4">
        <f t="shared" si="42"/>
        <v>44.550000000000004</v>
      </c>
      <c r="R176" s="1">
        <f t="shared" si="40"/>
        <v>0.70299900000000004</v>
      </c>
    </row>
    <row r="177" spans="10:20" x14ac:dyDescent="0.25">
      <c r="K177" t="s">
        <v>22</v>
      </c>
      <c r="L177">
        <v>1.42</v>
      </c>
      <c r="N177" s="2">
        <f>9+9+9+9+26</f>
        <v>62</v>
      </c>
      <c r="O177">
        <v>10</v>
      </c>
      <c r="P177">
        <f t="shared" si="38"/>
        <v>0.61699999999999999</v>
      </c>
      <c r="Q177" s="4">
        <f t="shared" si="42"/>
        <v>88.039999999999992</v>
      </c>
      <c r="R177" s="1">
        <f t="shared" si="40"/>
        <v>0.54320679999999999</v>
      </c>
      <c r="T177">
        <f>154*100</f>
        <v>15400</v>
      </c>
    </row>
    <row r="178" spans="10:20" x14ac:dyDescent="0.25">
      <c r="K178" t="s">
        <v>23</v>
      </c>
      <c r="L178">
        <v>0.94</v>
      </c>
      <c r="M178">
        <v>0</v>
      </c>
      <c r="N178" s="2">
        <v>62</v>
      </c>
      <c r="O178">
        <v>10</v>
      </c>
      <c r="P178">
        <f t="shared" si="38"/>
        <v>0.61699999999999999</v>
      </c>
      <c r="Q178" s="4">
        <f t="shared" si="42"/>
        <v>58.279999999999994</v>
      </c>
      <c r="R178" s="1">
        <f t="shared" si="40"/>
        <v>0.35958760000000001</v>
      </c>
      <c r="T178">
        <f>T177/1000</f>
        <v>15.4</v>
      </c>
    </row>
    <row r="179" spans="10:20" x14ac:dyDescent="0.25">
      <c r="P179" t="b">
        <f t="shared" si="38"/>
        <v>0</v>
      </c>
      <c r="Q179" s="4">
        <f t="shared" si="42"/>
        <v>0</v>
      </c>
      <c r="R179" s="1">
        <f t="shared" si="40"/>
        <v>0</v>
      </c>
    </row>
    <row r="180" spans="10:20" x14ac:dyDescent="0.25">
      <c r="J180" t="s">
        <v>78</v>
      </c>
      <c r="K180">
        <v>16</v>
      </c>
      <c r="L180">
        <f>(1.6+1.6+3.2+11.8+11.5+6.65+1.8)</f>
        <v>38.15</v>
      </c>
      <c r="N180" s="2">
        <v>3</v>
      </c>
      <c r="O180">
        <v>16</v>
      </c>
      <c r="P180">
        <f t="shared" si="38"/>
        <v>1.5780000000000001</v>
      </c>
      <c r="Q180" s="4">
        <f t="shared" si="42"/>
        <v>114.44999999999999</v>
      </c>
      <c r="R180" s="1">
        <f t="shared" si="40"/>
        <v>1.8060209999999999</v>
      </c>
    </row>
    <row r="181" spans="10:20" x14ac:dyDescent="0.25">
      <c r="K181" t="s">
        <v>22</v>
      </c>
      <c r="L181">
        <v>1.42</v>
      </c>
      <c r="N181" s="2">
        <f>39+18</f>
        <v>57</v>
      </c>
      <c r="O181">
        <v>10</v>
      </c>
      <c r="P181">
        <f t="shared" si="38"/>
        <v>0.61699999999999999</v>
      </c>
      <c r="Q181" s="4">
        <f t="shared" si="42"/>
        <v>80.94</v>
      </c>
      <c r="R181" s="1">
        <f t="shared" si="40"/>
        <v>0.4993998</v>
      </c>
    </row>
    <row r="182" spans="10:20" x14ac:dyDescent="0.25">
      <c r="K182" t="s">
        <v>23</v>
      </c>
      <c r="L182">
        <v>0.94</v>
      </c>
      <c r="N182" s="2">
        <v>57</v>
      </c>
      <c r="O182">
        <v>10</v>
      </c>
      <c r="P182">
        <f t="shared" si="38"/>
        <v>0.61699999999999999</v>
      </c>
      <c r="Q182" s="4">
        <f t="shared" si="42"/>
        <v>53.58</v>
      </c>
      <c r="R182" s="1">
        <f t="shared" si="40"/>
        <v>0.33058859999999995</v>
      </c>
    </row>
    <row r="183" spans="10:20" x14ac:dyDescent="0.25">
      <c r="Q183" s="4">
        <f t="shared" si="42"/>
        <v>0</v>
      </c>
      <c r="R183" s="1">
        <f t="shared" si="40"/>
        <v>0</v>
      </c>
    </row>
    <row r="184" spans="10:20" x14ac:dyDescent="0.25">
      <c r="J184" t="s">
        <v>79</v>
      </c>
      <c r="K184">
        <v>14</v>
      </c>
      <c r="L184">
        <f>(11.8+11.5)</f>
        <v>23.3</v>
      </c>
      <c r="M184">
        <v>0</v>
      </c>
      <c r="N184" s="2">
        <v>3</v>
      </c>
      <c r="O184">
        <v>14</v>
      </c>
      <c r="P184">
        <f t="shared" ref="P184:P239" si="43">IF(O184=8,0.395,IF(O184=10,0.617,IF(O184=12,0.888,IF(O184=14,1.208,IF(O184=16,1.578)))))</f>
        <v>1.208</v>
      </c>
      <c r="Q184" s="4">
        <f t="shared" si="42"/>
        <v>69.900000000000006</v>
      </c>
      <c r="R184" s="1">
        <f t="shared" si="40"/>
        <v>0.84439200000000003</v>
      </c>
    </row>
    <row r="185" spans="10:20" x14ac:dyDescent="0.25">
      <c r="K185">
        <v>16</v>
      </c>
      <c r="L185">
        <f>(1.8+4+3+4.25+1.8)</f>
        <v>14.850000000000001</v>
      </c>
      <c r="N185" s="2">
        <v>3</v>
      </c>
      <c r="O185">
        <v>16</v>
      </c>
      <c r="P185">
        <f t="shared" si="43"/>
        <v>1.5780000000000001</v>
      </c>
      <c r="Q185" s="4">
        <f t="shared" si="42"/>
        <v>44.550000000000004</v>
      </c>
      <c r="R185" s="1">
        <f t="shared" si="40"/>
        <v>0.70299900000000004</v>
      </c>
    </row>
    <row r="186" spans="10:20" x14ac:dyDescent="0.25">
      <c r="K186" t="s">
        <v>22</v>
      </c>
      <c r="L186">
        <v>1.42</v>
      </c>
      <c r="N186" s="2">
        <f>9+9+9+9+26</f>
        <v>62</v>
      </c>
      <c r="O186">
        <v>10</v>
      </c>
      <c r="P186">
        <f t="shared" si="43"/>
        <v>0.61699999999999999</v>
      </c>
      <c r="Q186" s="4">
        <f t="shared" si="42"/>
        <v>88.039999999999992</v>
      </c>
      <c r="R186" s="1">
        <f t="shared" si="40"/>
        <v>0.54320679999999999</v>
      </c>
    </row>
    <row r="187" spans="10:20" x14ac:dyDescent="0.25">
      <c r="K187" t="s">
        <v>23</v>
      </c>
      <c r="L187">
        <v>0.94</v>
      </c>
      <c r="M187">
        <v>0</v>
      </c>
      <c r="N187" s="2">
        <v>62</v>
      </c>
      <c r="O187">
        <v>10</v>
      </c>
      <c r="P187">
        <f t="shared" si="43"/>
        <v>0.61699999999999999</v>
      </c>
      <c r="Q187" s="4">
        <f t="shared" si="42"/>
        <v>58.279999999999994</v>
      </c>
      <c r="R187" s="1">
        <f t="shared" si="40"/>
        <v>0.35958760000000001</v>
      </c>
    </row>
    <row r="188" spans="10:20" x14ac:dyDescent="0.25">
      <c r="P188" t="b">
        <f t="shared" si="43"/>
        <v>0</v>
      </c>
      <c r="Q188" s="4">
        <f t="shared" si="42"/>
        <v>0</v>
      </c>
      <c r="R188" s="1">
        <f t="shared" si="40"/>
        <v>0</v>
      </c>
    </row>
    <row r="189" spans="10:20" x14ac:dyDescent="0.25">
      <c r="J189" t="s">
        <v>80</v>
      </c>
      <c r="K189">
        <v>14</v>
      </c>
      <c r="L189">
        <f>(2.5+3.5)</f>
        <v>6</v>
      </c>
      <c r="N189" s="2">
        <v>2</v>
      </c>
      <c r="O189">
        <v>14</v>
      </c>
      <c r="P189">
        <f t="shared" si="43"/>
        <v>1.208</v>
      </c>
      <c r="Q189" s="4">
        <f t="shared" si="42"/>
        <v>12</v>
      </c>
      <c r="R189" s="1">
        <f t="shared" si="40"/>
        <v>0.14495999999999998</v>
      </c>
    </row>
    <row r="190" spans="10:20" x14ac:dyDescent="0.25">
      <c r="K190">
        <v>16</v>
      </c>
      <c r="L190">
        <f>(14.05+14.05)</f>
        <v>28.1</v>
      </c>
      <c r="N190" s="2">
        <v>3</v>
      </c>
      <c r="O190">
        <v>16</v>
      </c>
      <c r="P190">
        <f t="shared" si="43"/>
        <v>1.5780000000000001</v>
      </c>
      <c r="Q190" s="4">
        <f t="shared" si="42"/>
        <v>84.300000000000011</v>
      </c>
      <c r="R190" s="1">
        <f t="shared" si="40"/>
        <v>1.3302540000000003</v>
      </c>
    </row>
    <row r="191" spans="10:20" x14ac:dyDescent="0.25">
      <c r="K191" t="s">
        <v>22</v>
      </c>
      <c r="L191">
        <v>1.32</v>
      </c>
      <c r="N191" s="2">
        <f>(3.6/0.15)+10+9+9+15+10</f>
        <v>77</v>
      </c>
      <c r="O191">
        <v>10</v>
      </c>
      <c r="P191">
        <f t="shared" si="43"/>
        <v>0.61699999999999999</v>
      </c>
      <c r="Q191" s="4">
        <f t="shared" si="42"/>
        <v>101.64</v>
      </c>
      <c r="R191" s="1">
        <f t="shared" si="40"/>
        <v>0.62711879999999998</v>
      </c>
    </row>
    <row r="192" spans="10:20" x14ac:dyDescent="0.25">
      <c r="K192" t="s">
        <v>23</v>
      </c>
      <c r="L192">
        <v>0.84</v>
      </c>
      <c r="N192" s="2">
        <v>77</v>
      </c>
      <c r="O192">
        <v>10</v>
      </c>
      <c r="P192">
        <f t="shared" si="43"/>
        <v>0.61699999999999999</v>
      </c>
      <c r="Q192" s="4">
        <f t="shared" si="42"/>
        <v>64.679999999999993</v>
      </c>
      <c r="R192" s="1">
        <f t="shared" si="40"/>
        <v>0.39907559999999997</v>
      </c>
    </row>
    <row r="193" spans="10:18" x14ac:dyDescent="0.25">
      <c r="P193" t="b">
        <f t="shared" si="43"/>
        <v>0</v>
      </c>
      <c r="Q193" s="4">
        <f t="shared" si="42"/>
        <v>0</v>
      </c>
      <c r="R193" s="1">
        <f t="shared" si="40"/>
        <v>0</v>
      </c>
    </row>
    <row r="194" spans="10:18" x14ac:dyDescent="0.25">
      <c r="J194" t="s">
        <v>81</v>
      </c>
      <c r="K194">
        <v>14</v>
      </c>
      <c r="L194">
        <f>(2.9+3.5)</f>
        <v>6.4</v>
      </c>
      <c r="N194" s="2">
        <v>2</v>
      </c>
      <c r="O194">
        <v>14</v>
      </c>
      <c r="P194">
        <f t="shared" si="43"/>
        <v>1.208</v>
      </c>
      <c r="Q194" s="4">
        <f t="shared" si="42"/>
        <v>12.8</v>
      </c>
      <c r="R194" s="1">
        <f t="shared" si="40"/>
        <v>0.15462400000000001</v>
      </c>
    </row>
    <row r="195" spans="10:18" x14ac:dyDescent="0.25">
      <c r="K195">
        <v>16</v>
      </c>
      <c r="L195">
        <f>(6+3+14.6+14.6)</f>
        <v>38.200000000000003</v>
      </c>
      <c r="N195" s="2">
        <v>3</v>
      </c>
      <c r="O195">
        <v>16</v>
      </c>
      <c r="P195">
        <f t="shared" si="43"/>
        <v>1.5780000000000001</v>
      </c>
      <c r="Q195" s="4">
        <f t="shared" si="42"/>
        <v>114.60000000000001</v>
      </c>
      <c r="R195" s="1">
        <f t="shared" si="40"/>
        <v>1.8083880000000001</v>
      </c>
    </row>
    <row r="196" spans="10:18" x14ac:dyDescent="0.25">
      <c r="K196" t="s">
        <v>22</v>
      </c>
      <c r="L196">
        <v>1.32</v>
      </c>
      <c r="N196" s="2">
        <f>(15+9+3.16/0.15+9+9+3/0.15+9)</f>
        <v>92.066666666666663</v>
      </c>
      <c r="O196">
        <v>10</v>
      </c>
      <c r="P196">
        <f t="shared" si="43"/>
        <v>0.61699999999999999</v>
      </c>
      <c r="Q196" s="4">
        <f t="shared" si="42"/>
        <v>121.52800000000001</v>
      </c>
      <c r="R196" s="1">
        <f t="shared" si="40"/>
        <v>0.74982776000000007</v>
      </c>
    </row>
    <row r="197" spans="10:18" x14ac:dyDescent="0.25">
      <c r="K197" t="s">
        <v>23</v>
      </c>
      <c r="L197">
        <v>0.84</v>
      </c>
      <c r="N197" s="2">
        <v>92</v>
      </c>
      <c r="O197">
        <v>10</v>
      </c>
      <c r="P197">
        <f t="shared" si="43"/>
        <v>0.61699999999999999</v>
      </c>
      <c r="Q197" s="4">
        <f t="shared" si="42"/>
        <v>77.28</v>
      </c>
      <c r="R197" s="1">
        <f t="shared" si="40"/>
        <v>0.47681759999999995</v>
      </c>
    </row>
    <row r="198" spans="10:18" x14ac:dyDescent="0.25">
      <c r="P198" t="b">
        <f t="shared" si="43"/>
        <v>0</v>
      </c>
      <c r="Q198" s="4">
        <f t="shared" si="42"/>
        <v>0</v>
      </c>
      <c r="R198" s="1">
        <f t="shared" si="40"/>
        <v>0</v>
      </c>
    </row>
    <row r="199" spans="10:18" x14ac:dyDescent="0.25">
      <c r="J199" t="s">
        <v>82</v>
      </c>
      <c r="K199">
        <v>14</v>
      </c>
      <c r="L199">
        <f>2.9+3.5</f>
        <v>6.4</v>
      </c>
      <c r="N199" s="2">
        <v>4</v>
      </c>
      <c r="O199">
        <v>14</v>
      </c>
      <c r="P199">
        <f t="shared" si="43"/>
        <v>1.208</v>
      </c>
      <c r="Q199" s="4">
        <f t="shared" si="42"/>
        <v>25.6</v>
      </c>
      <c r="R199" s="1">
        <f t="shared" si="40"/>
        <v>0.30924800000000002</v>
      </c>
    </row>
    <row r="200" spans="10:18" x14ac:dyDescent="0.25">
      <c r="K200">
        <v>16</v>
      </c>
      <c r="L200">
        <v>14.55</v>
      </c>
      <c r="N200" s="2">
        <v>6</v>
      </c>
      <c r="O200">
        <v>16</v>
      </c>
      <c r="P200">
        <f t="shared" si="43"/>
        <v>1.5780000000000001</v>
      </c>
      <c r="Q200" s="4">
        <f t="shared" si="42"/>
        <v>87.300000000000011</v>
      </c>
      <c r="R200" s="1">
        <f t="shared" si="40"/>
        <v>1.3775940000000002</v>
      </c>
    </row>
    <row r="201" spans="10:18" x14ac:dyDescent="0.25">
      <c r="K201" t="s">
        <v>22</v>
      </c>
      <c r="L201">
        <v>1.32</v>
      </c>
      <c r="N201" s="2">
        <f>(13+9+20+9+9+12+9+16)</f>
        <v>97</v>
      </c>
      <c r="O201">
        <v>10</v>
      </c>
      <c r="P201">
        <f t="shared" si="43"/>
        <v>0.61699999999999999</v>
      </c>
      <c r="Q201" s="4">
        <f t="shared" si="42"/>
        <v>128.04</v>
      </c>
      <c r="R201" s="1">
        <f t="shared" si="40"/>
        <v>0.7900067999999999</v>
      </c>
    </row>
    <row r="202" spans="10:18" x14ac:dyDescent="0.25">
      <c r="K202" t="s">
        <v>23</v>
      </c>
      <c r="L202">
        <v>0.84</v>
      </c>
      <c r="N202" s="2">
        <v>97</v>
      </c>
      <c r="O202">
        <v>10</v>
      </c>
      <c r="P202">
        <f t="shared" si="43"/>
        <v>0.61699999999999999</v>
      </c>
      <c r="Q202" s="4">
        <f t="shared" si="42"/>
        <v>81.48</v>
      </c>
      <c r="R202" s="1">
        <f t="shared" si="40"/>
        <v>0.50273160000000006</v>
      </c>
    </row>
    <row r="203" spans="10:18" x14ac:dyDescent="0.25">
      <c r="P203" t="b">
        <f t="shared" si="43"/>
        <v>0</v>
      </c>
      <c r="Q203" s="4">
        <f t="shared" si="42"/>
        <v>0</v>
      </c>
      <c r="R203" s="1">
        <f t="shared" si="40"/>
        <v>0</v>
      </c>
    </row>
    <row r="204" spans="10:18" x14ac:dyDescent="0.25">
      <c r="J204" t="s">
        <v>83</v>
      </c>
      <c r="L204">
        <f>(11.8+11.5)/2</f>
        <v>11.65</v>
      </c>
      <c r="M204">
        <v>0</v>
      </c>
      <c r="N204" s="2">
        <v>3</v>
      </c>
      <c r="O204">
        <v>14</v>
      </c>
      <c r="P204">
        <f t="shared" si="43"/>
        <v>1.208</v>
      </c>
      <c r="Q204" s="4">
        <f t="shared" si="42"/>
        <v>34.950000000000003</v>
      </c>
      <c r="R204" s="1">
        <f t="shared" si="40"/>
        <v>0.42219600000000002</v>
      </c>
    </row>
    <row r="205" spans="10:18" x14ac:dyDescent="0.25">
      <c r="L205">
        <f>(1.8+4+3+4.25+1.8)/2</f>
        <v>7.4250000000000007</v>
      </c>
      <c r="N205" s="2">
        <v>3</v>
      </c>
      <c r="O205">
        <v>16</v>
      </c>
      <c r="P205">
        <f t="shared" si="43"/>
        <v>1.5780000000000001</v>
      </c>
      <c r="Q205" s="4">
        <f t="shared" si="42"/>
        <v>22.275000000000002</v>
      </c>
      <c r="R205" s="1">
        <f t="shared" si="40"/>
        <v>0.35149950000000002</v>
      </c>
    </row>
    <row r="206" spans="10:18" x14ac:dyDescent="0.25">
      <c r="L206">
        <v>1.42</v>
      </c>
      <c r="N206" s="2">
        <f>(9+9+9+9+26)/2</f>
        <v>31</v>
      </c>
      <c r="O206">
        <v>10</v>
      </c>
      <c r="P206">
        <f t="shared" si="43"/>
        <v>0.61699999999999999</v>
      </c>
      <c r="Q206" s="4">
        <f t="shared" si="42"/>
        <v>44.019999999999996</v>
      </c>
      <c r="R206" s="1">
        <f t="shared" si="40"/>
        <v>0.27160339999999999</v>
      </c>
    </row>
    <row r="207" spans="10:18" x14ac:dyDescent="0.25">
      <c r="L207">
        <v>0.94</v>
      </c>
      <c r="M207">
        <v>0</v>
      </c>
      <c r="N207" s="6">
        <v>31</v>
      </c>
      <c r="O207">
        <v>10</v>
      </c>
      <c r="P207">
        <f t="shared" si="43"/>
        <v>0.61699999999999999</v>
      </c>
      <c r="Q207" s="4">
        <f t="shared" si="42"/>
        <v>29.139999999999997</v>
      </c>
      <c r="R207" s="1">
        <f t="shared" si="40"/>
        <v>0.1797938</v>
      </c>
    </row>
    <row r="208" spans="10:18" x14ac:dyDescent="0.25">
      <c r="P208" t="b">
        <f t="shared" si="43"/>
        <v>0</v>
      </c>
      <c r="Q208" s="4">
        <f t="shared" si="42"/>
        <v>0</v>
      </c>
      <c r="R208" s="1">
        <f t="shared" si="40"/>
        <v>0</v>
      </c>
    </row>
    <row r="209" spans="7:18" x14ac:dyDescent="0.25">
      <c r="J209" t="s">
        <v>84</v>
      </c>
      <c r="L209">
        <v>2.7</v>
      </c>
      <c r="N209" s="2">
        <f>1.6/0.15*2</f>
        <v>21.333333333333336</v>
      </c>
      <c r="O209">
        <v>12</v>
      </c>
      <c r="P209">
        <f t="shared" si="43"/>
        <v>0.88800000000000001</v>
      </c>
      <c r="Q209" s="4">
        <f t="shared" si="42"/>
        <v>57.600000000000009</v>
      </c>
      <c r="R209" s="1">
        <f t="shared" si="40"/>
        <v>0.51148800000000005</v>
      </c>
    </row>
    <row r="210" spans="7:18" x14ac:dyDescent="0.25">
      <c r="L210">
        <v>1.6</v>
      </c>
      <c r="N210" s="2">
        <f>2.7/0.15*2</f>
        <v>36.000000000000007</v>
      </c>
      <c r="O210">
        <v>12</v>
      </c>
      <c r="P210">
        <f t="shared" si="43"/>
        <v>0.88800000000000001</v>
      </c>
      <c r="Q210" s="4">
        <f t="shared" si="42"/>
        <v>57.600000000000016</v>
      </c>
      <c r="R210" s="1">
        <f t="shared" si="40"/>
        <v>0.51148800000000016</v>
      </c>
    </row>
    <row r="211" spans="7:18" x14ac:dyDescent="0.25">
      <c r="P211" t="b">
        <f t="shared" si="43"/>
        <v>0</v>
      </c>
      <c r="Q211" s="4">
        <f t="shared" si="42"/>
        <v>0</v>
      </c>
      <c r="R211" s="1">
        <f t="shared" si="40"/>
        <v>0</v>
      </c>
    </row>
    <row r="212" spans="7:18" x14ac:dyDescent="0.25">
      <c r="I212" t="s">
        <v>85</v>
      </c>
      <c r="J212" t="s">
        <v>88</v>
      </c>
      <c r="K212" t="s">
        <v>86</v>
      </c>
      <c r="L212">
        <v>4.5999999999999996</v>
      </c>
      <c r="N212" s="2">
        <f>12.16/0.15</f>
        <v>81.066666666666677</v>
      </c>
      <c r="O212">
        <v>14</v>
      </c>
      <c r="P212">
        <f t="shared" si="43"/>
        <v>1.208</v>
      </c>
      <c r="Q212" s="4">
        <f t="shared" si="42"/>
        <v>372.90666666666669</v>
      </c>
      <c r="R212" s="1">
        <f t="shared" si="40"/>
        <v>4.5047125333333335</v>
      </c>
    </row>
    <row r="213" spans="7:18" x14ac:dyDescent="0.25">
      <c r="K213" t="s">
        <v>65</v>
      </c>
      <c r="L213">
        <v>12.6</v>
      </c>
      <c r="N213" s="2">
        <f>4.6/0.15</f>
        <v>30.666666666666664</v>
      </c>
      <c r="O213">
        <v>14</v>
      </c>
      <c r="P213">
        <f t="shared" si="43"/>
        <v>1.208</v>
      </c>
      <c r="Q213" s="4">
        <f t="shared" si="42"/>
        <v>386.4</v>
      </c>
      <c r="R213" s="1">
        <f t="shared" si="40"/>
        <v>4.6677119999999999</v>
      </c>
    </row>
    <row r="214" spans="7:18" x14ac:dyDescent="0.25">
      <c r="J214" t="s">
        <v>87</v>
      </c>
      <c r="K214" t="s">
        <v>86</v>
      </c>
      <c r="L214">
        <v>4.0999999999999996</v>
      </c>
      <c r="N214" s="2">
        <f>5.7/0.15</f>
        <v>38</v>
      </c>
      <c r="O214">
        <v>14</v>
      </c>
      <c r="P214">
        <f t="shared" si="43"/>
        <v>1.208</v>
      </c>
      <c r="Q214" s="4">
        <f t="shared" si="42"/>
        <v>155.79999999999998</v>
      </c>
      <c r="R214" s="1">
        <f t="shared" si="40"/>
        <v>1.8820639999999997</v>
      </c>
    </row>
    <row r="215" spans="7:18" x14ac:dyDescent="0.25">
      <c r="K215" t="s">
        <v>65</v>
      </c>
      <c r="L215">
        <v>6.25</v>
      </c>
      <c r="N215" s="2">
        <f>3.6/0.15</f>
        <v>24</v>
      </c>
      <c r="O215">
        <v>14</v>
      </c>
      <c r="P215">
        <f t="shared" si="43"/>
        <v>1.208</v>
      </c>
      <c r="Q215" s="4">
        <f t="shared" si="42"/>
        <v>150</v>
      </c>
      <c r="R215" s="1">
        <f t="shared" si="40"/>
        <v>1.8119999999999998</v>
      </c>
    </row>
    <row r="216" spans="7:18" x14ac:dyDescent="0.25">
      <c r="P216" t="b">
        <f t="shared" si="43"/>
        <v>0</v>
      </c>
      <c r="Q216" s="4">
        <f t="shared" si="42"/>
        <v>0</v>
      </c>
      <c r="R216" s="1">
        <f t="shared" si="40"/>
        <v>0</v>
      </c>
    </row>
    <row r="217" spans="7:18" x14ac:dyDescent="0.25">
      <c r="G217" t="s">
        <v>2</v>
      </c>
      <c r="H217" t="s">
        <v>89</v>
      </c>
      <c r="J217" t="s">
        <v>70</v>
      </c>
      <c r="K217" t="s">
        <v>26</v>
      </c>
      <c r="L217">
        <v>4.05</v>
      </c>
      <c r="N217" s="2">
        <f>8*4</f>
        <v>32</v>
      </c>
      <c r="O217">
        <v>16</v>
      </c>
      <c r="P217">
        <f t="shared" si="43"/>
        <v>1.5780000000000001</v>
      </c>
      <c r="Q217" s="4">
        <f t="shared" si="42"/>
        <v>129.6</v>
      </c>
      <c r="R217" s="1">
        <f t="shared" si="40"/>
        <v>2.0450880000000002</v>
      </c>
    </row>
    <row r="218" spans="7:18" x14ac:dyDescent="0.25">
      <c r="K218" t="s">
        <v>71</v>
      </c>
      <c r="L218">
        <f>1.2+0.9</f>
        <v>2.1</v>
      </c>
      <c r="M218">
        <v>0</v>
      </c>
      <c r="N218" s="2">
        <f>27*4</f>
        <v>108</v>
      </c>
      <c r="O218">
        <v>8</v>
      </c>
      <c r="P218">
        <f t="shared" si="43"/>
        <v>0.39500000000000002</v>
      </c>
      <c r="Q218" s="4">
        <f t="shared" si="42"/>
        <v>226.8</v>
      </c>
      <c r="R218" s="1">
        <f t="shared" si="40"/>
        <v>0.8958600000000001</v>
      </c>
    </row>
    <row r="219" spans="7:18" x14ac:dyDescent="0.25">
      <c r="J219" t="s">
        <v>90</v>
      </c>
      <c r="K219" t="s">
        <v>26</v>
      </c>
      <c r="L219">
        <v>4.05</v>
      </c>
      <c r="N219" s="2">
        <f>8*2</f>
        <v>16</v>
      </c>
      <c r="O219">
        <v>16</v>
      </c>
      <c r="P219">
        <f t="shared" si="43"/>
        <v>1.5780000000000001</v>
      </c>
      <c r="Q219" s="4">
        <f t="shared" si="42"/>
        <v>64.8</v>
      </c>
      <c r="R219" s="1">
        <f t="shared" si="40"/>
        <v>1.0225440000000001</v>
      </c>
    </row>
    <row r="220" spans="7:18" x14ac:dyDescent="0.25">
      <c r="K220" t="s">
        <v>65</v>
      </c>
      <c r="L220">
        <v>2.8</v>
      </c>
      <c r="N220" s="2">
        <f>27*3</f>
        <v>81</v>
      </c>
      <c r="O220">
        <v>8</v>
      </c>
      <c r="P220">
        <f t="shared" si="43"/>
        <v>0.39500000000000002</v>
      </c>
      <c r="Q220" s="4">
        <f>(L222+M220)*N220</f>
        <v>247.04999999999998</v>
      </c>
      <c r="R220" s="1">
        <f t="shared" si="40"/>
        <v>0.97584749999999998</v>
      </c>
    </row>
    <row r="221" spans="7:18" x14ac:dyDescent="0.25">
      <c r="J221" t="s">
        <v>73</v>
      </c>
      <c r="K221" t="s">
        <v>74</v>
      </c>
      <c r="L221">
        <v>4.05</v>
      </c>
      <c r="M221">
        <v>0</v>
      </c>
      <c r="N221" s="2">
        <v>8</v>
      </c>
      <c r="O221">
        <v>16</v>
      </c>
      <c r="P221">
        <f t="shared" si="43"/>
        <v>1.5780000000000001</v>
      </c>
      <c r="Q221" s="4">
        <f t="shared" ref="Q221:Q222" si="44">(L221+M221)*N221</f>
        <v>32.4</v>
      </c>
      <c r="R221" s="1">
        <f t="shared" si="40"/>
        <v>0.51127200000000006</v>
      </c>
    </row>
    <row r="222" spans="7:18" x14ac:dyDescent="0.25">
      <c r="K222" t="s">
        <v>65</v>
      </c>
      <c r="L222">
        <v>3.05</v>
      </c>
      <c r="M222">
        <v>0</v>
      </c>
      <c r="N222" s="2">
        <v>24</v>
      </c>
      <c r="O222">
        <v>8</v>
      </c>
      <c r="P222">
        <f t="shared" si="43"/>
        <v>0.39500000000000002</v>
      </c>
      <c r="Q222" s="4">
        <f t="shared" si="44"/>
        <v>73.199999999999989</v>
      </c>
      <c r="R222" s="5">
        <f>P222*Q222/100</f>
        <v>0.28913999999999995</v>
      </c>
    </row>
    <row r="223" spans="7:18" x14ac:dyDescent="0.25">
      <c r="P223" t="b">
        <f t="shared" si="43"/>
        <v>0</v>
      </c>
      <c r="Q223" s="4">
        <f t="shared" si="42"/>
        <v>0</v>
      </c>
      <c r="R223" s="1">
        <f t="shared" ref="R223:R229" si="45">P223*Q223/100</f>
        <v>0</v>
      </c>
    </row>
    <row r="224" spans="7:18" x14ac:dyDescent="0.25">
      <c r="J224" t="s">
        <v>66</v>
      </c>
      <c r="K224" t="s">
        <v>26</v>
      </c>
      <c r="L224">
        <f>3.23+(1.4*0.5)</f>
        <v>3.9299999999999997</v>
      </c>
      <c r="M224">
        <v>0</v>
      </c>
      <c r="N224" s="2">
        <f>3.3/0.15*2</f>
        <v>44</v>
      </c>
      <c r="O224">
        <v>14</v>
      </c>
      <c r="P224">
        <f t="shared" si="43"/>
        <v>1.208</v>
      </c>
      <c r="Q224" s="4">
        <f>(L224+M224)*N224</f>
        <v>172.92</v>
      </c>
      <c r="R224" s="1">
        <f t="shared" si="45"/>
        <v>2.0888735999999999</v>
      </c>
    </row>
    <row r="225" spans="8:18" x14ac:dyDescent="0.25">
      <c r="K225" t="s">
        <v>65</v>
      </c>
      <c r="L225">
        <v>3.3</v>
      </c>
      <c r="M225">
        <v>0.2</v>
      </c>
      <c r="N225" s="2">
        <f>2.95/0.15*2</f>
        <v>39.333333333333336</v>
      </c>
      <c r="O225">
        <v>10</v>
      </c>
      <c r="P225">
        <f t="shared" si="43"/>
        <v>0.61699999999999999</v>
      </c>
      <c r="Q225" s="4">
        <f>(L225+M225)*N225</f>
        <v>137.66666666666669</v>
      </c>
      <c r="R225" s="1">
        <f t="shared" si="45"/>
        <v>0.8494033333333334</v>
      </c>
    </row>
    <row r="226" spans="8:18" x14ac:dyDescent="0.25">
      <c r="J226" t="s">
        <v>67</v>
      </c>
      <c r="K226" t="s">
        <v>26</v>
      </c>
      <c r="L226">
        <v>3.93</v>
      </c>
      <c r="M226">
        <v>0</v>
      </c>
      <c r="N226" s="2">
        <f>2.1/0.1*2</f>
        <v>42</v>
      </c>
      <c r="O226">
        <v>16</v>
      </c>
      <c r="P226">
        <f t="shared" si="43"/>
        <v>1.5780000000000001</v>
      </c>
      <c r="Q226" s="4">
        <f>(L226+M226)*N226</f>
        <v>165.06</v>
      </c>
      <c r="R226" s="1">
        <f t="shared" si="45"/>
        <v>2.6046467999999998</v>
      </c>
    </row>
    <row r="227" spans="8:18" x14ac:dyDescent="0.25">
      <c r="K227" t="s">
        <v>65</v>
      </c>
      <c r="L227">
        <v>2.5</v>
      </c>
      <c r="M227">
        <v>0</v>
      </c>
      <c r="N227" s="2">
        <f>2.95/0.15*2</f>
        <v>39.333333333333336</v>
      </c>
      <c r="O227">
        <v>10</v>
      </c>
      <c r="P227">
        <f t="shared" si="43"/>
        <v>0.61699999999999999</v>
      </c>
      <c r="Q227" s="4">
        <f>(L227+M227)*N227</f>
        <v>98.333333333333343</v>
      </c>
      <c r="R227" s="1">
        <f t="shared" si="45"/>
        <v>0.60671666666666679</v>
      </c>
    </row>
    <row r="228" spans="8:18" x14ac:dyDescent="0.25">
      <c r="J228" t="s">
        <v>68</v>
      </c>
      <c r="K228" t="s">
        <v>26</v>
      </c>
      <c r="L228">
        <v>3.93</v>
      </c>
      <c r="M228">
        <v>0</v>
      </c>
      <c r="N228" s="2">
        <f>2.15/0.1*2</f>
        <v>42.999999999999993</v>
      </c>
      <c r="O228">
        <v>14</v>
      </c>
      <c r="P228">
        <f t="shared" si="43"/>
        <v>1.208</v>
      </c>
      <c r="Q228" s="4">
        <f t="shared" ref="Q228" si="46">(L228+M228)*N228</f>
        <v>168.98999999999998</v>
      </c>
      <c r="R228" s="1">
        <f t="shared" si="45"/>
        <v>2.0413991999999994</v>
      </c>
    </row>
    <row r="229" spans="8:18" x14ac:dyDescent="0.25">
      <c r="P229" t="b">
        <f t="shared" si="43"/>
        <v>0</v>
      </c>
      <c r="Q229" s="4">
        <f t="shared" si="42"/>
        <v>0</v>
      </c>
      <c r="R229" s="1">
        <f t="shared" si="45"/>
        <v>0</v>
      </c>
    </row>
    <row r="230" spans="8:18" x14ac:dyDescent="0.25">
      <c r="J230" t="s">
        <v>91</v>
      </c>
      <c r="P230" t="b">
        <f t="shared" si="43"/>
        <v>0</v>
      </c>
    </row>
    <row r="231" spans="8:18" x14ac:dyDescent="0.25">
      <c r="P231" t="b">
        <f t="shared" si="43"/>
        <v>0</v>
      </c>
    </row>
    <row r="232" spans="8:18" x14ac:dyDescent="0.25">
      <c r="H232" s="70" t="s">
        <v>93</v>
      </c>
      <c r="I232" s="70"/>
      <c r="J232" t="s">
        <v>77</v>
      </c>
      <c r="K232">
        <v>14</v>
      </c>
      <c r="L232">
        <f>(11.8+11.5)</f>
        <v>23.3</v>
      </c>
      <c r="M232">
        <v>0</v>
      </c>
      <c r="N232" s="2">
        <v>3</v>
      </c>
      <c r="O232">
        <v>14</v>
      </c>
      <c r="P232">
        <f t="shared" si="43"/>
        <v>1.208</v>
      </c>
      <c r="Q232" s="4">
        <f t="shared" ref="Q232:Q269" si="47">(L232+M232)*N232</f>
        <v>69.900000000000006</v>
      </c>
      <c r="R232" s="1">
        <f t="shared" ref="R232:R271" si="48">P232*Q232/100</f>
        <v>0.84439200000000003</v>
      </c>
    </row>
    <row r="233" spans="8:18" x14ac:dyDescent="0.25">
      <c r="K233">
        <v>16</v>
      </c>
      <c r="L233">
        <f>(1.8+4+3+4.25+1.8)</f>
        <v>14.850000000000001</v>
      </c>
      <c r="N233" s="2">
        <v>3</v>
      </c>
      <c r="O233">
        <v>16</v>
      </c>
      <c r="P233">
        <f t="shared" si="43"/>
        <v>1.5780000000000001</v>
      </c>
      <c r="Q233" s="4">
        <f t="shared" si="47"/>
        <v>44.550000000000004</v>
      </c>
      <c r="R233" s="1">
        <f t="shared" si="48"/>
        <v>0.70299900000000004</v>
      </c>
    </row>
    <row r="234" spans="8:18" x14ac:dyDescent="0.25">
      <c r="K234" t="s">
        <v>22</v>
      </c>
      <c r="L234">
        <v>1.42</v>
      </c>
      <c r="N234" s="2">
        <f>9+9+9+9+26</f>
        <v>62</v>
      </c>
      <c r="O234">
        <v>10</v>
      </c>
      <c r="P234">
        <f t="shared" si="43"/>
        <v>0.61699999999999999</v>
      </c>
      <c r="Q234" s="4">
        <f t="shared" si="47"/>
        <v>88.039999999999992</v>
      </c>
      <c r="R234" s="1">
        <f t="shared" si="48"/>
        <v>0.54320679999999999</v>
      </c>
    </row>
    <row r="235" spans="8:18" x14ac:dyDescent="0.25">
      <c r="K235" t="s">
        <v>23</v>
      </c>
      <c r="L235">
        <v>0.94</v>
      </c>
      <c r="M235">
        <v>0</v>
      </c>
      <c r="N235" s="2">
        <v>62</v>
      </c>
      <c r="O235">
        <v>10</v>
      </c>
      <c r="P235">
        <f t="shared" si="43"/>
        <v>0.61699999999999999</v>
      </c>
      <c r="Q235" s="4">
        <f t="shared" si="47"/>
        <v>58.279999999999994</v>
      </c>
      <c r="R235" s="1">
        <f t="shared" si="48"/>
        <v>0.35958760000000001</v>
      </c>
    </row>
    <row r="236" spans="8:18" x14ac:dyDescent="0.25">
      <c r="P236" t="b">
        <f t="shared" si="43"/>
        <v>0</v>
      </c>
      <c r="Q236" s="4">
        <f t="shared" si="47"/>
        <v>0</v>
      </c>
      <c r="R236" s="1">
        <f t="shared" si="48"/>
        <v>0</v>
      </c>
    </row>
    <row r="237" spans="8:18" x14ac:dyDescent="0.25">
      <c r="J237" t="s">
        <v>78</v>
      </c>
      <c r="K237">
        <v>16</v>
      </c>
      <c r="L237">
        <f>(1.6+1.6+3.2+11.8+11.5+6.65+1.8)</f>
        <v>38.15</v>
      </c>
      <c r="N237" s="2">
        <v>3</v>
      </c>
      <c r="O237">
        <v>16</v>
      </c>
      <c r="P237">
        <f t="shared" si="43"/>
        <v>1.5780000000000001</v>
      </c>
      <c r="Q237" s="4">
        <f t="shared" si="47"/>
        <v>114.44999999999999</v>
      </c>
      <c r="R237" s="1">
        <f t="shared" si="48"/>
        <v>1.8060209999999999</v>
      </c>
    </row>
    <row r="238" spans="8:18" x14ac:dyDescent="0.25">
      <c r="K238" t="s">
        <v>22</v>
      </c>
      <c r="L238">
        <v>1.42</v>
      </c>
      <c r="N238" s="2">
        <f>39+18</f>
        <v>57</v>
      </c>
      <c r="O238">
        <v>10</v>
      </c>
      <c r="P238">
        <f t="shared" si="43"/>
        <v>0.61699999999999999</v>
      </c>
      <c r="Q238" s="4">
        <f t="shared" si="47"/>
        <v>80.94</v>
      </c>
      <c r="R238" s="1">
        <f t="shared" si="48"/>
        <v>0.4993998</v>
      </c>
    </row>
    <row r="239" spans="8:18" x14ac:dyDescent="0.25">
      <c r="K239" t="s">
        <v>23</v>
      </c>
      <c r="L239">
        <v>0.94</v>
      </c>
      <c r="N239" s="2">
        <v>57</v>
      </c>
      <c r="O239">
        <v>10</v>
      </c>
      <c r="P239">
        <f t="shared" si="43"/>
        <v>0.61699999999999999</v>
      </c>
      <c r="Q239" s="4">
        <f t="shared" si="47"/>
        <v>53.58</v>
      </c>
      <c r="R239" s="1">
        <f t="shared" si="48"/>
        <v>0.33058859999999995</v>
      </c>
    </row>
    <row r="240" spans="8:18" x14ac:dyDescent="0.25">
      <c r="Q240" s="4">
        <f t="shared" si="47"/>
        <v>0</v>
      </c>
      <c r="R240" s="1">
        <f t="shared" si="48"/>
        <v>0</v>
      </c>
    </row>
    <row r="241" spans="10:18" x14ac:dyDescent="0.25">
      <c r="J241" t="s">
        <v>79</v>
      </c>
      <c r="K241">
        <v>14</v>
      </c>
      <c r="L241">
        <f>(11.8+11.5)</f>
        <v>23.3</v>
      </c>
      <c r="M241">
        <v>0</v>
      </c>
      <c r="N241" s="2">
        <v>3</v>
      </c>
      <c r="O241">
        <v>14</v>
      </c>
      <c r="P241">
        <f t="shared" ref="P241:P289" si="49">IF(O241=8,0.395,IF(O241=10,0.617,IF(O241=12,0.888,IF(O241=14,1.208,IF(O241=16,1.578)))))</f>
        <v>1.208</v>
      </c>
      <c r="Q241" s="4">
        <f t="shared" si="47"/>
        <v>69.900000000000006</v>
      </c>
      <c r="R241" s="1">
        <f t="shared" si="48"/>
        <v>0.84439200000000003</v>
      </c>
    </row>
    <row r="242" spans="10:18" x14ac:dyDescent="0.25">
      <c r="K242">
        <v>16</v>
      </c>
      <c r="L242">
        <f>(1.8+4+3+4.25+1.8)</f>
        <v>14.850000000000001</v>
      </c>
      <c r="N242" s="2">
        <v>3</v>
      </c>
      <c r="O242">
        <v>16</v>
      </c>
      <c r="P242">
        <f t="shared" si="49"/>
        <v>1.5780000000000001</v>
      </c>
      <c r="Q242" s="4">
        <f t="shared" si="47"/>
        <v>44.550000000000004</v>
      </c>
      <c r="R242" s="1">
        <f t="shared" si="48"/>
        <v>0.70299900000000004</v>
      </c>
    </row>
    <row r="243" spans="10:18" x14ac:dyDescent="0.25">
      <c r="K243" t="s">
        <v>22</v>
      </c>
      <c r="L243">
        <v>1.42</v>
      </c>
      <c r="N243" s="2">
        <f>9+9+9+9+26</f>
        <v>62</v>
      </c>
      <c r="O243">
        <v>10</v>
      </c>
      <c r="P243">
        <f t="shared" si="49"/>
        <v>0.61699999999999999</v>
      </c>
      <c r="Q243" s="4">
        <f t="shared" si="47"/>
        <v>88.039999999999992</v>
      </c>
      <c r="R243" s="1">
        <f t="shared" si="48"/>
        <v>0.54320679999999999</v>
      </c>
    </row>
    <row r="244" spans="10:18" x14ac:dyDescent="0.25">
      <c r="K244" t="s">
        <v>23</v>
      </c>
      <c r="L244">
        <v>0.94</v>
      </c>
      <c r="M244">
        <v>0</v>
      </c>
      <c r="N244" s="2">
        <v>62</v>
      </c>
      <c r="O244">
        <v>10</v>
      </c>
      <c r="P244">
        <f t="shared" si="49"/>
        <v>0.61699999999999999</v>
      </c>
      <c r="Q244" s="4">
        <f t="shared" si="47"/>
        <v>58.279999999999994</v>
      </c>
      <c r="R244" s="1">
        <f t="shared" si="48"/>
        <v>0.35958760000000001</v>
      </c>
    </row>
    <row r="245" spans="10:18" x14ac:dyDescent="0.25">
      <c r="P245" t="b">
        <f t="shared" si="49"/>
        <v>0</v>
      </c>
      <c r="Q245" s="4">
        <f t="shared" si="47"/>
        <v>0</v>
      </c>
      <c r="R245" s="1">
        <f t="shared" si="48"/>
        <v>0</v>
      </c>
    </row>
    <row r="246" spans="10:18" x14ac:dyDescent="0.25">
      <c r="J246" t="s">
        <v>80</v>
      </c>
      <c r="K246">
        <v>14</v>
      </c>
      <c r="L246">
        <f>(2.5+3.5+7)</f>
        <v>13</v>
      </c>
      <c r="N246" s="2">
        <v>2</v>
      </c>
      <c r="O246">
        <v>14</v>
      </c>
      <c r="P246">
        <f t="shared" si="49"/>
        <v>1.208</v>
      </c>
      <c r="Q246" s="4">
        <f t="shared" si="47"/>
        <v>26</v>
      </c>
      <c r="R246" s="1">
        <f t="shared" si="48"/>
        <v>0.31407999999999997</v>
      </c>
    </row>
    <row r="247" spans="10:18" x14ac:dyDescent="0.25">
      <c r="K247">
        <v>16</v>
      </c>
      <c r="L247">
        <f>(14.05+14.05)</f>
        <v>28.1</v>
      </c>
      <c r="N247" s="2">
        <v>3</v>
      </c>
      <c r="O247">
        <v>16</v>
      </c>
      <c r="P247">
        <f t="shared" si="49"/>
        <v>1.5780000000000001</v>
      </c>
      <c r="Q247" s="4">
        <f t="shared" si="47"/>
        <v>84.300000000000011</v>
      </c>
      <c r="R247" s="1">
        <f t="shared" si="48"/>
        <v>1.3302540000000003</v>
      </c>
    </row>
    <row r="248" spans="10:18" x14ac:dyDescent="0.25">
      <c r="K248" t="s">
        <v>22</v>
      </c>
      <c r="L248">
        <v>1.32</v>
      </c>
      <c r="N248" s="2">
        <f>(3.6/0.15)+10+9+9+15+10</f>
        <v>77</v>
      </c>
      <c r="O248">
        <v>10</v>
      </c>
      <c r="P248">
        <f t="shared" si="49"/>
        <v>0.61699999999999999</v>
      </c>
      <c r="Q248" s="4">
        <f t="shared" si="47"/>
        <v>101.64</v>
      </c>
      <c r="R248" s="1">
        <f t="shared" si="48"/>
        <v>0.62711879999999998</v>
      </c>
    </row>
    <row r="249" spans="10:18" x14ac:dyDescent="0.25">
      <c r="K249" t="s">
        <v>23</v>
      </c>
      <c r="L249">
        <v>0.84</v>
      </c>
      <c r="N249" s="2">
        <v>77</v>
      </c>
      <c r="O249">
        <v>10</v>
      </c>
      <c r="P249">
        <f t="shared" si="49"/>
        <v>0.61699999999999999</v>
      </c>
      <c r="Q249" s="4">
        <f t="shared" si="47"/>
        <v>64.679999999999993</v>
      </c>
      <c r="R249" s="1">
        <f t="shared" si="48"/>
        <v>0.39907559999999997</v>
      </c>
    </row>
    <row r="250" spans="10:18" x14ac:dyDescent="0.25">
      <c r="P250" t="b">
        <f t="shared" si="49"/>
        <v>0</v>
      </c>
      <c r="Q250" s="4">
        <f t="shared" si="47"/>
        <v>0</v>
      </c>
      <c r="R250" s="1">
        <f t="shared" si="48"/>
        <v>0</v>
      </c>
    </row>
    <row r="251" spans="10:18" x14ac:dyDescent="0.25">
      <c r="J251" t="s">
        <v>81</v>
      </c>
      <c r="K251">
        <v>14</v>
      </c>
      <c r="L251">
        <f>(2.9+3.5+1.2)</f>
        <v>7.6000000000000005</v>
      </c>
      <c r="N251" s="2">
        <v>2</v>
      </c>
      <c r="O251">
        <v>14</v>
      </c>
      <c r="P251">
        <f t="shared" si="49"/>
        <v>1.208</v>
      </c>
      <c r="Q251" s="4">
        <f t="shared" si="47"/>
        <v>15.200000000000001</v>
      </c>
      <c r="R251" s="1">
        <f t="shared" si="48"/>
        <v>0.183616</v>
      </c>
    </row>
    <row r="252" spans="10:18" x14ac:dyDescent="0.25">
      <c r="K252">
        <v>16</v>
      </c>
      <c r="L252">
        <f>(6+3+14.6+14.6)</f>
        <v>38.200000000000003</v>
      </c>
      <c r="N252" s="2">
        <v>3</v>
      </c>
      <c r="O252">
        <v>16</v>
      </c>
      <c r="P252">
        <f t="shared" si="49"/>
        <v>1.5780000000000001</v>
      </c>
      <c r="Q252" s="4">
        <f t="shared" si="47"/>
        <v>114.60000000000001</v>
      </c>
      <c r="R252" s="1">
        <f t="shared" si="48"/>
        <v>1.8083880000000001</v>
      </c>
    </row>
    <row r="253" spans="10:18" x14ac:dyDescent="0.25">
      <c r="K253" t="s">
        <v>22</v>
      </c>
      <c r="L253">
        <v>1.32</v>
      </c>
      <c r="N253" s="2">
        <f>(15+9+3.16/0.15+9+9+3/0.15+9+5)</f>
        <v>97.066666666666663</v>
      </c>
      <c r="O253">
        <v>10</v>
      </c>
      <c r="P253">
        <f t="shared" si="49"/>
        <v>0.61699999999999999</v>
      </c>
      <c r="Q253" s="4">
        <f t="shared" si="47"/>
        <v>128.12800000000001</v>
      </c>
      <c r="R253" s="1">
        <f t="shared" si="48"/>
        <v>0.7905497600000001</v>
      </c>
    </row>
    <row r="254" spans="10:18" x14ac:dyDescent="0.25">
      <c r="K254" t="s">
        <v>23</v>
      </c>
      <c r="L254">
        <v>0.84</v>
      </c>
      <c r="N254" s="2">
        <f>92+5</f>
        <v>97</v>
      </c>
      <c r="O254">
        <v>10</v>
      </c>
      <c r="P254">
        <f t="shared" si="49"/>
        <v>0.61699999999999999</v>
      </c>
      <c r="Q254" s="4">
        <f t="shared" si="47"/>
        <v>81.48</v>
      </c>
      <c r="R254" s="1">
        <f t="shared" si="48"/>
        <v>0.50273160000000006</v>
      </c>
    </row>
    <row r="255" spans="10:18" x14ac:dyDescent="0.25">
      <c r="P255" t="b">
        <f t="shared" si="49"/>
        <v>0</v>
      </c>
      <c r="Q255" s="4">
        <f t="shared" si="47"/>
        <v>0</v>
      </c>
      <c r="R255" s="1">
        <f t="shared" si="48"/>
        <v>0</v>
      </c>
    </row>
    <row r="256" spans="10:18" x14ac:dyDescent="0.25">
      <c r="J256" t="s">
        <v>82</v>
      </c>
      <c r="K256">
        <v>14</v>
      </c>
      <c r="L256">
        <f>2.9+3.5</f>
        <v>6.4</v>
      </c>
      <c r="N256" s="2">
        <v>4</v>
      </c>
      <c r="O256">
        <v>14</v>
      </c>
      <c r="P256">
        <f t="shared" si="49"/>
        <v>1.208</v>
      </c>
      <c r="Q256" s="4">
        <f t="shared" si="47"/>
        <v>25.6</v>
      </c>
      <c r="R256" s="1">
        <f t="shared" si="48"/>
        <v>0.30924800000000002</v>
      </c>
    </row>
    <row r="257" spans="7:18" x14ac:dyDescent="0.25">
      <c r="K257">
        <v>16</v>
      </c>
      <c r="L257">
        <v>14.55</v>
      </c>
      <c r="N257" s="2">
        <v>6</v>
      </c>
      <c r="O257">
        <v>16</v>
      </c>
      <c r="P257">
        <f t="shared" si="49"/>
        <v>1.5780000000000001</v>
      </c>
      <c r="Q257" s="4">
        <f t="shared" si="47"/>
        <v>87.300000000000011</v>
      </c>
      <c r="R257" s="1">
        <f t="shared" si="48"/>
        <v>1.3775940000000002</v>
      </c>
    </row>
    <row r="258" spans="7:18" x14ac:dyDescent="0.25">
      <c r="K258" t="s">
        <v>22</v>
      </c>
      <c r="L258">
        <v>1.32</v>
      </c>
      <c r="N258" s="2">
        <f>(13+9+20+9+9+12+9+16)</f>
        <v>97</v>
      </c>
      <c r="O258">
        <v>10</v>
      </c>
      <c r="P258">
        <f t="shared" si="49"/>
        <v>0.61699999999999999</v>
      </c>
      <c r="Q258" s="4">
        <f t="shared" si="47"/>
        <v>128.04</v>
      </c>
      <c r="R258" s="1">
        <f t="shared" si="48"/>
        <v>0.7900067999999999</v>
      </c>
    </row>
    <row r="259" spans="7:18" x14ac:dyDescent="0.25">
      <c r="K259" t="s">
        <v>23</v>
      </c>
      <c r="L259">
        <v>0.84</v>
      </c>
      <c r="N259" s="2">
        <v>97</v>
      </c>
      <c r="O259">
        <v>10</v>
      </c>
      <c r="P259">
        <f t="shared" si="49"/>
        <v>0.61699999999999999</v>
      </c>
      <c r="Q259" s="4">
        <f t="shared" si="47"/>
        <v>81.48</v>
      </c>
      <c r="R259" s="1">
        <f t="shared" si="48"/>
        <v>0.50273160000000006</v>
      </c>
    </row>
    <row r="260" spans="7:18" x14ac:dyDescent="0.25">
      <c r="P260" t="b">
        <f t="shared" si="49"/>
        <v>0</v>
      </c>
      <c r="Q260" s="4">
        <f t="shared" si="47"/>
        <v>0</v>
      </c>
      <c r="R260" s="1">
        <f t="shared" si="48"/>
        <v>0</v>
      </c>
    </row>
    <row r="261" spans="7:18" x14ac:dyDescent="0.25">
      <c r="J261" t="s">
        <v>94</v>
      </c>
      <c r="K261" t="s">
        <v>74</v>
      </c>
      <c r="L261">
        <v>3.15</v>
      </c>
      <c r="N261" s="2">
        <f>5.1/0.15*2</f>
        <v>68</v>
      </c>
      <c r="O261">
        <v>12</v>
      </c>
      <c r="P261">
        <f t="shared" si="49"/>
        <v>0.88800000000000001</v>
      </c>
      <c r="Q261" s="4">
        <f t="shared" si="47"/>
        <v>214.2</v>
      </c>
      <c r="R261" s="1">
        <f t="shared" si="48"/>
        <v>1.902096</v>
      </c>
    </row>
    <row r="262" spans="7:18" x14ac:dyDescent="0.25">
      <c r="K262" t="s">
        <v>65</v>
      </c>
      <c r="L262">
        <v>5.0999999999999996</v>
      </c>
      <c r="N262" s="2">
        <f>3.15/0.15*2</f>
        <v>42</v>
      </c>
      <c r="O262">
        <v>12</v>
      </c>
      <c r="P262">
        <f t="shared" si="49"/>
        <v>0.88800000000000001</v>
      </c>
      <c r="Q262" s="4">
        <f t="shared" si="47"/>
        <v>214.2</v>
      </c>
      <c r="R262" s="1">
        <f t="shared" si="48"/>
        <v>1.902096</v>
      </c>
    </row>
    <row r="263" spans="7:18" x14ac:dyDescent="0.25">
      <c r="P263" t="b">
        <f t="shared" si="49"/>
        <v>0</v>
      </c>
      <c r="Q263" s="4">
        <f t="shared" si="47"/>
        <v>0</v>
      </c>
      <c r="R263" s="1">
        <f t="shared" si="48"/>
        <v>0</v>
      </c>
    </row>
    <row r="264" spans="7:18" x14ac:dyDescent="0.25">
      <c r="J264" t="s">
        <v>95</v>
      </c>
      <c r="K264" t="s">
        <v>74</v>
      </c>
      <c r="L264">
        <v>3.5</v>
      </c>
      <c r="N264" s="2">
        <f>L265/0.15</f>
        <v>10.666666666666668</v>
      </c>
      <c r="O264">
        <v>12</v>
      </c>
      <c r="P264">
        <f t="shared" si="49"/>
        <v>0.88800000000000001</v>
      </c>
      <c r="Q264" s="4">
        <f t="shared" si="47"/>
        <v>37.333333333333336</v>
      </c>
      <c r="R264" s="1">
        <f t="shared" si="48"/>
        <v>0.33152000000000004</v>
      </c>
    </row>
    <row r="265" spans="7:18" x14ac:dyDescent="0.25">
      <c r="K265" t="s">
        <v>65</v>
      </c>
      <c r="L265">
        <v>1.6</v>
      </c>
      <c r="N265" s="2">
        <f>L264/0.15</f>
        <v>23.333333333333336</v>
      </c>
      <c r="O265">
        <v>12</v>
      </c>
      <c r="P265">
        <f t="shared" si="49"/>
        <v>0.88800000000000001</v>
      </c>
      <c r="Q265" s="4">
        <f t="shared" si="47"/>
        <v>37.333333333333336</v>
      </c>
      <c r="R265" s="1">
        <f t="shared" si="48"/>
        <v>0.33152000000000004</v>
      </c>
    </row>
    <row r="266" spans="7:18" x14ac:dyDescent="0.25">
      <c r="P266" t="b">
        <f t="shared" si="49"/>
        <v>0</v>
      </c>
      <c r="Q266" s="4">
        <f t="shared" si="47"/>
        <v>0</v>
      </c>
      <c r="R266" s="1">
        <f t="shared" si="48"/>
        <v>0</v>
      </c>
    </row>
    <row r="267" spans="7:18" x14ac:dyDescent="0.25">
      <c r="G267" t="s">
        <v>96</v>
      </c>
      <c r="H267" t="s">
        <v>89</v>
      </c>
      <c r="J267" t="s">
        <v>70</v>
      </c>
      <c r="K267" t="s">
        <v>26</v>
      </c>
      <c r="L267">
        <v>4.05</v>
      </c>
      <c r="N267" s="2">
        <f>8*4</f>
        <v>32</v>
      </c>
      <c r="O267">
        <v>16</v>
      </c>
      <c r="P267">
        <f t="shared" si="49"/>
        <v>1.5780000000000001</v>
      </c>
      <c r="Q267" s="4">
        <f t="shared" si="47"/>
        <v>129.6</v>
      </c>
      <c r="R267" s="1">
        <f t="shared" si="48"/>
        <v>2.0450880000000002</v>
      </c>
    </row>
    <row r="268" spans="7:18" x14ac:dyDescent="0.25">
      <c r="K268" t="s">
        <v>71</v>
      </c>
      <c r="L268">
        <f>1.2+0.9</f>
        <v>2.1</v>
      </c>
      <c r="M268">
        <v>0</v>
      </c>
      <c r="N268" s="2">
        <f>27*4</f>
        <v>108</v>
      </c>
      <c r="O268">
        <v>8</v>
      </c>
      <c r="P268">
        <f t="shared" si="49"/>
        <v>0.39500000000000002</v>
      </c>
      <c r="Q268" s="4">
        <f t="shared" si="47"/>
        <v>226.8</v>
      </c>
      <c r="R268" s="1">
        <f t="shared" si="48"/>
        <v>0.8958600000000001</v>
      </c>
    </row>
    <row r="269" spans="7:18" x14ac:dyDescent="0.25">
      <c r="J269" t="s">
        <v>90</v>
      </c>
      <c r="K269" t="s">
        <v>26</v>
      </c>
      <c r="L269">
        <v>4.05</v>
      </c>
      <c r="N269" s="2">
        <f>8*2</f>
        <v>16</v>
      </c>
      <c r="O269">
        <v>16</v>
      </c>
      <c r="P269">
        <f t="shared" si="49"/>
        <v>1.5780000000000001</v>
      </c>
      <c r="Q269" s="4">
        <f t="shared" si="47"/>
        <v>64.8</v>
      </c>
      <c r="R269" s="1">
        <f t="shared" si="48"/>
        <v>1.0225440000000001</v>
      </c>
    </row>
    <row r="270" spans="7:18" x14ac:dyDescent="0.25">
      <c r="K270" t="s">
        <v>65</v>
      </c>
      <c r="L270">
        <v>2.8</v>
      </c>
      <c r="N270" s="2">
        <f>27*3</f>
        <v>81</v>
      </c>
      <c r="O270">
        <v>8</v>
      </c>
      <c r="P270">
        <f t="shared" si="49"/>
        <v>0.39500000000000002</v>
      </c>
      <c r="Q270" s="4">
        <f>(L272+M270)*N270</f>
        <v>247.04999999999998</v>
      </c>
      <c r="R270" s="1">
        <f t="shared" si="48"/>
        <v>0.97584749999999998</v>
      </c>
    </row>
    <row r="271" spans="7:18" x14ac:dyDescent="0.25">
      <c r="J271" t="s">
        <v>73</v>
      </c>
      <c r="K271" t="s">
        <v>74</v>
      </c>
      <c r="L271">
        <v>4.05</v>
      </c>
      <c r="M271">
        <v>0</v>
      </c>
      <c r="N271" s="2">
        <v>8</v>
      </c>
      <c r="O271">
        <v>16</v>
      </c>
      <c r="P271">
        <f t="shared" si="49"/>
        <v>1.5780000000000001</v>
      </c>
      <c r="Q271" s="4">
        <f t="shared" ref="Q271:Q273" si="50">(L271+M271)*N271</f>
        <v>32.4</v>
      </c>
      <c r="R271" s="1">
        <f t="shared" si="48"/>
        <v>0.51127200000000006</v>
      </c>
    </row>
    <row r="272" spans="7:18" x14ac:dyDescent="0.25">
      <c r="K272" t="s">
        <v>65</v>
      </c>
      <c r="L272">
        <v>3.05</v>
      </c>
      <c r="M272">
        <v>0</v>
      </c>
      <c r="N272" s="2">
        <v>24</v>
      </c>
      <c r="O272">
        <v>8</v>
      </c>
      <c r="P272">
        <f t="shared" si="49"/>
        <v>0.39500000000000002</v>
      </c>
      <c r="Q272" s="4">
        <f t="shared" si="50"/>
        <v>73.199999999999989</v>
      </c>
      <c r="R272" s="5">
        <f>P272*Q272/100</f>
        <v>0.28913999999999995</v>
      </c>
    </row>
    <row r="273" spans="8:18" x14ac:dyDescent="0.25">
      <c r="P273" t="b">
        <f t="shared" si="49"/>
        <v>0</v>
      </c>
      <c r="Q273" s="4">
        <f t="shared" si="50"/>
        <v>0</v>
      </c>
      <c r="R273" s="1">
        <f t="shared" ref="R273:R279" si="51">P273*Q273/100</f>
        <v>0</v>
      </c>
    </row>
    <row r="274" spans="8:18" x14ac:dyDescent="0.25">
      <c r="J274" t="s">
        <v>66</v>
      </c>
      <c r="K274" t="s">
        <v>26</v>
      </c>
      <c r="L274">
        <f>3.23+(1.4*0.5)</f>
        <v>3.9299999999999997</v>
      </c>
      <c r="M274">
        <v>0</v>
      </c>
      <c r="N274" s="2">
        <f>3.3/0.15*2</f>
        <v>44</v>
      </c>
      <c r="O274">
        <v>14</v>
      </c>
      <c r="P274">
        <f t="shared" si="49"/>
        <v>1.208</v>
      </c>
      <c r="Q274" s="4">
        <f>(L274+M274)*N274</f>
        <v>172.92</v>
      </c>
      <c r="R274" s="1">
        <f t="shared" si="51"/>
        <v>2.0888735999999999</v>
      </c>
    </row>
    <row r="275" spans="8:18" x14ac:dyDescent="0.25">
      <c r="K275" t="s">
        <v>65</v>
      </c>
      <c r="L275">
        <v>3.3</v>
      </c>
      <c r="M275">
        <v>0.2</v>
      </c>
      <c r="N275" s="2">
        <f>2.95/0.15*2</f>
        <v>39.333333333333336</v>
      </c>
      <c r="O275">
        <v>10</v>
      </c>
      <c r="P275">
        <f t="shared" si="49"/>
        <v>0.61699999999999999</v>
      </c>
      <c r="Q275" s="4">
        <f>(L275+M275)*N275</f>
        <v>137.66666666666669</v>
      </c>
      <c r="R275" s="1">
        <f t="shared" si="51"/>
        <v>0.8494033333333334</v>
      </c>
    </row>
    <row r="276" spans="8:18" x14ac:dyDescent="0.25">
      <c r="J276" t="s">
        <v>67</v>
      </c>
      <c r="K276" t="s">
        <v>26</v>
      </c>
      <c r="L276">
        <v>3.93</v>
      </c>
      <c r="M276">
        <v>0</v>
      </c>
      <c r="N276" s="2">
        <f>2.1/0.1*2</f>
        <v>42</v>
      </c>
      <c r="O276">
        <v>16</v>
      </c>
      <c r="P276">
        <f t="shared" si="49"/>
        <v>1.5780000000000001</v>
      </c>
      <c r="Q276" s="4">
        <f>(L276+M276)*N276</f>
        <v>165.06</v>
      </c>
      <c r="R276" s="1">
        <f t="shared" si="51"/>
        <v>2.6046467999999998</v>
      </c>
    </row>
    <row r="277" spans="8:18" x14ac:dyDescent="0.25">
      <c r="K277" t="s">
        <v>65</v>
      </c>
      <c r="L277">
        <v>2.5</v>
      </c>
      <c r="M277">
        <v>0</v>
      </c>
      <c r="N277" s="2">
        <f>2.95/0.15*2</f>
        <v>39.333333333333336</v>
      </c>
      <c r="O277">
        <v>10</v>
      </c>
      <c r="P277">
        <f t="shared" si="49"/>
        <v>0.61699999999999999</v>
      </c>
      <c r="Q277" s="4">
        <f>(L277+M277)*N277</f>
        <v>98.333333333333343</v>
      </c>
      <c r="R277" s="1">
        <f t="shared" si="51"/>
        <v>0.60671666666666679</v>
      </c>
    </row>
    <row r="278" spans="8:18" x14ac:dyDescent="0.25">
      <c r="J278" t="s">
        <v>68</v>
      </c>
      <c r="K278" t="s">
        <v>26</v>
      </c>
      <c r="L278">
        <v>3.93</v>
      </c>
      <c r="M278">
        <v>0</v>
      </c>
      <c r="N278" s="2">
        <f>2.15/0.1*2</f>
        <v>42.999999999999993</v>
      </c>
      <c r="O278">
        <v>14</v>
      </c>
      <c r="P278">
        <f t="shared" si="49"/>
        <v>1.208</v>
      </c>
      <c r="Q278" s="4">
        <f t="shared" ref="Q278:Q279" si="52">(L278+M278)*N278</f>
        <v>168.98999999999998</v>
      </c>
      <c r="R278" s="1">
        <f t="shared" si="51"/>
        <v>2.0413991999999994</v>
      </c>
    </row>
    <row r="279" spans="8:18" x14ac:dyDescent="0.25">
      <c r="P279" t="b">
        <f t="shared" si="49"/>
        <v>0</v>
      </c>
      <c r="Q279" s="4">
        <f t="shared" si="52"/>
        <v>0</v>
      </c>
      <c r="R279" s="1">
        <f t="shared" si="51"/>
        <v>0</v>
      </c>
    </row>
    <row r="280" spans="8:18" x14ac:dyDescent="0.25">
      <c r="J280" t="s">
        <v>91</v>
      </c>
      <c r="P280" t="b">
        <f t="shared" si="49"/>
        <v>0</v>
      </c>
    </row>
    <row r="281" spans="8:18" x14ac:dyDescent="0.25">
      <c r="P281" t="b">
        <f t="shared" si="49"/>
        <v>0</v>
      </c>
    </row>
    <row r="282" spans="8:18" x14ac:dyDescent="0.25">
      <c r="H282" s="70" t="s">
        <v>93</v>
      </c>
      <c r="I282" s="70"/>
      <c r="J282" t="s">
        <v>77</v>
      </c>
      <c r="K282">
        <v>14</v>
      </c>
      <c r="L282">
        <f>(11.8+11.5)</f>
        <v>23.3</v>
      </c>
      <c r="M282">
        <v>0</v>
      </c>
      <c r="N282" s="2">
        <v>3</v>
      </c>
      <c r="O282">
        <v>14</v>
      </c>
      <c r="P282">
        <f t="shared" si="49"/>
        <v>1.208</v>
      </c>
      <c r="Q282" s="4">
        <f t="shared" ref="Q282:Q318" si="53">(L282+M282)*N282</f>
        <v>69.900000000000006</v>
      </c>
      <c r="R282" s="1">
        <f t="shared" ref="R282:R318" si="54">P282*Q282/100</f>
        <v>0.84439200000000003</v>
      </c>
    </row>
    <row r="283" spans="8:18" x14ac:dyDescent="0.25">
      <c r="K283">
        <v>16</v>
      </c>
      <c r="L283">
        <f>(1.8+4+3+4.25+1.8)</f>
        <v>14.850000000000001</v>
      </c>
      <c r="N283" s="2">
        <v>3</v>
      </c>
      <c r="O283">
        <v>16</v>
      </c>
      <c r="P283">
        <f t="shared" si="49"/>
        <v>1.5780000000000001</v>
      </c>
      <c r="Q283" s="4">
        <f t="shared" si="53"/>
        <v>44.550000000000004</v>
      </c>
      <c r="R283" s="1">
        <f t="shared" si="54"/>
        <v>0.70299900000000004</v>
      </c>
    </row>
    <row r="284" spans="8:18" x14ac:dyDescent="0.25">
      <c r="K284" t="s">
        <v>22</v>
      </c>
      <c r="L284">
        <v>1.42</v>
      </c>
      <c r="N284" s="2">
        <f>9+9+9+9+26</f>
        <v>62</v>
      </c>
      <c r="O284">
        <v>10</v>
      </c>
      <c r="P284">
        <f t="shared" si="49"/>
        <v>0.61699999999999999</v>
      </c>
      <c r="Q284" s="4">
        <f t="shared" si="53"/>
        <v>88.039999999999992</v>
      </c>
      <c r="R284" s="1">
        <f t="shared" si="54"/>
        <v>0.54320679999999999</v>
      </c>
    </row>
    <row r="285" spans="8:18" x14ac:dyDescent="0.25">
      <c r="K285" t="s">
        <v>23</v>
      </c>
      <c r="L285">
        <v>0.94</v>
      </c>
      <c r="M285">
        <v>0</v>
      </c>
      <c r="N285" s="2">
        <v>62</v>
      </c>
      <c r="O285">
        <v>10</v>
      </c>
      <c r="P285">
        <f t="shared" si="49"/>
        <v>0.61699999999999999</v>
      </c>
      <c r="Q285" s="4">
        <f t="shared" si="53"/>
        <v>58.279999999999994</v>
      </c>
      <c r="R285" s="1">
        <f t="shared" si="54"/>
        <v>0.35958760000000001</v>
      </c>
    </row>
    <row r="286" spans="8:18" x14ac:dyDescent="0.25">
      <c r="P286" t="b">
        <f t="shared" si="49"/>
        <v>0</v>
      </c>
      <c r="Q286" s="4">
        <f t="shared" si="53"/>
        <v>0</v>
      </c>
      <c r="R286" s="1">
        <f t="shared" si="54"/>
        <v>0</v>
      </c>
    </row>
    <row r="287" spans="8:18" x14ac:dyDescent="0.25">
      <c r="J287" t="s">
        <v>78</v>
      </c>
      <c r="K287">
        <v>16</v>
      </c>
      <c r="L287">
        <f>(1.6+1.6+3.2+11.8+11.5+6.65+1.8)</f>
        <v>38.15</v>
      </c>
      <c r="N287" s="2">
        <v>3</v>
      </c>
      <c r="O287">
        <v>16</v>
      </c>
      <c r="P287">
        <f t="shared" si="49"/>
        <v>1.5780000000000001</v>
      </c>
      <c r="Q287" s="4">
        <f t="shared" si="53"/>
        <v>114.44999999999999</v>
      </c>
      <c r="R287" s="1">
        <f t="shared" si="54"/>
        <v>1.8060209999999999</v>
      </c>
    </row>
    <row r="288" spans="8:18" x14ac:dyDescent="0.25">
      <c r="K288" t="s">
        <v>22</v>
      </c>
      <c r="L288">
        <v>1.42</v>
      </c>
      <c r="N288" s="2">
        <f>39+18</f>
        <v>57</v>
      </c>
      <c r="O288">
        <v>10</v>
      </c>
      <c r="P288">
        <f t="shared" si="49"/>
        <v>0.61699999999999999</v>
      </c>
      <c r="Q288" s="4">
        <f t="shared" si="53"/>
        <v>80.94</v>
      </c>
      <c r="R288" s="1">
        <f t="shared" si="54"/>
        <v>0.4993998</v>
      </c>
    </row>
    <row r="289" spans="10:18" x14ac:dyDescent="0.25">
      <c r="K289" t="s">
        <v>23</v>
      </c>
      <c r="L289">
        <v>0.94</v>
      </c>
      <c r="N289" s="2">
        <v>57</v>
      </c>
      <c r="O289">
        <v>10</v>
      </c>
      <c r="P289">
        <f t="shared" si="49"/>
        <v>0.61699999999999999</v>
      </c>
      <c r="Q289" s="4">
        <f t="shared" si="53"/>
        <v>53.58</v>
      </c>
      <c r="R289" s="1">
        <f t="shared" si="54"/>
        <v>0.33058859999999995</v>
      </c>
    </row>
    <row r="290" spans="10:18" x14ac:dyDescent="0.25">
      <c r="Q290" s="4">
        <f t="shared" si="53"/>
        <v>0</v>
      </c>
      <c r="R290" s="1">
        <f t="shared" si="54"/>
        <v>0</v>
      </c>
    </row>
    <row r="291" spans="10:18" x14ac:dyDescent="0.25">
      <c r="J291" t="s">
        <v>79</v>
      </c>
      <c r="K291">
        <v>14</v>
      </c>
      <c r="L291">
        <f>(11.8+11.5)</f>
        <v>23.3</v>
      </c>
      <c r="M291">
        <v>0</v>
      </c>
      <c r="N291" s="2">
        <v>3</v>
      </c>
      <c r="O291">
        <v>14</v>
      </c>
      <c r="P291">
        <f t="shared" ref="P291:P318" si="55">IF(O291=8,0.395,IF(O291=10,0.617,IF(O291=12,0.888,IF(O291=14,1.208,IF(O291=16,1.578)))))</f>
        <v>1.208</v>
      </c>
      <c r="Q291" s="4">
        <f t="shared" si="53"/>
        <v>69.900000000000006</v>
      </c>
      <c r="R291" s="1">
        <f t="shared" si="54"/>
        <v>0.84439200000000003</v>
      </c>
    </row>
    <row r="292" spans="10:18" x14ac:dyDescent="0.25">
      <c r="K292">
        <v>16</v>
      </c>
      <c r="L292">
        <f>(1.8+4+3+4.25+1.8)</f>
        <v>14.850000000000001</v>
      </c>
      <c r="N292" s="2">
        <v>3</v>
      </c>
      <c r="O292">
        <v>16</v>
      </c>
      <c r="P292">
        <f t="shared" si="55"/>
        <v>1.5780000000000001</v>
      </c>
      <c r="Q292" s="4">
        <f t="shared" si="53"/>
        <v>44.550000000000004</v>
      </c>
      <c r="R292" s="1">
        <f t="shared" si="54"/>
        <v>0.70299900000000004</v>
      </c>
    </row>
    <row r="293" spans="10:18" x14ac:dyDescent="0.25">
      <c r="K293" t="s">
        <v>22</v>
      </c>
      <c r="L293">
        <v>1.42</v>
      </c>
      <c r="N293" s="2">
        <f>9+9+9+9+26</f>
        <v>62</v>
      </c>
      <c r="O293">
        <v>10</v>
      </c>
      <c r="P293">
        <f t="shared" si="55"/>
        <v>0.61699999999999999</v>
      </c>
      <c r="Q293" s="4">
        <f t="shared" si="53"/>
        <v>88.039999999999992</v>
      </c>
      <c r="R293" s="1">
        <f t="shared" si="54"/>
        <v>0.54320679999999999</v>
      </c>
    </row>
    <row r="294" spans="10:18" x14ac:dyDescent="0.25">
      <c r="K294" t="s">
        <v>23</v>
      </c>
      <c r="L294">
        <v>0.94</v>
      </c>
      <c r="M294">
        <v>0</v>
      </c>
      <c r="N294" s="2">
        <v>62</v>
      </c>
      <c r="O294">
        <v>10</v>
      </c>
      <c r="P294">
        <f t="shared" si="55"/>
        <v>0.61699999999999999</v>
      </c>
      <c r="Q294" s="4">
        <f t="shared" si="53"/>
        <v>58.279999999999994</v>
      </c>
      <c r="R294" s="1">
        <f t="shared" si="54"/>
        <v>0.35958760000000001</v>
      </c>
    </row>
    <row r="295" spans="10:18" x14ac:dyDescent="0.25">
      <c r="P295" t="b">
        <f t="shared" si="55"/>
        <v>0</v>
      </c>
      <c r="Q295" s="4">
        <f t="shared" si="53"/>
        <v>0</v>
      </c>
      <c r="R295" s="1">
        <f t="shared" si="54"/>
        <v>0</v>
      </c>
    </row>
    <row r="296" spans="10:18" x14ac:dyDescent="0.25">
      <c r="J296" t="s">
        <v>80</v>
      </c>
      <c r="K296">
        <v>14</v>
      </c>
      <c r="L296">
        <f>(2.5+3.5+7)</f>
        <v>13</v>
      </c>
      <c r="N296" s="2">
        <v>2</v>
      </c>
      <c r="O296">
        <v>14</v>
      </c>
      <c r="P296">
        <f t="shared" si="55"/>
        <v>1.208</v>
      </c>
      <c r="Q296" s="4">
        <f t="shared" si="53"/>
        <v>26</v>
      </c>
      <c r="R296" s="1">
        <f t="shared" si="54"/>
        <v>0.31407999999999997</v>
      </c>
    </row>
    <row r="297" spans="10:18" x14ac:dyDescent="0.25">
      <c r="K297">
        <v>16</v>
      </c>
      <c r="L297">
        <f>(14.05+14.05)</f>
        <v>28.1</v>
      </c>
      <c r="N297" s="2">
        <v>3</v>
      </c>
      <c r="O297">
        <v>16</v>
      </c>
      <c r="P297">
        <f t="shared" si="55"/>
        <v>1.5780000000000001</v>
      </c>
      <c r="Q297" s="4">
        <f t="shared" si="53"/>
        <v>84.300000000000011</v>
      </c>
      <c r="R297" s="1">
        <f t="shared" si="54"/>
        <v>1.3302540000000003</v>
      </c>
    </row>
    <row r="298" spans="10:18" x14ac:dyDescent="0.25">
      <c r="K298" t="s">
        <v>22</v>
      </c>
      <c r="L298">
        <v>1.32</v>
      </c>
      <c r="N298" s="2">
        <f>(3.6/0.15)+10+9+9+15+10</f>
        <v>77</v>
      </c>
      <c r="O298">
        <v>10</v>
      </c>
      <c r="P298">
        <f t="shared" si="55"/>
        <v>0.61699999999999999</v>
      </c>
      <c r="Q298" s="4">
        <f t="shared" si="53"/>
        <v>101.64</v>
      </c>
      <c r="R298" s="1">
        <f t="shared" si="54"/>
        <v>0.62711879999999998</v>
      </c>
    </row>
    <row r="299" spans="10:18" x14ac:dyDescent="0.25">
      <c r="K299" t="s">
        <v>23</v>
      </c>
      <c r="L299">
        <v>0.84</v>
      </c>
      <c r="N299" s="2">
        <v>77</v>
      </c>
      <c r="O299">
        <v>10</v>
      </c>
      <c r="P299">
        <f t="shared" si="55"/>
        <v>0.61699999999999999</v>
      </c>
      <c r="Q299" s="4">
        <f t="shared" si="53"/>
        <v>64.679999999999993</v>
      </c>
      <c r="R299" s="1">
        <f t="shared" si="54"/>
        <v>0.39907559999999997</v>
      </c>
    </row>
    <row r="300" spans="10:18" x14ac:dyDescent="0.25">
      <c r="P300" t="b">
        <f t="shared" si="55"/>
        <v>0</v>
      </c>
      <c r="Q300" s="4">
        <f t="shared" si="53"/>
        <v>0</v>
      </c>
      <c r="R300" s="1">
        <f t="shared" si="54"/>
        <v>0</v>
      </c>
    </row>
    <row r="301" spans="10:18" x14ac:dyDescent="0.25">
      <c r="J301" t="s">
        <v>81</v>
      </c>
      <c r="K301">
        <v>14</v>
      </c>
      <c r="L301">
        <f>(2.9+3.5+1.2)</f>
        <v>7.6000000000000005</v>
      </c>
      <c r="N301" s="2">
        <v>2</v>
      </c>
      <c r="O301">
        <v>14</v>
      </c>
      <c r="P301">
        <f t="shared" si="55"/>
        <v>1.208</v>
      </c>
      <c r="Q301" s="4">
        <f t="shared" si="53"/>
        <v>15.200000000000001</v>
      </c>
      <c r="R301" s="1">
        <f t="shared" si="54"/>
        <v>0.183616</v>
      </c>
    </row>
    <row r="302" spans="10:18" x14ac:dyDescent="0.25">
      <c r="K302">
        <v>16</v>
      </c>
      <c r="L302">
        <f>(6+3+14.6+14.6)</f>
        <v>38.200000000000003</v>
      </c>
      <c r="N302" s="2">
        <v>3</v>
      </c>
      <c r="O302">
        <v>16</v>
      </c>
      <c r="P302">
        <f t="shared" si="55"/>
        <v>1.5780000000000001</v>
      </c>
      <c r="Q302" s="4">
        <f t="shared" si="53"/>
        <v>114.60000000000001</v>
      </c>
      <c r="R302" s="1">
        <f t="shared" si="54"/>
        <v>1.8083880000000001</v>
      </c>
    </row>
    <row r="303" spans="10:18" x14ac:dyDescent="0.25">
      <c r="K303" t="s">
        <v>22</v>
      </c>
      <c r="L303">
        <v>1.32</v>
      </c>
      <c r="N303" s="2">
        <f>(15+9+3.16/0.15+9+9+3/0.15+9+5)</f>
        <v>97.066666666666663</v>
      </c>
      <c r="O303">
        <v>10</v>
      </c>
      <c r="P303">
        <f t="shared" si="55"/>
        <v>0.61699999999999999</v>
      </c>
      <c r="Q303" s="4">
        <f t="shared" si="53"/>
        <v>128.12800000000001</v>
      </c>
      <c r="R303" s="1">
        <f t="shared" si="54"/>
        <v>0.7905497600000001</v>
      </c>
    </row>
    <row r="304" spans="10:18" x14ac:dyDescent="0.25">
      <c r="K304" t="s">
        <v>23</v>
      </c>
      <c r="L304">
        <v>0.84</v>
      </c>
      <c r="N304" s="2">
        <f>92+5</f>
        <v>97</v>
      </c>
      <c r="O304">
        <v>10</v>
      </c>
      <c r="P304">
        <f t="shared" si="55"/>
        <v>0.61699999999999999</v>
      </c>
      <c r="Q304" s="4">
        <f t="shared" si="53"/>
        <v>81.48</v>
      </c>
      <c r="R304" s="1">
        <f t="shared" si="54"/>
        <v>0.50273160000000006</v>
      </c>
    </row>
    <row r="305" spans="7:18" x14ac:dyDescent="0.25">
      <c r="P305" t="b">
        <f t="shared" si="55"/>
        <v>0</v>
      </c>
      <c r="Q305" s="4">
        <f t="shared" si="53"/>
        <v>0</v>
      </c>
      <c r="R305" s="1">
        <f t="shared" si="54"/>
        <v>0</v>
      </c>
    </row>
    <row r="306" spans="7:18" x14ac:dyDescent="0.25">
      <c r="J306" t="s">
        <v>82</v>
      </c>
      <c r="K306">
        <v>14</v>
      </c>
      <c r="L306">
        <f>2.9+3.5</f>
        <v>6.4</v>
      </c>
      <c r="N306" s="2">
        <v>4</v>
      </c>
      <c r="O306">
        <v>14</v>
      </c>
      <c r="P306">
        <f t="shared" si="55"/>
        <v>1.208</v>
      </c>
      <c r="Q306" s="4">
        <f t="shared" si="53"/>
        <v>25.6</v>
      </c>
      <c r="R306" s="1">
        <f t="shared" si="54"/>
        <v>0.30924800000000002</v>
      </c>
    </row>
    <row r="307" spans="7:18" x14ac:dyDescent="0.25">
      <c r="K307">
        <v>16</v>
      </c>
      <c r="L307">
        <v>14.55</v>
      </c>
      <c r="N307" s="2">
        <v>6</v>
      </c>
      <c r="O307">
        <v>16</v>
      </c>
      <c r="P307">
        <f t="shared" si="55"/>
        <v>1.5780000000000001</v>
      </c>
      <c r="Q307" s="4">
        <f t="shared" si="53"/>
        <v>87.300000000000011</v>
      </c>
      <c r="R307" s="1">
        <f t="shared" si="54"/>
        <v>1.3775940000000002</v>
      </c>
    </row>
    <row r="308" spans="7:18" x14ac:dyDescent="0.25">
      <c r="K308" t="s">
        <v>22</v>
      </c>
      <c r="L308">
        <v>1.32</v>
      </c>
      <c r="N308" s="2">
        <f>(13+9+20+9+9+12+9+16)</f>
        <v>97</v>
      </c>
      <c r="O308">
        <v>10</v>
      </c>
      <c r="P308">
        <f t="shared" si="55"/>
        <v>0.61699999999999999</v>
      </c>
      <c r="Q308" s="4">
        <f t="shared" si="53"/>
        <v>128.04</v>
      </c>
      <c r="R308" s="1">
        <f t="shared" si="54"/>
        <v>0.7900067999999999</v>
      </c>
    </row>
    <row r="309" spans="7:18" x14ac:dyDescent="0.25">
      <c r="K309" t="s">
        <v>23</v>
      </c>
      <c r="L309">
        <v>0.84</v>
      </c>
      <c r="N309" s="2">
        <v>97</v>
      </c>
      <c r="O309">
        <v>10</v>
      </c>
      <c r="P309">
        <f t="shared" si="55"/>
        <v>0.61699999999999999</v>
      </c>
      <c r="Q309" s="4">
        <f t="shared" si="53"/>
        <v>81.48</v>
      </c>
      <c r="R309" s="1">
        <f t="shared" si="54"/>
        <v>0.50273160000000006</v>
      </c>
    </row>
    <row r="310" spans="7:18" x14ac:dyDescent="0.25">
      <c r="P310" t="b">
        <f t="shared" si="55"/>
        <v>0</v>
      </c>
      <c r="Q310" s="4">
        <f t="shared" si="53"/>
        <v>0</v>
      </c>
      <c r="R310" s="1">
        <f t="shared" si="54"/>
        <v>0</v>
      </c>
    </row>
    <row r="311" spans="7:18" x14ac:dyDescent="0.25">
      <c r="J311" t="s">
        <v>94</v>
      </c>
      <c r="K311" t="s">
        <v>74</v>
      </c>
      <c r="L311">
        <v>3.15</v>
      </c>
      <c r="N311" s="2">
        <f>5.1/0.15*2</f>
        <v>68</v>
      </c>
      <c r="O311">
        <v>12</v>
      </c>
      <c r="P311">
        <f t="shared" si="55"/>
        <v>0.88800000000000001</v>
      </c>
      <c r="Q311" s="4">
        <f t="shared" si="53"/>
        <v>214.2</v>
      </c>
      <c r="R311" s="1">
        <f t="shared" si="54"/>
        <v>1.902096</v>
      </c>
    </row>
    <row r="312" spans="7:18" x14ac:dyDescent="0.25">
      <c r="K312" t="s">
        <v>65</v>
      </c>
      <c r="L312">
        <v>5.0999999999999996</v>
      </c>
      <c r="N312" s="2">
        <f>3.15/0.15*2</f>
        <v>42</v>
      </c>
      <c r="O312">
        <v>12</v>
      </c>
      <c r="P312">
        <f t="shared" si="55"/>
        <v>0.88800000000000001</v>
      </c>
      <c r="Q312" s="4">
        <f t="shared" si="53"/>
        <v>214.2</v>
      </c>
      <c r="R312" s="1">
        <f t="shared" si="54"/>
        <v>1.902096</v>
      </c>
    </row>
    <row r="313" spans="7:18" x14ac:dyDescent="0.25">
      <c r="P313" t="b">
        <f t="shared" si="55"/>
        <v>0</v>
      </c>
      <c r="Q313" s="4">
        <f t="shared" si="53"/>
        <v>0</v>
      </c>
      <c r="R313" s="1">
        <f t="shared" si="54"/>
        <v>0</v>
      </c>
    </row>
    <row r="314" spans="7:18" x14ac:dyDescent="0.25">
      <c r="J314" t="s">
        <v>95</v>
      </c>
      <c r="K314" t="s">
        <v>74</v>
      </c>
      <c r="L314">
        <v>3.5</v>
      </c>
      <c r="N314" s="2">
        <f>L315/0.15</f>
        <v>10.666666666666668</v>
      </c>
      <c r="O314">
        <v>12</v>
      </c>
      <c r="P314">
        <f t="shared" si="55"/>
        <v>0.88800000000000001</v>
      </c>
      <c r="Q314" s="4">
        <f t="shared" si="53"/>
        <v>37.333333333333336</v>
      </c>
      <c r="R314" s="1">
        <f t="shared" si="54"/>
        <v>0.33152000000000004</v>
      </c>
    </row>
    <row r="315" spans="7:18" x14ac:dyDescent="0.25">
      <c r="K315" t="s">
        <v>65</v>
      </c>
      <c r="L315">
        <v>1.6</v>
      </c>
      <c r="N315" s="2">
        <f>L314/0.15</f>
        <v>23.333333333333336</v>
      </c>
      <c r="O315">
        <v>12</v>
      </c>
      <c r="P315">
        <f t="shared" si="55"/>
        <v>0.88800000000000001</v>
      </c>
      <c r="Q315" s="4">
        <f t="shared" si="53"/>
        <v>37.333333333333336</v>
      </c>
      <c r="R315" s="1">
        <f t="shared" si="54"/>
        <v>0.33152000000000004</v>
      </c>
    </row>
    <row r="316" spans="7:18" x14ac:dyDescent="0.25">
      <c r="P316" t="b">
        <f t="shared" si="55"/>
        <v>0</v>
      </c>
      <c r="Q316" s="4">
        <f t="shared" si="53"/>
        <v>0</v>
      </c>
      <c r="R316" s="1">
        <f t="shared" si="54"/>
        <v>0</v>
      </c>
    </row>
    <row r="317" spans="7:18" x14ac:dyDescent="0.25">
      <c r="J317" t="s">
        <v>97</v>
      </c>
      <c r="K317" t="s">
        <v>74</v>
      </c>
      <c r="L317">
        <v>4</v>
      </c>
      <c r="N317" s="2">
        <f>L318/0.15</f>
        <v>8.6666666666666679</v>
      </c>
      <c r="O317">
        <v>12</v>
      </c>
      <c r="P317">
        <f t="shared" si="55"/>
        <v>0.88800000000000001</v>
      </c>
      <c r="Q317" s="4">
        <f t="shared" si="53"/>
        <v>34.666666666666671</v>
      </c>
      <c r="R317" s="1">
        <f t="shared" si="54"/>
        <v>0.30784000000000006</v>
      </c>
    </row>
    <row r="318" spans="7:18" x14ac:dyDescent="0.25">
      <c r="K318" t="s">
        <v>65</v>
      </c>
      <c r="L318">
        <v>1.3</v>
      </c>
      <c r="N318" s="2">
        <f>L317/0.15</f>
        <v>26.666666666666668</v>
      </c>
      <c r="O318">
        <v>12</v>
      </c>
      <c r="P318">
        <f t="shared" si="55"/>
        <v>0.88800000000000001</v>
      </c>
      <c r="Q318" s="4">
        <f t="shared" si="53"/>
        <v>34.666666666666671</v>
      </c>
      <c r="R318" s="1">
        <f t="shared" si="54"/>
        <v>0.30784000000000006</v>
      </c>
    </row>
    <row r="320" spans="7:18" x14ac:dyDescent="0.25">
      <c r="G320" t="s">
        <v>98</v>
      </c>
      <c r="H320" t="s">
        <v>89</v>
      </c>
      <c r="J320" t="s">
        <v>99</v>
      </c>
      <c r="K320" t="s">
        <v>26</v>
      </c>
      <c r="L320">
        <v>4.05</v>
      </c>
      <c r="N320" s="2">
        <f>8*6</f>
        <v>48</v>
      </c>
      <c r="O320">
        <v>16</v>
      </c>
      <c r="P320">
        <f t="shared" ref="P320:P336" si="56">IF(O320=8,0.395,IF(O320=10,0.617,IF(O320=12,0.888,IF(O320=14,1.208,IF(O320=16,1.578)))))</f>
        <v>1.5780000000000001</v>
      </c>
      <c r="Q320" s="4">
        <f t="shared" ref="Q320:Q322" si="57">(L320+M320)*N320</f>
        <v>194.39999999999998</v>
      </c>
      <c r="R320" s="1">
        <f t="shared" ref="R320:R324" si="58">P320*Q320/100</f>
        <v>3.0676319999999997</v>
      </c>
    </row>
    <row r="321" spans="8:18" x14ac:dyDescent="0.25">
      <c r="K321" t="s">
        <v>71</v>
      </c>
      <c r="L321">
        <f>1.2+0.9</f>
        <v>2.1</v>
      </c>
      <c r="M321">
        <v>0</v>
      </c>
      <c r="N321" s="2">
        <f>27*6</f>
        <v>162</v>
      </c>
      <c r="O321">
        <v>8</v>
      </c>
      <c r="P321">
        <f t="shared" si="56"/>
        <v>0.39500000000000002</v>
      </c>
      <c r="Q321" s="4">
        <f t="shared" si="57"/>
        <v>340.2</v>
      </c>
      <c r="R321" s="1">
        <f t="shared" si="58"/>
        <v>1.3437899999999998</v>
      </c>
    </row>
    <row r="322" spans="8:18" x14ac:dyDescent="0.25">
      <c r="J322" t="s">
        <v>90</v>
      </c>
      <c r="K322" t="s">
        <v>26</v>
      </c>
      <c r="L322">
        <v>4.05</v>
      </c>
      <c r="N322" s="2">
        <f>8*2</f>
        <v>16</v>
      </c>
      <c r="O322">
        <v>16</v>
      </c>
      <c r="P322">
        <f t="shared" si="56"/>
        <v>1.5780000000000001</v>
      </c>
      <c r="Q322" s="4">
        <f t="shared" si="57"/>
        <v>64.8</v>
      </c>
      <c r="R322" s="1">
        <f t="shared" si="58"/>
        <v>1.0225440000000001</v>
      </c>
    </row>
    <row r="323" spans="8:18" x14ac:dyDescent="0.25">
      <c r="K323" t="s">
        <v>65</v>
      </c>
      <c r="L323">
        <v>2.8</v>
      </c>
      <c r="N323" s="2">
        <f>27*3</f>
        <v>81</v>
      </c>
      <c r="O323">
        <v>8</v>
      </c>
      <c r="P323">
        <f t="shared" si="56"/>
        <v>0.39500000000000002</v>
      </c>
      <c r="Q323" s="4">
        <f>(L325+M323)*N323</f>
        <v>247.04999999999998</v>
      </c>
      <c r="R323" s="1">
        <f t="shared" si="58"/>
        <v>0.97584749999999998</v>
      </c>
    </row>
    <row r="324" spans="8:18" x14ac:dyDescent="0.25">
      <c r="J324" t="s">
        <v>73</v>
      </c>
      <c r="K324" t="s">
        <v>74</v>
      </c>
      <c r="L324">
        <v>4.05</v>
      </c>
      <c r="M324">
        <v>0</v>
      </c>
      <c r="N324" s="2">
        <v>8</v>
      </c>
      <c r="O324">
        <v>16</v>
      </c>
      <c r="P324">
        <f t="shared" si="56"/>
        <v>1.5780000000000001</v>
      </c>
      <c r="Q324" s="4">
        <f t="shared" ref="Q324:Q326" si="59">(L324+M324)*N324</f>
        <v>32.4</v>
      </c>
      <c r="R324" s="1">
        <f t="shared" si="58"/>
        <v>0.51127200000000006</v>
      </c>
    </row>
    <row r="325" spans="8:18" x14ac:dyDescent="0.25">
      <c r="K325" t="s">
        <v>65</v>
      </c>
      <c r="L325">
        <v>3.05</v>
      </c>
      <c r="M325">
        <v>0</v>
      </c>
      <c r="N325" s="2">
        <v>24</v>
      </c>
      <c r="O325">
        <v>8</v>
      </c>
      <c r="P325">
        <f t="shared" si="56"/>
        <v>0.39500000000000002</v>
      </c>
      <c r="Q325" s="4">
        <f t="shared" si="59"/>
        <v>73.199999999999989</v>
      </c>
      <c r="R325" s="5">
        <f>P325*Q325/100</f>
        <v>0.28913999999999995</v>
      </c>
    </row>
    <row r="326" spans="8:18" x14ac:dyDescent="0.25">
      <c r="P326" t="b">
        <f t="shared" si="56"/>
        <v>0</v>
      </c>
      <c r="Q326" s="4">
        <f t="shared" si="59"/>
        <v>0</v>
      </c>
      <c r="R326" s="1">
        <f t="shared" ref="R326" si="60">P326*Q326/100</f>
        <v>0</v>
      </c>
    </row>
    <row r="327" spans="8:18" x14ac:dyDescent="0.25">
      <c r="J327" t="s">
        <v>91</v>
      </c>
      <c r="P327" t="b">
        <f t="shared" si="56"/>
        <v>0</v>
      </c>
    </row>
    <row r="328" spans="8:18" x14ac:dyDescent="0.25">
      <c r="P328" t="b">
        <f t="shared" si="56"/>
        <v>0</v>
      </c>
    </row>
    <row r="329" spans="8:18" x14ac:dyDescent="0.25">
      <c r="H329" s="70" t="s">
        <v>93</v>
      </c>
      <c r="I329" s="70"/>
      <c r="J329" t="s">
        <v>77</v>
      </c>
      <c r="K329">
        <v>14</v>
      </c>
      <c r="L329">
        <f>(1.8+11.7+11.7+3+4+1.8)</f>
        <v>34</v>
      </c>
      <c r="M329">
        <v>0</v>
      </c>
      <c r="N329" s="2">
        <v>3</v>
      </c>
      <c r="O329">
        <v>14</v>
      </c>
      <c r="P329">
        <f t="shared" si="56"/>
        <v>1.208</v>
      </c>
      <c r="Q329" s="4">
        <f t="shared" ref="Q329:Q361" si="61">(L329+M329)*N329</f>
        <v>102</v>
      </c>
      <c r="R329" s="1">
        <f t="shared" ref="R329:R361" si="62">P329*Q329/100</f>
        <v>1.2321599999999999</v>
      </c>
    </row>
    <row r="330" spans="8:18" x14ac:dyDescent="0.25">
      <c r="K330" t="s">
        <v>22</v>
      </c>
      <c r="L330">
        <v>1.42</v>
      </c>
      <c r="N330" s="2">
        <f>9+9+9+9+2.5/0.15+1.85/0.15</f>
        <v>65</v>
      </c>
      <c r="O330">
        <v>10</v>
      </c>
      <c r="P330">
        <f t="shared" si="56"/>
        <v>0.61699999999999999</v>
      </c>
      <c r="Q330" s="4">
        <f t="shared" si="61"/>
        <v>92.3</v>
      </c>
      <c r="R330" s="1">
        <f t="shared" si="62"/>
        <v>0.56949099999999997</v>
      </c>
    </row>
    <row r="331" spans="8:18" x14ac:dyDescent="0.25">
      <c r="K331" t="s">
        <v>23</v>
      </c>
      <c r="L331">
        <v>0.94</v>
      </c>
      <c r="M331">
        <v>0</v>
      </c>
      <c r="N331" s="2">
        <f>9+9+9+9+2.5/0.15+1.85/0.15</f>
        <v>65</v>
      </c>
      <c r="O331">
        <v>10</v>
      </c>
      <c r="P331">
        <f t="shared" si="56"/>
        <v>0.61699999999999999</v>
      </c>
      <c r="Q331" s="4">
        <f t="shared" si="61"/>
        <v>61.099999999999994</v>
      </c>
      <c r="R331" s="1">
        <f t="shared" si="62"/>
        <v>0.37698699999999996</v>
      </c>
    </row>
    <row r="332" spans="8:18" x14ac:dyDescent="0.25">
      <c r="P332" t="b">
        <f t="shared" si="56"/>
        <v>0</v>
      </c>
      <c r="Q332" s="4">
        <f t="shared" si="61"/>
        <v>0</v>
      </c>
      <c r="R332" s="1">
        <f t="shared" si="62"/>
        <v>0</v>
      </c>
    </row>
    <row r="333" spans="8:18" x14ac:dyDescent="0.25">
      <c r="J333" t="s">
        <v>78</v>
      </c>
      <c r="K333">
        <v>14</v>
      </c>
      <c r="L333">
        <f>11.6*2</f>
        <v>23.2</v>
      </c>
      <c r="M333">
        <v>0</v>
      </c>
      <c r="N333" s="2">
        <v>3</v>
      </c>
      <c r="O333">
        <v>14</v>
      </c>
      <c r="P333">
        <f t="shared" si="56"/>
        <v>1.208</v>
      </c>
      <c r="Q333" s="4">
        <f t="shared" si="61"/>
        <v>69.599999999999994</v>
      </c>
      <c r="R333" s="1">
        <f t="shared" si="62"/>
        <v>0.84076799999999996</v>
      </c>
    </row>
    <row r="334" spans="8:18" x14ac:dyDescent="0.25">
      <c r="K334">
        <v>16</v>
      </c>
      <c r="L334">
        <f>(1.8+3+3+4+1.8)</f>
        <v>13.600000000000001</v>
      </c>
      <c r="N334" s="2">
        <v>3</v>
      </c>
      <c r="O334">
        <v>16</v>
      </c>
      <c r="P334">
        <f t="shared" si="56"/>
        <v>1.5780000000000001</v>
      </c>
      <c r="Q334" s="4">
        <f t="shared" si="61"/>
        <v>40.800000000000004</v>
      </c>
      <c r="R334" s="1">
        <f t="shared" si="62"/>
        <v>0.64382400000000006</v>
      </c>
    </row>
    <row r="335" spans="8:18" x14ac:dyDescent="0.25">
      <c r="K335" t="s">
        <v>22</v>
      </c>
      <c r="L335">
        <v>1.42</v>
      </c>
      <c r="N335" s="2">
        <f>9+9+9+9+2.5/0.15+1.85/0.15</f>
        <v>65</v>
      </c>
      <c r="O335">
        <v>10</v>
      </c>
      <c r="P335">
        <f t="shared" si="56"/>
        <v>0.61699999999999999</v>
      </c>
      <c r="Q335" s="4">
        <f t="shared" si="61"/>
        <v>92.3</v>
      </c>
      <c r="R335" s="1">
        <f t="shared" si="62"/>
        <v>0.56949099999999997</v>
      </c>
    </row>
    <row r="336" spans="8:18" x14ac:dyDescent="0.25">
      <c r="K336" t="s">
        <v>23</v>
      </c>
      <c r="L336">
        <v>0.94</v>
      </c>
      <c r="N336" s="2">
        <f>9+9+9+9+2.5/0.15+1.85/0.15</f>
        <v>65</v>
      </c>
      <c r="O336">
        <v>10</v>
      </c>
      <c r="P336">
        <f t="shared" si="56"/>
        <v>0.61699999999999999</v>
      </c>
      <c r="Q336" s="4">
        <f t="shared" si="61"/>
        <v>61.099999999999994</v>
      </c>
      <c r="R336" s="1">
        <f t="shared" si="62"/>
        <v>0.37698699999999996</v>
      </c>
    </row>
    <row r="337" spans="10:18" x14ac:dyDescent="0.25">
      <c r="Q337" s="4">
        <f t="shared" si="61"/>
        <v>0</v>
      </c>
      <c r="R337" s="1">
        <f t="shared" si="62"/>
        <v>0</v>
      </c>
    </row>
    <row r="338" spans="10:18" x14ac:dyDescent="0.25">
      <c r="J338" t="s">
        <v>79</v>
      </c>
      <c r="K338">
        <v>14</v>
      </c>
      <c r="L338">
        <f>(1.8+11.7+11.7+3+4+1.8)</f>
        <v>34</v>
      </c>
      <c r="M338">
        <v>0</v>
      </c>
      <c r="N338" s="2">
        <v>3</v>
      </c>
      <c r="O338">
        <v>14</v>
      </c>
      <c r="P338">
        <f t="shared" ref="P338:P366" si="63">IF(O338=8,0.395,IF(O338=10,0.617,IF(O338=12,0.888,IF(O338=14,1.208,IF(O338=16,1.578)))))</f>
        <v>1.208</v>
      </c>
      <c r="Q338" s="4">
        <f t="shared" si="61"/>
        <v>102</v>
      </c>
      <c r="R338" s="1">
        <f t="shared" si="62"/>
        <v>1.2321599999999999</v>
      </c>
    </row>
    <row r="339" spans="10:18" x14ac:dyDescent="0.25">
      <c r="K339" t="s">
        <v>22</v>
      </c>
      <c r="L339">
        <v>1.42</v>
      </c>
      <c r="N339" s="2">
        <f>9+9+9+9+2.5/0.15+1.85/0.15</f>
        <v>65</v>
      </c>
      <c r="O339">
        <v>10</v>
      </c>
      <c r="P339">
        <f t="shared" si="63"/>
        <v>0.61699999999999999</v>
      </c>
      <c r="Q339" s="4">
        <f t="shared" si="61"/>
        <v>92.3</v>
      </c>
      <c r="R339" s="1">
        <f t="shared" si="62"/>
        <v>0.56949099999999997</v>
      </c>
    </row>
    <row r="340" spans="10:18" x14ac:dyDescent="0.25">
      <c r="K340" t="s">
        <v>23</v>
      </c>
      <c r="L340">
        <v>0.94</v>
      </c>
      <c r="M340">
        <v>0</v>
      </c>
      <c r="N340" s="2">
        <f>9+9+9+9+2.5/0.15+1.85/0.15</f>
        <v>65</v>
      </c>
      <c r="O340">
        <v>10</v>
      </c>
      <c r="P340">
        <f t="shared" si="63"/>
        <v>0.61699999999999999</v>
      </c>
      <c r="Q340" s="4">
        <f t="shared" si="61"/>
        <v>61.099999999999994</v>
      </c>
      <c r="R340" s="1">
        <f t="shared" si="62"/>
        <v>0.37698699999999996</v>
      </c>
    </row>
    <row r="341" spans="10:18" x14ac:dyDescent="0.25">
      <c r="P341" t="b">
        <f t="shared" si="63"/>
        <v>0</v>
      </c>
      <c r="Q341" s="4">
        <f t="shared" si="61"/>
        <v>0</v>
      </c>
      <c r="R341" s="1">
        <f t="shared" si="62"/>
        <v>0</v>
      </c>
    </row>
    <row r="342" spans="10:18" x14ac:dyDescent="0.25">
      <c r="J342" t="s">
        <v>80</v>
      </c>
      <c r="K342">
        <v>12</v>
      </c>
      <c r="L342">
        <f>5+2+15+3.5</f>
        <v>25.5</v>
      </c>
      <c r="M342">
        <v>0</v>
      </c>
      <c r="N342" s="2">
        <v>3</v>
      </c>
      <c r="O342">
        <v>12</v>
      </c>
      <c r="P342">
        <f t="shared" si="63"/>
        <v>0.88800000000000001</v>
      </c>
      <c r="Q342" s="4">
        <f t="shared" si="61"/>
        <v>76.5</v>
      </c>
      <c r="R342" s="1">
        <f t="shared" si="62"/>
        <v>0.67932000000000003</v>
      </c>
    </row>
    <row r="343" spans="10:18" x14ac:dyDescent="0.25">
      <c r="K343">
        <v>14</v>
      </c>
      <c r="L343">
        <v>15.55</v>
      </c>
      <c r="N343" s="2">
        <v>3</v>
      </c>
      <c r="O343">
        <v>14</v>
      </c>
      <c r="P343">
        <f t="shared" si="63"/>
        <v>1.208</v>
      </c>
      <c r="Q343" s="4">
        <f t="shared" si="61"/>
        <v>46.650000000000006</v>
      </c>
      <c r="R343" s="1">
        <f t="shared" si="62"/>
        <v>0.56353200000000003</v>
      </c>
    </row>
    <row r="344" spans="10:18" x14ac:dyDescent="0.25">
      <c r="K344">
        <v>16</v>
      </c>
      <c r="L344">
        <v>6.45</v>
      </c>
      <c r="N344" s="2">
        <v>3</v>
      </c>
      <c r="O344">
        <v>16</v>
      </c>
      <c r="P344">
        <f t="shared" si="63"/>
        <v>1.5780000000000001</v>
      </c>
      <c r="Q344" s="4">
        <f t="shared" si="61"/>
        <v>19.350000000000001</v>
      </c>
      <c r="R344" s="1">
        <f t="shared" si="62"/>
        <v>0.30534300000000003</v>
      </c>
    </row>
    <row r="345" spans="10:18" x14ac:dyDescent="0.25">
      <c r="K345" t="s">
        <v>22</v>
      </c>
      <c r="L345">
        <v>1.32</v>
      </c>
      <c r="N345" s="2">
        <f>19+9+9+3/0.15+3.4/0.15+9+1.6/0.1</f>
        <v>104.66666666666667</v>
      </c>
      <c r="O345">
        <v>10</v>
      </c>
      <c r="P345">
        <f t="shared" si="63"/>
        <v>0.61699999999999999</v>
      </c>
      <c r="Q345" s="4">
        <f t="shared" si="61"/>
        <v>138.16000000000003</v>
      </c>
      <c r="R345" s="1">
        <f t="shared" si="62"/>
        <v>0.85244720000000018</v>
      </c>
    </row>
    <row r="346" spans="10:18" x14ac:dyDescent="0.25">
      <c r="K346" t="s">
        <v>23</v>
      </c>
      <c r="L346">
        <v>0.84</v>
      </c>
      <c r="N346" s="2">
        <f>19+9+9+3/0.15+3.4/0.15+9+1.6/0.1</f>
        <v>104.66666666666667</v>
      </c>
      <c r="O346">
        <v>10</v>
      </c>
      <c r="P346">
        <f t="shared" si="63"/>
        <v>0.61699999999999999</v>
      </c>
      <c r="Q346" s="4">
        <f t="shared" si="61"/>
        <v>87.92</v>
      </c>
      <c r="R346" s="1">
        <f t="shared" si="62"/>
        <v>0.54246640000000002</v>
      </c>
    </row>
    <row r="347" spans="10:18" x14ac:dyDescent="0.25">
      <c r="P347" t="b">
        <f t="shared" si="63"/>
        <v>0</v>
      </c>
      <c r="Q347" s="4">
        <f t="shared" si="61"/>
        <v>0</v>
      </c>
      <c r="R347" s="1">
        <f t="shared" si="62"/>
        <v>0</v>
      </c>
    </row>
    <row r="348" spans="10:18" x14ac:dyDescent="0.25">
      <c r="J348" t="s">
        <v>81</v>
      </c>
      <c r="K348">
        <v>12</v>
      </c>
      <c r="L348">
        <f>3+3+3.3+15.5</f>
        <v>24.8</v>
      </c>
      <c r="M348">
        <v>0</v>
      </c>
      <c r="N348" s="2">
        <v>3</v>
      </c>
      <c r="O348">
        <v>12</v>
      </c>
      <c r="P348">
        <f t="shared" si="63"/>
        <v>0.88800000000000001</v>
      </c>
      <c r="Q348" s="4">
        <f t="shared" si="61"/>
        <v>74.400000000000006</v>
      </c>
      <c r="R348" s="1">
        <f t="shared" si="62"/>
        <v>0.66067200000000004</v>
      </c>
    </row>
    <row r="349" spans="10:18" x14ac:dyDescent="0.25">
      <c r="K349">
        <v>14</v>
      </c>
      <c r="L349">
        <v>15.5</v>
      </c>
      <c r="N349" s="2">
        <v>3</v>
      </c>
      <c r="O349">
        <v>14</v>
      </c>
      <c r="P349">
        <f t="shared" si="63"/>
        <v>1.208</v>
      </c>
      <c r="Q349" s="4">
        <f t="shared" si="61"/>
        <v>46.5</v>
      </c>
      <c r="R349" s="1">
        <f t="shared" si="62"/>
        <v>0.56172</v>
      </c>
    </row>
    <row r="350" spans="10:18" x14ac:dyDescent="0.25">
      <c r="K350">
        <v>16</v>
      </c>
      <c r="L350">
        <v>6.5</v>
      </c>
      <c r="N350" s="2">
        <v>2</v>
      </c>
      <c r="O350">
        <v>16</v>
      </c>
      <c r="P350">
        <f t="shared" si="63"/>
        <v>1.5780000000000001</v>
      </c>
      <c r="Q350" s="4">
        <f t="shared" si="61"/>
        <v>13</v>
      </c>
      <c r="R350" s="1">
        <f t="shared" si="62"/>
        <v>0.20513999999999999</v>
      </c>
    </row>
    <row r="351" spans="10:18" x14ac:dyDescent="0.25">
      <c r="K351" t="s">
        <v>22</v>
      </c>
      <c r="L351">
        <v>1.32</v>
      </c>
      <c r="N351" s="2">
        <f>19+9+9+3/0.15+3.4/0.15+9+1.6/0.1</f>
        <v>104.66666666666667</v>
      </c>
      <c r="O351">
        <v>10</v>
      </c>
      <c r="P351">
        <f t="shared" si="63"/>
        <v>0.61699999999999999</v>
      </c>
      <c r="Q351" s="4">
        <f t="shared" si="61"/>
        <v>138.16000000000003</v>
      </c>
      <c r="R351" s="1">
        <f t="shared" si="62"/>
        <v>0.85244720000000018</v>
      </c>
    </row>
    <row r="352" spans="10:18" x14ac:dyDescent="0.25">
      <c r="K352" t="s">
        <v>23</v>
      </c>
      <c r="L352">
        <v>0.84</v>
      </c>
      <c r="N352" s="2">
        <f>19+9+9+3/0.15+3.4/0.15+9+1.6/0.1</f>
        <v>104.66666666666667</v>
      </c>
      <c r="O352">
        <v>10</v>
      </c>
      <c r="P352">
        <f t="shared" si="63"/>
        <v>0.61699999999999999</v>
      </c>
      <c r="Q352" s="4">
        <f t="shared" si="61"/>
        <v>87.92</v>
      </c>
      <c r="R352" s="1">
        <f t="shared" si="62"/>
        <v>0.54246640000000002</v>
      </c>
    </row>
    <row r="353" spans="10:21" x14ac:dyDescent="0.25">
      <c r="P353" t="b">
        <f t="shared" si="63"/>
        <v>0</v>
      </c>
      <c r="Q353" s="4">
        <f t="shared" si="61"/>
        <v>0</v>
      </c>
      <c r="R353" s="1">
        <f t="shared" si="62"/>
        <v>0</v>
      </c>
    </row>
    <row r="354" spans="10:21" x14ac:dyDescent="0.25">
      <c r="J354" t="s">
        <v>82</v>
      </c>
      <c r="K354">
        <v>12</v>
      </c>
      <c r="L354">
        <f>3+2+14.5+3</f>
        <v>22.5</v>
      </c>
      <c r="N354" s="2">
        <v>3</v>
      </c>
      <c r="O354">
        <v>12</v>
      </c>
      <c r="P354">
        <f t="shared" si="63"/>
        <v>0.88800000000000001</v>
      </c>
      <c r="Q354" s="4">
        <f t="shared" si="61"/>
        <v>67.5</v>
      </c>
      <c r="R354" s="1">
        <f t="shared" si="62"/>
        <v>0.59939999999999993</v>
      </c>
    </row>
    <row r="355" spans="10:21" x14ac:dyDescent="0.25">
      <c r="K355">
        <v>14</v>
      </c>
      <c r="L355">
        <v>14.65</v>
      </c>
      <c r="N355" s="2">
        <v>3</v>
      </c>
      <c r="O355">
        <v>14</v>
      </c>
      <c r="P355">
        <f t="shared" si="63"/>
        <v>1.208</v>
      </c>
      <c r="Q355" s="4">
        <f t="shared" si="61"/>
        <v>43.95</v>
      </c>
      <c r="R355" s="1">
        <f t="shared" si="62"/>
        <v>0.53091599999999994</v>
      </c>
    </row>
    <row r="356" spans="10:21" x14ac:dyDescent="0.25">
      <c r="K356" t="s">
        <v>22</v>
      </c>
      <c r="L356">
        <v>1.32</v>
      </c>
      <c r="N356" s="2">
        <f>19+9+9+3/0.15+3.4/0.15+9+1.6/0.1</f>
        <v>104.66666666666667</v>
      </c>
      <c r="O356">
        <v>10</v>
      </c>
      <c r="P356">
        <f t="shared" si="63"/>
        <v>0.61699999999999999</v>
      </c>
      <c r="Q356" s="4">
        <f t="shared" si="61"/>
        <v>138.16000000000003</v>
      </c>
      <c r="R356" s="1">
        <f t="shared" si="62"/>
        <v>0.85244720000000018</v>
      </c>
    </row>
    <row r="357" spans="10:21" x14ac:dyDescent="0.25">
      <c r="K357" t="s">
        <v>23</v>
      </c>
      <c r="L357">
        <v>0.84</v>
      </c>
      <c r="N357" s="2">
        <f>19+9+9+3/0.15+3.4/0.15+9+1.6/0.1</f>
        <v>104.66666666666667</v>
      </c>
      <c r="O357">
        <v>10</v>
      </c>
      <c r="P357">
        <f t="shared" si="63"/>
        <v>0.61699999999999999</v>
      </c>
      <c r="Q357" s="4">
        <f t="shared" si="61"/>
        <v>87.92</v>
      </c>
      <c r="R357" s="1">
        <f t="shared" si="62"/>
        <v>0.54246640000000002</v>
      </c>
    </row>
    <row r="358" spans="10:21" x14ac:dyDescent="0.25">
      <c r="P358" t="b">
        <f t="shared" si="63"/>
        <v>0</v>
      </c>
      <c r="Q358" s="4">
        <f t="shared" si="61"/>
        <v>0</v>
      </c>
      <c r="R358" s="1">
        <f t="shared" si="62"/>
        <v>0</v>
      </c>
    </row>
    <row r="359" spans="10:21" x14ac:dyDescent="0.25">
      <c r="J359" t="s">
        <v>103</v>
      </c>
      <c r="K359">
        <v>14</v>
      </c>
      <c r="L359">
        <v>6.22</v>
      </c>
      <c r="M359">
        <v>0.3</v>
      </c>
      <c r="N359" s="2">
        <v>4</v>
      </c>
      <c r="O359">
        <v>14</v>
      </c>
      <c r="P359">
        <f t="shared" si="63"/>
        <v>1.208</v>
      </c>
      <c r="Q359" s="4">
        <f t="shared" si="61"/>
        <v>26.08</v>
      </c>
      <c r="R359" s="1">
        <f t="shared" si="62"/>
        <v>0.3150464</v>
      </c>
    </row>
    <row r="360" spans="10:21" x14ac:dyDescent="0.25">
      <c r="K360" t="s">
        <v>22</v>
      </c>
      <c r="L360">
        <v>0.48</v>
      </c>
      <c r="N360">
        <f>L359/0.15</f>
        <v>41.466666666666669</v>
      </c>
      <c r="O360">
        <v>10</v>
      </c>
      <c r="P360">
        <f t="shared" si="63"/>
        <v>0.61699999999999999</v>
      </c>
      <c r="Q360" s="4">
        <f t="shared" si="61"/>
        <v>19.904</v>
      </c>
      <c r="R360" s="1">
        <f t="shared" si="62"/>
        <v>0.12280768</v>
      </c>
    </row>
    <row r="361" spans="10:21" x14ac:dyDescent="0.25">
      <c r="P361" t="b">
        <f t="shared" si="63"/>
        <v>0</v>
      </c>
      <c r="Q361" s="4">
        <f t="shared" si="61"/>
        <v>0</v>
      </c>
      <c r="R361" s="1">
        <f t="shared" si="62"/>
        <v>0</v>
      </c>
    </row>
    <row r="362" spans="10:21" x14ac:dyDescent="0.25">
      <c r="O362">
        <v>10</v>
      </c>
      <c r="P362">
        <f t="shared" si="63"/>
        <v>0.61699999999999999</v>
      </c>
      <c r="Q362" s="4">
        <v>12</v>
      </c>
      <c r="R362" s="5">
        <f>P362*Q362</f>
        <v>7.4039999999999999</v>
      </c>
    </row>
    <row r="363" spans="10:21" x14ac:dyDescent="0.25">
      <c r="O363">
        <v>12</v>
      </c>
      <c r="P363">
        <f t="shared" si="63"/>
        <v>0.88800000000000001</v>
      </c>
      <c r="Q363" s="4">
        <v>12</v>
      </c>
      <c r="R363" s="5">
        <f t="shared" ref="R363:R366" si="64">P363*Q363</f>
        <v>10.656000000000001</v>
      </c>
    </row>
    <row r="364" spans="10:21" x14ac:dyDescent="0.25">
      <c r="J364" s="8" t="s">
        <v>114</v>
      </c>
      <c r="K364" s="8" t="s">
        <v>115</v>
      </c>
      <c r="L364" s="8"/>
      <c r="O364">
        <v>14</v>
      </c>
      <c r="P364">
        <f t="shared" si="63"/>
        <v>1.208</v>
      </c>
      <c r="Q364" s="4">
        <v>12</v>
      </c>
      <c r="R364" s="5">
        <f t="shared" si="64"/>
        <v>14.495999999999999</v>
      </c>
      <c r="U364" t="s">
        <v>175</v>
      </c>
    </row>
    <row r="365" spans="10:21" x14ac:dyDescent="0.25">
      <c r="O365">
        <v>16</v>
      </c>
      <c r="P365">
        <f t="shared" si="63"/>
        <v>1.5780000000000001</v>
      </c>
      <c r="Q365" s="4">
        <v>12</v>
      </c>
      <c r="R365" s="5">
        <f t="shared" si="64"/>
        <v>18.936</v>
      </c>
      <c r="T365" t="s">
        <v>174</v>
      </c>
    </row>
    <row r="366" spans="10:21" x14ac:dyDescent="0.25">
      <c r="P366" t="b">
        <f t="shared" si="63"/>
        <v>0</v>
      </c>
      <c r="Q366" s="4">
        <v>16</v>
      </c>
      <c r="R366" s="5">
        <f t="shared" si="64"/>
        <v>0</v>
      </c>
    </row>
    <row r="369" spans="7:20" x14ac:dyDescent="0.25">
      <c r="T369">
        <f>SUM(R14:R360)</f>
        <v>263.14890135999991</v>
      </c>
    </row>
    <row r="370" spans="7:20" x14ac:dyDescent="0.25">
      <c r="R370" s="1" t="s">
        <v>175</v>
      </c>
    </row>
    <row r="371" spans="7:20" x14ac:dyDescent="0.25">
      <c r="R371" s="1">
        <f>SUM(R14:R361)*100</f>
        <v>26314.890135999991</v>
      </c>
      <c r="T371">
        <v>27887.5</v>
      </c>
    </row>
    <row r="383" spans="7:20" x14ac:dyDescent="0.25">
      <c r="G383" t="s">
        <v>2</v>
      </c>
    </row>
  </sheetData>
  <mergeCells count="3">
    <mergeCell ref="H232:I232"/>
    <mergeCell ref="H282:I282"/>
    <mergeCell ref="H329:I329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3C75E-DC0F-4A35-B072-C4DFD7F29904}">
  <dimension ref="C3:N109"/>
  <sheetViews>
    <sheetView topLeftCell="A25" workbookViewId="0">
      <selection activeCell="J29" sqref="J29"/>
    </sheetView>
  </sheetViews>
  <sheetFormatPr baseColWidth="10" defaultRowHeight="15" x14ac:dyDescent="0.25"/>
  <cols>
    <col min="4" max="4" width="21" customWidth="1"/>
    <col min="5" max="5" width="16.5703125" customWidth="1"/>
    <col min="6" max="6" width="15.140625" customWidth="1"/>
  </cols>
  <sheetData>
    <row r="3" spans="3:14" x14ac:dyDescent="0.25">
      <c r="G3" t="s">
        <v>41</v>
      </c>
      <c r="H3" t="s">
        <v>42</v>
      </c>
      <c r="I3" t="s">
        <v>43</v>
      </c>
      <c r="J3" t="s">
        <v>44</v>
      </c>
    </row>
    <row r="4" spans="3:14" x14ac:dyDescent="0.25">
      <c r="C4" t="s">
        <v>38</v>
      </c>
      <c r="D4" t="s">
        <v>39</v>
      </c>
      <c r="E4" t="s">
        <v>40</v>
      </c>
      <c r="G4">
        <v>13.8</v>
      </c>
      <c r="H4">
        <v>11.3</v>
      </c>
      <c r="I4">
        <v>0.15</v>
      </c>
      <c r="J4">
        <f>G4*H4*I4</f>
        <v>23.391000000000002</v>
      </c>
      <c r="M4" t="s">
        <v>45</v>
      </c>
      <c r="N4">
        <f>J5+J7+J9+J11+J13+J15</f>
        <v>38.735999999999997</v>
      </c>
    </row>
    <row r="5" spans="3:14" x14ac:dyDescent="0.25">
      <c r="E5" t="s">
        <v>4</v>
      </c>
      <c r="F5" t="s">
        <v>45</v>
      </c>
      <c r="G5">
        <v>13.8</v>
      </c>
      <c r="H5">
        <v>1.2</v>
      </c>
      <c r="I5">
        <v>0.4</v>
      </c>
      <c r="J5">
        <f t="shared" ref="J5:J16" si="0">G5*H5*I5</f>
        <v>6.6239999999999997</v>
      </c>
      <c r="M5" t="s">
        <v>231</v>
      </c>
      <c r="N5">
        <f>J22+J24+J26</f>
        <v>4.6399999999999997</v>
      </c>
    </row>
    <row r="6" spans="3:14" x14ac:dyDescent="0.25">
      <c r="F6" t="s">
        <v>21</v>
      </c>
      <c r="G6">
        <v>13.8</v>
      </c>
      <c r="H6">
        <v>0.35</v>
      </c>
      <c r="I6">
        <v>0.3</v>
      </c>
      <c r="J6">
        <f t="shared" si="0"/>
        <v>1.4490000000000001</v>
      </c>
    </row>
    <row r="7" spans="3:14" x14ac:dyDescent="0.25">
      <c r="E7" t="s">
        <v>5</v>
      </c>
      <c r="F7" t="s">
        <v>46</v>
      </c>
      <c r="G7">
        <v>13.8</v>
      </c>
      <c r="H7">
        <v>1.4</v>
      </c>
      <c r="I7">
        <v>0.4</v>
      </c>
      <c r="J7">
        <f t="shared" si="0"/>
        <v>7.7280000000000006</v>
      </c>
    </row>
    <row r="8" spans="3:14" x14ac:dyDescent="0.25">
      <c r="F8" t="s">
        <v>21</v>
      </c>
      <c r="G8">
        <v>13.8</v>
      </c>
      <c r="H8">
        <v>0.35</v>
      </c>
      <c r="I8">
        <v>0.3</v>
      </c>
      <c r="J8">
        <f t="shared" si="0"/>
        <v>1.4490000000000001</v>
      </c>
      <c r="M8" t="s">
        <v>232</v>
      </c>
      <c r="N8">
        <f>J6+J8+J10+J12+J14+J16</f>
        <v>8.2454999999999998</v>
      </c>
    </row>
    <row r="9" spans="3:14" x14ac:dyDescent="0.25">
      <c r="E9" t="s">
        <v>6</v>
      </c>
      <c r="F9" t="s">
        <v>46</v>
      </c>
      <c r="G9">
        <v>13.8</v>
      </c>
      <c r="H9">
        <v>1.2</v>
      </c>
      <c r="I9">
        <v>0.4</v>
      </c>
      <c r="J9">
        <f t="shared" si="0"/>
        <v>6.6239999999999997</v>
      </c>
    </row>
    <row r="10" spans="3:14" x14ac:dyDescent="0.25">
      <c r="F10" t="s">
        <v>47</v>
      </c>
      <c r="G10">
        <v>13.8</v>
      </c>
      <c r="H10">
        <v>0.35</v>
      </c>
      <c r="I10">
        <v>0.3</v>
      </c>
      <c r="J10">
        <f t="shared" si="0"/>
        <v>1.4490000000000001</v>
      </c>
    </row>
    <row r="11" spans="3:14" x14ac:dyDescent="0.25">
      <c r="E11" t="s">
        <v>32</v>
      </c>
      <c r="F11" t="s">
        <v>46</v>
      </c>
      <c r="G11">
        <v>1.4</v>
      </c>
      <c r="H11">
        <f>3.4+4</f>
        <v>7.4</v>
      </c>
      <c r="I11">
        <v>0.4</v>
      </c>
      <c r="J11">
        <f t="shared" si="0"/>
        <v>4.1440000000000001</v>
      </c>
    </row>
    <row r="12" spans="3:14" x14ac:dyDescent="0.25">
      <c r="F12" t="s">
        <v>21</v>
      </c>
      <c r="G12">
        <v>0.35</v>
      </c>
      <c r="H12">
        <v>11.3</v>
      </c>
      <c r="I12">
        <v>0.3</v>
      </c>
      <c r="J12">
        <f t="shared" si="0"/>
        <v>1.1864999999999999</v>
      </c>
    </row>
    <row r="13" spans="3:14" x14ac:dyDescent="0.25">
      <c r="E13" t="s">
        <v>33</v>
      </c>
      <c r="F13" t="s">
        <v>46</v>
      </c>
      <c r="G13">
        <v>1.8</v>
      </c>
      <c r="H13">
        <f>3.4+4</f>
        <v>7.4</v>
      </c>
      <c r="I13">
        <v>0.4</v>
      </c>
      <c r="J13">
        <f t="shared" si="0"/>
        <v>5.3280000000000003</v>
      </c>
    </row>
    <row r="14" spans="3:14" x14ac:dyDescent="0.25">
      <c r="F14" t="s">
        <v>21</v>
      </c>
      <c r="G14">
        <v>0.45</v>
      </c>
      <c r="H14">
        <v>11.3</v>
      </c>
      <c r="I14">
        <v>0.3</v>
      </c>
      <c r="J14">
        <f t="shared" si="0"/>
        <v>1.5255000000000003</v>
      </c>
    </row>
    <row r="15" spans="3:14" x14ac:dyDescent="0.25">
      <c r="E15" t="s">
        <v>34</v>
      </c>
      <c r="F15" t="s">
        <v>46</v>
      </c>
      <c r="G15">
        <v>2.8</v>
      </c>
      <c r="H15">
        <v>7.4</v>
      </c>
      <c r="I15">
        <v>0.4</v>
      </c>
      <c r="J15">
        <f t="shared" si="0"/>
        <v>8.2880000000000003</v>
      </c>
    </row>
    <row r="16" spans="3:14" x14ac:dyDescent="0.25">
      <c r="F16" t="s">
        <v>21</v>
      </c>
      <c r="G16">
        <v>0.35</v>
      </c>
      <c r="H16">
        <v>11.3</v>
      </c>
      <c r="I16">
        <v>0.3</v>
      </c>
      <c r="J16">
        <f t="shared" si="0"/>
        <v>1.1864999999999999</v>
      </c>
    </row>
    <row r="18" spans="4:10" x14ac:dyDescent="0.25">
      <c r="E18" t="s">
        <v>54</v>
      </c>
      <c r="J18">
        <v>10</v>
      </c>
    </row>
    <row r="19" spans="4:10" x14ac:dyDescent="0.25">
      <c r="E19" t="s">
        <v>48</v>
      </c>
      <c r="G19">
        <v>12.7</v>
      </c>
      <c r="H19">
        <v>11.4</v>
      </c>
      <c r="I19">
        <v>0.1</v>
      </c>
      <c r="J19">
        <f>+G19*H19*I19</f>
        <v>14.478000000000002</v>
      </c>
    </row>
    <row r="21" spans="4:10" x14ac:dyDescent="0.25">
      <c r="E21" t="s">
        <v>140</v>
      </c>
      <c r="F21">
        <v>7</v>
      </c>
      <c r="G21">
        <v>1</v>
      </c>
      <c r="H21">
        <v>0.36</v>
      </c>
      <c r="J21">
        <f>PRODUCT(F21:H21)</f>
        <v>2.52</v>
      </c>
    </row>
    <row r="22" spans="4:10" x14ac:dyDescent="0.25">
      <c r="E22" t="s">
        <v>185</v>
      </c>
      <c r="F22" t="s">
        <v>186</v>
      </c>
      <c r="G22">
        <v>1</v>
      </c>
      <c r="H22">
        <v>3.65</v>
      </c>
      <c r="I22">
        <v>0.4</v>
      </c>
      <c r="J22">
        <f>PRODUCT(G22:I22)</f>
        <v>1.46</v>
      </c>
    </row>
    <row r="23" spans="4:10" x14ac:dyDescent="0.25">
      <c r="F23" t="s">
        <v>187</v>
      </c>
      <c r="G23">
        <v>0.3</v>
      </c>
      <c r="H23">
        <v>3.3</v>
      </c>
      <c r="I23">
        <v>0.3</v>
      </c>
      <c r="J23">
        <f>PRODUCT(G23:I23)</f>
        <v>0.29699999999999993</v>
      </c>
    </row>
    <row r="24" spans="4:10" x14ac:dyDescent="0.25">
      <c r="E24" t="s">
        <v>189</v>
      </c>
      <c r="F24" t="s">
        <v>186</v>
      </c>
      <c r="G24">
        <v>1</v>
      </c>
      <c r="H24">
        <v>4.3</v>
      </c>
      <c r="I24">
        <v>0.4</v>
      </c>
      <c r="J24">
        <f t="shared" ref="J24:J25" si="1">PRODUCT(G24:I24)</f>
        <v>1.72</v>
      </c>
    </row>
    <row r="25" spans="4:10" x14ac:dyDescent="0.25">
      <c r="F25" t="s">
        <v>187</v>
      </c>
      <c r="G25">
        <v>0.3</v>
      </c>
      <c r="H25">
        <v>5</v>
      </c>
      <c r="I25">
        <v>0.3</v>
      </c>
      <c r="J25">
        <f t="shared" si="1"/>
        <v>0.44999999999999996</v>
      </c>
    </row>
    <row r="26" spans="4:10" x14ac:dyDescent="0.25">
      <c r="E26" t="s">
        <v>188</v>
      </c>
      <c r="F26" t="s">
        <v>186</v>
      </c>
      <c r="G26">
        <v>1</v>
      </c>
      <c r="H26">
        <v>3.65</v>
      </c>
      <c r="I26">
        <v>0.4</v>
      </c>
      <c r="J26">
        <f>PRODUCT(G26:I26)</f>
        <v>1.46</v>
      </c>
    </row>
    <row r="27" spans="4:10" x14ac:dyDescent="0.25">
      <c r="F27" t="s">
        <v>187</v>
      </c>
      <c r="G27">
        <v>0.3</v>
      </c>
      <c r="H27">
        <v>3.3</v>
      </c>
      <c r="I27">
        <v>0.3</v>
      </c>
      <c r="J27">
        <f>PRODUCT(G27:I27)</f>
        <v>0.29699999999999993</v>
      </c>
    </row>
    <row r="28" spans="4:10" x14ac:dyDescent="0.25">
      <c r="J28">
        <f>SUM(J22:J27)</f>
        <v>5.6839999999999993</v>
      </c>
    </row>
    <row r="30" spans="4:10" x14ac:dyDescent="0.25">
      <c r="D30" t="s">
        <v>131</v>
      </c>
      <c r="E30" t="s">
        <v>49</v>
      </c>
      <c r="G30">
        <v>0</v>
      </c>
      <c r="H30">
        <v>0</v>
      </c>
      <c r="I30">
        <v>0</v>
      </c>
      <c r="J30">
        <v>3</v>
      </c>
    </row>
    <row r="31" spans="4:10" x14ac:dyDescent="0.25">
      <c r="E31" t="s">
        <v>50</v>
      </c>
      <c r="F31" t="s">
        <v>51</v>
      </c>
      <c r="G31">
        <v>13</v>
      </c>
      <c r="H31">
        <v>0.2</v>
      </c>
      <c r="I31">
        <v>2.95</v>
      </c>
      <c r="J31">
        <f>G31*H31*I31</f>
        <v>7.6700000000000008</v>
      </c>
    </row>
    <row r="32" spans="4:10" x14ac:dyDescent="0.25">
      <c r="F32" t="s">
        <v>52</v>
      </c>
      <c r="G32">
        <v>13</v>
      </c>
      <c r="H32">
        <v>0.2</v>
      </c>
      <c r="I32">
        <v>2.95</v>
      </c>
      <c r="J32">
        <f>G32*H32*I32</f>
        <v>7.6700000000000008</v>
      </c>
    </row>
    <row r="33" spans="5:12" x14ac:dyDescent="0.25">
      <c r="F33" t="s">
        <v>190</v>
      </c>
      <c r="G33">
        <v>0.2</v>
      </c>
      <c r="H33">
        <v>5.0999999999999996</v>
      </c>
      <c r="I33">
        <v>3.23</v>
      </c>
      <c r="J33">
        <f>G33*H33*I33</f>
        <v>3.2946</v>
      </c>
    </row>
    <row r="34" spans="5:12" x14ac:dyDescent="0.25">
      <c r="F34" t="s">
        <v>191</v>
      </c>
      <c r="G34">
        <v>0.3</v>
      </c>
      <c r="H34">
        <v>5.6</v>
      </c>
      <c r="I34">
        <v>3.23</v>
      </c>
      <c r="J34">
        <f>G34*H34*I34</f>
        <v>5.4264000000000001</v>
      </c>
    </row>
    <row r="35" spans="5:12" x14ac:dyDescent="0.25">
      <c r="F35" t="s">
        <v>203</v>
      </c>
      <c r="G35">
        <v>3.2</v>
      </c>
      <c r="H35">
        <v>0.15</v>
      </c>
      <c r="I35">
        <v>3.23</v>
      </c>
      <c r="J35">
        <f>G35*H35*I35</f>
        <v>1.5504</v>
      </c>
    </row>
    <row r="37" spans="5:12" x14ac:dyDescent="0.25">
      <c r="E37" t="s">
        <v>121</v>
      </c>
      <c r="F37">
        <v>3</v>
      </c>
      <c r="G37">
        <v>0.4</v>
      </c>
      <c r="H37">
        <v>0.4</v>
      </c>
      <c r="I37">
        <v>3.23</v>
      </c>
      <c r="J37">
        <f>F37*G37*H37*I37</f>
        <v>1.5504000000000002</v>
      </c>
    </row>
    <row r="38" spans="5:12" x14ac:dyDescent="0.25">
      <c r="E38" t="s">
        <v>193</v>
      </c>
      <c r="F38">
        <v>7</v>
      </c>
      <c r="G38">
        <v>0.1</v>
      </c>
      <c r="H38">
        <v>0.3</v>
      </c>
      <c r="I38">
        <v>3.23</v>
      </c>
      <c r="J38">
        <f>F38*G38*H38*I38</f>
        <v>0.67830000000000001</v>
      </c>
      <c r="L38" t="s">
        <v>192</v>
      </c>
    </row>
    <row r="40" spans="5:12" x14ac:dyDescent="0.25">
      <c r="E40" t="s">
        <v>123</v>
      </c>
      <c r="F40" t="s">
        <v>194</v>
      </c>
      <c r="G40">
        <f>28*2+23*9+26*9+28*2+24*2+26*8+8*8</f>
        <v>873</v>
      </c>
      <c r="H40" s="9" t="s">
        <v>112</v>
      </c>
      <c r="I40">
        <v>8.9999999999999993E-3</v>
      </c>
      <c r="J40">
        <f>0.009*900</f>
        <v>8.1</v>
      </c>
    </row>
    <row r="41" spans="5:12" x14ac:dyDescent="0.25">
      <c r="F41" t="s">
        <v>51</v>
      </c>
      <c r="G41">
        <v>13.4</v>
      </c>
      <c r="H41">
        <v>0.3</v>
      </c>
      <c r="I41">
        <v>0.4</v>
      </c>
      <c r="J41">
        <f>G41*H41*I41</f>
        <v>1.6079999999999999</v>
      </c>
    </row>
    <row r="42" spans="5:12" x14ac:dyDescent="0.25">
      <c r="F42" t="s">
        <v>116</v>
      </c>
      <c r="G42">
        <v>13.4</v>
      </c>
      <c r="H42">
        <v>0.3</v>
      </c>
      <c r="I42">
        <v>0.4</v>
      </c>
      <c r="J42">
        <f>G42*H42*I42</f>
        <v>1.6079999999999999</v>
      </c>
    </row>
    <row r="43" spans="5:12" x14ac:dyDescent="0.25">
      <c r="F43" t="s">
        <v>52</v>
      </c>
      <c r="G43">
        <v>13.4</v>
      </c>
      <c r="H43">
        <v>0.3</v>
      </c>
      <c r="I43">
        <v>0.4</v>
      </c>
      <c r="J43">
        <f>G43*H43*I43</f>
        <v>1.6079999999999999</v>
      </c>
    </row>
    <row r="44" spans="5:12" x14ac:dyDescent="0.25">
      <c r="F44" t="s">
        <v>32</v>
      </c>
      <c r="G44">
        <v>11.3</v>
      </c>
      <c r="H44">
        <v>0.3</v>
      </c>
      <c r="I44">
        <v>0.45</v>
      </c>
      <c r="J44">
        <f t="shared" ref="J44:J50" si="2">G44*H44*I44</f>
        <v>1.5255000000000001</v>
      </c>
    </row>
    <row r="45" spans="5:12" x14ac:dyDescent="0.25">
      <c r="F45" t="s">
        <v>117</v>
      </c>
      <c r="G45">
        <v>5.4</v>
      </c>
      <c r="H45">
        <v>0.3</v>
      </c>
      <c r="I45">
        <v>0.45</v>
      </c>
      <c r="J45">
        <f t="shared" si="2"/>
        <v>0.72900000000000009</v>
      </c>
    </row>
    <row r="46" spans="5:12" x14ac:dyDescent="0.25">
      <c r="F46" t="s">
        <v>33</v>
      </c>
      <c r="G46">
        <v>11.4</v>
      </c>
      <c r="H46">
        <v>0.3</v>
      </c>
      <c r="I46">
        <v>0.45</v>
      </c>
      <c r="J46">
        <f t="shared" si="2"/>
        <v>1.5389999999999999</v>
      </c>
    </row>
    <row r="47" spans="5:12" x14ac:dyDescent="0.25">
      <c r="F47" t="s">
        <v>34</v>
      </c>
      <c r="G47">
        <v>11.4</v>
      </c>
      <c r="H47">
        <v>0.3</v>
      </c>
      <c r="I47">
        <v>0.45</v>
      </c>
      <c r="J47">
        <f t="shared" si="2"/>
        <v>1.5389999999999999</v>
      </c>
    </row>
    <row r="48" spans="5:12" x14ac:dyDescent="0.25">
      <c r="F48" t="s">
        <v>53</v>
      </c>
      <c r="G48">
        <v>11.4</v>
      </c>
      <c r="H48">
        <v>0.3</v>
      </c>
      <c r="I48">
        <v>0.35</v>
      </c>
      <c r="J48">
        <f t="shared" si="2"/>
        <v>1.1969999999999998</v>
      </c>
    </row>
    <row r="49" spans="4:10" x14ac:dyDescent="0.25">
      <c r="F49" t="s">
        <v>202</v>
      </c>
      <c r="G49">
        <v>2.7</v>
      </c>
      <c r="H49">
        <v>1.65</v>
      </c>
      <c r="I49">
        <v>0.21</v>
      </c>
      <c r="J49">
        <f t="shared" si="2"/>
        <v>0.93554999999999999</v>
      </c>
    </row>
    <row r="50" spans="4:10" x14ac:dyDescent="0.25">
      <c r="F50" t="s">
        <v>201</v>
      </c>
      <c r="G50">
        <v>1</v>
      </c>
      <c r="H50">
        <v>6.66</v>
      </c>
      <c r="I50">
        <v>0.21</v>
      </c>
      <c r="J50">
        <f t="shared" si="2"/>
        <v>1.3986000000000001</v>
      </c>
    </row>
    <row r="53" spans="4:10" x14ac:dyDescent="0.25">
      <c r="E53" t="s">
        <v>35</v>
      </c>
      <c r="F53" t="s">
        <v>195</v>
      </c>
      <c r="G53">
        <v>3.3</v>
      </c>
      <c r="H53">
        <v>0.3</v>
      </c>
      <c r="I53">
        <v>3.23</v>
      </c>
      <c r="J53">
        <f>G53*H53*I53</f>
        <v>3.1976999999999998</v>
      </c>
    </row>
    <row r="54" spans="4:10" x14ac:dyDescent="0.25">
      <c r="F54" t="s">
        <v>196</v>
      </c>
      <c r="G54">
        <v>3.3</v>
      </c>
      <c r="H54">
        <v>0.3</v>
      </c>
      <c r="I54">
        <v>3.23</v>
      </c>
      <c r="J54">
        <f>G54*H54*I54</f>
        <v>3.1976999999999998</v>
      </c>
    </row>
    <row r="55" spans="4:10" x14ac:dyDescent="0.25">
      <c r="F55" t="s">
        <v>197</v>
      </c>
      <c r="G55">
        <v>5</v>
      </c>
      <c r="H55">
        <v>0.3</v>
      </c>
      <c r="I55">
        <v>3.23</v>
      </c>
      <c r="J55">
        <f>G55*H55*I55</f>
        <v>4.8449999999999998</v>
      </c>
    </row>
    <row r="56" spans="4:10" x14ac:dyDescent="0.25">
      <c r="F56" t="s">
        <v>199</v>
      </c>
      <c r="G56">
        <v>5</v>
      </c>
      <c r="H56">
        <v>3</v>
      </c>
      <c r="I56">
        <v>0.1</v>
      </c>
      <c r="J56">
        <f>G56*H56*I56</f>
        <v>1.5</v>
      </c>
    </row>
    <row r="57" spans="4:10" x14ac:dyDescent="0.25">
      <c r="F57" t="s">
        <v>198</v>
      </c>
      <c r="G57">
        <v>5</v>
      </c>
      <c r="H57">
        <v>3</v>
      </c>
      <c r="I57">
        <v>0.4</v>
      </c>
      <c r="J57">
        <f>G57*H57*I57</f>
        <v>6</v>
      </c>
    </row>
    <row r="59" spans="4:10" x14ac:dyDescent="0.25">
      <c r="D59" t="s">
        <v>132</v>
      </c>
      <c r="E59" t="s">
        <v>91</v>
      </c>
      <c r="J59">
        <v>3</v>
      </c>
    </row>
    <row r="61" spans="4:10" x14ac:dyDescent="0.25">
      <c r="E61" t="s">
        <v>66</v>
      </c>
      <c r="G61">
        <v>3.2</v>
      </c>
      <c r="H61">
        <v>0.2</v>
      </c>
      <c r="I61">
        <v>3</v>
      </c>
      <c r="J61">
        <f>G61*H61*I61</f>
        <v>1.9200000000000004</v>
      </c>
    </row>
    <row r="62" spans="4:10" x14ac:dyDescent="0.25">
      <c r="E62" t="s">
        <v>67</v>
      </c>
      <c r="G62">
        <v>1.85</v>
      </c>
      <c r="H62">
        <v>0.2</v>
      </c>
      <c r="I62">
        <v>3</v>
      </c>
      <c r="J62">
        <f>G62*H62*I62</f>
        <v>1.1100000000000001</v>
      </c>
    </row>
    <row r="63" spans="4:10" x14ac:dyDescent="0.25">
      <c r="E63" t="s">
        <v>68</v>
      </c>
      <c r="G63">
        <v>1.85</v>
      </c>
      <c r="H63">
        <v>0.2</v>
      </c>
      <c r="I63">
        <v>3</v>
      </c>
      <c r="J63">
        <f t="shared" ref="J63:J67" si="3">G63*H63*I63</f>
        <v>1.1100000000000001</v>
      </c>
    </row>
    <row r="64" spans="4:10" x14ac:dyDescent="0.25">
      <c r="E64" t="s">
        <v>204</v>
      </c>
      <c r="F64">
        <v>7</v>
      </c>
      <c r="G64">
        <v>3.23</v>
      </c>
      <c r="H64">
        <v>0.3</v>
      </c>
      <c r="I64">
        <v>0.3</v>
      </c>
      <c r="J64">
        <f>G64*H64*I64*F64</f>
        <v>2.0348999999999995</v>
      </c>
    </row>
    <row r="65" spans="4:10" x14ac:dyDescent="0.25">
      <c r="E65" t="s">
        <v>125</v>
      </c>
      <c r="F65">
        <v>3</v>
      </c>
      <c r="G65">
        <v>3.23</v>
      </c>
      <c r="H65">
        <v>0.4</v>
      </c>
      <c r="I65">
        <v>0.4</v>
      </c>
      <c r="J65">
        <f>G65*H65*I65*3</f>
        <v>1.5504000000000002</v>
      </c>
    </row>
    <row r="67" spans="4:10" x14ac:dyDescent="0.25">
      <c r="J67">
        <f t="shared" si="3"/>
        <v>0</v>
      </c>
    </row>
    <row r="68" spans="4:10" x14ac:dyDescent="0.25">
      <c r="E68" t="s">
        <v>127</v>
      </c>
      <c r="F68" t="s">
        <v>113</v>
      </c>
      <c r="H68">
        <v>900</v>
      </c>
      <c r="I68">
        <v>8.9999999999999993E-3</v>
      </c>
      <c r="J68">
        <f>900*I68</f>
        <v>8.1</v>
      </c>
    </row>
    <row r="69" spans="4:10" x14ac:dyDescent="0.25">
      <c r="F69" t="s">
        <v>51</v>
      </c>
      <c r="G69">
        <v>13.4</v>
      </c>
      <c r="H69">
        <v>0.3</v>
      </c>
      <c r="I69">
        <v>0.4</v>
      </c>
      <c r="J69">
        <f>G69*H69*I69</f>
        <v>1.6079999999999999</v>
      </c>
    </row>
    <row r="70" spans="4:10" x14ac:dyDescent="0.25">
      <c r="F70" t="s">
        <v>116</v>
      </c>
      <c r="G70">
        <v>13.4</v>
      </c>
      <c r="H70">
        <v>0.3</v>
      </c>
      <c r="I70">
        <v>0.4</v>
      </c>
      <c r="J70">
        <f>G70*H70*I70</f>
        <v>1.6079999999999999</v>
      </c>
    </row>
    <row r="71" spans="4:10" x14ac:dyDescent="0.25">
      <c r="F71" t="s">
        <v>52</v>
      </c>
      <c r="G71">
        <v>13.4</v>
      </c>
      <c r="H71">
        <v>0.3</v>
      </c>
      <c r="I71">
        <v>0.4</v>
      </c>
      <c r="J71">
        <f>G71*H71*I71</f>
        <v>1.6079999999999999</v>
      </c>
    </row>
    <row r="72" spans="4:10" x14ac:dyDescent="0.25">
      <c r="F72" t="s">
        <v>32</v>
      </c>
      <c r="G72">
        <v>11.3</v>
      </c>
      <c r="H72">
        <v>0.3</v>
      </c>
      <c r="I72">
        <v>0.45</v>
      </c>
      <c r="J72">
        <f t="shared" ref="J72:J76" si="4">G72*H72*I72</f>
        <v>1.5255000000000001</v>
      </c>
    </row>
    <row r="73" spans="4:10" x14ac:dyDescent="0.25">
      <c r="F73" t="s">
        <v>33</v>
      </c>
      <c r="G73">
        <v>11.4</v>
      </c>
      <c r="H73">
        <v>0.3</v>
      </c>
      <c r="I73">
        <v>0.45</v>
      </c>
      <c r="J73">
        <f t="shared" si="4"/>
        <v>1.5389999999999999</v>
      </c>
    </row>
    <row r="74" spans="4:10" x14ac:dyDescent="0.25">
      <c r="F74" t="s">
        <v>34</v>
      </c>
      <c r="G74">
        <v>11.4</v>
      </c>
      <c r="H74">
        <v>0.3</v>
      </c>
      <c r="I74">
        <v>0.45</v>
      </c>
      <c r="J74">
        <f t="shared" si="4"/>
        <v>1.5389999999999999</v>
      </c>
    </row>
    <row r="75" spans="4:10" x14ac:dyDescent="0.25">
      <c r="F75" t="s">
        <v>200</v>
      </c>
      <c r="G75">
        <v>1</v>
      </c>
      <c r="H75">
        <v>12.8</v>
      </c>
      <c r="I75">
        <v>0.21</v>
      </c>
      <c r="J75">
        <f t="shared" si="4"/>
        <v>2.6880000000000002</v>
      </c>
    </row>
    <row r="76" spans="4:10" x14ac:dyDescent="0.25">
      <c r="J76">
        <f t="shared" si="4"/>
        <v>0</v>
      </c>
    </row>
    <row r="77" spans="4:10" x14ac:dyDescent="0.25">
      <c r="D77" t="s">
        <v>133</v>
      </c>
      <c r="E77" t="s">
        <v>91</v>
      </c>
      <c r="J77">
        <v>3</v>
      </c>
    </row>
    <row r="78" spans="4:10" x14ac:dyDescent="0.25">
      <c r="E78" t="s">
        <v>66</v>
      </c>
      <c r="G78">
        <v>3.2</v>
      </c>
      <c r="H78">
        <v>0.2</v>
      </c>
      <c r="I78">
        <v>3</v>
      </c>
      <c r="J78">
        <f>G78*H78*I78</f>
        <v>1.9200000000000004</v>
      </c>
    </row>
    <row r="79" spans="4:10" x14ac:dyDescent="0.25">
      <c r="E79" t="s">
        <v>67</v>
      </c>
      <c r="G79">
        <v>1.85</v>
      </c>
      <c r="H79">
        <v>0.2</v>
      </c>
      <c r="I79">
        <v>3</v>
      </c>
      <c r="J79">
        <f>G79*H79*I79</f>
        <v>1.1100000000000001</v>
      </c>
    </row>
    <row r="80" spans="4:10" x14ac:dyDescent="0.25">
      <c r="E80" t="s">
        <v>68</v>
      </c>
      <c r="G80">
        <v>1.85</v>
      </c>
      <c r="H80">
        <v>0.2</v>
      </c>
      <c r="I80">
        <v>3</v>
      </c>
      <c r="J80">
        <f t="shared" ref="J80" si="5">G80*H80*I80</f>
        <v>1.1100000000000001</v>
      </c>
    </row>
    <row r="81" spans="4:10" x14ac:dyDescent="0.25">
      <c r="E81" t="s">
        <v>205</v>
      </c>
      <c r="F81">
        <v>6</v>
      </c>
      <c r="G81">
        <v>3.23</v>
      </c>
      <c r="H81">
        <v>0.3</v>
      </c>
      <c r="I81">
        <v>0.3</v>
      </c>
      <c r="J81">
        <f>G81*H81*I81*F81</f>
        <v>1.7441999999999998</v>
      </c>
    </row>
    <row r="82" spans="4:10" x14ac:dyDescent="0.25">
      <c r="E82" t="s">
        <v>206</v>
      </c>
      <c r="F82">
        <v>3</v>
      </c>
      <c r="G82">
        <v>3.23</v>
      </c>
      <c r="H82">
        <v>0.4</v>
      </c>
      <c r="I82">
        <v>0.4</v>
      </c>
      <c r="J82">
        <f>G82*H82*I82*3</f>
        <v>1.5504000000000002</v>
      </c>
    </row>
    <row r="83" spans="4:10" x14ac:dyDescent="0.25">
      <c r="J83">
        <f t="shared" ref="J83" si="6">G83*H83*I83</f>
        <v>0</v>
      </c>
    </row>
    <row r="84" spans="4:10" x14ac:dyDescent="0.25">
      <c r="E84" t="s">
        <v>136</v>
      </c>
      <c r="F84" t="s">
        <v>113</v>
      </c>
      <c r="G84">
        <v>900</v>
      </c>
      <c r="I84">
        <v>8.9999999999999993E-3</v>
      </c>
      <c r="J84">
        <f>900*I84</f>
        <v>8.1</v>
      </c>
    </row>
    <row r="85" spans="4:10" x14ac:dyDescent="0.25">
      <c r="F85" t="s">
        <v>51</v>
      </c>
      <c r="G85">
        <v>13.4</v>
      </c>
      <c r="H85">
        <v>0.3</v>
      </c>
      <c r="I85">
        <v>0.4</v>
      </c>
      <c r="J85">
        <f>G85*H85*I85</f>
        <v>1.6079999999999999</v>
      </c>
    </row>
    <row r="86" spans="4:10" x14ac:dyDescent="0.25">
      <c r="F86" t="s">
        <v>116</v>
      </c>
      <c r="G86">
        <v>13.4</v>
      </c>
      <c r="H86">
        <v>0.3</v>
      </c>
      <c r="I86">
        <v>0.4</v>
      </c>
      <c r="J86">
        <f>G86*H86*I86</f>
        <v>1.6079999999999999</v>
      </c>
    </row>
    <row r="87" spans="4:10" x14ac:dyDescent="0.25">
      <c r="F87" t="s">
        <v>52</v>
      </c>
      <c r="G87">
        <v>13.4</v>
      </c>
      <c r="H87">
        <v>0.3</v>
      </c>
      <c r="I87">
        <v>0.4</v>
      </c>
      <c r="J87">
        <f>G87*H87*I87</f>
        <v>1.6079999999999999</v>
      </c>
    </row>
    <row r="88" spans="4:10" x14ac:dyDescent="0.25">
      <c r="F88" t="s">
        <v>32</v>
      </c>
      <c r="G88">
        <v>11.3</v>
      </c>
      <c r="H88">
        <v>0.3</v>
      </c>
      <c r="I88">
        <v>0.45</v>
      </c>
      <c r="J88">
        <f t="shared" ref="J88:J91" si="7">G88*H88*I88</f>
        <v>1.5255000000000001</v>
      </c>
    </row>
    <row r="89" spans="4:10" x14ac:dyDescent="0.25">
      <c r="F89" t="s">
        <v>33</v>
      </c>
      <c r="G89">
        <v>11.4</v>
      </c>
      <c r="H89">
        <v>0.3</v>
      </c>
      <c r="I89">
        <v>0.45</v>
      </c>
      <c r="J89">
        <f t="shared" si="7"/>
        <v>1.5389999999999999</v>
      </c>
    </row>
    <row r="90" spans="4:10" x14ac:dyDescent="0.25">
      <c r="F90" t="s">
        <v>34</v>
      </c>
      <c r="G90">
        <v>11.4</v>
      </c>
      <c r="H90">
        <v>0.3</v>
      </c>
      <c r="I90">
        <v>0.45</v>
      </c>
      <c r="J90">
        <f t="shared" si="7"/>
        <v>1.5389999999999999</v>
      </c>
    </row>
    <row r="91" spans="4:10" x14ac:dyDescent="0.25">
      <c r="F91" t="s">
        <v>200</v>
      </c>
      <c r="G91">
        <v>1</v>
      </c>
      <c r="H91">
        <v>12.8</v>
      </c>
      <c r="I91">
        <v>0.21</v>
      </c>
      <c r="J91">
        <f t="shared" si="7"/>
        <v>2.6880000000000002</v>
      </c>
    </row>
    <row r="93" spans="4:10" x14ac:dyDescent="0.25">
      <c r="D93" t="s">
        <v>139</v>
      </c>
      <c r="E93" t="s">
        <v>207</v>
      </c>
      <c r="F93">
        <v>4</v>
      </c>
      <c r="G93">
        <v>3.23</v>
      </c>
      <c r="H93">
        <v>0.3</v>
      </c>
      <c r="I93">
        <v>0.3</v>
      </c>
      <c r="J93">
        <f>G93*H93*I93*F93</f>
        <v>1.1627999999999998</v>
      </c>
    </row>
    <row r="94" spans="4:10" x14ac:dyDescent="0.25">
      <c r="E94" t="s">
        <v>125</v>
      </c>
      <c r="F94">
        <v>3</v>
      </c>
      <c r="G94">
        <v>3.23</v>
      </c>
      <c r="H94">
        <v>0.4</v>
      </c>
      <c r="I94">
        <v>0.4</v>
      </c>
      <c r="J94">
        <f>G94*H94*I94*3</f>
        <v>1.5504000000000002</v>
      </c>
    </row>
    <row r="95" spans="4:10" x14ac:dyDescent="0.25">
      <c r="J95">
        <f t="shared" ref="J95" si="8">G95*H95*I95</f>
        <v>0</v>
      </c>
    </row>
    <row r="96" spans="4:10" x14ac:dyDescent="0.25">
      <c r="E96" t="s">
        <v>138</v>
      </c>
      <c r="F96" t="s">
        <v>113</v>
      </c>
      <c r="G96">
        <v>900</v>
      </c>
      <c r="I96">
        <v>8.9999999999999993E-3</v>
      </c>
      <c r="J96">
        <f>900*I96</f>
        <v>8.1</v>
      </c>
    </row>
    <row r="97" spans="4:10" x14ac:dyDescent="0.25">
      <c r="F97" t="s">
        <v>51</v>
      </c>
      <c r="G97">
        <v>13.4</v>
      </c>
      <c r="H97">
        <v>0.3</v>
      </c>
      <c r="I97">
        <v>0.4</v>
      </c>
      <c r="J97">
        <f>G97*H97*I97</f>
        <v>1.6079999999999999</v>
      </c>
    </row>
    <row r="98" spans="4:10" x14ac:dyDescent="0.25">
      <c r="F98" t="s">
        <v>116</v>
      </c>
      <c r="G98">
        <v>13.4</v>
      </c>
      <c r="H98">
        <v>0.3</v>
      </c>
      <c r="I98">
        <v>0.4</v>
      </c>
      <c r="J98">
        <f>G98*H98*I98</f>
        <v>1.6079999999999999</v>
      </c>
    </row>
    <row r="99" spans="4:10" x14ac:dyDescent="0.25">
      <c r="F99" t="s">
        <v>52</v>
      </c>
      <c r="G99">
        <v>13.4</v>
      </c>
      <c r="H99">
        <v>0.3</v>
      </c>
      <c r="I99">
        <v>0.4</v>
      </c>
      <c r="J99">
        <f>G99*H99*I99</f>
        <v>1.6079999999999999</v>
      </c>
    </row>
    <row r="100" spans="4:10" x14ac:dyDescent="0.25">
      <c r="F100" t="s">
        <v>32</v>
      </c>
      <c r="G100">
        <v>11.3</v>
      </c>
      <c r="H100">
        <v>0.3</v>
      </c>
      <c r="I100">
        <v>0.45</v>
      </c>
      <c r="J100">
        <f t="shared" ref="J100:J102" si="9">G100*H100*I100</f>
        <v>1.5255000000000001</v>
      </c>
    </row>
    <row r="101" spans="4:10" x14ac:dyDescent="0.25">
      <c r="F101" t="s">
        <v>33</v>
      </c>
      <c r="G101">
        <v>11.4</v>
      </c>
      <c r="H101">
        <v>0.3</v>
      </c>
      <c r="I101">
        <v>0.45</v>
      </c>
      <c r="J101">
        <f t="shared" si="9"/>
        <v>1.5389999999999999</v>
      </c>
    </row>
    <row r="102" spans="4:10" x14ac:dyDescent="0.25">
      <c r="F102" t="s">
        <v>34</v>
      </c>
      <c r="G102">
        <v>11.4</v>
      </c>
      <c r="H102">
        <v>0.3</v>
      </c>
      <c r="I102">
        <v>0.45</v>
      </c>
      <c r="J102">
        <f t="shared" si="9"/>
        <v>1.5389999999999999</v>
      </c>
    </row>
    <row r="104" spans="4:10" x14ac:dyDescent="0.25">
      <c r="E104" t="s">
        <v>103</v>
      </c>
      <c r="F104">
        <v>11</v>
      </c>
      <c r="G104">
        <v>6.1</v>
      </c>
      <c r="H104">
        <v>0.2</v>
      </c>
      <c r="I104">
        <v>0.2</v>
      </c>
      <c r="J104">
        <f>PRODUCT(F104:I104)</f>
        <v>2.6840000000000002</v>
      </c>
    </row>
    <row r="106" spans="4:10" x14ac:dyDescent="0.25">
      <c r="J106">
        <v>3</v>
      </c>
    </row>
    <row r="108" spans="4:10" x14ac:dyDescent="0.25">
      <c r="J108">
        <f>SUM(J4:J106)</f>
        <v>267.62224999999995</v>
      </c>
    </row>
    <row r="109" spans="4:10" x14ac:dyDescent="0.25">
      <c r="D109" t="s">
        <v>141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1940C-4505-41D8-BACE-0B840C1AB64C}">
  <dimension ref="A1:AC174"/>
  <sheetViews>
    <sheetView topLeftCell="A10" zoomScale="85" zoomScaleNormal="85" workbookViewId="0">
      <selection activeCell="F18" sqref="F18"/>
    </sheetView>
  </sheetViews>
  <sheetFormatPr baseColWidth="10" defaultRowHeight="15" x14ac:dyDescent="0.25"/>
  <cols>
    <col min="1" max="1" width="8" customWidth="1"/>
    <col min="2" max="2" width="32.5703125" customWidth="1"/>
    <col min="3" max="3" width="5.7109375" customWidth="1"/>
    <col min="4" max="4" width="13.140625" bestFit="1" customWidth="1"/>
    <col min="5" max="5" width="12.5703125" customWidth="1"/>
    <col min="6" max="6" width="17.5703125" customWidth="1"/>
    <col min="9" max="9" width="12.7109375" customWidth="1"/>
    <col min="13" max="13" width="16.5703125" customWidth="1"/>
    <col min="16" max="16" width="18.140625" customWidth="1"/>
    <col min="17" max="17" width="24.7109375" customWidth="1"/>
    <col min="18" max="18" width="26.5703125" customWidth="1"/>
  </cols>
  <sheetData>
    <row r="1" spans="1:29" ht="15.75" x14ac:dyDescent="0.25">
      <c r="A1" s="59"/>
      <c r="B1" s="79" t="s">
        <v>306</v>
      </c>
      <c r="C1" s="79"/>
      <c r="D1" s="79"/>
      <c r="E1" s="79"/>
      <c r="F1" s="79"/>
      <c r="G1" s="59"/>
    </row>
    <row r="2" spans="1:29" ht="15.75" x14ac:dyDescent="0.25">
      <c r="A2" s="59"/>
      <c r="B2" s="59"/>
      <c r="C2" s="59"/>
      <c r="D2" s="59"/>
      <c r="E2" s="59"/>
      <c r="F2" s="59"/>
      <c r="G2" s="59"/>
    </row>
    <row r="3" spans="1:29" ht="23.25" customHeight="1" x14ac:dyDescent="0.25">
      <c r="A3" s="60" t="s">
        <v>208</v>
      </c>
      <c r="B3" s="60" t="s">
        <v>209</v>
      </c>
      <c r="C3" s="60" t="s">
        <v>210</v>
      </c>
      <c r="D3" s="60" t="s">
        <v>211</v>
      </c>
      <c r="E3" s="60" t="s">
        <v>212</v>
      </c>
      <c r="F3" s="60" t="s">
        <v>213</v>
      </c>
      <c r="G3" s="60" t="s">
        <v>217</v>
      </c>
      <c r="R3" t="s">
        <v>242</v>
      </c>
      <c r="S3" t="s">
        <v>243</v>
      </c>
    </row>
    <row r="4" spans="1:29" ht="23.25" customHeight="1" x14ac:dyDescent="0.25">
      <c r="A4" s="61">
        <v>1</v>
      </c>
      <c r="B4" s="61" t="s">
        <v>214</v>
      </c>
      <c r="C4" s="61" t="s">
        <v>178</v>
      </c>
      <c r="D4" s="61">
        <v>14</v>
      </c>
      <c r="E4" s="62">
        <v>6500</v>
      </c>
      <c r="F4" s="63">
        <f>D4*E4</f>
        <v>91000</v>
      </c>
      <c r="G4" s="61"/>
      <c r="Q4" s="28" t="s">
        <v>240</v>
      </c>
      <c r="R4" s="29">
        <v>114.2</v>
      </c>
      <c r="S4" s="29">
        <v>0.1</v>
      </c>
      <c r="T4" s="30">
        <f>R4*S4</f>
        <v>11.420000000000002</v>
      </c>
    </row>
    <row r="5" spans="1:29" ht="23.25" customHeight="1" x14ac:dyDescent="0.25">
      <c r="A5" s="61">
        <v>2</v>
      </c>
      <c r="B5" s="61" t="s">
        <v>293</v>
      </c>
      <c r="C5" s="61" t="s">
        <v>178</v>
      </c>
      <c r="D5" s="61">
        <f>38.736-10</f>
        <v>28.735999999999997</v>
      </c>
      <c r="E5" s="62">
        <v>39000</v>
      </c>
      <c r="F5" s="63">
        <f t="shared" ref="F5:F17" si="0">D5*E5</f>
        <v>1120704</v>
      </c>
      <c r="G5" s="61"/>
    </row>
    <row r="6" spans="1:29" ht="23.25" customHeight="1" x14ac:dyDescent="0.25">
      <c r="A6" s="61">
        <v>3</v>
      </c>
      <c r="B6" s="64" t="s">
        <v>294</v>
      </c>
      <c r="C6" s="61" t="s">
        <v>178</v>
      </c>
      <c r="D6" s="61">
        <f>9.094+O8</f>
        <v>28.0717</v>
      </c>
      <c r="E6" s="62">
        <v>39000</v>
      </c>
      <c r="F6" s="63">
        <f t="shared" si="0"/>
        <v>1094796.3</v>
      </c>
      <c r="G6" s="61"/>
      <c r="N6" s="17">
        <f>0.35*0.4*13.1*3</f>
        <v>5.5019999999999998</v>
      </c>
      <c r="O6" s="78">
        <f>N6+N7</f>
        <v>10.8444</v>
      </c>
      <c r="P6" s="82" t="s">
        <v>289</v>
      </c>
      <c r="Z6">
        <f>140*0.1</f>
        <v>14</v>
      </c>
    </row>
    <row r="7" spans="1:29" ht="34.5" customHeight="1" x14ac:dyDescent="0.25">
      <c r="A7" s="61">
        <v>4</v>
      </c>
      <c r="B7" s="64" t="s">
        <v>295</v>
      </c>
      <c r="C7" s="61" t="s">
        <v>178</v>
      </c>
      <c r="D7" s="61">
        <v>19.5</v>
      </c>
      <c r="E7" s="62">
        <v>40000</v>
      </c>
      <c r="F7" s="63">
        <f t="shared" si="0"/>
        <v>780000</v>
      </c>
      <c r="G7" s="61"/>
      <c r="N7" s="17">
        <f>0.4*0.4*11.13*3</f>
        <v>5.3424000000000014</v>
      </c>
      <c r="O7" s="78"/>
      <c r="P7" s="82"/>
    </row>
    <row r="8" spans="1:29" ht="33" customHeight="1" x14ac:dyDescent="0.25">
      <c r="A8" s="61">
        <v>5</v>
      </c>
      <c r="B8" s="64" t="s">
        <v>296</v>
      </c>
      <c r="C8" s="61" t="s">
        <v>178</v>
      </c>
      <c r="D8" s="61">
        <v>11.72</v>
      </c>
      <c r="E8" s="62">
        <v>40000</v>
      </c>
      <c r="F8" s="63">
        <f t="shared" si="0"/>
        <v>468800</v>
      </c>
      <c r="G8" s="61"/>
      <c r="I8" t="s">
        <v>239</v>
      </c>
      <c r="N8">
        <f>0.4*0.7*11.13*3</f>
        <v>9.3491999999999997</v>
      </c>
      <c r="O8" s="78">
        <f>SUM(N8:N9)</f>
        <v>18.977699999999999</v>
      </c>
      <c r="P8" s="82" t="s">
        <v>290</v>
      </c>
      <c r="T8" t="s">
        <v>235</v>
      </c>
      <c r="AB8" t="s">
        <v>233</v>
      </c>
      <c r="AC8">
        <v>8.23</v>
      </c>
    </row>
    <row r="9" spans="1:29" ht="23.25" customHeight="1" x14ac:dyDescent="0.25">
      <c r="A9" s="61">
        <v>6</v>
      </c>
      <c r="B9" s="61" t="s">
        <v>215</v>
      </c>
      <c r="C9" s="61" t="s">
        <v>178</v>
      </c>
      <c r="D9" s="61">
        <v>11.42</v>
      </c>
      <c r="E9" s="62">
        <v>2000</v>
      </c>
      <c r="F9" s="63">
        <f t="shared" si="0"/>
        <v>22840</v>
      </c>
      <c r="G9" s="61"/>
      <c r="N9">
        <f>0.35*0.7*13.1*3</f>
        <v>9.6284999999999989</v>
      </c>
      <c r="O9" s="78"/>
      <c r="P9" s="82"/>
      <c r="S9" s="20">
        <v>10.1</v>
      </c>
      <c r="T9" s="21">
        <v>0.2</v>
      </c>
      <c r="U9" s="21">
        <v>2.83</v>
      </c>
      <c r="V9" s="22">
        <f>S9*T9*U9</f>
        <v>5.7166000000000006</v>
      </c>
    </row>
    <row r="10" spans="1:29" ht="32.25" customHeight="1" x14ac:dyDescent="0.25">
      <c r="A10" s="61">
        <v>7</v>
      </c>
      <c r="B10" s="61" t="s">
        <v>297</v>
      </c>
      <c r="C10" s="61" t="s">
        <v>178</v>
      </c>
      <c r="D10" s="61">
        <v>11.8</v>
      </c>
      <c r="E10" s="62">
        <v>40500</v>
      </c>
      <c r="F10" s="63">
        <f t="shared" si="0"/>
        <v>477900</v>
      </c>
      <c r="G10" s="67"/>
      <c r="O10" s="53"/>
      <c r="S10" s="23">
        <v>8.9</v>
      </c>
      <c r="T10" s="19">
        <v>0.2</v>
      </c>
      <c r="U10" s="19">
        <v>2.83</v>
      </c>
      <c r="V10" s="24">
        <f>S10*T10*U10</f>
        <v>5.0374000000000008</v>
      </c>
    </row>
    <row r="11" spans="1:29" ht="23.25" customHeight="1" x14ac:dyDescent="0.25">
      <c r="A11" s="61">
        <v>8</v>
      </c>
      <c r="B11" s="61" t="s">
        <v>298</v>
      </c>
      <c r="C11" s="61" t="s">
        <v>178</v>
      </c>
      <c r="D11" s="61">
        <v>37.9026</v>
      </c>
      <c r="E11" s="62">
        <v>40500</v>
      </c>
      <c r="F11" s="63">
        <f t="shared" si="0"/>
        <v>1535055.3</v>
      </c>
      <c r="G11" s="61"/>
      <c r="S11" s="23">
        <v>0.2</v>
      </c>
      <c r="T11" s="19">
        <v>5.0999999999999996</v>
      </c>
      <c r="U11" s="19">
        <v>3.23</v>
      </c>
      <c r="V11" s="24">
        <f>S11*T11*U11</f>
        <v>3.2946</v>
      </c>
    </row>
    <row r="12" spans="1:29" ht="23.25" customHeight="1" x14ac:dyDescent="0.25">
      <c r="A12" s="61">
        <v>9</v>
      </c>
      <c r="B12" s="61" t="s">
        <v>299</v>
      </c>
      <c r="C12" s="61" t="s">
        <v>178</v>
      </c>
      <c r="D12" s="61">
        <v>2.6</v>
      </c>
      <c r="E12" s="62">
        <v>41000</v>
      </c>
      <c r="F12" s="63">
        <f t="shared" si="0"/>
        <v>106600</v>
      </c>
      <c r="G12" s="61"/>
      <c r="S12" s="25">
        <v>0.3</v>
      </c>
      <c r="T12" s="26">
        <v>5.6</v>
      </c>
      <c r="U12" s="26">
        <v>3.23</v>
      </c>
      <c r="V12" s="27">
        <f>S12*T12*U12</f>
        <v>5.4264000000000001</v>
      </c>
      <c r="Y12" t="s">
        <v>190</v>
      </c>
      <c r="Z12">
        <v>0.2</v>
      </c>
      <c r="AA12">
        <v>5.0999999999999996</v>
      </c>
      <c r="AB12">
        <v>0.3</v>
      </c>
      <c r="AC12">
        <f>Z12*AA12*AB12</f>
        <v>0.30599999999999999</v>
      </c>
    </row>
    <row r="13" spans="1:29" ht="23.25" customHeight="1" x14ac:dyDescent="0.25">
      <c r="A13" s="61">
        <v>10</v>
      </c>
      <c r="B13" s="61" t="s">
        <v>300</v>
      </c>
      <c r="C13" s="61" t="s">
        <v>221</v>
      </c>
      <c r="D13" s="61">
        <v>109.11</v>
      </c>
      <c r="E13" s="62">
        <v>3000</v>
      </c>
      <c r="F13" s="63">
        <f t="shared" si="0"/>
        <v>327330</v>
      </c>
      <c r="G13" s="61"/>
      <c r="M13" s="4">
        <f>F18*1.05</f>
        <v>8389180.3800000008</v>
      </c>
      <c r="V13" s="32">
        <f>SUM(V9:V12)</f>
        <v>19.475000000000001</v>
      </c>
      <c r="Y13" t="s">
        <v>191</v>
      </c>
      <c r="Z13">
        <v>0.3</v>
      </c>
      <c r="AA13">
        <v>5.6</v>
      </c>
      <c r="AB13">
        <v>0.3</v>
      </c>
      <c r="AC13">
        <f>Z13*AA13*AB13</f>
        <v>0.504</v>
      </c>
    </row>
    <row r="14" spans="1:29" ht="37.5" customHeight="1" x14ac:dyDescent="0.25">
      <c r="A14" s="61">
        <v>11</v>
      </c>
      <c r="B14" s="64" t="s">
        <v>301</v>
      </c>
      <c r="C14" s="61" t="s">
        <v>178</v>
      </c>
      <c r="D14" s="61">
        <v>12.27</v>
      </c>
      <c r="E14" s="62">
        <v>41000</v>
      </c>
      <c r="F14" s="63">
        <f t="shared" si="0"/>
        <v>503070</v>
      </c>
      <c r="G14" s="61"/>
    </row>
    <row r="15" spans="1:29" ht="23.25" customHeight="1" x14ac:dyDescent="0.25">
      <c r="A15" s="61">
        <v>12</v>
      </c>
      <c r="B15" s="61" t="s">
        <v>222</v>
      </c>
      <c r="C15" s="61" t="s">
        <v>221</v>
      </c>
      <c r="D15" s="61">
        <v>116</v>
      </c>
      <c r="E15" s="62">
        <v>2100</v>
      </c>
      <c r="F15" s="63">
        <f t="shared" si="0"/>
        <v>243600</v>
      </c>
      <c r="G15" s="61"/>
      <c r="R15" t="s">
        <v>88</v>
      </c>
      <c r="X15" t="s">
        <v>234</v>
      </c>
      <c r="Y15">
        <v>6</v>
      </c>
      <c r="Z15">
        <v>0.3</v>
      </c>
      <c r="AA15">
        <v>0.1</v>
      </c>
      <c r="AB15">
        <v>0.3</v>
      </c>
      <c r="AC15">
        <f>PRODUCT(Y15:AB15)</f>
        <v>5.3999999999999999E-2</v>
      </c>
    </row>
    <row r="16" spans="1:29" ht="32.25" customHeight="1" x14ac:dyDescent="0.25">
      <c r="A16" s="61">
        <v>13</v>
      </c>
      <c r="B16" s="64" t="s">
        <v>302</v>
      </c>
      <c r="C16" s="61" t="s">
        <v>178</v>
      </c>
      <c r="D16" s="61">
        <v>7</v>
      </c>
      <c r="E16" s="62">
        <v>39000</v>
      </c>
      <c r="F16" s="63">
        <f t="shared" si="0"/>
        <v>273000</v>
      </c>
      <c r="G16" s="61"/>
    </row>
    <row r="17" spans="1:29" ht="23.25" customHeight="1" x14ac:dyDescent="0.25">
      <c r="A17" s="61">
        <v>14</v>
      </c>
      <c r="B17" s="61" t="s">
        <v>303</v>
      </c>
      <c r="C17" s="61" t="s">
        <v>178</v>
      </c>
      <c r="D17" s="61">
        <v>27</v>
      </c>
      <c r="E17" s="62">
        <v>35000</v>
      </c>
      <c r="F17" s="63">
        <f t="shared" si="0"/>
        <v>945000</v>
      </c>
      <c r="G17" s="61"/>
      <c r="I17" t="s">
        <v>257</v>
      </c>
      <c r="Q17" s="20" t="s">
        <v>236</v>
      </c>
      <c r="R17" s="21">
        <v>3.2</v>
      </c>
      <c r="S17" s="21">
        <v>0.2</v>
      </c>
      <c r="T17" s="21">
        <v>2.83</v>
      </c>
      <c r="U17" s="21">
        <f>R17*S17*T17</f>
        <v>1.8112000000000004</v>
      </c>
      <c r="V17" s="22"/>
    </row>
    <row r="18" spans="1:29" ht="23.25" customHeight="1" x14ac:dyDescent="0.25">
      <c r="A18" s="65"/>
      <c r="B18" s="65"/>
      <c r="C18" s="65"/>
      <c r="D18" s="65"/>
      <c r="E18" s="60" t="s">
        <v>304</v>
      </c>
      <c r="F18" s="68">
        <f>SUM(F4:F17)</f>
        <v>7989695.5999999996</v>
      </c>
      <c r="G18" s="65"/>
      <c r="Q18" s="23" t="s">
        <v>237</v>
      </c>
      <c r="R18" s="19">
        <v>1.85</v>
      </c>
      <c r="S18" s="19">
        <v>0.2</v>
      </c>
      <c r="T18" s="19">
        <v>2.83</v>
      </c>
      <c r="U18" s="19">
        <f>R18*S18*T18</f>
        <v>1.0471000000000001</v>
      </c>
      <c r="V18" s="24"/>
    </row>
    <row r="19" spans="1:29" ht="15.75" x14ac:dyDescent="0.25">
      <c r="A19" s="65"/>
      <c r="B19" s="65"/>
      <c r="C19" s="65"/>
      <c r="D19" s="65"/>
      <c r="E19" s="65"/>
      <c r="F19" s="66"/>
      <c r="G19" s="65"/>
      <c r="Q19" s="23"/>
      <c r="R19" s="19"/>
      <c r="S19" s="19"/>
      <c r="T19" s="19"/>
      <c r="U19" s="19"/>
      <c r="V19" s="24"/>
    </row>
    <row r="20" spans="1:29" x14ac:dyDescent="0.25">
      <c r="A20" s="19"/>
      <c r="B20" s="19"/>
      <c r="C20" s="19"/>
      <c r="D20" s="19"/>
      <c r="E20" s="19"/>
      <c r="F20" s="38"/>
      <c r="G20" s="19"/>
      <c r="Q20" s="23"/>
      <c r="R20" s="19"/>
      <c r="S20" s="19"/>
      <c r="T20" s="19"/>
      <c r="U20" s="19"/>
      <c r="V20" s="24"/>
    </row>
    <row r="21" spans="1:29" x14ac:dyDescent="0.25">
      <c r="A21" s="19"/>
      <c r="B21" s="19"/>
      <c r="C21" s="19"/>
      <c r="D21" s="19"/>
      <c r="E21" s="19"/>
      <c r="F21" s="38"/>
      <c r="G21" s="19"/>
      <c r="Q21" s="23"/>
      <c r="R21" s="19"/>
      <c r="S21" s="19"/>
      <c r="T21" s="19"/>
      <c r="U21" s="19"/>
      <c r="V21" s="24"/>
    </row>
    <row r="22" spans="1:29" x14ac:dyDescent="0.25">
      <c r="G22" t="s">
        <v>230</v>
      </c>
      <c r="Q22" s="23" t="s">
        <v>238</v>
      </c>
      <c r="R22" s="19">
        <v>1.85</v>
      </c>
      <c r="S22" s="19">
        <v>0.2</v>
      </c>
      <c r="T22" s="19">
        <v>2.83</v>
      </c>
      <c r="U22" s="19">
        <f t="shared" ref="U22" si="1">R22*S22*T22</f>
        <v>1.0471000000000001</v>
      </c>
      <c r="V22" s="24"/>
      <c r="AC22">
        <f>SUM(AC8:AC15)</f>
        <v>9.0939999999999994</v>
      </c>
    </row>
    <row r="23" spans="1:29" x14ac:dyDescent="0.25">
      <c r="A23" t="s">
        <v>224</v>
      </c>
      <c r="B23" s="54" t="s">
        <v>225</v>
      </c>
      <c r="C23" s="54" t="s">
        <v>227</v>
      </c>
      <c r="D23" s="54">
        <v>2475</v>
      </c>
      <c r="E23" s="54"/>
      <c r="F23" s="54"/>
      <c r="G23" s="54">
        <f>D23/D5</f>
        <v>86.128897550111361</v>
      </c>
      <c r="M23">
        <f>D23/D5</f>
        <v>86.128897550111361</v>
      </c>
      <c r="Q23" s="25"/>
      <c r="R23" s="26"/>
      <c r="S23" s="26"/>
      <c r="T23" s="26"/>
      <c r="U23" s="26">
        <f>SUM(U17:U22)</f>
        <v>3.9054000000000011</v>
      </c>
      <c r="V23" s="31">
        <f>3*U23</f>
        <v>11.716200000000004</v>
      </c>
    </row>
    <row r="24" spans="1:29" ht="30" x14ac:dyDescent="0.25">
      <c r="B24" s="55" t="s">
        <v>281</v>
      </c>
      <c r="C24" s="54" t="s">
        <v>227</v>
      </c>
      <c r="D24" s="54">
        <v>3034</v>
      </c>
      <c r="E24" s="54"/>
      <c r="F24" s="54"/>
      <c r="G24" s="54">
        <f>D24/D6</f>
        <v>108.08037988436753</v>
      </c>
      <c r="I24">
        <f>2296/11.8</f>
        <v>194.57627118644066</v>
      </c>
    </row>
    <row r="25" spans="1:29" x14ac:dyDescent="0.25">
      <c r="B25" s="55" t="s">
        <v>226</v>
      </c>
      <c r="C25" s="54" t="s">
        <v>227</v>
      </c>
      <c r="D25" s="54">
        <v>2478</v>
      </c>
      <c r="E25" s="54"/>
      <c r="F25" s="54"/>
      <c r="G25" s="54">
        <f>D25/D8</f>
        <v>211.4334470989761</v>
      </c>
      <c r="Q25" t="s">
        <v>258</v>
      </c>
      <c r="S25" t="s">
        <v>245</v>
      </c>
    </row>
    <row r="26" spans="1:29" x14ac:dyDescent="0.25">
      <c r="B26" s="54" t="s">
        <v>216</v>
      </c>
      <c r="C26" s="54" t="s">
        <v>227</v>
      </c>
      <c r="D26" s="54">
        <v>2296.64</v>
      </c>
      <c r="E26" s="54"/>
      <c r="F26" s="54"/>
      <c r="G26" s="54">
        <v>194</v>
      </c>
      <c r="L26">
        <f>D26/D10</f>
        <v>194.63050847457626</v>
      </c>
      <c r="S26" s="20" t="s">
        <v>241</v>
      </c>
      <c r="T26" s="21">
        <f>0.3*0.3*2.83</f>
        <v>0.25469999999999998</v>
      </c>
      <c r="U26" s="21">
        <f>T26*6</f>
        <v>1.5282</v>
      </c>
      <c r="V26" s="22">
        <f>U26*4</f>
        <v>6.1128</v>
      </c>
    </row>
    <row r="27" spans="1:29" x14ac:dyDescent="0.25">
      <c r="B27" s="54" t="s">
        <v>219</v>
      </c>
      <c r="C27" s="54" t="s">
        <v>227</v>
      </c>
      <c r="D27" s="56">
        <f>R65+R71+R77+R83+R90+R97+R104+R111</f>
        <v>5959.0454399999999</v>
      </c>
      <c r="E27" s="54"/>
      <c r="F27" s="54"/>
      <c r="G27" s="56">
        <f>D27/D11</f>
        <v>157.2199648572921</v>
      </c>
      <c r="S27" s="25" t="s">
        <v>244</v>
      </c>
      <c r="T27" s="26">
        <f>0.4*0.4*2.83</f>
        <v>0.45280000000000009</v>
      </c>
      <c r="U27" s="26">
        <f>T27*3</f>
        <v>1.3584000000000003</v>
      </c>
      <c r="V27" s="27">
        <f>U27*4</f>
        <v>5.4336000000000011</v>
      </c>
    </row>
    <row r="28" spans="1:29" x14ac:dyDescent="0.25">
      <c r="B28" s="54" t="s">
        <v>220</v>
      </c>
      <c r="C28" s="54" t="s">
        <v>227</v>
      </c>
      <c r="D28" s="54">
        <v>215</v>
      </c>
      <c r="E28" s="54"/>
      <c r="F28" s="54"/>
      <c r="G28" s="54">
        <f>D28/D12</f>
        <v>82.692307692307693</v>
      </c>
      <c r="S28" s="46"/>
      <c r="T28" s="21"/>
      <c r="V28" s="32">
        <f>V26+V27+0.2547</f>
        <v>11.801100000000002</v>
      </c>
    </row>
    <row r="29" spans="1:29" x14ac:dyDescent="0.25">
      <c r="B29" s="54" t="s">
        <v>223</v>
      </c>
      <c r="C29" s="54" t="s">
        <v>227</v>
      </c>
      <c r="D29" s="54"/>
      <c r="E29" s="54"/>
      <c r="F29" s="54"/>
      <c r="G29" s="54"/>
    </row>
    <row r="30" spans="1:29" x14ac:dyDescent="0.25">
      <c r="B30" s="54" t="s">
        <v>228</v>
      </c>
      <c r="C30" s="54" t="s">
        <v>227</v>
      </c>
      <c r="D30" s="54"/>
      <c r="E30" s="54"/>
      <c r="F30" s="54"/>
      <c r="G30" s="54"/>
      <c r="R30" s="20" t="s">
        <v>246</v>
      </c>
      <c r="S30" s="21" t="s">
        <v>247</v>
      </c>
      <c r="T30" s="21" t="s">
        <v>248</v>
      </c>
      <c r="U30" s="22" t="s">
        <v>249</v>
      </c>
    </row>
    <row r="31" spans="1:29" x14ac:dyDescent="0.25">
      <c r="R31" s="23" t="s">
        <v>74</v>
      </c>
      <c r="S31" s="19">
        <f>13.4*0.3*0.4</f>
        <v>1.6079999999999999</v>
      </c>
      <c r="T31" s="19">
        <f>14*0.3*0.4*2</f>
        <v>3.3600000000000003</v>
      </c>
      <c r="U31" s="24">
        <f>S31+T31</f>
        <v>4.968</v>
      </c>
    </row>
    <row r="32" spans="1:29" x14ac:dyDescent="0.25">
      <c r="R32" s="23" t="s">
        <v>250</v>
      </c>
      <c r="S32" s="19">
        <f>11.13*0.3*0.45*3</f>
        <v>4.5076499999999999</v>
      </c>
      <c r="T32" s="19"/>
      <c r="U32" s="24">
        <f>S32</f>
        <v>4.5076499999999999</v>
      </c>
    </row>
    <row r="33" spans="2:22" x14ac:dyDescent="0.25">
      <c r="B33" s="69" t="s">
        <v>305</v>
      </c>
      <c r="D33" t="s">
        <v>307</v>
      </c>
      <c r="R33" s="25"/>
      <c r="S33" s="26"/>
      <c r="T33" s="26"/>
      <c r="U33" s="27">
        <f>SUM(U31:U32)</f>
        <v>9.4756499999999999</v>
      </c>
      <c r="V33" s="32">
        <f>U33*4</f>
        <v>37.9026</v>
      </c>
    </row>
    <row r="35" spans="2:22" x14ac:dyDescent="0.25">
      <c r="D35" s="2">
        <f>60*7500</f>
        <v>450000</v>
      </c>
      <c r="T35" t="s">
        <v>252</v>
      </c>
    </row>
    <row r="36" spans="2:22" x14ac:dyDescent="0.25">
      <c r="D36" s="2">
        <f>3500*600</f>
        <v>2100000</v>
      </c>
      <c r="T36" s="28" t="s">
        <v>251</v>
      </c>
      <c r="U36" s="29">
        <f>(15+1)/2</f>
        <v>8</v>
      </c>
      <c r="V36" s="33">
        <f>116</f>
        <v>116</v>
      </c>
    </row>
    <row r="37" spans="2:22" x14ac:dyDescent="0.25">
      <c r="D37" s="2">
        <f>SUM(D35:D36)</f>
        <v>2550000</v>
      </c>
    </row>
    <row r="38" spans="2:22" x14ac:dyDescent="0.25">
      <c r="S38" t="s">
        <v>254</v>
      </c>
    </row>
    <row r="39" spans="2:22" x14ac:dyDescent="0.25">
      <c r="S39" s="20"/>
      <c r="T39" s="21" t="s">
        <v>255</v>
      </c>
      <c r="U39" s="21" t="s">
        <v>256</v>
      </c>
      <c r="V39" s="22" t="s">
        <v>87</v>
      </c>
    </row>
    <row r="40" spans="2:22" x14ac:dyDescent="0.25">
      <c r="S40" s="25"/>
      <c r="T40" s="26">
        <v>5.7</v>
      </c>
      <c r="U40" s="26">
        <f>11.6*3.97*0.3</f>
        <v>13.8156</v>
      </c>
      <c r="V40" s="27">
        <f>15*0.4</f>
        <v>6</v>
      </c>
    </row>
    <row r="41" spans="2:22" x14ac:dyDescent="0.25">
      <c r="I41" t="s">
        <v>260</v>
      </c>
      <c r="M41" t="s">
        <v>262</v>
      </c>
      <c r="N41" t="s">
        <v>263</v>
      </c>
      <c r="Q41" t="s">
        <v>265</v>
      </c>
      <c r="V41" s="32">
        <f>SUM(T40:V40)</f>
        <v>25.515599999999999</v>
      </c>
    </row>
    <row r="42" spans="2:22" x14ac:dyDescent="0.25">
      <c r="I42" s="20" t="s">
        <v>259</v>
      </c>
      <c r="J42" s="21">
        <v>14</v>
      </c>
      <c r="K42" s="21">
        <f>3.23+0.7</f>
        <v>3.9299999999999997</v>
      </c>
      <c r="L42" s="21">
        <v>57</v>
      </c>
      <c r="M42" s="21">
        <v>2</v>
      </c>
      <c r="N42" s="21">
        <v>3</v>
      </c>
      <c r="O42" s="21">
        <f>K42*L42*M42*N42</f>
        <v>1344.06</v>
      </c>
      <c r="P42" s="21">
        <v>1.208</v>
      </c>
      <c r="Q42" s="22">
        <f>O42*P42</f>
        <v>1623.6244799999999</v>
      </c>
    </row>
    <row r="43" spans="2:22" x14ac:dyDescent="0.25">
      <c r="I43" s="23" t="s">
        <v>236</v>
      </c>
      <c r="J43" s="19">
        <v>12</v>
      </c>
      <c r="K43" s="19">
        <v>3.5</v>
      </c>
      <c r="L43" s="19">
        <f>2.83/0.15</f>
        <v>18.866666666666667</v>
      </c>
      <c r="M43" s="19">
        <v>2</v>
      </c>
      <c r="N43" s="19">
        <v>3</v>
      </c>
      <c r="O43" s="19">
        <f>N43*M43*L43*K43</f>
        <v>396.2</v>
      </c>
      <c r="P43" s="19">
        <v>0.88800000000000001</v>
      </c>
      <c r="Q43" s="24">
        <f t="shared" ref="Q43:Q45" si="2">O43*P43</f>
        <v>351.82560000000001</v>
      </c>
      <c r="T43" t="s">
        <v>54</v>
      </c>
    </row>
    <row r="44" spans="2:22" x14ac:dyDescent="0.25">
      <c r="I44" s="23" t="s">
        <v>237</v>
      </c>
      <c r="J44" s="19">
        <v>12</v>
      </c>
      <c r="K44" s="19">
        <v>2.5</v>
      </c>
      <c r="L44" s="19">
        <f t="shared" ref="L44:L45" si="3">2.83/0.15</f>
        <v>18.866666666666667</v>
      </c>
      <c r="M44" s="19">
        <v>2</v>
      </c>
      <c r="N44" s="19">
        <v>3</v>
      </c>
      <c r="O44" s="19">
        <f t="shared" ref="O44:O45" si="4">N44*M44*L44*K44</f>
        <v>283</v>
      </c>
      <c r="P44" s="19">
        <v>0.88800000000000001</v>
      </c>
      <c r="Q44" s="24">
        <f t="shared" si="2"/>
        <v>251.304</v>
      </c>
      <c r="T44" s="20">
        <f>((3.05-0.4)*(2.8-0.4))</f>
        <v>6.3599999999999994</v>
      </c>
      <c r="U44" s="21">
        <f>7/T44</f>
        <v>1.1006289308176103</v>
      </c>
      <c r="V44" s="22"/>
    </row>
    <row r="45" spans="2:22" x14ac:dyDescent="0.25">
      <c r="I45" s="25" t="s">
        <v>238</v>
      </c>
      <c r="J45" s="26">
        <v>12</v>
      </c>
      <c r="K45" s="26">
        <v>2.5</v>
      </c>
      <c r="L45" s="26">
        <f t="shared" si="3"/>
        <v>18.866666666666667</v>
      </c>
      <c r="M45" s="26">
        <v>2</v>
      </c>
      <c r="N45" s="26">
        <v>3</v>
      </c>
      <c r="O45" s="26">
        <f t="shared" si="4"/>
        <v>283</v>
      </c>
      <c r="P45" s="26">
        <v>0.88800000000000001</v>
      </c>
      <c r="Q45" s="27">
        <f t="shared" si="2"/>
        <v>251.304</v>
      </c>
      <c r="T45" s="23">
        <f>11.76*0.2*1.1</f>
        <v>2.5872000000000002</v>
      </c>
      <c r="U45" s="19">
        <f>11.76*0.2*1.1</f>
        <v>2.5872000000000002</v>
      </c>
      <c r="V45" s="24" t="s">
        <v>253</v>
      </c>
    </row>
    <row r="46" spans="2:22" x14ac:dyDescent="0.25">
      <c r="Q46" s="32">
        <f>SUM(Q42:Q45)</f>
        <v>2478.0580800000002</v>
      </c>
      <c r="T46" s="25">
        <v>8.6300000000000008</v>
      </c>
      <c r="U46" s="26">
        <f>T46*0.5</f>
        <v>4.3150000000000004</v>
      </c>
      <c r="V46" s="27" t="s">
        <v>87</v>
      </c>
    </row>
    <row r="47" spans="2:22" x14ac:dyDescent="0.25">
      <c r="U47" s="32">
        <f>SUM(U45:U46)</f>
        <v>6.9022000000000006</v>
      </c>
    </row>
    <row r="48" spans="2:22" x14ac:dyDescent="0.25">
      <c r="I48" t="s">
        <v>270</v>
      </c>
      <c r="M48" t="s">
        <v>291</v>
      </c>
    </row>
    <row r="49" spans="9:18" x14ac:dyDescent="0.25">
      <c r="I49" s="20" t="s">
        <v>261</v>
      </c>
      <c r="J49" s="21">
        <v>14</v>
      </c>
      <c r="K49" s="21">
        <v>3.95</v>
      </c>
      <c r="L49" s="21">
        <v>8</v>
      </c>
      <c r="M49" s="21">
        <v>6</v>
      </c>
      <c r="N49" s="21">
        <v>4</v>
      </c>
      <c r="O49" s="21">
        <f>K49*L49*M49*N49</f>
        <v>758.40000000000009</v>
      </c>
      <c r="P49" s="21">
        <v>1.208</v>
      </c>
      <c r="Q49" s="22">
        <f>O49*P49</f>
        <v>916.14720000000011</v>
      </c>
    </row>
    <row r="50" spans="9:18" x14ac:dyDescent="0.25">
      <c r="I50" s="23" t="s">
        <v>71</v>
      </c>
      <c r="J50" s="19">
        <v>8</v>
      </c>
      <c r="K50" s="19">
        <v>1.2</v>
      </c>
      <c r="L50" s="19">
        <v>26</v>
      </c>
      <c r="M50" s="19">
        <v>6</v>
      </c>
      <c r="N50" s="19">
        <v>4</v>
      </c>
      <c r="O50" s="19">
        <f>1.2*26*6*4</f>
        <v>748.8</v>
      </c>
      <c r="P50" s="19">
        <v>0.39500000000000002</v>
      </c>
      <c r="Q50" s="24">
        <f>O50*P50</f>
        <v>295.77600000000001</v>
      </c>
      <c r="R50">
        <f>295/6/4</f>
        <v>12.291666666666666</v>
      </c>
    </row>
    <row r="51" spans="9:18" x14ac:dyDescent="0.25">
      <c r="I51" s="23" t="s">
        <v>266</v>
      </c>
      <c r="J51" s="19">
        <v>8</v>
      </c>
      <c r="K51" s="19">
        <v>0.9</v>
      </c>
      <c r="L51" s="19">
        <v>26</v>
      </c>
      <c r="M51" s="19">
        <v>6</v>
      </c>
      <c r="N51" s="19">
        <v>4</v>
      </c>
      <c r="O51" s="19">
        <f>K51*L51*M51*N51</f>
        <v>561.6</v>
      </c>
      <c r="P51" s="19">
        <v>0.39500000000000002</v>
      </c>
      <c r="Q51" s="24">
        <f>P51*O51</f>
        <v>221.83200000000002</v>
      </c>
    </row>
    <row r="52" spans="9:18" x14ac:dyDescent="0.25">
      <c r="I52" s="23" t="s">
        <v>268</v>
      </c>
      <c r="J52" s="19">
        <v>14</v>
      </c>
      <c r="K52" s="19">
        <v>3.95</v>
      </c>
      <c r="L52" s="19">
        <v>8</v>
      </c>
      <c r="M52" s="19">
        <v>1</v>
      </c>
      <c r="N52" s="19">
        <v>1</v>
      </c>
      <c r="O52" s="19">
        <f>K52*L52</f>
        <v>31.6</v>
      </c>
      <c r="P52" s="19">
        <v>1.208</v>
      </c>
      <c r="Q52" s="24">
        <f>P52*O52</f>
        <v>38.172800000000002</v>
      </c>
    </row>
    <row r="53" spans="9:18" x14ac:dyDescent="0.25">
      <c r="I53" s="23" t="s">
        <v>269</v>
      </c>
      <c r="J53" s="19">
        <v>8</v>
      </c>
      <c r="K53" s="19">
        <v>1.2</v>
      </c>
      <c r="L53" s="19">
        <v>26</v>
      </c>
      <c r="M53" s="19">
        <v>1</v>
      </c>
      <c r="N53" s="19">
        <v>1</v>
      </c>
      <c r="O53" s="19">
        <f>K53*L53</f>
        <v>31.2</v>
      </c>
      <c r="P53" s="19">
        <v>0.39500000000000002</v>
      </c>
      <c r="Q53" s="24">
        <f>P53*O53</f>
        <v>12.324</v>
      </c>
    </row>
    <row r="54" spans="9:18" x14ac:dyDescent="0.25">
      <c r="I54" s="23" t="s">
        <v>292</v>
      </c>
      <c r="J54" s="19">
        <v>8</v>
      </c>
      <c r="K54" s="19">
        <v>0.9</v>
      </c>
      <c r="L54" s="19">
        <v>26</v>
      </c>
      <c r="M54" s="19">
        <v>1</v>
      </c>
      <c r="N54" s="19">
        <v>1</v>
      </c>
      <c r="O54" s="19">
        <f>N54*L54*K54</f>
        <v>23.400000000000002</v>
      </c>
      <c r="P54" s="19">
        <v>0.39500000000000002</v>
      </c>
      <c r="Q54" s="24">
        <f>P54*O54</f>
        <v>9.2430000000000021</v>
      </c>
    </row>
    <row r="55" spans="9:18" x14ac:dyDescent="0.25">
      <c r="I55" s="23" t="s">
        <v>264</v>
      </c>
      <c r="J55" s="19">
        <v>14</v>
      </c>
      <c r="K55" s="19">
        <v>3.95</v>
      </c>
      <c r="L55" s="19">
        <v>8</v>
      </c>
      <c r="M55" s="19">
        <v>3</v>
      </c>
      <c r="N55" s="19">
        <v>4</v>
      </c>
      <c r="O55" s="19">
        <f>PRODUCT(K55:N55)</f>
        <v>379.20000000000005</v>
      </c>
      <c r="P55" s="19">
        <v>1.208</v>
      </c>
      <c r="Q55" s="24">
        <f>P55*O55</f>
        <v>458.07360000000006</v>
      </c>
    </row>
    <row r="56" spans="9:18" x14ac:dyDescent="0.25">
      <c r="I56" s="23" t="s">
        <v>71</v>
      </c>
      <c r="J56" s="19">
        <v>8</v>
      </c>
      <c r="K56" s="19">
        <v>1.6</v>
      </c>
      <c r="L56" s="19">
        <v>26</v>
      </c>
      <c r="M56" s="19">
        <v>3</v>
      </c>
      <c r="N56" s="19">
        <v>4</v>
      </c>
      <c r="O56" s="19">
        <f>N56*M56*L56*K56</f>
        <v>499.20000000000005</v>
      </c>
      <c r="P56" s="19">
        <v>0.39500000000000002</v>
      </c>
      <c r="Q56" s="24">
        <f>O56*P56</f>
        <v>197.18400000000003</v>
      </c>
    </row>
    <row r="57" spans="9:18" x14ac:dyDescent="0.25">
      <c r="I57" s="25" t="s">
        <v>267</v>
      </c>
      <c r="J57" s="26">
        <v>8</v>
      </c>
      <c r="K57" s="26">
        <v>1.2</v>
      </c>
      <c r="L57" s="26">
        <v>26</v>
      </c>
      <c r="M57" s="26">
        <v>3</v>
      </c>
      <c r="N57" s="26">
        <v>4</v>
      </c>
      <c r="O57" s="26">
        <f>K57*L57*M57*N57</f>
        <v>374.4</v>
      </c>
      <c r="P57" s="26">
        <v>0.39500000000000002</v>
      </c>
      <c r="Q57" s="27">
        <f>O57*P57</f>
        <v>147.88800000000001</v>
      </c>
    </row>
    <row r="58" spans="9:18" x14ac:dyDescent="0.25">
      <c r="Q58" s="32">
        <f>SUM(Q49:Q57)</f>
        <v>2296.6406000000006</v>
      </c>
    </row>
    <row r="60" spans="9:18" x14ac:dyDescent="0.25">
      <c r="I60" t="s">
        <v>271</v>
      </c>
    </row>
    <row r="61" spans="9:18" x14ac:dyDescent="0.25">
      <c r="I61" s="20" t="s">
        <v>77</v>
      </c>
      <c r="J61" s="21">
        <v>14</v>
      </c>
      <c r="K61" s="21">
        <v>37</v>
      </c>
      <c r="L61" s="21">
        <v>0</v>
      </c>
      <c r="M61" s="34">
        <v>3</v>
      </c>
      <c r="N61" s="21">
        <v>14</v>
      </c>
      <c r="O61" s="21">
        <f t="shared" ref="O61:O64" si="5">IF(N61=8,0.395,IF(N61=10,0.617,IF(N61=12,0.888,IF(N61=14,1.208,IF(N61=16,1.578)))))</f>
        <v>1.208</v>
      </c>
      <c r="P61" s="35">
        <f t="shared" ref="P61:P64" si="6">(K61+L61)*M61</f>
        <v>111</v>
      </c>
      <c r="Q61" s="36">
        <f>O61*P61</f>
        <v>134.08799999999999</v>
      </c>
    </row>
    <row r="62" spans="9:18" x14ac:dyDescent="0.25">
      <c r="I62" s="23"/>
      <c r="J62" s="19"/>
      <c r="K62" s="19"/>
      <c r="L62" s="19"/>
      <c r="M62" s="37"/>
      <c r="N62" s="19"/>
      <c r="O62" s="19"/>
      <c r="P62" s="38"/>
      <c r="Q62" s="39"/>
    </row>
    <row r="63" spans="9:18" x14ac:dyDescent="0.25">
      <c r="I63" s="23"/>
      <c r="J63" s="19" t="s">
        <v>22</v>
      </c>
      <c r="K63" s="19">
        <v>1.42</v>
      </c>
      <c r="L63" s="19"/>
      <c r="M63" s="37">
        <f>9+9+9+9+26</f>
        <v>62</v>
      </c>
      <c r="N63" s="19">
        <v>10</v>
      </c>
      <c r="O63" s="19">
        <f t="shared" si="5"/>
        <v>0.61699999999999999</v>
      </c>
      <c r="P63" s="38">
        <f t="shared" si="6"/>
        <v>88.039999999999992</v>
      </c>
      <c r="Q63" s="40">
        <f>O63*P63</f>
        <v>54.320679999999996</v>
      </c>
    </row>
    <row r="64" spans="9:18" x14ac:dyDescent="0.25">
      <c r="I64" s="23"/>
      <c r="J64" s="19" t="s">
        <v>23</v>
      </c>
      <c r="K64" s="19">
        <v>0.94</v>
      </c>
      <c r="L64" s="19">
        <v>0</v>
      </c>
      <c r="M64" s="37">
        <v>62</v>
      </c>
      <c r="N64" s="19">
        <v>10</v>
      </c>
      <c r="O64" s="19">
        <f t="shared" si="5"/>
        <v>0.61699999999999999</v>
      </c>
      <c r="P64" s="38">
        <f t="shared" si="6"/>
        <v>58.279999999999994</v>
      </c>
      <c r="Q64" s="40">
        <f>O64*P64</f>
        <v>35.958759999999998</v>
      </c>
      <c r="R64" t="s">
        <v>273</v>
      </c>
    </row>
    <row r="65" spans="9:18" x14ac:dyDescent="0.25">
      <c r="I65" s="23"/>
      <c r="J65" s="19"/>
      <c r="K65" s="19"/>
      <c r="L65" s="19"/>
      <c r="M65" s="19"/>
      <c r="N65" s="19"/>
      <c r="O65" s="19"/>
      <c r="P65" s="19"/>
      <c r="Q65" s="41">
        <f>SUM(Q61:Q64)</f>
        <v>224.36743999999999</v>
      </c>
      <c r="R65" s="4">
        <f>Q65*4</f>
        <v>897.46975999999995</v>
      </c>
    </row>
    <row r="66" spans="9:18" x14ac:dyDescent="0.25">
      <c r="I66" s="23"/>
      <c r="J66" s="19"/>
      <c r="K66" s="19"/>
      <c r="L66" s="19"/>
      <c r="M66" s="19"/>
      <c r="N66" s="19"/>
      <c r="O66" s="19"/>
      <c r="P66" s="19"/>
      <c r="Q66" s="24"/>
    </row>
    <row r="67" spans="9:18" x14ac:dyDescent="0.25">
      <c r="I67" s="23" t="s">
        <v>78</v>
      </c>
      <c r="J67" s="19">
        <v>16</v>
      </c>
      <c r="K67" s="19">
        <v>13.6</v>
      </c>
      <c r="L67" s="19"/>
      <c r="M67" s="37">
        <v>3</v>
      </c>
      <c r="N67" s="19">
        <v>16</v>
      </c>
      <c r="O67" s="19">
        <f t="shared" ref="O67:O70" si="7">IF(N67=8,0.395,IF(N67=10,0.617,IF(N67=12,0.888,IF(N67=14,1.208,IF(N67=16,1.578)))))</f>
        <v>1.5780000000000001</v>
      </c>
      <c r="P67" s="38">
        <f t="shared" ref="P67:P70" si="8">(K67+L67)*M67</f>
        <v>40.799999999999997</v>
      </c>
      <c r="Q67" s="40">
        <f>O67*P67</f>
        <v>64.382400000000004</v>
      </c>
    </row>
    <row r="68" spans="9:18" x14ac:dyDescent="0.25">
      <c r="I68" s="23"/>
      <c r="J68" s="19">
        <v>14</v>
      </c>
      <c r="K68" s="19">
        <f>11.68*2</f>
        <v>23.36</v>
      </c>
      <c r="L68" s="19"/>
      <c r="M68" s="37">
        <v>3</v>
      </c>
      <c r="N68" s="19">
        <v>14</v>
      </c>
      <c r="O68" s="19">
        <f t="shared" ref="O68" si="9">IF(N68=8,0.395,IF(N68=10,0.617,IF(N68=12,0.888,IF(N68=14,1.208,IF(N68=16,1.578)))))</f>
        <v>1.208</v>
      </c>
      <c r="P68" s="38">
        <f t="shared" ref="P68" si="10">(K68+L68)*M68</f>
        <v>70.08</v>
      </c>
      <c r="Q68" s="40">
        <f t="shared" ref="Q68:Q70" si="11">O68*P68</f>
        <v>84.656639999999996</v>
      </c>
    </row>
    <row r="69" spans="9:18" x14ac:dyDescent="0.25">
      <c r="I69" s="23"/>
      <c r="J69" s="19" t="s">
        <v>22</v>
      </c>
      <c r="K69" s="19">
        <v>1.42</v>
      </c>
      <c r="L69" s="19"/>
      <c r="M69" s="37">
        <v>62</v>
      </c>
      <c r="N69" s="19">
        <v>10</v>
      </c>
      <c r="O69" s="19">
        <f t="shared" si="7"/>
        <v>0.61699999999999999</v>
      </c>
      <c r="P69" s="38">
        <f t="shared" si="8"/>
        <v>88.039999999999992</v>
      </c>
      <c r="Q69" s="40">
        <f t="shared" si="11"/>
        <v>54.320679999999996</v>
      </c>
    </row>
    <row r="70" spans="9:18" x14ac:dyDescent="0.25">
      <c r="I70" s="23"/>
      <c r="J70" s="19" t="s">
        <v>23</v>
      </c>
      <c r="K70" s="19">
        <v>0.94</v>
      </c>
      <c r="L70" s="19"/>
      <c r="M70" s="37">
        <v>62</v>
      </c>
      <c r="N70" s="19">
        <v>10</v>
      </c>
      <c r="O70" s="19">
        <f t="shared" si="7"/>
        <v>0.61699999999999999</v>
      </c>
      <c r="P70" s="38">
        <f t="shared" si="8"/>
        <v>58.279999999999994</v>
      </c>
      <c r="Q70" s="40">
        <f t="shared" si="11"/>
        <v>35.958759999999998</v>
      </c>
      <c r="R70" t="s">
        <v>273</v>
      </c>
    </row>
    <row r="71" spans="9:18" x14ac:dyDescent="0.25">
      <c r="I71" s="23"/>
      <c r="J71" s="19"/>
      <c r="K71" s="19"/>
      <c r="L71" s="19"/>
      <c r="M71" s="19"/>
      <c r="N71" s="19"/>
      <c r="O71" s="19"/>
      <c r="P71" s="19"/>
      <c r="Q71" s="41">
        <f>SUM(Q67:Q70)</f>
        <v>239.31847999999997</v>
      </c>
      <c r="R71" s="4">
        <f>Q71*4</f>
        <v>957.27391999999986</v>
      </c>
    </row>
    <row r="72" spans="9:18" x14ac:dyDescent="0.25">
      <c r="I72" s="23"/>
      <c r="J72" s="19"/>
      <c r="K72" s="19"/>
      <c r="L72" s="19"/>
      <c r="M72" s="19"/>
      <c r="N72" s="19"/>
      <c r="O72" s="19"/>
      <c r="P72" s="19"/>
      <c r="Q72" s="24"/>
    </row>
    <row r="73" spans="9:18" x14ac:dyDescent="0.25">
      <c r="I73" s="23" t="s">
        <v>274</v>
      </c>
      <c r="J73" s="19">
        <v>14</v>
      </c>
      <c r="K73" s="19">
        <v>37</v>
      </c>
      <c r="L73" s="19">
        <v>0</v>
      </c>
      <c r="M73" s="37">
        <v>3</v>
      </c>
      <c r="N73" s="19">
        <v>14</v>
      </c>
      <c r="O73" s="19">
        <f t="shared" ref="O73" si="12">IF(N73=8,0.395,IF(N73=10,0.617,IF(N73=12,0.888,IF(N73=14,1.208,IF(N73=16,1.578)))))</f>
        <v>1.208</v>
      </c>
      <c r="P73" s="38">
        <f t="shared" ref="P73" si="13">(K73+L73)*M73</f>
        <v>111</v>
      </c>
      <c r="Q73" s="40">
        <f>O73*P73</f>
        <v>134.08799999999999</v>
      </c>
    </row>
    <row r="74" spans="9:18" x14ac:dyDescent="0.25">
      <c r="I74" s="23"/>
      <c r="J74" s="19"/>
      <c r="K74" s="19"/>
      <c r="L74" s="19"/>
      <c r="M74" s="37"/>
      <c r="N74" s="19"/>
      <c r="O74" s="19"/>
      <c r="P74" s="38"/>
      <c r="Q74" s="39"/>
    </row>
    <row r="75" spans="9:18" x14ac:dyDescent="0.25">
      <c r="I75" s="23"/>
      <c r="J75" s="19" t="s">
        <v>22</v>
      </c>
      <c r="K75" s="19">
        <v>1.42</v>
      </c>
      <c r="L75" s="19"/>
      <c r="M75" s="37">
        <f>9+9+9+9+26</f>
        <v>62</v>
      </c>
      <c r="N75" s="19">
        <v>10</v>
      </c>
      <c r="O75" s="19">
        <f t="shared" ref="O75:O76" si="14">IF(N75=8,0.395,IF(N75=10,0.617,IF(N75=12,0.888,IF(N75=14,1.208,IF(N75=16,1.578)))))</f>
        <v>0.61699999999999999</v>
      </c>
      <c r="P75" s="38">
        <f t="shared" ref="P75:P76" si="15">(K75+L75)*M75</f>
        <v>88.039999999999992</v>
      </c>
      <c r="Q75" s="40">
        <f>O75*P75</f>
        <v>54.320679999999996</v>
      </c>
    </row>
    <row r="76" spans="9:18" x14ac:dyDescent="0.25">
      <c r="I76" s="23"/>
      <c r="J76" s="19" t="s">
        <v>23</v>
      </c>
      <c r="K76" s="19">
        <v>0.94</v>
      </c>
      <c r="L76" s="19">
        <v>0</v>
      </c>
      <c r="M76" s="37">
        <v>62</v>
      </c>
      <c r="N76" s="19">
        <v>10</v>
      </c>
      <c r="O76" s="19">
        <f t="shared" si="14"/>
        <v>0.61699999999999999</v>
      </c>
      <c r="P76" s="38">
        <f t="shared" si="15"/>
        <v>58.279999999999994</v>
      </c>
      <c r="Q76" s="40">
        <f>O76*P76</f>
        <v>35.958759999999998</v>
      </c>
      <c r="R76" t="s">
        <v>272</v>
      </c>
    </row>
    <row r="77" spans="9:18" x14ac:dyDescent="0.25">
      <c r="I77" s="23"/>
      <c r="J77" s="19"/>
      <c r="K77" s="19"/>
      <c r="L77" s="19"/>
      <c r="M77" s="19"/>
      <c r="N77" s="19"/>
      <c r="O77" s="19"/>
      <c r="P77" s="19"/>
      <c r="Q77" s="41">
        <f>SUM(Q73:Q76)</f>
        <v>224.36743999999999</v>
      </c>
      <c r="R77" s="4">
        <f>Q77*3</f>
        <v>673.10231999999996</v>
      </c>
    </row>
    <row r="78" spans="9:18" x14ac:dyDescent="0.25">
      <c r="I78" s="23"/>
      <c r="J78" s="19"/>
      <c r="K78" s="19"/>
      <c r="L78" s="19"/>
      <c r="M78" s="37"/>
      <c r="N78" s="19"/>
      <c r="O78" s="19"/>
      <c r="P78" s="38"/>
      <c r="Q78" s="40"/>
    </row>
    <row r="79" spans="9:18" x14ac:dyDescent="0.25">
      <c r="I79" s="23" t="s">
        <v>274</v>
      </c>
      <c r="J79" s="19">
        <v>14</v>
      </c>
      <c r="K79" s="19">
        <v>21.5</v>
      </c>
      <c r="L79" s="19">
        <v>0</v>
      </c>
      <c r="M79" s="37">
        <v>3</v>
      </c>
      <c r="N79" s="19">
        <v>14</v>
      </c>
      <c r="O79" s="19">
        <f t="shared" ref="O79" si="16">IF(N79=8,0.395,IF(N79=10,0.617,IF(N79=12,0.888,IF(N79=14,1.208,IF(N79=16,1.578)))))</f>
        <v>1.208</v>
      </c>
      <c r="P79" s="38">
        <f t="shared" ref="P79" si="17">(K79+L79)*M79</f>
        <v>64.5</v>
      </c>
      <c r="Q79" s="40">
        <f>O79*P79</f>
        <v>77.915999999999997</v>
      </c>
    </row>
    <row r="80" spans="9:18" x14ac:dyDescent="0.25">
      <c r="I80" s="23"/>
      <c r="J80" s="19">
        <v>16</v>
      </c>
      <c r="K80" s="19">
        <v>1.8</v>
      </c>
      <c r="L80" s="19">
        <v>0</v>
      </c>
      <c r="M80" s="37">
        <v>3</v>
      </c>
      <c r="N80" s="19">
        <v>16</v>
      </c>
      <c r="O80" s="19">
        <f t="shared" ref="O80" si="18">IF(N80=8,0.395,IF(N80=10,0.617,IF(N80=12,0.888,IF(N80=14,1.208,IF(N80=16,1.578)))))</f>
        <v>1.5780000000000001</v>
      </c>
      <c r="P80" s="38">
        <f t="shared" ref="P80" si="19">(K80+L80)*M80</f>
        <v>5.4</v>
      </c>
      <c r="Q80" s="40">
        <f>O80*P80</f>
        <v>8.5212000000000003</v>
      </c>
    </row>
    <row r="81" spans="9:18" x14ac:dyDescent="0.25">
      <c r="I81" s="23"/>
      <c r="J81" s="19" t="s">
        <v>22</v>
      </c>
      <c r="K81" s="19">
        <v>1.42</v>
      </c>
      <c r="L81" s="19"/>
      <c r="M81" s="37">
        <f>9+9+9+9+26</f>
        <v>62</v>
      </c>
      <c r="N81" s="19">
        <v>10</v>
      </c>
      <c r="O81" s="19">
        <f t="shared" ref="O81:O82" si="20">IF(N81=8,0.395,IF(N81=10,0.617,IF(N81=12,0.888,IF(N81=14,1.208,IF(N81=16,1.578)))))</f>
        <v>0.61699999999999999</v>
      </c>
      <c r="P81" s="38">
        <f t="shared" ref="P81:P82" si="21">(K81+L81)*M81</f>
        <v>88.039999999999992</v>
      </c>
      <c r="Q81" s="40">
        <f>O81*P81</f>
        <v>54.320679999999996</v>
      </c>
    </row>
    <row r="82" spans="9:18" x14ac:dyDescent="0.25">
      <c r="I82" s="23"/>
      <c r="J82" s="19" t="s">
        <v>23</v>
      </c>
      <c r="K82" s="19">
        <v>0.94</v>
      </c>
      <c r="L82" s="19">
        <v>0</v>
      </c>
      <c r="M82" s="37">
        <v>62</v>
      </c>
      <c r="N82" s="19">
        <v>10</v>
      </c>
      <c r="O82" s="19">
        <f t="shared" si="20"/>
        <v>0.61699999999999999</v>
      </c>
      <c r="P82" s="38">
        <f t="shared" si="21"/>
        <v>58.279999999999994</v>
      </c>
      <c r="Q82" s="40">
        <f>O82*P82</f>
        <v>35.958759999999998</v>
      </c>
      <c r="R82" t="s">
        <v>275</v>
      </c>
    </row>
    <row r="83" spans="9:18" x14ac:dyDescent="0.25">
      <c r="I83" s="23"/>
      <c r="J83" s="19"/>
      <c r="K83" s="19"/>
      <c r="L83" s="19"/>
      <c r="M83" s="19"/>
      <c r="N83" s="19"/>
      <c r="O83" s="19"/>
      <c r="P83" s="19"/>
      <c r="Q83" s="41">
        <f>SUM(Q79:Q82)</f>
        <v>176.71663999999998</v>
      </c>
      <c r="R83" s="4">
        <f>Q83</f>
        <v>176.71663999999998</v>
      </c>
    </row>
    <row r="84" spans="9:18" x14ac:dyDescent="0.25">
      <c r="I84" s="23"/>
      <c r="J84" s="19"/>
      <c r="K84" s="19"/>
      <c r="L84" s="19"/>
      <c r="M84" s="19"/>
      <c r="N84" s="19"/>
      <c r="O84" s="19"/>
      <c r="P84" s="19"/>
      <c r="Q84" s="24"/>
    </row>
    <row r="85" spans="9:18" x14ac:dyDescent="0.25">
      <c r="I85" s="23" t="s">
        <v>276</v>
      </c>
      <c r="J85" s="19">
        <v>12</v>
      </c>
      <c r="K85" s="19">
        <v>25.85</v>
      </c>
      <c r="L85" s="19">
        <v>0</v>
      </c>
      <c r="M85" s="37">
        <v>3</v>
      </c>
      <c r="N85" s="19">
        <v>12</v>
      </c>
      <c r="O85" s="19">
        <f t="shared" ref="O85:O89" si="22">IF(N85=8,0.395,IF(N85=10,0.617,IF(N85=12,0.888,IF(N85=14,1.208,IF(N85=16,1.578)))))</f>
        <v>0.88800000000000001</v>
      </c>
      <c r="P85" s="38">
        <f t="shared" ref="P85:P89" si="23">(K85+L85)*M85</f>
        <v>77.550000000000011</v>
      </c>
      <c r="Q85" s="40">
        <f>O85*P85</f>
        <v>68.864400000000018</v>
      </c>
    </row>
    <row r="86" spans="9:18" x14ac:dyDescent="0.25">
      <c r="I86" s="23"/>
      <c r="J86" s="19">
        <v>14</v>
      </c>
      <c r="K86" s="19">
        <v>15.55</v>
      </c>
      <c r="L86" s="19">
        <v>0</v>
      </c>
      <c r="M86" s="37">
        <v>3</v>
      </c>
      <c r="N86" s="19">
        <v>14</v>
      </c>
      <c r="O86" s="19">
        <f t="shared" si="22"/>
        <v>1.208</v>
      </c>
      <c r="P86" s="38">
        <f t="shared" si="23"/>
        <v>46.650000000000006</v>
      </c>
      <c r="Q86" s="40">
        <f>O86*P86</f>
        <v>56.353200000000008</v>
      </c>
    </row>
    <row r="87" spans="9:18" x14ac:dyDescent="0.25">
      <c r="I87" s="23"/>
      <c r="J87" s="19">
        <v>16</v>
      </c>
      <c r="K87" s="19">
        <v>6.85</v>
      </c>
      <c r="L87" s="19">
        <v>0</v>
      </c>
      <c r="M87" s="37">
        <v>3</v>
      </c>
      <c r="N87" s="19">
        <v>16</v>
      </c>
      <c r="O87" s="19">
        <f t="shared" ref="O87" si="24">IF(N87=8,0.395,IF(N87=10,0.617,IF(N87=12,0.888,IF(N87=14,1.208,IF(N87=16,1.578)))))</f>
        <v>1.5780000000000001</v>
      </c>
      <c r="P87" s="38">
        <f t="shared" ref="P87" si="25">(K87+L87)*M87</f>
        <v>20.549999999999997</v>
      </c>
      <c r="Q87" s="40">
        <f>O87*P87</f>
        <v>32.427899999999994</v>
      </c>
    </row>
    <row r="88" spans="9:18" x14ac:dyDescent="0.25">
      <c r="I88" s="23"/>
      <c r="J88" s="19" t="s">
        <v>22</v>
      </c>
      <c r="K88" s="19">
        <v>1.32</v>
      </c>
      <c r="L88" s="19"/>
      <c r="M88" s="37">
        <v>105</v>
      </c>
      <c r="N88" s="19">
        <v>10</v>
      </c>
      <c r="O88" s="19">
        <f t="shared" si="22"/>
        <v>0.61699999999999999</v>
      </c>
      <c r="P88" s="38">
        <f t="shared" si="23"/>
        <v>138.6</v>
      </c>
      <c r="Q88" s="40">
        <f>O88*P88</f>
        <v>85.516199999999998</v>
      </c>
    </row>
    <row r="89" spans="9:18" x14ac:dyDescent="0.25">
      <c r="I89" s="23"/>
      <c r="J89" s="19" t="s">
        <v>23</v>
      </c>
      <c r="K89" s="19">
        <v>0.84</v>
      </c>
      <c r="L89" s="19">
        <v>0</v>
      </c>
      <c r="M89" s="37">
        <v>105</v>
      </c>
      <c r="N89" s="19">
        <v>10</v>
      </c>
      <c r="O89" s="19">
        <f t="shared" si="22"/>
        <v>0.61699999999999999</v>
      </c>
      <c r="P89" s="38">
        <f t="shared" si="23"/>
        <v>88.2</v>
      </c>
      <c r="Q89" s="40">
        <f>O89*P89</f>
        <v>54.419400000000003</v>
      </c>
      <c r="R89" t="s">
        <v>273</v>
      </c>
    </row>
    <row r="90" spans="9:18" x14ac:dyDescent="0.25">
      <c r="I90" s="23"/>
      <c r="J90" s="19"/>
      <c r="K90" s="19"/>
      <c r="L90" s="19"/>
      <c r="M90" s="19"/>
      <c r="N90" s="19"/>
      <c r="O90" s="19"/>
      <c r="P90" s="19"/>
      <c r="Q90" s="41">
        <f>SUM(Q85:Q89)</f>
        <v>297.58110000000005</v>
      </c>
      <c r="R90" s="4">
        <f>Q90*4</f>
        <v>1190.3244000000002</v>
      </c>
    </row>
    <row r="91" spans="9:18" x14ac:dyDescent="0.25">
      <c r="I91" s="23"/>
      <c r="J91" s="19"/>
      <c r="K91" s="19"/>
      <c r="L91" s="19"/>
      <c r="M91" s="19"/>
      <c r="N91" s="19"/>
      <c r="O91" s="19"/>
      <c r="P91" s="19"/>
      <c r="Q91" s="24"/>
    </row>
    <row r="92" spans="9:18" x14ac:dyDescent="0.25">
      <c r="I92" s="23" t="s">
        <v>277</v>
      </c>
      <c r="J92" s="19">
        <v>12</v>
      </c>
      <c r="K92" s="19">
        <v>24.85</v>
      </c>
      <c r="L92" s="19">
        <v>0</v>
      </c>
      <c r="M92" s="37">
        <v>3</v>
      </c>
      <c r="N92" s="19">
        <v>12</v>
      </c>
      <c r="O92" s="19">
        <f t="shared" ref="O92:O96" si="26">IF(N92=8,0.395,IF(N92=10,0.617,IF(N92=12,0.888,IF(N92=14,1.208,IF(N92=16,1.578)))))</f>
        <v>0.88800000000000001</v>
      </c>
      <c r="P92" s="38">
        <f t="shared" ref="P92:P96" si="27">(K92+L92)*M92</f>
        <v>74.550000000000011</v>
      </c>
      <c r="Q92" s="40">
        <f>O92*P92</f>
        <v>66.200400000000016</v>
      </c>
    </row>
    <row r="93" spans="9:18" x14ac:dyDescent="0.25">
      <c r="I93" s="23"/>
      <c r="J93" s="19">
        <v>14</v>
      </c>
      <c r="K93" s="19">
        <v>15.55</v>
      </c>
      <c r="L93" s="19">
        <v>0</v>
      </c>
      <c r="M93" s="37">
        <v>3</v>
      </c>
      <c r="N93" s="19">
        <v>14</v>
      </c>
      <c r="O93" s="19">
        <f t="shared" si="26"/>
        <v>1.208</v>
      </c>
      <c r="P93" s="38">
        <f t="shared" si="27"/>
        <v>46.650000000000006</v>
      </c>
      <c r="Q93" s="40">
        <f>O93*P93</f>
        <v>56.353200000000008</v>
      </c>
    </row>
    <row r="94" spans="9:18" x14ac:dyDescent="0.25">
      <c r="I94" s="23"/>
      <c r="J94" s="19">
        <v>16</v>
      </c>
      <c r="K94" s="19">
        <v>6.45</v>
      </c>
      <c r="L94" s="19">
        <v>0</v>
      </c>
      <c r="M94" s="37">
        <v>3</v>
      </c>
      <c r="N94" s="19">
        <v>16</v>
      </c>
      <c r="O94" s="19">
        <f t="shared" si="26"/>
        <v>1.5780000000000001</v>
      </c>
      <c r="P94" s="38">
        <f t="shared" si="27"/>
        <v>19.350000000000001</v>
      </c>
      <c r="Q94" s="40">
        <f>O94*P94</f>
        <v>30.534300000000005</v>
      </c>
    </row>
    <row r="95" spans="9:18" x14ac:dyDescent="0.25">
      <c r="I95" s="23"/>
      <c r="J95" s="19" t="s">
        <v>22</v>
      </c>
      <c r="K95" s="19">
        <v>1.32</v>
      </c>
      <c r="L95" s="19"/>
      <c r="M95" s="37">
        <v>105</v>
      </c>
      <c r="N95" s="19">
        <v>10</v>
      </c>
      <c r="O95" s="19">
        <f t="shared" si="26"/>
        <v>0.61699999999999999</v>
      </c>
      <c r="P95" s="38">
        <f t="shared" si="27"/>
        <v>138.6</v>
      </c>
      <c r="Q95" s="40">
        <f>O95*P95</f>
        <v>85.516199999999998</v>
      </c>
    </row>
    <row r="96" spans="9:18" x14ac:dyDescent="0.25">
      <c r="I96" s="23"/>
      <c r="J96" s="19" t="s">
        <v>23</v>
      </c>
      <c r="K96" s="19">
        <v>0.84</v>
      </c>
      <c r="L96" s="19">
        <v>0</v>
      </c>
      <c r="M96" s="37">
        <v>105</v>
      </c>
      <c r="N96" s="19">
        <v>10</v>
      </c>
      <c r="O96" s="19">
        <f t="shared" si="26"/>
        <v>0.61699999999999999</v>
      </c>
      <c r="P96" s="38">
        <f t="shared" si="27"/>
        <v>88.2</v>
      </c>
      <c r="Q96" s="40">
        <f>O96*P96</f>
        <v>54.419400000000003</v>
      </c>
      <c r="R96" t="s">
        <v>273</v>
      </c>
    </row>
    <row r="97" spans="9:18" x14ac:dyDescent="0.25">
      <c r="I97" s="23"/>
      <c r="J97" s="19"/>
      <c r="K97" s="19"/>
      <c r="L97" s="19"/>
      <c r="M97" s="19"/>
      <c r="N97" s="19"/>
      <c r="O97" s="19"/>
      <c r="P97" s="19"/>
      <c r="Q97" s="41">
        <f>SUM(Q92:Q96)</f>
        <v>293.02350000000001</v>
      </c>
      <c r="R97" s="4">
        <f>Q97*4</f>
        <v>1172.0940000000001</v>
      </c>
    </row>
    <row r="98" spans="9:18" x14ac:dyDescent="0.25">
      <c r="I98" s="23"/>
      <c r="J98" s="19"/>
      <c r="K98" s="19"/>
      <c r="L98" s="19"/>
      <c r="M98" s="19"/>
      <c r="N98" s="19"/>
      <c r="O98" s="19"/>
      <c r="P98" s="19"/>
      <c r="Q98" s="24"/>
    </row>
    <row r="99" spans="9:18" x14ac:dyDescent="0.25">
      <c r="I99" s="23" t="s">
        <v>278</v>
      </c>
      <c r="J99" s="19">
        <v>12</v>
      </c>
      <c r="K99" s="19">
        <v>23.65</v>
      </c>
      <c r="L99" s="19">
        <v>0</v>
      </c>
      <c r="M99" s="37">
        <v>3</v>
      </c>
      <c r="N99" s="19">
        <v>12</v>
      </c>
      <c r="O99" s="19">
        <f t="shared" ref="O99:O103" si="28">IF(N99=8,0.395,IF(N99=10,0.617,IF(N99=12,0.888,IF(N99=14,1.208,IF(N99=16,1.578)))))</f>
        <v>0.88800000000000001</v>
      </c>
      <c r="P99" s="38">
        <f t="shared" ref="P99:P103" si="29">(K99+L99)*M99</f>
        <v>70.949999999999989</v>
      </c>
      <c r="Q99" s="40">
        <f>O99*P99</f>
        <v>63.003599999999992</v>
      </c>
    </row>
    <row r="100" spans="9:18" x14ac:dyDescent="0.25">
      <c r="I100" s="23"/>
      <c r="J100" s="19">
        <v>14</v>
      </c>
      <c r="K100" s="19">
        <v>14.65</v>
      </c>
      <c r="L100" s="19">
        <v>0</v>
      </c>
      <c r="M100" s="37">
        <v>3</v>
      </c>
      <c r="N100" s="19">
        <v>14</v>
      </c>
      <c r="O100" s="19">
        <f t="shared" si="28"/>
        <v>1.208</v>
      </c>
      <c r="P100" s="38">
        <f t="shared" si="29"/>
        <v>43.95</v>
      </c>
      <c r="Q100" s="40">
        <f>O100*P100</f>
        <v>53.0916</v>
      </c>
    </row>
    <row r="101" spans="9:18" x14ac:dyDescent="0.25">
      <c r="I101" s="23"/>
      <c r="J101" s="19"/>
      <c r="K101" s="19"/>
      <c r="L101" s="19"/>
      <c r="M101" s="37"/>
      <c r="N101" s="19"/>
      <c r="O101" s="19"/>
      <c r="P101" s="38"/>
      <c r="Q101" s="40"/>
    </row>
    <row r="102" spans="9:18" x14ac:dyDescent="0.25">
      <c r="I102" s="23"/>
      <c r="J102" s="19" t="s">
        <v>22</v>
      </c>
      <c r="K102" s="19">
        <v>1.32</v>
      </c>
      <c r="L102" s="19"/>
      <c r="M102" s="37">
        <v>105</v>
      </c>
      <c r="N102" s="19">
        <v>10</v>
      </c>
      <c r="O102" s="19">
        <f t="shared" si="28"/>
        <v>0.61699999999999999</v>
      </c>
      <c r="P102" s="38">
        <f t="shared" si="29"/>
        <v>138.6</v>
      </c>
      <c r="Q102" s="40">
        <f>O102*P102</f>
        <v>85.516199999999998</v>
      </c>
    </row>
    <row r="103" spans="9:18" x14ac:dyDescent="0.25">
      <c r="I103" s="23"/>
      <c r="J103" s="19" t="s">
        <v>23</v>
      </c>
      <c r="K103" s="19">
        <v>0.84</v>
      </c>
      <c r="L103" s="19">
        <v>0</v>
      </c>
      <c r="M103" s="37">
        <v>105</v>
      </c>
      <c r="N103" s="19">
        <v>10</v>
      </c>
      <c r="O103" s="19">
        <f t="shared" si="28"/>
        <v>0.61699999999999999</v>
      </c>
      <c r="P103" s="38">
        <f t="shared" si="29"/>
        <v>88.2</v>
      </c>
      <c r="Q103" s="40">
        <f>O103*P103</f>
        <v>54.419400000000003</v>
      </c>
      <c r="R103" t="s">
        <v>279</v>
      </c>
    </row>
    <row r="104" spans="9:18" x14ac:dyDescent="0.25">
      <c r="I104" s="23"/>
      <c r="J104" s="19"/>
      <c r="K104" s="19"/>
      <c r="L104" s="19"/>
      <c r="M104" s="19"/>
      <c r="N104" s="19"/>
      <c r="O104" s="19"/>
      <c r="P104" s="19"/>
      <c r="Q104" s="41">
        <f>SUM(Q99:Q103)</f>
        <v>256.0308</v>
      </c>
      <c r="R104" s="4">
        <f>Q104*3</f>
        <v>768.0924</v>
      </c>
    </row>
    <row r="105" spans="9:18" x14ac:dyDescent="0.25">
      <c r="I105" s="23"/>
      <c r="J105" s="19"/>
      <c r="K105" s="19"/>
      <c r="L105" s="19"/>
      <c r="M105" s="19"/>
      <c r="N105" s="19"/>
      <c r="O105" s="19"/>
      <c r="P105" s="19"/>
      <c r="Q105" s="24"/>
    </row>
    <row r="106" spans="9:18" x14ac:dyDescent="0.25">
      <c r="I106" s="23" t="s">
        <v>280</v>
      </c>
      <c r="J106" s="19">
        <v>12</v>
      </c>
      <c r="K106" s="19">
        <v>12</v>
      </c>
      <c r="L106" s="19">
        <v>0</v>
      </c>
      <c r="M106" s="37">
        <v>3</v>
      </c>
      <c r="N106" s="19">
        <v>12</v>
      </c>
      <c r="O106" s="19">
        <f t="shared" ref="O106:O107" si="30">IF(N106=8,0.395,IF(N106=10,0.617,IF(N106=12,0.888,IF(N106=14,1.208,IF(N106=16,1.578)))))</f>
        <v>0.88800000000000001</v>
      </c>
      <c r="P106" s="38">
        <f t="shared" ref="P106:P107" si="31">(K106+L106)*M106</f>
        <v>36</v>
      </c>
      <c r="Q106" s="40">
        <f>O106*P106</f>
        <v>31.968</v>
      </c>
    </row>
    <row r="107" spans="9:18" x14ac:dyDescent="0.25">
      <c r="I107" s="23"/>
      <c r="J107" s="19">
        <v>14</v>
      </c>
      <c r="K107" s="19">
        <v>7</v>
      </c>
      <c r="L107" s="19">
        <v>0</v>
      </c>
      <c r="M107" s="37">
        <v>3</v>
      </c>
      <c r="N107" s="19">
        <v>14</v>
      </c>
      <c r="O107" s="19">
        <f t="shared" si="30"/>
        <v>1.208</v>
      </c>
      <c r="P107" s="38">
        <f t="shared" si="31"/>
        <v>21</v>
      </c>
      <c r="Q107" s="40">
        <f>O107*P107</f>
        <v>25.367999999999999</v>
      </c>
    </row>
    <row r="108" spans="9:18" x14ac:dyDescent="0.25">
      <c r="I108" s="23"/>
      <c r="J108" s="19"/>
      <c r="K108" s="19"/>
      <c r="L108" s="19"/>
      <c r="M108" s="37"/>
      <c r="N108" s="19"/>
      <c r="O108" s="19"/>
      <c r="P108" s="38"/>
      <c r="Q108" s="40"/>
    </row>
    <row r="109" spans="9:18" x14ac:dyDescent="0.25">
      <c r="I109" s="23"/>
      <c r="J109" s="19" t="s">
        <v>22</v>
      </c>
      <c r="K109" s="19">
        <v>1.32</v>
      </c>
      <c r="L109" s="19"/>
      <c r="M109" s="37">
        <v>50</v>
      </c>
      <c r="N109" s="19">
        <v>10</v>
      </c>
      <c r="O109" s="19">
        <f t="shared" ref="O109:O110" si="32">IF(N109=8,0.395,IF(N109=10,0.617,IF(N109=12,0.888,IF(N109=14,1.208,IF(N109=16,1.578)))))</f>
        <v>0.61699999999999999</v>
      </c>
      <c r="P109" s="38">
        <f t="shared" ref="P109:P110" si="33">(K109+L109)*M109</f>
        <v>66</v>
      </c>
      <c r="Q109" s="40">
        <f>O109*P109</f>
        <v>40.722000000000001</v>
      </c>
    </row>
    <row r="110" spans="9:18" x14ac:dyDescent="0.25">
      <c r="I110" s="23"/>
      <c r="J110" s="19" t="s">
        <v>23</v>
      </c>
      <c r="K110" s="19">
        <v>0.84</v>
      </c>
      <c r="L110" s="19">
        <v>0</v>
      </c>
      <c r="M110" s="37">
        <v>50</v>
      </c>
      <c r="N110" s="19">
        <v>10</v>
      </c>
      <c r="O110" s="19">
        <f t="shared" si="32"/>
        <v>0.61699999999999999</v>
      </c>
      <c r="P110" s="38">
        <f t="shared" si="33"/>
        <v>42</v>
      </c>
      <c r="Q110" s="40">
        <f>O110*P110</f>
        <v>25.914000000000001</v>
      </c>
      <c r="R110" t="s">
        <v>275</v>
      </c>
    </row>
    <row r="111" spans="9:18" x14ac:dyDescent="0.25">
      <c r="I111" s="25"/>
      <c r="J111" s="26"/>
      <c r="K111" s="26"/>
      <c r="L111" s="26"/>
      <c r="M111" s="26"/>
      <c r="N111" s="26"/>
      <c r="O111" s="26"/>
      <c r="P111" s="26"/>
      <c r="Q111" s="42">
        <f>SUM(Q106:Q110)</f>
        <v>123.97199999999999</v>
      </c>
      <c r="R111" s="4">
        <f>Q111</f>
        <v>123.97199999999999</v>
      </c>
    </row>
    <row r="114" spans="7:17" x14ac:dyDescent="0.25">
      <c r="I114" t="s">
        <v>282</v>
      </c>
    </row>
    <row r="115" spans="7:17" x14ac:dyDescent="0.25">
      <c r="I115" s="20"/>
      <c r="J115" s="21">
        <v>10</v>
      </c>
      <c r="K115" s="21">
        <v>50</v>
      </c>
      <c r="L115" s="21">
        <v>0</v>
      </c>
      <c r="M115" s="34">
        <v>2</v>
      </c>
      <c r="N115" s="21">
        <v>10</v>
      </c>
      <c r="O115" s="21">
        <f t="shared" ref="O115:O116" si="34">IF(N115=8,0.395,IF(N115=10,0.617,IF(N115=12,0.888,IF(N115=14,1.208,IF(N115=16,1.578)))))</f>
        <v>0.61699999999999999</v>
      </c>
      <c r="P115" s="35">
        <f t="shared" ref="P115:P116" si="35">(K115+L115)*M115</f>
        <v>100</v>
      </c>
      <c r="Q115" s="36">
        <f>O115*P115</f>
        <v>61.7</v>
      </c>
    </row>
    <row r="116" spans="7:17" x14ac:dyDescent="0.25">
      <c r="I116" s="25"/>
      <c r="J116" s="26">
        <v>10</v>
      </c>
      <c r="K116" s="26">
        <v>1</v>
      </c>
      <c r="L116" s="26">
        <v>0</v>
      </c>
      <c r="M116" s="43">
        <f>50/0.2</f>
        <v>250</v>
      </c>
      <c r="N116" s="26">
        <v>10</v>
      </c>
      <c r="O116" s="26">
        <f t="shared" si="34"/>
        <v>0.61699999999999999</v>
      </c>
      <c r="P116" s="44">
        <f t="shared" si="35"/>
        <v>250</v>
      </c>
      <c r="Q116" s="45">
        <f>O116*P116</f>
        <v>154.25</v>
      </c>
    </row>
    <row r="117" spans="7:17" x14ac:dyDescent="0.25">
      <c r="Q117" s="52">
        <f>SUM(Q115:Q116)</f>
        <v>215.95</v>
      </c>
    </row>
    <row r="119" spans="7:17" x14ac:dyDescent="0.25">
      <c r="I119" t="s">
        <v>283</v>
      </c>
    </row>
    <row r="120" spans="7:17" x14ac:dyDescent="0.25">
      <c r="I120" s="20" t="s">
        <v>259</v>
      </c>
      <c r="J120" s="21">
        <v>14</v>
      </c>
      <c r="K120" s="21">
        <v>2</v>
      </c>
      <c r="L120" s="21">
        <v>57</v>
      </c>
      <c r="M120" s="21">
        <v>2</v>
      </c>
      <c r="N120" s="21">
        <v>1</v>
      </c>
      <c r="O120" s="21">
        <f>K120*L120*M120*N120</f>
        <v>228</v>
      </c>
      <c r="P120" s="21">
        <v>1.208</v>
      </c>
      <c r="Q120" s="22">
        <f>O120*P120</f>
        <v>275.42399999999998</v>
      </c>
    </row>
    <row r="121" spans="7:17" x14ac:dyDescent="0.25">
      <c r="I121" s="23" t="s">
        <v>236</v>
      </c>
      <c r="J121" s="19">
        <v>12</v>
      </c>
      <c r="K121" s="19">
        <v>3.5</v>
      </c>
      <c r="L121" s="19">
        <v>5</v>
      </c>
      <c r="M121" s="19">
        <v>2</v>
      </c>
      <c r="N121" s="19">
        <v>1</v>
      </c>
      <c r="O121" s="19">
        <f>N121*M121*L121*K121</f>
        <v>35</v>
      </c>
      <c r="P121" s="19">
        <v>0.88800000000000001</v>
      </c>
      <c r="Q121" s="24">
        <f t="shared" ref="Q121:Q123" si="36">O121*P121</f>
        <v>31.080000000000002</v>
      </c>
    </row>
    <row r="122" spans="7:17" x14ac:dyDescent="0.25">
      <c r="I122" s="23" t="s">
        <v>237</v>
      </c>
      <c r="J122" s="19">
        <v>12</v>
      </c>
      <c r="K122" s="19">
        <v>2.5</v>
      </c>
      <c r="L122" s="19">
        <v>5</v>
      </c>
      <c r="M122" s="19">
        <v>2</v>
      </c>
      <c r="N122" s="19">
        <v>1</v>
      </c>
      <c r="O122" s="19">
        <f t="shared" ref="O122:O123" si="37">N122*M122*L122*K122</f>
        <v>25</v>
      </c>
      <c r="P122" s="19">
        <v>0.88800000000000001</v>
      </c>
      <c r="Q122" s="24">
        <f t="shared" si="36"/>
        <v>22.2</v>
      </c>
    </row>
    <row r="123" spans="7:17" x14ac:dyDescent="0.25">
      <c r="I123" s="25" t="s">
        <v>238</v>
      </c>
      <c r="J123" s="26">
        <v>12</v>
      </c>
      <c r="K123" s="26">
        <v>2.5</v>
      </c>
      <c r="L123" s="19">
        <v>5</v>
      </c>
      <c r="M123" s="26">
        <v>2</v>
      </c>
      <c r="N123" s="26">
        <v>1</v>
      </c>
      <c r="O123" s="26">
        <f t="shared" si="37"/>
        <v>25</v>
      </c>
      <c r="P123" s="26">
        <v>0.88800000000000001</v>
      </c>
      <c r="Q123" s="27">
        <f t="shared" si="36"/>
        <v>22.2</v>
      </c>
    </row>
    <row r="124" spans="7:17" x14ac:dyDescent="0.25">
      <c r="Q124" s="51">
        <f>SUM(Q120:Q123)</f>
        <v>350.90399999999994</v>
      </c>
    </row>
    <row r="125" spans="7:17" x14ac:dyDescent="0.25">
      <c r="G125">
        <f xml:space="preserve"> 350+260+Q174</f>
        <v>3033.7544366666675</v>
      </c>
    </row>
    <row r="127" spans="7:17" x14ac:dyDescent="0.25">
      <c r="I127" s="80" t="s">
        <v>284</v>
      </c>
      <c r="J127" s="81"/>
      <c r="K127" s="21"/>
      <c r="L127" s="21"/>
      <c r="M127" s="21"/>
      <c r="N127" s="21"/>
      <c r="O127" s="21"/>
      <c r="P127" s="21"/>
      <c r="Q127" s="22"/>
    </row>
    <row r="128" spans="7:17" x14ac:dyDescent="0.25">
      <c r="I128" s="23" t="s">
        <v>74</v>
      </c>
      <c r="J128" s="19">
        <v>16</v>
      </c>
      <c r="K128" s="19">
        <v>2.1</v>
      </c>
      <c r="L128" s="19">
        <v>8</v>
      </c>
      <c r="M128" s="19">
        <v>9</v>
      </c>
      <c r="N128" s="19">
        <v>1</v>
      </c>
      <c r="O128" s="19">
        <f>K128*L128*M128</f>
        <v>151.20000000000002</v>
      </c>
      <c r="P128" s="19">
        <v>1.5780000000000001</v>
      </c>
      <c r="Q128" s="24">
        <f>P128*O128</f>
        <v>238.59360000000004</v>
      </c>
    </row>
    <row r="129" spans="5:17" x14ac:dyDescent="0.25">
      <c r="I129" s="25" t="s">
        <v>22</v>
      </c>
      <c r="J129" s="26">
        <v>8</v>
      </c>
      <c r="K129" s="26">
        <v>2.1</v>
      </c>
      <c r="L129" s="26">
        <v>3</v>
      </c>
      <c r="M129" s="26">
        <v>9</v>
      </c>
      <c r="N129" s="26"/>
      <c r="O129" s="26">
        <f>K129*L129*M129</f>
        <v>56.7</v>
      </c>
      <c r="P129" s="26">
        <v>0.39500000000000002</v>
      </c>
      <c r="Q129" s="27">
        <f>O129*P129</f>
        <v>22.396500000000003</v>
      </c>
    </row>
    <row r="130" spans="5:17" x14ac:dyDescent="0.25">
      <c r="Q130" s="50">
        <f>SUM(Q128:Q129)</f>
        <v>260.99010000000004</v>
      </c>
    </row>
    <row r="132" spans="5:17" x14ac:dyDescent="0.25">
      <c r="I132" t="s">
        <v>21</v>
      </c>
    </row>
    <row r="133" spans="5:17" x14ac:dyDescent="0.25">
      <c r="I133" s="20" t="s">
        <v>285</v>
      </c>
      <c r="J133" s="21">
        <v>10</v>
      </c>
      <c r="K133" s="21">
        <v>13</v>
      </c>
      <c r="L133" s="21">
        <v>0.5</v>
      </c>
      <c r="M133" s="34">
        <v>4</v>
      </c>
      <c r="N133" s="21">
        <v>10</v>
      </c>
      <c r="O133" s="21">
        <f t="shared" ref="O133:O138" si="38">IF(N133=8,0.395,IF(N133=10,0.617,IF(N133=12,0.888,IF(N133=14,1.208,IF(N133=16,1.578)))))</f>
        <v>0.61699999999999999</v>
      </c>
      <c r="P133" s="21">
        <f t="shared" ref="P133:P138" si="39">(K133+L133)*M133</f>
        <v>54</v>
      </c>
      <c r="Q133" s="47">
        <f>O133*P133</f>
        <v>33.317999999999998</v>
      </c>
    </row>
    <row r="134" spans="5:17" x14ac:dyDescent="0.25">
      <c r="I134" s="23"/>
      <c r="J134" s="19">
        <v>14</v>
      </c>
      <c r="K134" s="19">
        <v>13.8</v>
      </c>
      <c r="L134" s="19">
        <v>0.5</v>
      </c>
      <c r="M134" s="37">
        <v>6</v>
      </c>
      <c r="N134" s="19">
        <v>14</v>
      </c>
      <c r="O134" s="19">
        <f t="shared" si="38"/>
        <v>1.208</v>
      </c>
      <c r="P134" s="19">
        <f t="shared" si="39"/>
        <v>85.800000000000011</v>
      </c>
      <c r="Q134" s="39">
        <f>O134*P134</f>
        <v>103.64640000000001</v>
      </c>
    </row>
    <row r="135" spans="5:17" x14ac:dyDescent="0.25">
      <c r="I135" s="23"/>
      <c r="J135" s="19">
        <v>16</v>
      </c>
      <c r="K135" s="19">
        <f>(7.4+1.1+4.25+3.5)</f>
        <v>16.25</v>
      </c>
      <c r="L135" s="19">
        <v>0.5</v>
      </c>
      <c r="M135" s="37">
        <v>3</v>
      </c>
      <c r="N135" s="19">
        <v>16</v>
      </c>
      <c r="O135" s="19">
        <f t="shared" si="38"/>
        <v>1.5780000000000001</v>
      </c>
      <c r="P135" s="19">
        <f t="shared" si="39"/>
        <v>50.25</v>
      </c>
      <c r="Q135" s="39">
        <f>O135*P135</f>
        <v>79.294499999999999</v>
      </c>
    </row>
    <row r="136" spans="5:17" x14ac:dyDescent="0.25">
      <c r="E136">
        <f>4+1.1+2.1+3+13.4+13.4+4.25+3.5</f>
        <v>44.75</v>
      </c>
      <c r="I136" s="23"/>
      <c r="J136" s="19" t="s">
        <v>22</v>
      </c>
      <c r="K136" s="19">
        <v>1.9</v>
      </c>
      <c r="L136" s="19">
        <v>0</v>
      </c>
      <c r="M136" s="37">
        <f>(34+14+14+7+13)</f>
        <v>82</v>
      </c>
      <c r="N136" s="19">
        <v>10</v>
      </c>
      <c r="O136" s="19">
        <f t="shared" si="38"/>
        <v>0.61699999999999999</v>
      </c>
      <c r="P136" s="19">
        <f t="shared" si="39"/>
        <v>155.79999999999998</v>
      </c>
      <c r="Q136" s="39">
        <f>O136*P136</f>
        <v>96.128599999999992</v>
      </c>
    </row>
    <row r="137" spans="5:17" x14ac:dyDescent="0.25">
      <c r="I137" s="23"/>
      <c r="J137" s="19" t="s">
        <v>23</v>
      </c>
      <c r="K137" s="19">
        <v>1.45</v>
      </c>
      <c r="L137" s="19">
        <v>0</v>
      </c>
      <c r="M137" s="37">
        <f>(34+14+14+7+13)</f>
        <v>82</v>
      </c>
      <c r="N137" s="19">
        <v>10</v>
      </c>
      <c r="O137" s="19">
        <f t="shared" si="38"/>
        <v>0.61699999999999999</v>
      </c>
      <c r="P137" s="19">
        <f t="shared" si="39"/>
        <v>118.89999999999999</v>
      </c>
      <c r="Q137" s="39">
        <f t="shared" ref="Q137:Q173" si="40">O137*P137</f>
        <v>73.3613</v>
      </c>
    </row>
    <row r="138" spans="5:17" x14ac:dyDescent="0.25">
      <c r="I138" s="23"/>
      <c r="J138" s="19" t="s">
        <v>24</v>
      </c>
      <c r="K138" s="19">
        <v>0.35</v>
      </c>
      <c r="L138" s="19">
        <v>0</v>
      </c>
      <c r="M138" s="37">
        <v>60</v>
      </c>
      <c r="N138" s="19">
        <v>10</v>
      </c>
      <c r="O138" s="19">
        <f t="shared" si="38"/>
        <v>0.61699999999999999</v>
      </c>
      <c r="P138" s="19">
        <f t="shared" si="39"/>
        <v>21</v>
      </c>
      <c r="Q138" s="39">
        <f t="shared" si="40"/>
        <v>12.957000000000001</v>
      </c>
    </row>
    <row r="139" spans="5:17" x14ac:dyDescent="0.25">
      <c r="I139" s="23"/>
      <c r="J139" s="19"/>
      <c r="K139" s="19"/>
      <c r="L139" s="19"/>
      <c r="M139" s="19"/>
      <c r="N139" s="19"/>
      <c r="O139" s="19"/>
      <c r="P139" s="19"/>
      <c r="Q139" s="39">
        <f t="shared" si="40"/>
        <v>0</v>
      </c>
    </row>
    <row r="140" spans="5:17" x14ac:dyDescent="0.25">
      <c r="I140" s="23" t="s">
        <v>286</v>
      </c>
      <c r="J140" s="19">
        <v>10</v>
      </c>
      <c r="K140" s="19">
        <v>13</v>
      </c>
      <c r="L140" s="19">
        <v>0</v>
      </c>
      <c r="M140" s="37">
        <v>4</v>
      </c>
      <c r="N140" s="19">
        <v>10</v>
      </c>
      <c r="O140" s="19">
        <f t="shared" ref="O140:O145" si="41">IF(N140=8,0.395,IF(N140=10,0.617,IF(N140=12,0.888,IF(N140=14,1.208,IF(N140=16,1.578)))))</f>
        <v>0.61699999999999999</v>
      </c>
      <c r="P140" s="19">
        <f t="shared" ref="P140:P145" si="42">(K140+L140)*M140</f>
        <v>52</v>
      </c>
      <c r="Q140" s="39">
        <f t="shared" si="40"/>
        <v>32.084000000000003</v>
      </c>
    </row>
    <row r="141" spans="5:17" x14ac:dyDescent="0.25">
      <c r="I141" s="23"/>
      <c r="J141" s="19">
        <v>14</v>
      </c>
      <c r="K141" s="19">
        <v>0</v>
      </c>
      <c r="L141" s="19">
        <v>0</v>
      </c>
      <c r="M141" s="37">
        <v>0</v>
      </c>
      <c r="N141" s="19">
        <v>14</v>
      </c>
      <c r="O141" s="19">
        <f t="shared" si="41"/>
        <v>1.208</v>
      </c>
      <c r="P141" s="19">
        <f t="shared" si="42"/>
        <v>0</v>
      </c>
      <c r="Q141" s="39">
        <f t="shared" si="40"/>
        <v>0</v>
      </c>
    </row>
    <row r="142" spans="5:17" x14ac:dyDescent="0.25">
      <c r="I142" s="23"/>
      <c r="J142" s="19">
        <v>16</v>
      </c>
      <c r="K142" s="19">
        <v>44.75</v>
      </c>
      <c r="L142" s="19">
        <v>0.5</v>
      </c>
      <c r="M142" s="37">
        <v>3</v>
      </c>
      <c r="N142" s="19">
        <v>16</v>
      </c>
      <c r="O142" s="19">
        <f t="shared" si="41"/>
        <v>1.5780000000000001</v>
      </c>
      <c r="P142" s="19">
        <f t="shared" si="42"/>
        <v>135.75</v>
      </c>
      <c r="Q142" s="39">
        <f t="shared" si="40"/>
        <v>214.21350000000001</v>
      </c>
    </row>
    <row r="143" spans="5:17" x14ac:dyDescent="0.25">
      <c r="I143" s="23"/>
      <c r="J143" s="19" t="s">
        <v>22</v>
      </c>
      <c r="K143" s="19">
        <v>1.9</v>
      </c>
      <c r="L143" s="19">
        <v>0</v>
      </c>
      <c r="M143" s="37">
        <f>(3.5/0.1)+(1.44/0.1)+(2.5/0.1)+(2/0.15)</f>
        <v>87.733333333333334</v>
      </c>
      <c r="N143" s="19">
        <v>10</v>
      </c>
      <c r="O143" s="19">
        <f t="shared" si="41"/>
        <v>0.61699999999999999</v>
      </c>
      <c r="P143" s="19">
        <f t="shared" si="42"/>
        <v>166.69333333333333</v>
      </c>
      <c r="Q143" s="39">
        <f t="shared" si="40"/>
        <v>102.84978666666666</v>
      </c>
    </row>
    <row r="144" spans="5:17" x14ac:dyDescent="0.25">
      <c r="I144" s="23"/>
      <c r="J144" s="19" t="s">
        <v>23</v>
      </c>
      <c r="K144" s="19">
        <v>1.45</v>
      </c>
      <c r="L144" s="19">
        <v>0</v>
      </c>
      <c r="M144" s="37">
        <f>(34+14+14+7+13)</f>
        <v>82</v>
      </c>
      <c r="N144" s="19">
        <v>10</v>
      </c>
      <c r="O144" s="19">
        <f t="shared" si="41"/>
        <v>0.61699999999999999</v>
      </c>
      <c r="P144" s="19">
        <f t="shared" si="42"/>
        <v>118.89999999999999</v>
      </c>
      <c r="Q144" s="39">
        <f t="shared" si="40"/>
        <v>73.3613</v>
      </c>
    </row>
    <row r="145" spans="9:17" x14ac:dyDescent="0.25">
      <c r="I145" s="23"/>
      <c r="J145" s="19" t="s">
        <v>24</v>
      </c>
      <c r="K145" s="19">
        <v>0.35</v>
      </c>
      <c r="L145" s="19">
        <v>0</v>
      </c>
      <c r="M145" s="37">
        <v>60</v>
      </c>
      <c r="N145" s="19">
        <v>10</v>
      </c>
      <c r="O145" s="19">
        <f t="shared" si="41"/>
        <v>0.61699999999999999</v>
      </c>
      <c r="P145" s="19">
        <f t="shared" si="42"/>
        <v>21</v>
      </c>
      <c r="Q145" s="39">
        <f t="shared" si="40"/>
        <v>12.957000000000001</v>
      </c>
    </row>
    <row r="146" spans="9:17" x14ac:dyDescent="0.25">
      <c r="I146" s="23"/>
      <c r="J146" s="19"/>
      <c r="K146" s="19"/>
      <c r="L146" s="19"/>
      <c r="M146" s="19"/>
      <c r="N146" s="19"/>
      <c r="O146" s="19"/>
      <c r="P146" s="19"/>
      <c r="Q146" s="39">
        <f t="shared" si="40"/>
        <v>0</v>
      </c>
    </row>
    <row r="147" spans="9:17" x14ac:dyDescent="0.25">
      <c r="I147" s="23" t="s">
        <v>287</v>
      </c>
      <c r="J147" s="19">
        <v>10</v>
      </c>
      <c r="K147" s="19">
        <v>13</v>
      </c>
      <c r="L147" s="19">
        <v>0.5</v>
      </c>
      <c r="M147" s="37">
        <v>4</v>
      </c>
      <c r="N147" s="19">
        <v>10</v>
      </c>
      <c r="O147" s="19">
        <f t="shared" ref="O147:O152" si="43">IF(N147=8,0.395,IF(N147=10,0.617,IF(N147=12,0.888,IF(N147=14,1.208,IF(N147=16,1.578)))))</f>
        <v>0.61699999999999999</v>
      </c>
      <c r="P147" s="19">
        <f t="shared" ref="P147:P152" si="44">(K147+L147)*M147</f>
        <v>54</v>
      </c>
      <c r="Q147" s="39">
        <f t="shared" si="40"/>
        <v>33.317999999999998</v>
      </c>
    </row>
    <row r="148" spans="9:17" x14ac:dyDescent="0.25">
      <c r="I148" s="23"/>
      <c r="J148" s="19">
        <v>14</v>
      </c>
      <c r="K148" s="19"/>
      <c r="L148" s="19"/>
      <c r="M148" s="37">
        <v>6</v>
      </c>
      <c r="N148" s="19">
        <v>14</v>
      </c>
      <c r="O148" s="19">
        <f t="shared" si="43"/>
        <v>1.208</v>
      </c>
      <c r="P148" s="19">
        <f t="shared" si="44"/>
        <v>0</v>
      </c>
      <c r="Q148" s="39">
        <f t="shared" si="40"/>
        <v>0</v>
      </c>
    </row>
    <row r="149" spans="9:17" x14ac:dyDescent="0.25">
      <c r="I149" s="23"/>
      <c r="J149" s="19">
        <v>16</v>
      </c>
      <c r="K149" s="19">
        <v>44.2</v>
      </c>
      <c r="L149" s="19">
        <v>0.5</v>
      </c>
      <c r="M149" s="37">
        <v>3</v>
      </c>
      <c r="N149" s="19">
        <v>16</v>
      </c>
      <c r="O149" s="19">
        <f t="shared" si="43"/>
        <v>1.5780000000000001</v>
      </c>
      <c r="P149" s="19">
        <f t="shared" si="44"/>
        <v>134.10000000000002</v>
      </c>
      <c r="Q149" s="39">
        <f t="shared" si="40"/>
        <v>211.60980000000004</v>
      </c>
    </row>
    <row r="150" spans="9:17" x14ac:dyDescent="0.25">
      <c r="I150" s="23"/>
      <c r="J150" s="19" t="s">
        <v>22</v>
      </c>
      <c r="K150" s="19">
        <v>1.9</v>
      </c>
      <c r="L150" s="19">
        <v>0</v>
      </c>
      <c r="M150" s="37">
        <f>(34+14+14+7+13)</f>
        <v>82</v>
      </c>
      <c r="N150" s="19">
        <v>10</v>
      </c>
      <c r="O150" s="19">
        <f t="shared" si="43"/>
        <v>0.61699999999999999</v>
      </c>
      <c r="P150" s="19">
        <f t="shared" si="44"/>
        <v>155.79999999999998</v>
      </c>
      <c r="Q150" s="39">
        <f t="shared" si="40"/>
        <v>96.128599999999992</v>
      </c>
    </row>
    <row r="151" spans="9:17" x14ac:dyDescent="0.25">
      <c r="I151" s="23"/>
      <c r="J151" s="19" t="s">
        <v>23</v>
      </c>
      <c r="K151" s="19">
        <v>1.45</v>
      </c>
      <c r="L151" s="19">
        <v>0</v>
      </c>
      <c r="M151" s="37">
        <f>(34+14+14+7+13)</f>
        <v>82</v>
      </c>
      <c r="N151" s="19">
        <v>10</v>
      </c>
      <c r="O151" s="19">
        <f t="shared" si="43"/>
        <v>0.61699999999999999</v>
      </c>
      <c r="P151" s="19">
        <f t="shared" si="44"/>
        <v>118.89999999999999</v>
      </c>
      <c r="Q151" s="39">
        <f t="shared" si="40"/>
        <v>73.3613</v>
      </c>
    </row>
    <row r="152" spans="9:17" x14ac:dyDescent="0.25">
      <c r="I152" s="23"/>
      <c r="J152" s="19" t="s">
        <v>24</v>
      </c>
      <c r="K152" s="19">
        <v>0.35</v>
      </c>
      <c r="L152" s="19">
        <v>0</v>
      </c>
      <c r="M152" s="37">
        <v>60</v>
      </c>
      <c r="N152" s="19">
        <v>10</v>
      </c>
      <c r="O152" s="19">
        <f t="shared" si="43"/>
        <v>0.61699999999999999</v>
      </c>
      <c r="P152" s="19">
        <f t="shared" si="44"/>
        <v>21</v>
      </c>
      <c r="Q152" s="39">
        <f t="shared" si="40"/>
        <v>12.957000000000001</v>
      </c>
    </row>
    <row r="153" spans="9:17" x14ac:dyDescent="0.25">
      <c r="I153" s="23"/>
      <c r="J153" s="19"/>
      <c r="K153" s="19"/>
      <c r="L153" s="19"/>
      <c r="M153" s="19"/>
      <c r="N153" s="19"/>
      <c r="O153" s="19"/>
      <c r="P153" s="19"/>
      <c r="Q153" s="39">
        <f t="shared" si="40"/>
        <v>0</v>
      </c>
    </row>
    <row r="154" spans="9:17" x14ac:dyDescent="0.25">
      <c r="I154" s="23" t="s">
        <v>32</v>
      </c>
      <c r="J154" s="19">
        <v>10</v>
      </c>
      <c r="K154" s="19">
        <v>11.3</v>
      </c>
      <c r="L154" s="19">
        <v>0</v>
      </c>
      <c r="M154" s="37">
        <v>4</v>
      </c>
      <c r="N154" s="19">
        <v>10</v>
      </c>
      <c r="O154" s="19">
        <f t="shared" ref="O154:O159" si="45">IF(N154=8,0.395,IF(N154=10,0.617,IF(N154=12,0.888,IF(N154=14,1.208,IF(N154=16,1.578)))))</f>
        <v>0.61699999999999999</v>
      </c>
      <c r="P154" s="19">
        <f t="shared" ref="P154:P159" si="46">(K154+L154)*M154</f>
        <v>45.2</v>
      </c>
      <c r="Q154" s="39">
        <f t="shared" si="40"/>
        <v>27.888400000000001</v>
      </c>
    </row>
    <row r="155" spans="9:17" x14ac:dyDescent="0.25">
      <c r="I155" s="23"/>
      <c r="J155" s="19">
        <v>14</v>
      </c>
      <c r="K155" s="19">
        <v>11.8</v>
      </c>
      <c r="L155" s="19">
        <v>0</v>
      </c>
      <c r="M155" s="37">
        <v>6</v>
      </c>
      <c r="N155" s="19">
        <v>14</v>
      </c>
      <c r="O155" s="19">
        <f t="shared" si="45"/>
        <v>1.208</v>
      </c>
      <c r="P155" s="19">
        <f t="shared" si="46"/>
        <v>70.800000000000011</v>
      </c>
      <c r="Q155" s="39">
        <f t="shared" si="40"/>
        <v>85.52640000000001</v>
      </c>
    </row>
    <row r="156" spans="9:17" x14ac:dyDescent="0.25">
      <c r="I156" s="23"/>
      <c r="J156" s="19">
        <v>16</v>
      </c>
      <c r="K156" s="19">
        <f>(2+4+3+4.25+2)</f>
        <v>15.25</v>
      </c>
      <c r="L156" s="19"/>
      <c r="M156" s="37">
        <v>3</v>
      </c>
      <c r="N156" s="19">
        <v>16</v>
      </c>
      <c r="O156" s="19">
        <f t="shared" si="45"/>
        <v>1.5780000000000001</v>
      </c>
      <c r="P156" s="19">
        <f t="shared" si="46"/>
        <v>45.75</v>
      </c>
      <c r="Q156" s="39">
        <f t="shared" si="40"/>
        <v>72.1935</v>
      </c>
    </row>
    <row r="157" spans="9:17" x14ac:dyDescent="0.25">
      <c r="I157" s="23"/>
      <c r="J157" s="19" t="s">
        <v>22</v>
      </c>
      <c r="K157" s="19">
        <v>1.9</v>
      </c>
      <c r="L157" s="19">
        <v>0</v>
      </c>
      <c r="M157" s="37">
        <f>(60+(1.85+1.9)/0.15)</f>
        <v>85</v>
      </c>
      <c r="N157" s="19">
        <v>10</v>
      </c>
      <c r="O157" s="19">
        <f t="shared" si="45"/>
        <v>0.61699999999999999</v>
      </c>
      <c r="P157" s="19">
        <f t="shared" si="46"/>
        <v>161.5</v>
      </c>
      <c r="Q157" s="39">
        <f t="shared" si="40"/>
        <v>99.645499999999998</v>
      </c>
    </row>
    <row r="158" spans="9:17" x14ac:dyDescent="0.25">
      <c r="I158" s="23"/>
      <c r="J158" s="19" t="s">
        <v>23</v>
      </c>
      <c r="K158" s="19">
        <v>1.45</v>
      </c>
      <c r="L158" s="19">
        <v>0</v>
      </c>
      <c r="M158" s="37">
        <v>85</v>
      </c>
      <c r="N158" s="19">
        <v>10</v>
      </c>
      <c r="O158" s="19">
        <f t="shared" si="45"/>
        <v>0.61699999999999999</v>
      </c>
      <c r="P158" s="19">
        <f t="shared" si="46"/>
        <v>123.25</v>
      </c>
      <c r="Q158" s="39">
        <f t="shared" si="40"/>
        <v>76.045249999999996</v>
      </c>
    </row>
    <row r="159" spans="9:17" x14ac:dyDescent="0.25">
      <c r="I159" s="23"/>
      <c r="J159" s="19" t="s">
        <v>24</v>
      </c>
      <c r="K159" s="19">
        <v>0.35</v>
      </c>
      <c r="L159" s="19">
        <v>0</v>
      </c>
      <c r="M159" s="37">
        <v>60</v>
      </c>
      <c r="N159" s="19">
        <v>10</v>
      </c>
      <c r="O159" s="19">
        <f t="shared" si="45"/>
        <v>0.61699999999999999</v>
      </c>
      <c r="P159" s="19">
        <f t="shared" si="46"/>
        <v>21</v>
      </c>
      <c r="Q159" s="39">
        <f t="shared" si="40"/>
        <v>12.957000000000001</v>
      </c>
    </row>
    <row r="160" spans="9:17" x14ac:dyDescent="0.25">
      <c r="I160" s="23"/>
      <c r="J160" s="19"/>
      <c r="K160" s="19"/>
      <c r="L160" s="19"/>
      <c r="M160" s="19"/>
      <c r="N160" s="19"/>
      <c r="O160" s="19"/>
      <c r="P160" s="19"/>
      <c r="Q160" s="39">
        <f t="shared" si="40"/>
        <v>0</v>
      </c>
    </row>
    <row r="161" spans="9:17" x14ac:dyDescent="0.25">
      <c r="I161" s="23" t="s">
        <v>34</v>
      </c>
      <c r="J161" s="19">
        <v>10</v>
      </c>
      <c r="K161" s="19">
        <v>11.3</v>
      </c>
      <c r="L161" s="19">
        <v>0</v>
      </c>
      <c r="M161" s="37">
        <v>4</v>
      </c>
      <c r="N161" s="19">
        <v>10</v>
      </c>
      <c r="O161" s="19">
        <f t="shared" ref="O161:O166" si="47">IF(N161=8,0.395,IF(N161=10,0.617,IF(N161=12,0.888,IF(N161=14,1.208,IF(N161=16,1.578)))))</f>
        <v>0.61699999999999999</v>
      </c>
      <c r="P161" s="19">
        <f t="shared" ref="P161:P166" si="48">(K161+L161)*M161</f>
        <v>45.2</v>
      </c>
      <c r="Q161" s="39">
        <f t="shared" si="40"/>
        <v>27.888400000000001</v>
      </c>
    </row>
    <row r="162" spans="9:17" x14ac:dyDescent="0.25">
      <c r="I162" s="23"/>
      <c r="J162" s="19">
        <v>14</v>
      </c>
      <c r="K162" s="19">
        <v>11.8</v>
      </c>
      <c r="L162" s="19">
        <v>0</v>
      </c>
      <c r="M162" s="37">
        <v>6</v>
      </c>
      <c r="N162" s="19">
        <v>14</v>
      </c>
      <c r="O162" s="19">
        <f t="shared" si="47"/>
        <v>1.208</v>
      </c>
      <c r="P162" s="19">
        <f t="shared" si="48"/>
        <v>70.800000000000011</v>
      </c>
      <c r="Q162" s="39">
        <f t="shared" si="40"/>
        <v>85.52640000000001</v>
      </c>
    </row>
    <row r="163" spans="9:17" x14ac:dyDescent="0.25">
      <c r="I163" s="23"/>
      <c r="J163" s="19">
        <v>16</v>
      </c>
      <c r="K163" s="19">
        <f>(2+4+3+4.25+2)</f>
        <v>15.25</v>
      </c>
      <c r="L163" s="19"/>
      <c r="M163" s="37">
        <v>3</v>
      </c>
      <c r="N163" s="19">
        <v>16</v>
      </c>
      <c r="O163" s="19">
        <f t="shared" si="47"/>
        <v>1.5780000000000001</v>
      </c>
      <c r="P163" s="19">
        <f t="shared" si="48"/>
        <v>45.75</v>
      </c>
      <c r="Q163" s="39">
        <f t="shared" si="40"/>
        <v>72.1935</v>
      </c>
    </row>
    <row r="164" spans="9:17" x14ac:dyDescent="0.25">
      <c r="I164" s="23"/>
      <c r="J164" s="19" t="s">
        <v>22</v>
      </c>
      <c r="K164" s="19">
        <v>1.9</v>
      </c>
      <c r="L164" s="19">
        <v>0</v>
      </c>
      <c r="M164" s="37">
        <f>(60+(1.85+1.9)/0.15)</f>
        <v>85</v>
      </c>
      <c r="N164" s="19">
        <v>10</v>
      </c>
      <c r="O164" s="19">
        <f t="shared" si="47"/>
        <v>0.61699999999999999</v>
      </c>
      <c r="P164" s="19">
        <f t="shared" si="48"/>
        <v>161.5</v>
      </c>
      <c r="Q164" s="39">
        <f t="shared" si="40"/>
        <v>99.645499999999998</v>
      </c>
    </row>
    <row r="165" spans="9:17" x14ac:dyDescent="0.25">
      <c r="I165" s="23"/>
      <c r="J165" s="19" t="s">
        <v>23</v>
      </c>
      <c r="K165" s="19">
        <v>1.45</v>
      </c>
      <c r="L165" s="19">
        <v>0</v>
      </c>
      <c r="M165" s="37">
        <v>85</v>
      </c>
      <c r="N165" s="19">
        <v>10</v>
      </c>
      <c r="O165" s="19">
        <f t="shared" si="47"/>
        <v>0.61699999999999999</v>
      </c>
      <c r="P165" s="19">
        <f t="shared" si="48"/>
        <v>123.25</v>
      </c>
      <c r="Q165" s="39">
        <f t="shared" si="40"/>
        <v>76.045249999999996</v>
      </c>
    </row>
    <row r="166" spans="9:17" x14ac:dyDescent="0.25">
      <c r="I166" s="23"/>
      <c r="J166" s="19" t="s">
        <v>24</v>
      </c>
      <c r="K166" s="19">
        <v>0.35</v>
      </c>
      <c r="L166" s="19">
        <v>0</v>
      </c>
      <c r="M166" s="37">
        <v>60</v>
      </c>
      <c r="N166" s="19">
        <v>10</v>
      </c>
      <c r="O166" s="19">
        <f t="shared" si="47"/>
        <v>0.61699999999999999</v>
      </c>
      <c r="P166" s="19">
        <f t="shared" si="48"/>
        <v>21</v>
      </c>
      <c r="Q166" s="39">
        <f t="shared" si="40"/>
        <v>12.957000000000001</v>
      </c>
    </row>
    <row r="167" spans="9:17" x14ac:dyDescent="0.25">
      <c r="I167" s="23"/>
      <c r="J167" s="19"/>
      <c r="K167" s="19"/>
      <c r="L167" s="19"/>
      <c r="M167" s="19"/>
      <c r="N167" s="19"/>
      <c r="O167" s="19"/>
      <c r="P167" s="19"/>
      <c r="Q167" s="39">
        <f t="shared" si="40"/>
        <v>0</v>
      </c>
    </row>
    <row r="168" spans="9:17" x14ac:dyDescent="0.25">
      <c r="I168" s="23" t="s">
        <v>33</v>
      </c>
      <c r="J168" s="19">
        <v>10</v>
      </c>
      <c r="K168" s="19">
        <v>11.3</v>
      </c>
      <c r="L168" s="19">
        <v>0</v>
      </c>
      <c r="M168" s="37">
        <v>4</v>
      </c>
      <c r="N168" s="19">
        <v>10</v>
      </c>
      <c r="O168" s="19">
        <f t="shared" ref="O168:O173" si="49">IF(N168=8,0.395,IF(N168=10,0.617,IF(N168=12,0.888,IF(N168=14,1.208,IF(N168=16,1.578)))))</f>
        <v>0.61699999999999999</v>
      </c>
      <c r="P168" s="19">
        <f t="shared" ref="P168:P173" si="50">(K168+L168)*M168</f>
        <v>45.2</v>
      </c>
      <c r="Q168" s="39">
        <f t="shared" si="40"/>
        <v>27.888400000000001</v>
      </c>
    </row>
    <row r="169" spans="9:17" x14ac:dyDescent="0.25">
      <c r="I169" s="23"/>
      <c r="J169" s="19">
        <v>14</v>
      </c>
      <c r="K169" s="19"/>
      <c r="L169" s="19"/>
      <c r="M169" s="37"/>
      <c r="N169" s="19">
        <v>14</v>
      </c>
      <c r="O169" s="19">
        <f t="shared" si="49"/>
        <v>1.208</v>
      </c>
      <c r="P169" s="19">
        <f t="shared" si="50"/>
        <v>0</v>
      </c>
      <c r="Q169" s="39">
        <f t="shared" si="40"/>
        <v>0</v>
      </c>
    </row>
    <row r="170" spans="9:17" x14ac:dyDescent="0.25">
      <c r="I170" s="23"/>
      <c r="J170" s="19">
        <v>16</v>
      </c>
      <c r="K170" s="19">
        <f>11.8+11.8+3.5+2.3+3+4.25+2</f>
        <v>38.650000000000006</v>
      </c>
      <c r="L170" s="19"/>
      <c r="M170" s="37">
        <v>3</v>
      </c>
      <c r="N170" s="19">
        <v>16</v>
      </c>
      <c r="O170" s="19">
        <f t="shared" si="49"/>
        <v>1.5780000000000001</v>
      </c>
      <c r="P170" s="19">
        <f t="shared" si="50"/>
        <v>115.95000000000002</v>
      </c>
      <c r="Q170" s="39">
        <f t="shared" si="40"/>
        <v>182.96910000000003</v>
      </c>
    </row>
    <row r="171" spans="9:17" x14ac:dyDescent="0.25">
      <c r="I171" s="23"/>
      <c r="J171" s="19" t="s">
        <v>22</v>
      </c>
      <c r="K171" s="19">
        <v>2.1</v>
      </c>
      <c r="L171" s="19">
        <v>0</v>
      </c>
      <c r="M171" s="37">
        <f>(60+(1.85+1.9)/0.15)</f>
        <v>85</v>
      </c>
      <c r="N171" s="19">
        <v>10</v>
      </c>
      <c r="O171" s="19">
        <f t="shared" si="49"/>
        <v>0.61699999999999999</v>
      </c>
      <c r="P171" s="19">
        <f t="shared" si="50"/>
        <v>178.5</v>
      </c>
      <c r="Q171" s="39">
        <f t="shared" si="40"/>
        <v>110.1345</v>
      </c>
    </row>
    <row r="172" spans="9:17" x14ac:dyDescent="0.25">
      <c r="I172" s="23"/>
      <c r="J172" s="19" t="s">
        <v>23</v>
      </c>
      <c r="K172" s="19">
        <v>1.45</v>
      </c>
      <c r="L172" s="19">
        <v>0</v>
      </c>
      <c r="M172" s="37">
        <v>85</v>
      </c>
      <c r="N172" s="19">
        <v>10</v>
      </c>
      <c r="O172" s="19">
        <f t="shared" si="49"/>
        <v>0.61699999999999999</v>
      </c>
      <c r="P172" s="19">
        <f t="shared" si="50"/>
        <v>123.25</v>
      </c>
      <c r="Q172" s="39">
        <f t="shared" si="40"/>
        <v>76.045249999999996</v>
      </c>
    </row>
    <row r="173" spans="9:17" x14ac:dyDescent="0.25">
      <c r="I173" s="25"/>
      <c r="J173" s="26" t="s">
        <v>24</v>
      </c>
      <c r="K173" s="26">
        <v>0.45</v>
      </c>
      <c r="L173" s="26">
        <v>0</v>
      </c>
      <c r="M173" s="43">
        <v>60</v>
      </c>
      <c r="N173" s="26">
        <v>10</v>
      </c>
      <c r="O173" s="26">
        <f t="shared" si="49"/>
        <v>0.61699999999999999</v>
      </c>
      <c r="P173" s="26">
        <f t="shared" si="50"/>
        <v>27</v>
      </c>
      <c r="Q173" s="48">
        <f t="shared" si="40"/>
        <v>16.658999999999999</v>
      </c>
    </row>
    <row r="174" spans="9:17" x14ac:dyDescent="0.25">
      <c r="Q174" s="49">
        <f>SUM(Q133:Q173)</f>
        <v>2423.7544366666675</v>
      </c>
    </row>
  </sheetData>
  <mergeCells count="6">
    <mergeCell ref="B1:F1"/>
    <mergeCell ref="I127:J127"/>
    <mergeCell ref="O6:O7"/>
    <mergeCell ref="O8:O9"/>
    <mergeCell ref="P6:P7"/>
    <mergeCell ref="P8:P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5EF8-4F77-4DDB-8A02-BF182047F462}">
  <dimension ref="A1:AC174"/>
  <sheetViews>
    <sheetView tabSelected="1" workbookViewId="0">
      <selection activeCell="J6" sqref="J6"/>
    </sheetView>
  </sheetViews>
  <sheetFormatPr baseColWidth="10" defaultRowHeight="15" x14ac:dyDescent="0.25"/>
  <cols>
    <col min="1" max="1" width="8" customWidth="1"/>
    <col min="2" max="2" width="32.5703125" customWidth="1"/>
    <col min="3" max="3" width="5.7109375" customWidth="1"/>
    <col min="6" max="6" width="20.7109375" customWidth="1"/>
    <col min="9" max="9" width="12.7109375" customWidth="1"/>
    <col min="12" max="12" width="12.85546875" bestFit="1" customWidth="1"/>
    <col min="13" max="13" width="16.5703125" customWidth="1"/>
    <col min="16" max="16" width="18.140625" customWidth="1"/>
    <col min="17" max="17" width="24.7109375" customWidth="1"/>
    <col min="18" max="18" width="26.5703125" customWidth="1"/>
  </cols>
  <sheetData>
    <row r="1" spans="1:29" x14ac:dyDescent="0.25">
      <c r="B1" s="70" t="s">
        <v>229</v>
      </c>
      <c r="C1" s="70"/>
      <c r="D1" s="70"/>
      <c r="E1" s="70"/>
      <c r="F1" s="70"/>
    </row>
    <row r="3" spans="1:29" x14ac:dyDescent="0.25">
      <c r="A3" s="18" t="s">
        <v>208</v>
      </c>
      <c r="B3" s="18" t="s">
        <v>209</v>
      </c>
      <c r="C3" s="18" t="s">
        <v>210</v>
      </c>
      <c r="D3" s="18" t="s">
        <v>211</v>
      </c>
      <c r="E3" s="18" t="s">
        <v>212</v>
      </c>
      <c r="F3" s="18" t="s">
        <v>213</v>
      </c>
      <c r="G3" s="18" t="s">
        <v>217</v>
      </c>
      <c r="R3" t="s">
        <v>242</v>
      </c>
      <c r="S3" t="s">
        <v>243</v>
      </c>
    </row>
    <row r="4" spans="1:29" x14ac:dyDescent="0.25">
      <c r="A4" s="54">
        <v>1</v>
      </c>
      <c r="B4" s="54" t="s">
        <v>214</v>
      </c>
      <c r="C4" s="54" t="s">
        <v>178</v>
      </c>
      <c r="D4" s="54">
        <v>14</v>
      </c>
      <c r="E4" s="58">
        <v>6500</v>
      </c>
      <c r="F4" s="56">
        <f>D4*E4</f>
        <v>91000</v>
      </c>
      <c r="G4" s="54"/>
      <c r="Q4" s="28" t="s">
        <v>240</v>
      </c>
      <c r="R4" s="29">
        <v>114.2</v>
      </c>
      <c r="S4" s="29">
        <v>0.1</v>
      </c>
      <c r="T4" s="30">
        <f>R4*S4</f>
        <v>11.420000000000002</v>
      </c>
    </row>
    <row r="5" spans="1:29" x14ac:dyDescent="0.25">
      <c r="A5" s="54">
        <v>2</v>
      </c>
      <c r="B5" s="54" t="s">
        <v>293</v>
      </c>
      <c r="C5" s="54" t="s">
        <v>178</v>
      </c>
      <c r="D5" s="54">
        <f>38.736-10</f>
        <v>28.735999999999997</v>
      </c>
      <c r="E5" s="58">
        <v>40000</v>
      </c>
      <c r="F5" s="56">
        <f t="shared" ref="F5:F17" si="0">D5*E5</f>
        <v>1149440</v>
      </c>
      <c r="G5" s="54"/>
      <c r="J5">
        <f>29+28</f>
        <v>57</v>
      </c>
    </row>
    <row r="6" spans="1:29" ht="45" x14ac:dyDescent="0.25">
      <c r="A6" s="54">
        <v>3</v>
      </c>
      <c r="B6" s="55" t="s">
        <v>294</v>
      </c>
      <c r="C6" s="54" t="s">
        <v>178</v>
      </c>
      <c r="D6" s="54">
        <f>9.094+O8</f>
        <v>28.0717</v>
      </c>
      <c r="E6" s="58">
        <v>40000</v>
      </c>
      <c r="F6" s="56">
        <f t="shared" si="0"/>
        <v>1122868</v>
      </c>
      <c r="G6" s="54"/>
      <c r="N6" s="17">
        <f>0.35*0.4*13.1*3</f>
        <v>5.5019999999999998</v>
      </c>
      <c r="O6" s="78">
        <f>N6+N7</f>
        <v>10.8444</v>
      </c>
      <c r="P6" s="82" t="s">
        <v>289</v>
      </c>
      <c r="Z6">
        <f>140*0.1</f>
        <v>14</v>
      </c>
    </row>
    <row r="7" spans="1:29" x14ac:dyDescent="0.25">
      <c r="A7" s="54">
        <v>4</v>
      </c>
      <c r="B7" s="55" t="s">
        <v>295</v>
      </c>
      <c r="C7" s="54" t="s">
        <v>178</v>
      </c>
      <c r="D7" s="54">
        <v>19.5</v>
      </c>
      <c r="E7" s="58">
        <v>41000</v>
      </c>
      <c r="F7" s="56">
        <f t="shared" si="0"/>
        <v>799500</v>
      </c>
      <c r="G7" s="54"/>
      <c r="N7" s="17">
        <f>0.4*0.4*11.13*3</f>
        <v>5.3424000000000014</v>
      </c>
      <c r="O7" s="78"/>
      <c r="P7" s="82"/>
    </row>
    <row r="8" spans="1:29" x14ac:dyDescent="0.25">
      <c r="A8" s="54">
        <v>5</v>
      </c>
      <c r="B8" s="55" t="s">
        <v>296</v>
      </c>
      <c r="C8" s="54" t="s">
        <v>178</v>
      </c>
      <c r="D8" s="54">
        <v>11.72</v>
      </c>
      <c r="E8" s="58">
        <v>41000</v>
      </c>
      <c r="F8" s="56">
        <f t="shared" si="0"/>
        <v>480520</v>
      </c>
      <c r="G8" s="54"/>
      <c r="I8" t="s">
        <v>239</v>
      </c>
      <c r="N8">
        <f>0.4*0.7*11.13*3</f>
        <v>9.3491999999999997</v>
      </c>
      <c r="O8" s="78">
        <f>SUM(N8:N9)</f>
        <v>18.977699999999999</v>
      </c>
      <c r="P8" s="82" t="s">
        <v>290</v>
      </c>
      <c r="T8" t="s">
        <v>235</v>
      </c>
      <c r="AB8" t="s">
        <v>233</v>
      </c>
      <c r="AC8">
        <v>8.23</v>
      </c>
    </row>
    <row r="9" spans="1:29" x14ac:dyDescent="0.25">
      <c r="A9" s="54">
        <v>6</v>
      </c>
      <c r="B9" s="54" t="s">
        <v>215</v>
      </c>
      <c r="C9" s="54" t="s">
        <v>178</v>
      </c>
      <c r="D9" s="54">
        <v>11.42</v>
      </c>
      <c r="E9" s="58">
        <v>2200</v>
      </c>
      <c r="F9" s="56">
        <f t="shared" si="0"/>
        <v>25124</v>
      </c>
      <c r="G9" s="54"/>
      <c r="N9">
        <f>0.35*0.7*13.1*3</f>
        <v>9.6284999999999989</v>
      </c>
      <c r="O9" s="78"/>
      <c r="P9" s="82"/>
      <c r="S9" s="20">
        <v>10.1</v>
      </c>
      <c r="T9" s="21">
        <v>0.2</v>
      </c>
      <c r="U9" s="21">
        <v>2.83</v>
      </c>
      <c r="V9" s="22">
        <f>S9*T9*U9</f>
        <v>5.7166000000000006</v>
      </c>
    </row>
    <row r="10" spans="1:29" ht="22.5" x14ac:dyDescent="0.25">
      <c r="A10" s="54">
        <v>7</v>
      </c>
      <c r="B10" s="54" t="s">
        <v>297</v>
      </c>
      <c r="C10" s="54" t="s">
        <v>178</v>
      </c>
      <c r="D10" s="54">
        <v>11.8</v>
      </c>
      <c r="E10" s="58">
        <v>41000</v>
      </c>
      <c r="F10" s="56">
        <f t="shared" si="0"/>
        <v>483800.00000000006</v>
      </c>
      <c r="G10" s="57" t="s">
        <v>218</v>
      </c>
      <c r="O10" s="53"/>
      <c r="S10" s="23">
        <v>8.9</v>
      </c>
      <c r="T10" s="19">
        <v>0.2</v>
      </c>
      <c r="U10" s="19">
        <v>2.83</v>
      </c>
      <c r="V10" s="24">
        <f>S10*T10*U10</f>
        <v>5.0374000000000008</v>
      </c>
    </row>
    <row r="11" spans="1:29" x14ac:dyDescent="0.25">
      <c r="A11" s="54">
        <v>8</v>
      </c>
      <c r="B11" s="54" t="s">
        <v>298</v>
      </c>
      <c r="C11" s="54" t="s">
        <v>178</v>
      </c>
      <c r="D11" s="54">
        <v>37.9026</v>
      </c>
      <c r="E11" s="58">
        <v>41000</v>
      </c>
      <c r="F11" s="56">
        <f t="shared" si="0"/>
        <v>1554006.6</v>
      </c>
      <c r="G11" s="54"/>
      <c r="S11" s="23">
        <v>0.2</v>
      </c>
      <c r="T11" s="19">
        <v>5.0999999999999996</v>
      </c>
      <c r="U11" s="19">
        <v>3.23</v>
      </c>
      <c r="V11" s="24">
        <f>S11*T11*U11</f>
        <v>3.2946</v>
      </c>
    </row>
    <row r="12" spans="1:29" x14ac:dyDescent="0.25">
      <c r="A12" s="54">
        <v>9</v>
      </c>
      <c r="B12" s="54" t="s">
        <v>299</v>
      </c>
      <c r="C12" s="54" t="s">
        <v>178</v>
      </c>
      <c r="D12" s="54">
        <v>2.6</v>
      </c>
      <c r="E12" s="58">
        <v>42000</v>
      </c>
      <c r="F12" s="56">
        <f t="shared" si="0"/>
        <v>109200</v>
      </c>
      <c r="G12" s="54"/>
      <c r="L12">
        <f>'PROPOSITION 1'!F18/FINALE!F18</f>
        <v>0.96812517271514298</v>
      </c>
      <c r="S12" s="25">
        <v>0.3</v>
      </c>
      <c r="T12" s="26">
        <v>5.6</v>
      </c>
      <c r="U12" s="26">
        <v>3.23</v>
      </c>
      <c r="V12" s="27">
        <f>S12*T12*U12</f>
        <v>5.4264000000000001</v>
      </c>
      <c r="Y12" t="s">
        <v>190</v>
      </c>
      <c r="Z12">
        <v>0.2</v>
      </c>
      <c r="AA12">
        <v>5.0999999999999996</v>
      </c>
      <c r="AB12">
        <v>0.3</v>
      </c>
      <c r="AC12">
        <f>Z12*AA12*AB12</f>
        <v>0.30599999999999999</v>
      </c>
    </row>
    <row r="13" spans="1:29" x14ac:dyDescent="0.25">
      <c r="A13" s="54">
        <v>10</v>
      </c>
      <c r="B13" s="54" t="s">
        <v>300</v>
      </c>
      <c r="C13" s="54" t="s">
        <v>221</v>
      </c>
      <c r="D13" s="54">
        <v>109.11</v>
      </c>
      <c r="E13" s="58">
        <v>3200</v>
      </c>
      <c r="F13" s="56">
        <f t="shared" si="0"/>
        <v>349152</v>
      </c>
      <c r="G13" s="54"/>
      <c r="V13" s="32">
        <f>SUM(V9:V12)</f>
        <v>19.475000000000001</v>
      </c>
      <c r="Y13" t="s">
        <v>191</v>
      </c>
      <c r="Z13">
        <v>0.3</v>
      </c>
      <c r="AA13">
        <v>5.6</v>
      </c>
      <c r="AB13">
        <v>0.3</v>
      </c>
      <c r="AC13">
        <f>Z13*AA13*AB13</f>
        <v>0.504</v>
      </c>
    </row>
    <row r="14" spans="1:29" x14ac:dyDescent="0.25">
      <c r="A14" s="54">
        <v>11</v>
      </c>
      <c r="B14" s="54" t="s">
        <v>301</v>
      </c>
      <c r="C14" s="54" t="s">
        <v>178</v>
      </c>
      <c r="D14" s="54">
        <v>12.27</v>
      </c>
      <c r="E14" s="58">
        <v>42000</v>
      </c>
      <c r="F14" s="56">
        <f t="shared" si="0"/>
        <v>515340</v>
      </c>
      <c r="G14" s="54"/>
      <c r="K14">
        <f>+D4+D5+D6+D7+D8+D9+D10+D11+D12+D14+D16+D17</f>
        <v>212.02029999999999</v>
      </c>
    </row>
    <row r="15" spans="1:29" x14ac:dyDescent="0.25">
      <c r="A15" s="54">
        <v>12</v>
      </c>
      <c r="B15" s="54" t="s">
        <v>222</v>
      </c>
      <c r="C15" s="54" t="s">
        <v>221</v>
      </c>
      <c r="D15" s="54">
        <v>116</v>
      </c>
      <c r="E15" s="58">
        <v>2300</v>
      </c>
      <c r="F15" s="56">
        <f t="shared" si="0"/>
        <v>266800</v>
      </c>
      <c r="G15" s="54"/>
      <c r="K15">
        <v>19.425999999999998</v>
      </c>
      <c r="R15" t="s">
        <v>88</v>
      </c>
      <c r="X15" t="s">
        <v>234</v>
      </c>
      <c r="Y15">
        <v>6</v>
      </c>
      <c r="Z15">
        <v>0.3</v>
      </c>
      <c r="AA15">
        <v>0.1</v>
      </c>
      <c r="AB15">
        <v>0.3</v>
      </c>
      <c r="AC15">
        <f>PRODUCT(Y15:AB15)</f>
        <v>5.3999999999999999E-2</v>
      </c>
    </row>
    <row r="16" spans="1:29" ht="30" x14ac:dyDescent="0.25">
      <c r="A16" s="54">
        <v>13</v>
      </c>
      <c r="B16" s="55" t="s">
        <v>302</v>
      </c>
      <c r="C16" s="54" t="s">
        <v>178</v>
      </c>
      <c r="D16" s="54">
        <v>7</v>
      </c>
      <c r="E16" s="58">
        <v>40000</v>
      </c>
      <c r="F16" s="56">
        <f t="shared" si="0"/>
        <v>280000</v>
      </c>
      <c r="G16" s="54"/>
      <c r="K16">
        <f>SUM(K14:K15)</f>
        <v>231.44629999999998</v>
      </c>
      <c r="L16">
        <f>+K16*16000</f>
        <v>3703140.8</v>
      </c>
      <c r="M16" t="s">
        <v>308</v>
      </c>
    </row>
    <row r="17" spans="1:29" x14ac:dyDescent="0.25">
      <c r="A17" s="54">
        <v>14</v>
      </c>
      <c r="B17" s="54" t="s">
        <v>303</v>
      </c>
      <c r="C17" s="54" t="s">
        <v>178</v>
      </c>
      <c r="D17" s="54">
        <v>27</v>
      </c>
      <c r="E17" s="58">
        <v>38000</v>
      </c>
      <c r="F17" s="56">
        <f t="shared" si="0"/>
        <v>1026000</v>
      </c>
      <c r="G17" s="54"/>
      <c r="I17" t="s">
        <v>257</v>
      </c>
      <c r="Q17" s="20" t="s">
        <v>236</v>
      </c>
      <c r="R17" s="21">
        <v>3.2</v>
      </c>
      <c r="S17" s="21">
        <v>0.2</v>
      </c>
      <c r="T17" s="21">
        <v>2.83</v>
      </c>
      <c r="U17" s="21">
        <f>R17*S17*T17</f>
        <v>1.8112000000000004</v>
      </c>
      <c r="V17" s="22"/>
    </row>
    <row r="18" spans="1:29" ht="15.75" x14ac:dyDescent="0.25">
      <c r="A18" s="19"/>
      <c r="B18" s="19"/>
      <c r="C18" s="19"/>
      <c r="D18" s="19"/>
      <c r="E18" s="19"/>
      <c r="F18" s="66">
        <f>SUM(F4:F17)</f>
        <v>8252750.5999999996</v>
      </c>
      <c r="G18" s="19"/>
      <c r="L18" s="2">
        <f>195*14000</f>
        <v>2730000</v>
      </c>
      <c r="M18" t="s">
        <v>311</v>
      </c>
      <c r="Q18" s="23" t="s">
        <v>237</v>
      </c>
      <c r="R18" s="19">
        <v>1.85</v>
      </c>
      <c r="S18" s="19">
        <v>0.2</v>
      </c>
      <c r="T18" s="19">
        <v>2.83</v>
      </c>
      <c r="U18" s="19">
        <f>R18*S18*T18</f>
        <v>1.0471000000000001</v>
      </c>
      <c r="V18" s="24"/>
    </row>
    <row r="19" spans="1:29" x14ac:dyDescent="0.25">
      <c r="A19" s="19"/>
      <c r="B19" s="19"/>
      <c r="C19" s="19"/>
      <c r="D19" s="19"/>
      <c r="E19" s="19"/>
      <c r="F19" s="38"/>
      <c r="G19" s="19"/>
      <c r="L19" s="2">
        <f>325*1800*3</f>
        <v>1755000</v>
      </c>
      <c r="M19" t="s">
        <v>309</v>
      </c>
      <c r="Q19" s="23"/>
      <c r="R19" s="19"/>
      <c r="S19" s="19"/>
      <c r="T19" s="19"/>
      <c r="U19" s="19"/>
      <c r="V19" s="24"/>
    </row>
    <row r="20" spans="1:29" x14ac:dyDescent="0.25">
      <c r="A20" s="19"/>
      <c r="B20" s="19"/>
      <c r="C20" s="19"/>
      <c r="D20" s="19"/>
      <c r="E20" s="19"/>
      <c r="F20" s="38"/>
      <c r="G20" s="19"/>
      <c r="L20" s="2">
        <f>9000*500/8</f>
        <v>562500</v>
      </c>
      <c r="M20" t="s">
        <v>310</v>
      </c>
      <c r="Q20" s="23"/>
      <c r="R20" s="19"/>
      <c r="S20" s="19"/>
      <c r="T20" s="19"/>
      <c r="U20" s="19"/>
      <c r="V20" s="24"/>
    </row>
    <row r="21" spans="1:29" x14ac:dyDescent="0.25">
      <c r="A21" s="19"/>
      <c r="B21" s="19"/>
      <c r="C21" s="19"/>
      <c r="D21" s="19"/>
      <c r="E21" s="19"/>
      <c r="F21" s="38"/>
      <c r="G21" s="19"/>
      <c r="L21" s="2">
        <f>SUM(L16:L20)</f>
        <v>8750640.8000000007</v>
      </c>
      <c r="Q21" s="23"/>
      <c r="R21" s="19"/>
      <c r="S21" s="19"/>
      <c r="T21" s="19"/>
      <c r="U21" s="19"/>
      <c r="V21" s="24"/>
    </row>
    <row r="22" spans="1:29" x14ac:dyDescent="0.25">
      <c r="G22" t="s">
        <v>230</v>
      </c>
      <c r="Q22" s="23" t="s">
        <v>238</v>
      </c>
      <c r="R22" s="19">
        <v>1.85</v>
      </c>
      <c r="S22" s="19">
        <v>0.2</v>
      </c>
      <c r="T22" s="19">
        <v>2.83</v>
      </c>
      <c r="U22" s="19">
        <f t="shared" ref="U22" si="1">R22*S22*T22</f>
        <v>1.0471000000000001</v>
      </c>
      <c r="V22" s="24"/>
      <c r="AC22">
        <f>SUM(AC8:AC15)</f>
        <v>9.0939999999999994</v>
      </c>
    </row>
    <row r="23" spans="1:29" x14ac:dyDescent="0.25">
      <c r="A23" t="s">
        <v>224</v>
      </c>
      <c r="B23" s="54" t="s">
        <v>225</v>
      </c>
      <c r="C23" s="54" t="s">
        <v>227</v>
      </c>
      <c r="D23" s="54">
        <v>2475</v>
      </c>
      <c r="E23" s="54"/>
      <c r="F23" s="54"/>
      <c r="G23" s="54">
        <f>D23/D5</f>
        <v>86.128897550111361</v>
      </c>
      <c r="M23">
        <f>D23/D5</f>
        <v>86.128897550111361</v>
      </c>
      <c r="Q23" s="25"/>
      <c r="R23" s="26"/>
      <c r="S23" s="26"/>
      <c r="T23" s="26"/>
      <c r="U23" s="26">
        <f>SUM(U17:U22)</f>
        <v>3.9054000000000011</v>
      </c>
      <c r="V23" s="31">
        <f>3*U23</f>
        <v>11.716200000000004</v>
      </c>
    </row>
    <row r="24" spans="1:29" ht="30" x14ac:dyDescent="0.25">
      <c r="B24" s="55" t="s">
        <v>281</v>
      </c>
      <c r="C24" s="54" t="s">
        <v>227</v>
      </c>
      <c r="D24" s="54">
        <v>3034</v>
      </c>
      <c r="E24" s="54"/>
      <c r="F24" s="54"/>
      <c r="G24" s="54">
        <f>D24/D6</f>
        <v>108.08037988436753</v>
      </c>
      <c r="I24">
        <f>2296/11.8</f>
        <v>194.57627118644066</v>
      </c>
    </row>
    <row r="25" spans="1:29" x14ac:dyDescent="0.25">
      <c r="B25" s="55" t="s">
        <v>226</v>
      </c>
      <c r="C25" s="54" t="s">
        <v>227</v>
      </c>
      <c r="D25" s="54">
        <v>2478</v>
      </c>
      <c r="E25" s="54"/>
      <c r="F25" s="54"/>
      <c r="G25" s="54">
        <f>D25/D8</f>
        <v>211.4334470989761</v>
      </c>
      <c r="Q25" t="s">
        <v>258</v>
      </c>
      <c r="S25" t="s">
        <v>245</v>
      </c>
    </row>
    <row r="26" spans="1:29" x14ac:dyDescent="0.25">
      <c r="B26" s="54" t="s">
        <v>216</v>
      </c>
      <c r="C26" s="54" t="s">
        <v>227</v>
      </c>
      <c r="D26" s="54">
        <v>2296.64</v>
      </c>
      <c r="E26" s="54"/>
      <c r="F26" s="54"/>
      <c r="G26" s="54">
        <v>194</v>
      </c>
      <c r="L26">
        <f>D26/D10</f>
        <v>194.63050847457626</v>
      </c>
      <c r="S26" s="20" t="s">
        <v>241</v>
      </c>
      <c r="T26" s="21">
        <f>0.3*0.3*2.83</f>
        <v>0.25469999999999998</v>
      </c>
      <c r="U26" s="21">
        <f>T26*6</f>
        <v>1.5282</v>
      </c>
      <c r="V26" s="22">
        <f>U26*4</f>
        <v>6.1128</v>
      </c>
    </row>
    <row r="27" spans="1:29" x14ac:dyDescent="0.25">
      <c r="B27" s="54" t="s">
        <v>219</v>
      </c>
      <c r="C27" s="54" t="s">
        <v>227</v>
      </c>
      <c r="D27" s="56">
        <f>R65+R71+R77+R83+R90+R97+R104+R111</f>
        <v>5959.0454399999999</v>
      </c>
      <c r="E27" s="54"/>
      <c r="F27" s="54"/>
      <c r="G27" s="56">
        <f>D27/D11</f>
        <v>157.2199648572921</v>
      </c>
      <c r="S27" s="25" t="s">
        <v>244</v>
      </c>
      <c r="T27" s="26">
        <f>0.4*0.4*2.83</f>
        <v>0.45280000000000009</v>
      </c>
      <c r="U27" s="26">
        <f>T27*3</f>
        <v>1.3584000000000003</v>
      </c>
      <c r="V27" s="27">
        <f>U27*4</f>
        <v>5.4336000000000011</v>
      </c>
    </row>
    <row r="28" spans="1:29" x14ac:dyDescent="0.25">
      <c r="B28" s="54" t="s">
        <v>220</v>
      </c>
      <c r="C28" s="54" t="s">
        <v>227</v>
      </c>
      <c r="D28" s="54">
        <v>215</v>
      </c>
      <c r="E28" s="54"/>
      <c r="F28" s="54"/>
      <c r="G28" s="54">
        <f>D28/D12</f>
        <v>82.692307692307693</v>
      </c>
      <c r="S28" s="46"/>
      <c r="T28" s="21"/>
      <c r="V28" s="32">
        <f>V26+V27+0.2547</f>
        <v>11.801100000000002</v>
      </c>
    </row>
    <row r="29" spans="1:29" x14ac:dyDescent="0.25">
      <c r="B29" s="54" t="s">
        <v>223</v>
      </c>
      <c r="C29" s="54" t="s">
        <v>227</v>
      </c>
      <c r="D29" s="54"/>
      <c r="E29" s="54"/>
      <c r="F29" s="54"/>
      <c r="G29" s="54"/>
    </row>
    <row r="30" spans="1:29" x14ac:dyDescent="0.25">
      <c r="B30" s="54" t="s">
        <v>228</v>
      </c>
      <c r="C30" s="54" t="s">
        <v>227</v>
      </c>
      <c r="D30" s="54"/>
      <c r="E30" s="54"/>
      <c r="F30" s="54"/>
      <c r="G30" s="54"/>
      <c r="R30" s="20" t="s">
        <v>246</v>
      </c>
      <c r="S30" s="21" t="s">
        <v>247</v>
      </c>
      <c r="T30" s="21" t="s">
        <v>248</v>
      </c>
      <c r="U30" s="22" t="s">
        <v>249</v>
      </c>
    </row>
    <row r="31" spans="1:29" x14ac:dyDescent="0.25">
      <c r="R31" s="23" t="s">
        <v>74</v>
      </c>
      <c r="S31" s="19">
        <f>13.4*0.3*0.4</f>
        <v>1.6079999999999999</v>
      </c>
      <c r="T31" s="19">
        <f>14*0.3*0.4*2</f>
        <v>3.3600000000000003</v>
      </c>
      <c r="U31" s="24">
        <f>S31+T31</f>
        <v>4.968</v>
      </c>
    </row>
    <row r="32" spans="1:29" x14ac:dyDescent="0.25">
      <c r="R32" s="23" t="s">
        <v>250</v>
      </c>
      <c r="S32" s="19">
        <f>11.13*0.3*0.45*3</f>
        <v>4.5076499999999999</v>
      </c>
      <c r="T32" s="19"/>
      <c r="U32" s="24">
        <f>S32</f>
        <v>4.5076499999999999</v>
      </c>
    </row>
    <row r="33" spans="9:22" x14ac:dyDescent="0.25">
      <c r="R33" s="25"/>
      <c r="S33" s="26"/>
      <c r="T33" s="26"/>
      <c r="U33" s="27">
        <f>SUM(U31:U32)</f>
        <v>9.4756499999999999</v>
      </c>
      <c r="V33" s="32">
        <f>U33*4</f>
        <v>37.9026</v>
      </c>
    </row>
    <row r="35" spans="9:22" x14ac:dyDescent="0.25">
      <c r="T35" t="s">
        <v>252</v>
      </c>
    </row>
    <row r="36" spans="9:22" x14ac:dyDescent="0.25">
      <c r="T36" s="28" t="s">
        <v>251</v>
      </c>
      <c r="U36" s="29">
        <f>(15+1)/2</f>
        <v>8</v>
      </c>
      <c r="V36" s="33">
        <f>116</f>
        <v>116</v>
      </c>
    </row>
    <row r="38" spans="9:22" x14ac:dyDescent="0.25">
      <c r="S38" t="s">
        <v>254</v>
      </c>
    </row>
    <row r="39" spans="9:22" x14ac:dyDescent="0.25">
      <c r="S39" s="20"/>
      <c r="T39" s="21" t="s">
        <v>255</v>
      </c>
      <c r="U39" s="21" t="s">
        <v>256</v>
      </c>
      <c r="V39" s="22" t="s">
        <v>87</v>
      </c>
    </row>
    <row r="40" spans="9:22" x14ac:dyDescent="0.25">
      <c r="S40" s="25"/>
      <c r="T40" s="26">
        <v>5.7</v>
      </c>
      <c r="U40" s="26">
        <f>11.6*3.97*0.3</f>
        <v>13.8156</v>
      </c>
      <c r="V40" s="27">
        <f>15*0.4</f>
        <v>6</v>
      </c>
    </row>
    <row r="41" spans="9:22" x14ac:dyDescent="0.25">
      <c r="I41" t="s">
        <v>260</v>
      </c>
      <c r="M41" t="s">
        <v>262</v>
      </c>
      <c r="N41" t="s">
        <v>263</v>
      </c>
      <c r="Q41" t="s">
        <v>265</v>
      </c>
      <c r="V41" s="32">
        <f>SUM(T40:V40)</f>
        <v>25.515599999999999</v>
      </c>
    </row>
    <row r="42" spans="9:22" x14ac:dyDescent="0.25">
      <c r="I42" s="20" t="s">
        <v>259</v>
      </c>
      <c r="J42" s="21">
        <v>14</v>
      </c>
      <c r="K42" s="21">
        <f>3.23+0.7</f>
        <v>3.9299999999999997</v>
      </c>
      <c r="L42" s="21">
        <v>57</v>
      </c>
      <c r="M42" s="21">
        <v>2</v>
      </c>
      <c r="N42" s="21">
        <v>3</v>
      </c>
      <c r="O42" s="21">
        <f>K42*L42*M42*N42</f>
        <v>1344.06</v>
      </c>
      <c r="P42" s="21">
        <v>1.208</v>
      </c>
      <c r="Q42" s="22">
        <f>O42*P42</f>
        <v>1623.6244799999999</v>
      </c>
    </row>
    <row r="43" spans="9:22" x14ac:dyDescent="0.25">
      <c r="I43" s="23" t="s">
        <v>236</v>
      </c>
      <c r="J43" s="19">
        <v>12</v>
      </c>
      <c r="K43" s="19">
        <v>3.5</v>
      </c>
      <c r="L43" s="19">
        <f>2.83/0.15</f>
        <v>18.866666666666667</v>
      </c>
      <c r="M43" s="19">
        <v>2</v>
      </c>
      <c r="N43" s="19">
        <v>3</v>
      </c>
      <c r="O43" s="19">
        <f>N43*M43*L43*K43</f>
        <v>396.2</v>
      </c>
      <c r="P43" s="19">
        <v>0.88800000000000001</v>
      </c>
      <c r="Q43" s="24">
        <f t="shared" ref="Q43:Q45" si="2">O43*P43</f>
        <v>351.82560000000001</v>
      </c>
      <c r="T43" t="s">
        <v>54</v>
      </c>
    </row>
    <row r="44" spans="9:22" x14ac:dyDescent="0.25">
      <c r="I44" s="23" t="s">
        <v>237</v>
      </c>
      <c r="J44" s="19">
        <v>12</v>
      </c>
      <c r="K44" s="19">
        <v>2.5</v>
      </c>
      <c r="L44" s="19">
        <f t="shared" ref="L44:L45" si="3">2.83/0.15</f>
        <v>18.866666666666667</v>
      </c>
      <c r="M44" s="19">
        <v>2</v>
      </c>
      <c r="N44" s="19">
        <v>3</v>
      </c>
      <c r="O44" s="19">
        <f t="shared" ref="O44:O45" si="4">N44*M44*L44*K44</f>
        <v>283</v>
      </c>
      <c r="P44" s="19">
        <v>0.88800000000000001</v>
      </c>
      <c r="Q44" s="24">
        <f t="shared" si="2"/>
        <v>251.304</v>
      </c>
      <c r="T44" s="20">
        <f>((3.05-0.4)*(2.8-0.4))</f>
        <v>6.3599999999999994</v>
      </c>
      <c r="U44" s="21">
        <f>7/T44</f>
        <v>1.1006289308176103</v>
      </c>
      <c r="V44" s="22"/>
    </row>
    <row r="45" spans="9:22" x14ac:dyDescent="0.25">
      <c r="I45" s="25" t="s">
        <v>238</v>
      </c>
      <c r="J45" s="26">
        <v>12</v>
      </c>
      <c r="K45" s="26">
        <v>2.5</v>
      </c>
      <c r="L45" s="26">
        <f t="shared" si="3"/>
        <v>18.866666666666667</v>
      </c>
      <c r="M45" s="26">
        <v>2</v>
      </c>
      <c r="N45" s="26">
        <v>3</v>
      </c>
      <c r="O45" s="26">
        <f t="shared" si="4"/>
        <v>283</v>
      </c>
      <c r="P45" s="26">
        <v>0.88800000000000001</v>
      </c>
      <c r="Q45" s="27">
        <f t="shared" si="2"/>
        <v>251.304</v>
      </c>
      <c r="T45" s="23">
        <f>11.76*0.2*1.1</f>
        <v>2.5872000000000002</v>
      </c>
      <c r="U45" s="19">
        <f>11.76*0.2*1.1</f>
        <v>2.5872000000000002</v>
      </c>
      <c r="V45" s="24" t="s">
        <v>253</v>
      </c>
    </row>
    <row r="46" spans="9:22" x14ac:dyDescent="0.25">
      <c r="Q46" s="32">
        <f>SUM(Q42:Q45)</f>
        <v>2478.0580800000002</v>
      </c>
      <c r="T46" s="25">
        <v>8.6300000000000008</v>
      </c>
      <c r="U46" s="26">
        <f>T46*0.5</f>
        <v>4.3150000000000004</v>
      </c>
      <c r="V46" s="27" t="s">
        <v>87</v>
      </c>
    </row>
    <row r="47" spans="9:22" x14ac:dyDescent="0.25">
      <c r="U47" s="32">
        <f>SUM(U45:U46)</f>
        <v>6.9022000000000006</v>
      </c>
    </row>
    <row r="48" spans="9:22" x14ac:dyDescent="0.25">
      <c r="I48" t="s">
        <v>270</v>
      </c>
      <c r="M48" t="s">
        <v>291</v>
      </c>
    </row>
    <row r="49" spans="9:18" x14ac:dyDescent="0.25">
      <c r="I49" s="20" t="s">
        <v>261</v>
      </c>
      <c r="J49" s="21">
        <v>14</v>
      </c>
      <c r="K49" s="21">
        <v>3.95</v>
      </c>
      <c r="L49" s="21">
        <v>8</v>
      </c>
      <c r="M49" s="21">
        <v>6</v>
      </c>
      <c r="N49" s="21">
        <v>4</v>
      </c>
      <c r="O49" s="21">
        <f>K49*L49*M49*N49</f>
        <v>758.40000000000009</v>
      </c>
      <c r="P49" s="21">
        <v>1.208</v>
      </c>
      <c r="Q49" s="22">
        <f>O49*P49</f>
        <v>916.14720000000011</v>
      </c>
    </row>
    <row r="50" spans="9:18" x14ac:dyDescent="0.25">
      <c r="I50" s="23" t="s">
        <v>71</v>
      </c>
      <c r="J50" s="19">
        <v>8</v>
      </c>
      <c r="K50" s="19">
        <v>1.2</v>
      </c>
      <c r="L50" s="19">
        <v>26</v>
      </c>
      <c r="M50" s="19">
        <v>6</v>
      </c>
      <c r="N50" s="19">
        <v>4</v>
      </c>
      <c r="O50" s="19">
        <f>1.2*26*6*4</f>
        <v>748.8</v>
      </c>
      <c r="P50" s="19">
        <v>0.39500000000000002</v>
      </c>
      <c r="Q50" s="24">
        <f>O50*P50</f>
        <v>295.77600000000001</v>
      </c>
      <c r="R50">
        <f>295/6/4</f>
        <v>12.291666666666666</v>
      </c>
    </row>
    <row r="51" spans="9:18" x14ac:dyDescent="0.25">
      <c r="I51" s="23" t="s">
        <v>266</v>
      </c>
      <c r="J51" s="19">
        <v>8</v>
      </c>
      <c r="K51" s="19">
        <v>0.9</v>
      </c>
      <c r="L51" s="19">
        <v>26</v>
      </c>
      <c r="M51" s="19">
        <v>6</v>
      </c>
      <c r="N51" s="19">
        <v>4</v>
      </c>
      <c r="O51" s="19">
        <f>K51*L51*M51*N51</f>
        <v>561.6</v>
      </c>
      <c r="P51" s="19">
        <v>0.39500000000000002</v>
      </c>
      <c r="Q51" s="24">
        <f>P51*O51</f>
        <v>221.83200000000002</v>
      </c>
    </row>
    <row r="52" spans="9:18" x14ac:dyDescent="0.25">
      <c r="I52" s="23" t="s">
        <v>268</v>
      </c>
      <c r="J52" s="19">
        <v>14</v>
      </c>
      <c r="K52" s="19">
        <v>3.95</v>
      </c>
      <c r="L52" s="19">
        <v>8</v>
      </c>
      <c r="M52" s="19">
        <v>1</v>
      </c>
      <c r="N52" s="19">
        <v>1</v>
      </c>
      <c r="O52" s="19">
        <f>K52*L52</f>
        <v>31.6</v>
      </c>
      <c r="P52" s="19">
        <v>1.208</v>
      </c>
      <c r="Q52" s="24">
        <f>P52*O52</f>
        <v>38.172800000000002</v>
      </c>
    </row>
    <row r="53" spans="9:18" x14ac:dyDescent="0.25">
      <c r="I53" s="23" t="s">
        <v>269</v>
      </c>
      <c r="J53" s="19">
        <v>8</v>
      </c>
      <c r="K53" s="19">
        <v>1.2</v>
      </c>
      <c r="L53" s="19">
        <v>26</v>
      </c>
      <c r="M53" s="19">
        <v>1</v>
      </c>
      <c r="N53" s="19">
        <v>1</v>
      </c>
      <c r="O53" s="19">
        <f>K53*L53</f>
        <v>31.2</v>
      </c>
      <c r="P53" s="19">
        <v>0.39500000000000002</v>
      </c>
      <c r="Q53" s="24">
        <f>P53*O53</f>
        <v>12.324</v>
      </c>
    </row>
    <row r="54" spans="9:18" x14ac:dyDescent="0.25">
      <c r="I54" s="23" t="s">
        <v>292</v>
      </c>
      <c r="J54" s="19">
        <v>8</v>
      </c>
      <c r="K54" s="19">
        <v>0.9</v>
      </c>
      <c r="L54" s="19">
        <v>26</v>
      </c>
      <c r="M54" s="19">
        <v>1</v>
      </c>
      <c r="N54" s="19">
        <v>1</v>
      </c>
      <c r="O54" s="19">
        <f>N54*L54*K54</f>
        <v>23.400000000000002</v>
      </c>
      <c r="P54" s="19">
        <v>0.39500000000000002</v>
      </c>
      <c r="Q54" s="24">
        <f>P54*O54</f>
        <v>9.2430000000000021</v>
      </c>
    </row>
    <row r="55" spans="9:18" x14ac:dyDescent="0.25">
      <c r="I55" s="23" t="s">
        <v>264</v>
      </c>
      <c r="J55" s="19">
        <v>14</v>
      </c>
      <c r="K55" s="19">
        <v>3.95</v>
      </c>
      <c r="L55" s="19">
        <v>8</v>
      </c>
      <c r="M55" s="19">
        <v>3</v>
      </c>
      <c r="N55" s="19">
        <v>4</v>
      </c>
      <c r="O55" s="19">
        <f>PRODUCT(K55:N55)</f>
        <v>379.20000000000005</v>
      </c>
      <c r="P55" s="19">
        <v>1.208</v>
      </c>
      <c r="Q55" s="24">
        <f>P55*O55</f>
        <v>458.07360000000006</v>
      </c>
    </row>
    <row r="56" spans="9:18" x14ac:dyDescent="0.25">
      <c r="I56" s="23" t="s">
        <v>71</v>
      </c>
      <c r="J56" s="19">
        <v>8</v>
      </c>
      <c r="K56" s="19">
        <v>1.6</v>
      </c>
      <c r="L56" s="19">
        <v>26</v>
      </c>
      <c r="M56" s="19">
        <v>3</v>
      </c>
      <c r="N56" s="19">
        <v>4</v>
      </c>
      <c r="O56" s="19">
        <f>N56*M56*L56*K56</f>
        <v>499.20000000000005</v>
      </c>
      <c r="P56" s="19">
        <v>0.39500000000000002</v>
      </c>
      <c r="Q56" s="24">
        <f>O56*P56</f>
        <v>197.18400000000003</v>
      </c>
    </row>
    <row r="57" spans="9:18" x14ac:dyDescent="0.25">
      <c r="I57" s="25" t="s">
        <v>267</v>
      </c>
      <c r="J57" s="26">
        <v>8</v>
      </c>
      <c r="K57" s="26">
        <v>1.2</v>
      </c>
      <c r="L57" s="26">
        <v>26</v>
      </c>
      <c r="M57" s="26">
        <v>3</v>
      </c>
      <c r="N57" s="26">
        <v>4</v>
      </c>
      <c r="O57" s="26">
        <f>K57*L57*M57*N57</f>
        <v>374.4</v>
      </c>
      <c r="P57" s="26">
        <v>0.39500000000000002</v>
      </c>
      <c r="Q57" s="27">
        <f>O57*P57</f>
        <v>147.88800000000001</v>
      </c>
    </row>
    <row r="58" spans="9:18" x14ac:dyDescent="0.25">
      <c r="Q58" s="32">
        <f>SUM(Q49:Q57)</f>
        <v>2296.6406000000006</v>
      </c>
    </row>
    <row r="60" spans="9:18" x14ac:dyDescent="0.25">
      <c r="I60" t="s">
        <v>271</v>
      </c>
    </row>
    <row r="61" spans="9:18" x14ac:dyDescent="0.25">
      <c r="I61" s="20" t="s">
        <v>77</v>
      </c>
      <c r="J61" s="21">
        <v>14</v>
      </c>
      <c r="K61" s="21">
        <v>37</v>
      </c>
      <c r="L61" s="21">
        <v>0</v>
      </c>
      <c r="M61" s="34">
        <v>3</v>
      </c>
      <c r="N61" s="21">
        <v>14</v>
      </c>
      <c r="O61" s="21">
        <f t="shared" ref="O61:O64" si="5">IF(N61=8,0.395,IF(N61=10,0.617,IF(N61=12,0.888,IF(N61=14,1.208,IF(N61=16,1.578)))))</f>
        <v>1.208</v>
      </c>
      <c r="P61" s="35">
        <f t="shared" ref="P61:P64" si="6">(K61+L61)*M61</f>
        <v>111</v>
      </c>
      <c r="Q61" s="36">
        <f>O61*P61</f>
        <v>134.08799999999999</v>
      </c>
    </row>
    <row r="62" spans="9:18" x14ac:dyDescent="0.25">
      <c r="I62" s="23"/>
      <c r="J62" s="19"/>
      <c r="K62" s="19"/>
      <c r="L62" s="19"/>
      <c r="M62" s="37"/>
      <c r="N62" s="19"/>
      <c r="O62" s="19"/>
      <c r="P62" s="38"/>
      <c r="Q62" s="39"/>
    </row>
    <row r="63" spans="9:18" x14ac:dyDescent="0.25">
      <c r="I63" s="23"/>
      <c r="J63" s="19" t="s">
        <v>22</v>
      </c>
      <c r="K63" s="19">
        <v>1.42</v>
      </c>
      <c r="L63" s="19"/>
      <c r="M63" s="37">
        <f>9+9+9+9+26</f>
        <v>62</v>
      </c>
      <c r="N63" s="19">
        <v>10</v>
      </c>
      <c r="O63" s="19">
        <f t="shared" si="5"/>
        <v>0.61699999999999999</v>
      </c>
      <c r="P63" s="38">
        <f t="shared" si="6"/>
        <v>88.039999999999992</v>
      </c>
      <c r="Q63" s="40">
        <f>O63*P63</f>
        <v>54.320679999999996</v>
      </c>
    </row>
    <row r="64" spans="9:18" x14ac:dyDescent="0.25">
      <c r="I64" s="23"/>
      <c r="J64" s="19" t="s">
        <v>23</v>
      </c>
      <c r="K64" s="19">
        <v>0.94</v>
      </c>
      <c r="L64" s="19">
        <v>0</v>
      </c>
      <c r="M64" s="37">
        <v>62</v>
      </c>
      <c r="N64" s="19">
        <v>10</v>
      </c>
      <c r="O64" s="19">
        <f t="shared" si="5"/>
        <v>0.61699999999999999</v>
      </c>
      <c r="P64" s="38">
        <f t="shared" si="6"/>
        <v>58.279999999999994</v>
      </c>
      <c r="Q64" s="40">
        <f>O64*P64</f>
        <v>35.958759999999998</v>
      </c>
      <c r="R64" t="s">
        <v>273</v>
      </c>
    </row>
    <row r="65" spans="9:18" x14ac:dyDescent="0.25">
      <c r="I65" s="23"/>
      <c r="J65" s="19"/>
      <c r="K65" s="19"/>
      <c r="L65" s="19"/>
      <c r="M65" s="19"/>
      <c r="N65" s="19"/>
      <c r="O65" s="19"/>
      <c r="P65" s="19"/>
      <c r="Q65" s="41">
        <f>SUM(Q61:Q64)</f>
        <v>224.36743999999999</v>
      </c>
      <c r="R65" s="4">
        <f>Q65*4</f>
        <v>897.46975999999995</v>
      </c>
    </row>
    <row r="66" spans="9:18" x14ac:dyDescent="0.25">
      <c r="I66" s="23"/>
      <c r="J66" s="19"/>
      <c r="K66" s="19"/>
      <c r="L66" s="19"/>
      <c r="M66" s="19"/>
      <c r="N66" s="19"/>
      <c r="O66" s="19"/>
      <c r="P66" s="19"/>
      <c r="Q66" s="24"/>
    </row>
    <row r="67" spans="9:18" x14ac:dyDescent="0.25">
      <c r="I67" s="23" t="s">
        <v>78</v>
      </c>
      <c r="J67" s="19">
        <v>16</v>
      </c>
      <c r="K67" s="19">
        <v>13.6</v>
      </c>
      <c r="L67" s="19"/>
      <c r="M67" s="37">
        <v>3</v>
      </c>
      <c r="N67" s="19">
        <v>16</v>
      </c>
      <c r="O67" s="19">
        <f t="shared" ref="O67:O70" si="7">IF(N67=8,0.395,IF(N67=10,0.617,IF(N67=12,0.888,IF(N67=14,1.208,IF(N67=16,1.578)))))</f>
        <v>1.5780000000000001</v>
      </c>
      <c r="P67" s="38">
        <f t="shared" ref="P67:P70" si="8">(K67+L67)*M67</f>
        <v>40.799999999999997</v>
      </c>
      <c r="Q67" s="40">
        <f>O67*P67</f>
        <v>64.382400000000004</v>
      </c>
    </row>
    <row r="68" spans="9:18" x14ac:dyDescent="0.25">
      <c r="I68" s="23"/>
      <c r="J68" s="19">
        <v>14</v>
      </c>
      <c r="K68" s="19">
        <f>11.68*2</f>
        <v>23.36</v>
      </c>
      <c r="L68" s="19"/>
      <c r="M68" s="37">
        <v>3</v>
      </c>
      <c r="N68" s="19">
        <v>14</v>
      </c>
      <c r="O68" s="19">
        <f t="shared" si="7"/>
        <v>1.208</v>
      </c>
      <c r="P68" s="38">
        <f t="shared" si="8"/>
        <v>70.08</v>
      </c>
      <c r="Q68" s="40">
        <f t="shared" ref="Q68:Q70" si="9">O68*P68</f>
        <v>84.656639999999996</v>
      </c>
    </row>
    <row r="69" spans="9:18" x14ac:dyDescent="0.25">
      <c r="I69" s="23"/>
      <c r="J69" s="19" t="s">
        <v>22</v>
      </c>
      <c r="K69" s="19">
        <v>1.42</v>
      </c>
      <c r="L69" s="19"/>
      <c r="M69" s="37">
        <v>62</v>
      </c>
      <c r="N69" s="19">
        <v>10</v>
      </c>
      <c r="O69" s="19">
        <f t="shared" si="7"/>
        <v>0.61699999999999999</v>
      </c>
      <c r="P69" s="38">
        <f t="shared" si="8"/>
        <v>88.039999999999992</v>
      </c>
      <c r="Q69" s="40">
        <f t="shared" si="9"/>
        <v>54.320679999999996</v>
      </c>
    </row>
    <row r="70" spans="9:18" x14ac:dyDescent="0.25">
      <c r="I70" s="23"/>
      <c r="J70" s="19" t="s">
        <v>23</v>
      </c>
      <c r="K70" s="19">
        <v>0.94</v>
      </c>
      <c r="L70" s="19"/>
      <c r="M70" s="37">
        <v>62</v>
      </c>
      <c r="N70" s="19">
        <v>10</v>
      </c>
      <c r="O70" s="19">
        <f t="shared" si="7"/>
        <v>0.61699999999999999</v>
      </c>
      <c r="P70" s="38">
        <f t="shared" si="8"/>
        <v>58.279999999999994</v>
      </c>
      <c r="Q70" s="40">
        <f t="shared" si="9"/>
        <v>35.958759999999998</v>
      </c>
      <c r="R70" t="s">
        <v>273</v>
      </c>
    </row>
    <row r="71" spans="9:18" x14ac:dyDescent="0.25">
      <c r="I71" s="23"/>
      <c r="J71" s="19"/>
      <c r="K71" s="19"/>
      <c r="L71" s="19"/>
      <c r="M71" s="19"/>
      <c r="N71" s="19"/>
      <c r="O71" s="19"/>
      <c r="P71" s="19"/>
      <c r="Q71" s="41">
        <f>SUM(Q67:Q70)</f>
        <v>239.31847999999997</v>
      </c>
      <c r="R71" s="4">
        <f>Q71*4</f>
        <v>957.27391999999986</v>
      </c>
    </row>
    <row r="72" spans="9:18" x14ac:dyDescent="0.25">
      <c r="I72" s="23"/>
      <c r="J72" s="19"/>
      <c r="K72" s="19"/>
      <c r="L72" s="19"/>
      <c r="M72" s="19"/>
      <c r="N72" s="19"/>
      <c r="O72" s="19"/>
      <c r="P72" s="19"/>
      <c r="Q72" s="24"/>
    </row>
    <row r="73" spans="9:18" x14ac:dyDescent="0.25">
      <c r="I73" s="23" t="s">
        <v>274</v>
      </c>
      <c r="J73" s="19">
        <v>14</v>
      </c>
      <c r="K73" s="19">
        <v>37</v>
      </c>
      <c r="L73" s="19">
        <v>0</v>
      </c>
      <c r="M73" s="37">
        <v>3</v>
      </c>
      <c r="N73" s="19">
        <v>14</v>
      </c>
      <c r="O73" s="19">
        <f t="shared" ref="O73" si="10">IF(N73=8,0.395,IF(N73=10,0.617,IF(N73=12,0.888,IF(N73=14,1.208,IF(N73=16,1.578)))))</f>
        <v>1.208</v>
      </c>
      <c r="P73" s="38">
        <f t="shared" ref="P73" si="11">(K73+L73)*M73</f>
        <v>111</v>
      </c>
      <c r="Q73" s="40">
        <f>O73*P73</f>
        <v>134.08799999999999</v>
      </c>
    </row>
    <row r="74" spans="9:18" x14ac:dyDescent="0.25">
      <c r="I74" s="23"/>
      <c r="J74" s="19"/>
      <c r="K74" s="19"/>
      <c r="L74" s="19"/>
      <c r="M74" s="37"/>
      <c r="N74" s="19"/>
      <c r="O74" s="19"/>
      <c r="P74" s="38"/>
      <c r="Q74" s="39"/>
    </row>
    <row r="75" spans="9:18" x14ac:dyDescent="0.25">
      <c r="I75" s="23"/>
      <c r="J75" s="19" t="s">
        <v>22</v>
      </c>
      <c r="K75" s="19">
        <v>1.42</v>
      </c>
      <c r="L75" s="19"/>
      <c r="M75" s="37">
        <f>9+9+9+9+26</f>
        <v>62</v>
      </c>
      <c r="N75" s="19">
        <v>10</v>
      </c>
      <c r="O75" s="19">
        <f t="shared" ref="O75:O76" si="12">IF(N75=8,0.395,IF(N75=10,0.617,IF(N75=12,0.888,IF(N75=14,1.208,IF(N75=16,1.578)))))</f>
        <v>0.61699999999999999</v>
      </c>
      <c r="P75" s="38">
        <f t="shared" ref="P75:P76" si="13">(K75+L75)*M75</f>
        <v>88.039999999999992</v>
      </c>
      <c r="Q75" s="40">
        <f>O75*P75</f>
        <v>54.320679999999996</v>
      </c>
    </row>
    <row r="76" spans="9:18" x14ac:dyDescent="0.25">
      <c r="I76" s="23"/>
      <c r="J76" s="19" t="s">
        <v>23</v>
      </c>
      <c r="K76" s="19">
        <v>0.94</v>
      </c>
      <c r="L76" s="19">
        <v>0</v>
      </c>
      <c r="M76" s="37">
        <v>62</v>
      </c>
      <c r="N76" s="19">
        <v>10</v>
      </c>
      <c r="O76" s="19">
        <f t="shared" si="12"/>
        <v>0.61699999999999999</v>
      </c>
      <c r="P76" s="38">
        <f t="shared" si="13"/>
        <v>58.279999999999994</v>
      </c>
      <c r="Q76" s="40">
        <f>O76*P76</f>
        <v>35.958759999999998</v>
      </c>
      <c r="R76" t="s">
        <v>272</v>
      </c>
    </row>
    <row r="77" spans="9:18" x14ac:dyDescent="0.25">
      <c r="I77" s="23"/>
      <c r="J77" s="19"/>
      <c r="K77" s="19"/>
      <c r="L77" s="19"/>
      <c r="M77" s="19"/>
      <c r="N77" s="19"/>
      <c r="O77" s="19"/>
      <c r="P77" s="19"/>
      <c r="Q77" s="41">
        <f>SUM(Q73:Q76)</f>
        <v>224.36743999999999</v>
      </c>
      <c r="R77" s="4">
        <f>Q77*3</f>
        <v>673.10231999999996</v>
      </c>
    </row>
    <row r="78" spans="9:18" x14ac:dyDescent="0.25">
      <c r="I78" s="23"/>
      <c r="J78" s="19"/>
      <c r="K78" s="19"/>
      <c r="L78" s="19"/>
      <c r="M78" s="37"/>
      <c r="N78" s="19"/>
      <c r="O78" s="19"/>
      <c r="P78" s="38"/>
      <c r="Q78" s="40"/>
    </row>
    <row r="79" spans="9:18" x14ac:dyDescent="0.25">
      <c r="I79" s="23" t="s">
        <v>274</v>
      </c>
      <c r="J79" s="19">
        <v>14</v>
      </c>
      <c r="K79" s="19">
        <v>21.5</v>
      </c>
      <c r="L79" s="19">
        <v>0</v>
      </c>
      <c r="M79" s="37">
        <v>3</v>
      </c>
      <c r="N79" s="19">
        <v>14</v>
      </c>
      <c r="O79" s="19">
        <f t="shared" ref="O79:O82" si="14">IF(N79=8,0.395,IF(N79=10,0.617,IF(N79=12,0.888,IF(N79=14,1.208,IF(N79=16,1.578)))))</f>
        <v>1.208</v>
      </c>
      <c r="P79" s="38">
        <f t="shared" ref="P79:P82" si="15">(K79+L79)*M79</f>
        <v>64.5</v>
      </c>
      <c r="Q79" s="40">
        <f>O79*P79</f>
        <v>77.915999999999997</v>
      </c>
    </row>
    <row r="80" spans="9:18" x14ac:dyDescent="0.25">
      <c r="I80" s="23"/>
      <c r="J80" s="19">
        <v>16</v>
      </c>
      <c r="K80" s="19">
        <v>1.8</v>
      </c>
      <c r="L80" s="19">
        <v>0</v>
      </c>
      <c r="M80" s="37">
        <v>3</v>
      </c>
      <c r="N80" s="19">
        <v>16</v>
      </c>
      <c r="O80" s="19">
        <f t="shared" si="14"/>
        <v>1.5780000000000001</v>
      </c>
      <c r="P80" s="38">
        <f t="shared" si="15"/>
        <v>5.4</v>
      </c>
      <c r="Q80" s="40">
        <f>O80*P80</f>
        <v>8.5212000000000003</v>
      </c>
    </row>
    <row r="81" spans="9:18" x14ac:dyDescent="0.25">
      <c r="I81" s="23"/>
      <c r="J81" s="19" t="s">
        <v>22</v>
      </c>
      <c r="K81" s="19">
        <v>1.42</v>
      </c>
      <c r="L81" s="19"/>
      <c r="M81" s="37">
        <f>9+9+9+9+26</f>
        <v>62</v>
      </c>
      <c r="N81" s="19">
        <v>10</v>
      </c>
      <c r="O81" s="19">
        <f t="shared" si="14"/>
        <v>0.61699999999999999</v>
      </c>
      <c r="P81" s="38">
        <f t="shared" si="15"/>
        <v>88.039999999999992</v>
      </c>
      <c r="Q81" s="40">
        <f>O81*P81</f>
        <v>54.320679999999996</v>
      </c>
    </row>
    <row r="82" spans="9:18" x14ac:dyDescent="0.25">
      <c r="I82" s="23"/>
      <c r="J82" s="19" t="s">
        <v>23</v>
      </c>
      <c r="K82" s="19">
        <v>0.94</v>
      </c>
      <c r="L82" s="19">
        <v>0</v>
      </c>
      <c r="M82" s="37">
        <v>62</v>
      </c>
      <c r="N82" s="19">
        <v>10</v>
      </c>
      <c r="O82" s="19">
        <f t="shared" si="14"/>
        <v>0.61699999999999999</v>
      </c>
      <c r="P82" s="38">
        <f t="shared" si="15"/>
        <v>58.279999999999994</v>
      </c>
      <c r="Q82" s="40">
        <f>O82*P82</f>
        <v>35.958759999999998</v>
      </c>
      <c r="R82" t="s">
        <v>275</v>
      </c>
    </row>
    <row r="83" spans="9:18" x14ac:dyDescent="0.25">
      <c r="I83" s="23"/>
      <c r="J83" s="19"/>
      <c r="K83" s="19"/>
      <c r="L83" s="19"/>
      <c r="M83" s="19"/>
      <c r="N83" s="19"/>
      <c r="O83" s="19"/>
      <c r="P83" s="19"/>
      <c r="Q83" s="41">
        <f>SUM(Q79:Q82)</f>
        <v>176.71663999999998</v>
      </c>
      <c r="R83" s="4">
        <f>Q83</f>
        <v>176.71663999999998</v>
      </c>
    </row>
    <row r="84" spans="9:18" x14ac:dyDescent="0.25">
      <c r="I84" s="23"/>
      <c r="J84" s="19"/>
      <c r="K84" s="19"/>
      <c r="L84" s="19"/>
      <c r="M84" s="19"/>
      <c r="N84" s="19"/>
      <c r="O84" s="19"/>
      <c r="P84" s="19"/>
      <c r="Q84" s="24"/>
    </row>
    <row r="85" spans="9:18" x14ac:dyDescent="0.25">
      <c r="I85" s="23" t="s">
        <v>276</v>
      </c>
      <c r="J85" s="19">
        <v>12</v>
      </c>
      <c r="K85" s="19">
        <v>25.85</v>
      </c>
      <c r="L85" s="19">
        <v>0</v>
      </c>
      <c r="M85" s="37">
        <v>3</v>
      </c>
      <c r="N85" s="19">
        <v>12</v>
      </c>
      <c r="O85" s="19">
        <f t="shared" ref="O85:O89" si="16">IF(N85=8,0.395,IF(N85=10,0.617,IF(N85=12,0.888,IF(N85=14,1.208,IF(N85=16,1.578)))))</f>
        <v>0.88800000000000001</v>
      </c>
      <c r="P85" s="38">
        <f t="shared" ref="P85:P89" si="17">(K85+L85)*M85</f>
        <v>77.550000000000011</v>
      </c>
      <c r="Q85" s="40">
        <f>O85*P85</f>
        <v>68.864400000000018</v>
      </c>
    </row>
    <row r="86" spans="9:18" x14ac:dyDescent="0.25">
      <c r="I86" s="23"/>
      <c r="J86" s="19">
        <v>14</v>
      </c>
      <c r="K86" s="19">
        <v>15.55</v>
      </c>
      <c r="L86" s="19">
        <v>0</v>
      </c>
      <c r="M86" s="37">
        <v>3</v>
      </c>
      <c r="N86" s="19">
        <v>14</v>
      </c>
      <c r="O86" s="19">
        <f t="shared" si="16"/>
        <v>1.208</v>
      </c>
      <c r="P86" s="38">
        <f t="shared" si="17"/>
        <v>46.650000000000006</v>
      </c>
      <c r="Q86" s="40">
        <f>O86*P86</f>
        <v>56.353200000000008</v>
      </c>
    </row>
    <row r="87" spans="9:18" x14ac:dyDescent="0.25">
      <c r="I87" s="23"/>
      <c r="J87" s="19">
        <v>16</v>
      </c>
      <c r="K87" s="19">
        <v>6.85</v>
      </c>
      <c r="L87" s="19">
        <v>0</v>
      </c>
      <c r="M87" s="37">
        <v>3</v>
      </c>
      <c r="N87" s="19">
        <v>16</v>
      </c>
      <c r="O87" s="19">
        <f t="shared" si="16"/>
        <v>1.5780000000000001</v>
      </c>
      <c r="P87" s="38">
        <f t="shared" si="17"/>
        <v>20.549999999999997</v>
      </c>
      <c r="Q87" s="40">
        <f>O87*P87</f>
        <v>32.427899999999994</v>
      </c>
    </row>
    <row r="88" spans="9:18" x14ac:dyDescent="0.25">
      <c r="I88" s="23"/>
      <c r="J88" s="19" t="s">
        <v>22</v>
      </c>
      <c r="K88" s="19">
        <v>1.32</v>
      </c>
      <c r="L88" s="19"/>
      <c r="M88" s="37">
        <v>105</v>
      </c>
      <c r="N88" s="19">
        <v>10</v>
      </c>
      <c r="O88" s="19">
        <f t="shared" si="16"/>
        <v>0.61699999999999999</v>
      </c>
      <c r="P88" s="38">
        <f t="shared" si="17"/>
        <v>138.6</v>
      </c>
      <c r="Q88" s="40">
        <f>O88*P88</f>
        <v>85.516199999999998</v>
      </c>
    </row>
    <row r="89" spans="9:18" x14ac:dyDescent="0.25">
      <c r="I89" s="23"/>
      <c r="J89" s="19" t="s">
        <v>23</v>
      </c>
      <c r="K89" s="19">
        <v>0.84</v>
      </c>
      <c r="L89" s="19">
        <v>0</v>
      </c>
      <c r="M89" s="37">
        <v>105</v>
      </c>
      <c r="N89" s="19">
        <v>10</v>
      </c>
      <c r="O89" s="19">
        <f t="shared" si="16"/>
        <v>0.61699999999999999</v>
      </c>
      <c r="P89" s="38">
        <f t="shared" si="17"/>
        <v>88.2</v>
      </c>
      <c r="Q89" s="40">
        <f>O89*P89</f>
        <v>54.419400000000003</v>
      </c>
      <c r="R89" t="s">
        <v>273</v>
      </c>
    </row>
    <row r="90" spans="9:18" x14ac:dyDescent="0.25">
      <c r="I90" s="23"/>
      <c r="J90" s="19"/>
      <c r="K90" s="19"/>
      <c r="L90" s="19"/>
      <c r="M90" s="19"/>
      <c r="N90" s="19"/>
      <c r="O90" s="19"/>
      <c r="P90" s="19"/>
      <c r="Q90" s="41">
        <f>SUM(Q85:Q89)</f>
        <v>297.58110000000005</v>
      </c>
      <c r="R90" s="4">
        <f>Q90*4</f>
        <v>1190.3244000000002</v>
      </c>
    </row>
    <row r="91" spans="9:18" x14ac:dyDescent="0.25">
      <c r="I91" s="23"/>
      <c r="J91" s="19"/>
      <c r="K91" s="19"/>
      <c r="L91" s="19"/>
      <c r="M91" s="19"/>
      <c r="N91" s="19"/>
      <c r="O91" s="19"/>
      <c r="P91" s="19"/>
      <c r="Q91" s="24"/>
    </row>
    <row r="92" spans="9:18" x14ac:dyDescent="0.25">
      <c r="I92" s="23" t="s">
        <v>277</v>
      </c>
      <c r="J92" s="19">
        <v>12</v>
      </c>
      <c r="K92" s="19">
        <v>24.85</v>
      </c>
      <c r="L92" s="19">
        <v>0</v>
      </c>
      <c r="M92" s="37">
        <v>3</v>
      </c>
      <c r="N92" s="19">
        <v>12</v>
      </c>
      <c r="O92" s="19">
        <f t="shared" ref="O92:O96" si="18">IF(N92=8,0.395,IF(N92=10,0.617,IF(N92=12,0.888,IF(N92=14,1.208,IF(N92=16,1.578)))))</f>
        <v>0.88800000000000001</v>
      </c>
      <c r="P92" s="38">
        <f t="shared" ref="P92:P96" si="19">(K92+L92)*M92</f>
        <v>74.550000000000011</v>
      </c>
      <c r="Q92" s="40">
        <f>O92*P92</f>
        <v>66.200400000000016</v>
      </c>
    </row>
    <row r="93" spans="9:18" x14ac:dyDescent="0.25">
      <c r="I93" s="23"/>
      <c r="J93" s="19">
        <v>14</v>
      </c>
      <c r="K93" s="19">
        <v>15.55</v>
      </c>
      <c r="L93" s="19">
        <v>0</v>
      </c>
      <c r="M93" s="37">
        <v>3</v>
      </c>
      <c r="N93" s="19">
        <v>14</v>
      </c>
      <c r="O93" s="19">
        <f t="shared" si="18"/>
        <v>1.208</v>
      </c>
      <c r="P93" s="38">
        <f t="shared" si="19"/>
        <v>46.650000000000006</v>
      </c>
      <c r="Q93" s="40">
        <f>O93*P93</f>
        <v>56.353200000000008</v>
      </c>
    </row>
    <row r="94" spans="9:18" x14ac:dyDescent="0.25">
      <c r="I94" s="23"/>
      <c r="J94" s="19">
        <v>16</v>
      </c>
      <c r="K94" s="19">
        <v>6.45</v>
      </c>
      <c r="L94" s="19">
        <v>0</v>
      </c>
      <c r="M94" s="37">
        <v>3</v>
      </c>
      <c r="N94" s="19">
        <v>16</v>
      </c>
      <c r="O94" s="19">
        <f t="shared" si="18"/>
        <v>1.5780000000000001</v>
      </c>
      <c r="P94" s="38">
        <f t="shared" si="19"/>
        <v>19.350000000000001</v>
      </c>
      <c r="Q94" s="40">
        <f>O94*P94</f>
        <v>30.534300000000005</v>
      </c>
    </row>
    <row r="95" spans="9:18" x14ac:dyDescent="0.25">
      <c r="I95" s="23"/>
      <c r="J95" s="19" t="s">
        <v>22</v>
      </c>
      <c r="K95" s="19">
        <v>1.32</v>
      </c>
      <c r="L95" s="19"/>
      <c r="M95" s="37">
        <v>105</v>
      </c>
      <c r="N95" s="19">
        <v>10</v>
      </c>
      <c r="O95" s="19">
        <f t="shared" si="18"/>
        <v>0.61699999999999999</v>
      </c>
      <c r="P95" s="38">
        <f t="shared" si="19"/>
        <v>138.6</v>
      </c>
      <c r="Q95" s="40">
        <f>O95*P95</f>
        <v>85.516199999999998</v>
      </c>
    </row>
    <row r="96" spans="9:18" x14ac:dyDescent="0.25">
      <c r="I96" s="23"/>
      <c r="J96" s="19" t="s">
        <v>23</v>
      </c>
      <c r="K96" s="19">
        <v>0.84</v>
      </c>
      <c r="L96" s="19">
        <v>0</v>
      </c>
      <c r="M96" s="37">
        <v>105</v>
      </c>
      <c r="N96" s="19">
        <v>10</v>
      </c>
      <c r="O96" s="19">
        <f t="shared" si="18"/>
        <v>0.61699999999999999</v>
      </c>
      <c r="P96" s="38">
        <f t="shared" si="19"/>
        <v>88.2</v>
      </c>
      <c r="Q96" s="40">
        <f>O96*P96</f>
        <v>54.419400000000003</v>
      </c>
      <c r="R96" t="s">
        <v>273</v>
      </c>
    </row>
    <row r="97" spans="9:18" x14ac:dyDescent="0.25">
      <c r="I97" s="23"/>
      <c r="J97" s="19"/>
      <c r="K97" s="19"/>
      <c r="L97" s="19"/>
      <c r="M97" s="19"/>
      <c r="N97" s="19"/>
      <c r="O97" s="19"/>
      <c r="P97" s="19"/>
      <c r="Q97" s="41">
        <f>SUM(Q92:Q96)</f>
        <v>293.02350000000001</v>
      </c>
      <c r="R97" s="4">
        <f>Q97*4</f>
        <v>1172.0940000000001</v>
      </c>
    </row>
    <row r="98" spans="9:18" x14ac:dyDescent="0.25">
      <c r="I98" s="23"/>
      <c r="J98" s="19"/>
      <c r="K98" s="19"/>
      <c r="L98" s="19"/>
      <c r="M98" s="19"/>
      <c r="N98" s="19"/>
      <c r="O98" s="19"/>
      <c r="P98" s="19"/>
      <c r="Q98" s="24"/>
    </row>
    <row r="99" spans="9:18" x14ac:dyDescent="0.25">
      <c r="I99" s="23" t="s">
        <v>278</v>
      </c>
      <c r="J99" s="19">
        <v>12</v>
      </c>
      <c r="K99" s="19">
        <v>23.65</v>
      </c>
      <c r="L99" s="19">
        <v>0</v>
      </c>
      <c r="M99" s="37">
        <v>3</v>
      </c>
      <c r="N99" s="19">
        <v>12</v>
      </c>
      <c r="O99" s="19">
        <f t="shared" ref="O99:O103" si="20">IF(N99=8,0.395,IF(N99=10,0.617,IF(N99=12,0.888,IF(N99=14,1.208,IF(N99=16,1.578)))))</f>
        <v>0.88800000000000001</v>
      </c>
      <c r="P99" s="38">
        <f t="shared" ref="P99:P103" si="21">(K99+L99)*M99</f>
        <v>70.949999999999989</v>
      </c>
      <c r="Q99" s="40">
        <f>O99*P99</f>
        <v>63.003599999999992</v>
      </c>
    </row>
    <row r="100" spans="9:18" x14ac:dyDescent="0.25">
      <c r="I100" s="23"/>
      <c r="J100" s="19">
        <v>14</v>
      </c>
      <c r="K100" s="19">
        <v>14.65</v>
      </c>
      <c r="L100" s="19">
        <v>0</v>
      </c>
      <c r="M100" s="37">
        <v>3</v>
      </c>
      <c r="N100" s="19">
        <v>14</v>
      </c>
      <c r="O100" s="19">
        <f t="shared" si="20"/>
        <v>1.208</v>
      </c>
      <c r="P100" s="38">
        <f t="shared" si="21"/>
        <v>43.95</v>
      </c>
      <c r="Q100" s="40">
        <f>O100*P100</f>
        <v>53.0916</v>
      </c>
    </row>
    <row r="101" spans="9:18" x14ac:dyDescent="0.25">
      <c r="I101" s="23"/>
      <c r="J101" s="19"/>
      <c r="K101" s="19"/>
      <c r="L101" s="19"/>
      <c r="M101" s="37"/>
      <c r="N101" s="19"/>
      <c r="O101" s="19"/>
      <c r="P101" s="38"/>
      <c r="Q101" s="40"/>
    </row>
    <row r="102" spans="9:18" x14ac:dyDescent="0.25">
      <c r="I102" s="23"/>
      <c r="J102" s="19" t="s">
        <v>22</v>
      </c>
      <c r="K102" s="19">
        <v>1.32</v>
      </c>
      <c r="L102" s="19"/>
      <c r="M102" s="37">
        <v>105</v>
      </c>
      <c r="N102" s="19">
        <v>10</v>
      </c>
      <c r="O102" s="19">
        <f t="shared" si="20"/>
        <v>0.61699999999999999</v>
      </c>
      <c r="P102" s="38">
        <f t="shared" si="21"/>
        <v>138.6</v>
      </c>
      <c r="Q102" s="40">
        <f>O102*P102</f>
        <v>85.516199999999998</v>
      </c>
    </row>
    <row r="103" spans="9:18" x14ac:dyDescent="0.25">
      <c r="I103" s="23"/>
      <c r="J103" s="19" t="s">
        <v>23</v>
      </c>
      <c r="K103" s="19">
        <v>0.84</v>
      </c>
      <c r="L103" s="19">
        <v>0</v>
      </c>
      <c r="M103" s="37">
        <v>105</v>
      </c>
      <c r="N103" s="19">
        <v>10</v>
      </c>
      <c r="O103" s="19">
        <f t="shared" si="20"/>
        <v>0.61699999999999999</v>
      </c>
      <c r="P103" s="38">
        <f t="shared" si="21"/>
        <v>88.2</v>
      </c>
      <c r="Q103" s="40">
        <f>O103*P103</f>
        <v>54.419400000000003</v>
      </c>
      <c r="R103" t="s">
        <v>279</v>
      </c>
    </row>
    <row r="104" spans="9:18" x14ac:dyDescent="0.25">
      <c r="I104" s="23"/>
      <c r="J104" s="19"/>
      <c r="K104" s="19"/>
      <c r="L104" s="19"/>
      <c r="M104" s="19"/>
      <c r="N104" s="19"/>
      <c r="O104" s="19"/>
      <c r="P104" s="19"/>
      <c r="Q104" s="41">
        <f>SUM(Q99:Q103)</f>
        <v>256.0308</v>
      </c>
      <c r="R104" s="4">
        <f>Q104*3</f>
        <v>768.0924</v>
      </c>
    </row>
    <row r="105" spans="9:18" x14ac:dyDescent="0.25">
      <c r="I105" s="23"/>
      <c r="J105" s="19"/>
      <c r="K105" s="19"/>
      <c r="L105" s="19"/>
      <c r="M105" s="19"/>
      <c r="N105" s="19"/>
      <c r="O105" s="19"/>
      <c r="P105" s="19"/>
      <c r="Q105" s="24"/>
    </row>
    <row r="106" spans="9:18" x14ac:dyDescent="0.25">
      <c r="I106" s="23" t="s">
        <v>280</v>
      </c>
      <c r="J106" s="19">
        <v>12</v>
      </c>
      <c r="K106" s="19">
        <v>12</v>
      </c>
      <c r="L106" s="19">
        <v>0</v>
      </c>
      <c r="M106" s="37">
        <v>3</v>
      </c>
      <c r="N106" s="19">
        <v>12</v>
      </c>
      <c r="O106" s="19">
        <f t="shared" ref="O106:O107" si="22">IF(N106=8,0.395,IF(N106=10,0.617,IF(N106=12,0.888,IF(N106=14,1.208,IF(N106=16,1.578)))))</f>
        <v>0.88800000000000001</v>
      </c>
      <c r="P106" s="38">
        <f t="shared" ref="P106:P107" si="23">(K106+L106)*M106</f>
        <v>36</v>
      </c>
      <c r="Q106" s="40">
        <f>O106*P106</f>
        <v>31.968</v>
      </c>
    </row>
    <row r="107" spans="9:18" x14ac:dyDescent="0.25">
      <c r="I107" s="23"/>
      <c r="J107" s="19">
        <v>14</v>
      </c>
      <c r="K107" s="19">
        <v>7</v>
      </c>
      <c r="L107" s="19">
        <v>0</v>
      </c>
      <c r="M107" s="37">
        <v>3</v>
      </c>
      <c r="N107" s="19">
        <v>14</v>
      </c>
      <c r="O107" s="19">
        <f t="shared" si="22"/>
        <v>1.208</v>
      </c>
      <c r="P107" s="38">
        <f t="shared" si="23"/>
        <v>21</v>
      </c>
      <c r="Q107" s="40">
        <f>O107*P107</f>
        <v>25.367999999999999</v>
      </c>
    </row>
    <row r="108" spans="9:18" x14ac:dyDescent="0.25">
      <c r="I108" s="23"/>
      <c r="J108" s="19"/>
      <c r="K108" s="19"/>
      <c r="L108" s="19"/>
      <c r="M108" s="37"/>
      <c r="N108" s="19"/>
      <c r="O108" s="19"/>
      <c r="P108" s="38"/>
      <c r="Q108" s="40"/>
    </row>
    <row r="109" spans="9:18" x14ac:dyDescent="0.25">
      <c r="I109" s="23"/>
      <c r="J109" s="19" t="s">
        <v>22</v>
      </c>
      <c r="K109" s="19">
        <v>1.32</v>
      </c>
      <c r="L109" s="19"/>
      <c r="M109" s="37">
        <v>50</v>
      </c>
      <c r="N109" s="19">
        <v>10</v>
      </c>
      <c r="O109" s="19">
        <f t="shared" ref="O109:O110" si="24">IF(N109=8,0.395,IF(N109=10,0.617,IF(N109=12,0.888,IF(N109=14,1.208,IF(N109=16,1.578)))))</f>
        <v>0.61699999999999999</v>
      </c>
      <c r="P109" s="38">
        <f t="shared" ref="P109:P110" si="25">(K109+L109)*M109</f>
        <v>66</v>
      </c>
      <c r="Q109" s="40">
        <f>O109*P109</f>
        <v>40.722000000000001</v>
      </c>
    </row>
    <row r="110" spans="9:18" x14ac:dyDescent="0.25">
      <c r="I110" s="23"/>
      <c r="J110" s="19" t="s">
        <v>23</v>
      </c>
      <c r="K110" s="19">
        <v>0.84</v>
      </c>
      <c r="L110" s="19">
        <v>0</v>
      </c>
      <c r="M110" s="37">
        <v>50</v>
      </c>
      <c r="N110" s="19">
        <v>10</v>
      </c>
      <c r="O110" s="19">
        <f t="shared" si="24"/>
        <v>0.61699999999999999</v>
      </c>
      <c r="P110" s="38">
        <f t="shared" si="25"/>
        <v>42</v>
      </c>
      <c r="Q110" s="40">
        <f>O110*P110</f>
        <v>25.914000000000001</v>
      </c>
      <c r="R110" t="s">
        <v>275</v>
      </c>
    </row>
    <row r="111" spans="9:18" x14ac:dyDescent="0.25">
      <c r="I111" s="25"/>
      <c r="J111" s="26"/>
      <c r="K111" s="26"/>
      <c r="L111" s="26"/>
      <c r="M111" s="26"/>
      <c r="N111" s="26"/>
      <c r="O111" s="26"/>
      <c r="P111" s="26"/>
      <c r="Q111" s="42">
        <f>SUM(Q106:Q110)</f>
        <v>123.97199999999999</v>
      </c>
      <c r="R111" s="4">
        <f>Q111</f>
        <v>123.97199999999999</v>
      </c>
    </row>
    <row r="114" spans="7:17" x14ac:dyDescent="0.25">
      <c r="I114" t="s">
        <v>282</v>
      </c>
    </row>
    <row r="115" spans="7:17" x14ac:dyDescent="0.25">
      <c r="I115" s="20"/>
      <c r="J115" s="21">
        <v>10</v>
      </c>
      <c r="K115" s="21">
        <v>50</v>
      </c>
      <c r="L115" s="21">
        <v>0</v>
      </c>
      <c r="M115" s="34">
        <v>2</v>
      </c>
      <c r="N115" s="21">
        <v>10</v>
      </c>
      <c r="O115" s="21">
        <f t="shared" ref="O115:O116" si="26">IF(N115=8,0.395,IF(N115=10,0.617,IF(N115=12,0.888,IF(N115=14,1.208,IF(N115=16,1.578)))))</f>
        <v>0.61699999999999999</v>
      </c>
      <c r="P115" s="35">
        <f t="shared" ref="P115:P116" si="27">(K115+L115)*M115</f>
        <v>100</v>
      </c>
      <c r="Q115" s="36">
        <f>O115*P115</f>
        <v>61.7</v>
      </c>
    </row>
    <row r="116" spans="7:17" x14ac:dyDescent="0.25">
      <c r="I116" s="25"/>
      <c r="J116" s="26">
        <v>10</v>
      </c>
      <c r="K116" s="26">
        <v>1</v>
      </c>
      <c r="L116" s="26">
        <v>0</v>
      </c>
      <c r="M116" s="43">
        <f>50/0.2</f>
        <v>250</v>
      </c>
      <c r="N116" s="26">
        <v>10</v>
      </c>
      <c r="O116" s="26">
        <f t="shared" si="26"/>
        <v>0.61699999999999999</v>
      </c>
      <c r="P116" s="44">
        <f t="shared" si="27"/>
        <v>250</v>
      </c>
      <c r="Q116" s="45">
        <f>O116*P116</f>
        <v>154.25</v>
      </c>
    </row>
    <row r="117" spans="7:17" x14ac:dyDescent="0.25">
      <c r="Q117" s="52">
        <f>SUM(Q115:Q116)</f>
        <v>215.95</v>
      </c>
    </row>
    <row r="119" spans="7:17" x14ac:dyDescent="0.25">
      <c r="I119" t="s">
        <v>283</v>
      </c>
    </row>
    <row r="120" spans="7:17" x14ac:dyDescent="0.25">
      <c r="I120" s="20" t="s">
        <v>259</v>
      </c>
      <c r="J120" s="21">
        <v>14</v>
      </c>
      <c r="K120" s="21">
        <v>2</v>
      </c>
      <c r="L120" s="21">
        <v>57</v>
      </c>
      <c r="M120" s="21">
        <v>2</v>
      </c>
      <c r="N120" s="21">
        <v>1</v>
      </c>
      <c r="O120" s="21">
        <f>K120*L120*M120*N120</f>
        <v>228</v>
      </c>
      <c r="P120" s="21">
        <v>1.208</v>
      </c>
      <c r="Q120" s="22">
        <f>O120*P120</f>
        <v>275.42399999999998</v>
      </c>
    </row>
    <row r="121" spans="7:17" x14ac:dyDescent="0.25">
      <c r="I121" s="23" t="s">
        <v>236</v>
      </c>
      <c r="J121" s="19">
        <v>12</v>
      </c>
      <c r="K121" s="19">
        <v>3.5</v>
      </c>
      <c r="L121" s="19">
        <v>5</v>
      </c>
      <c r="M121" s="19">
        <v>2</v>
      </c>
      <c r="N121" s="19">
        <v>1</v>
      </c>
      <c r="O121" s="19">
        <f>N121*M121*L121*K121</f>
        <v>35</v>
      </c>
      <c r="P121" s="19">
        <v>0.88800000000000001</v>
      </c>
      <c r="Q121" s="24">
        <f t="shared" ref="Q121:Q123" si="28">O121*P121</f>
        <v>31.080000000000002</v>
      </c>
    </row>
    <row r="122" spans="7:17" x14ac:dyDescent="0.25">
      <c r="I122" s="23" t="s">
        <v>237</v>
      </c>
      <c r="J122" s="19">
        <v>12</v>
      </c>
      <c r="K122" s="19">
        <v>2.5</v>
      </c>
      <c r="L122" s="19">
        <v>5</v>
      </c>
      <c r="M122" s="19">
        <v>2</v>
      </c>
      <c r="N122" s="19">
        <v>1</v>
      </c>
      <c r="O122" s="19">
        <f t="shared" ref="O122:O123" si="29">N122*M122*L122*K122</f>
        <v>25</v>
      </c>
      <c r="P122" s="19">
        <v>0.88800000000000001</v>
      </c>
      <c r="Q122" s="24">
        <f t="shared" si="28"/>
        <v>22.2</v>
      </c>
    </row>
    <row r="123" spans="7:17" x14ac:dyDescent="0.25">
      <c r="I123" s="25" t="s">
        <v>238</v>
      </c>
      <c r="J123" s="26">
        <v>12</v>
      </c>
      <c r="K123" s="26">
        <v>2.5</v>
      </c>
      <c r="L123" s="19">
        <v>5</v>
      </c>
      <c r="M123" s="26">
        <v>2</v>
      </c>
      <c r="N123" s="26">
        <v>1</v>
      </c>
      <c r="O123" s="26">
        <f t="shared" si="29"/>
        <v>25</v>
      </c>
      <c r="P123" s="26">
        <v>0.88800000000000001</v>
      </c>
      <c r="Q123" s="27">
        <f t="shared" si="28"/>
        <v>22.2</v>
      </c>
    </row>
    <row r="124" spans="7:17" x14ac:dyDescent="0.25">
      <c r="Q124" s="51">
        <f>SUM(Q120:Q123)</f>
        <v>350.90399999999994</v>
      </c>
    </row>
    <row r="125" spans="7:17" x14ac:dyDescent="0.25">
      <c r="G125">
        <f xml:space="preserve"> 350+260+Q174</f>
        <v>3033.7544366666675</v>
      </c>
    </row>
    <row r="127" spans="7:17" x14ac:dyDescent="0.25">
      <c r="I127" s="80" t="s">
        <v>284</v>
      </c>
      <c r="J127" s="81"/>
      <c r="K127" s="21"/>
      <c r="L127" s="21"/>
      <c r="M127" s="21"/>
      <c r="N127" s="21"/>
      <c r="O127" s="21"/>
      <c r="P127" s="21"/>
      <c r="Q127" s="22"/>
    </row>
    <row r="128" spans="7:17" x14ac:dyDescent="0.25">
      <c r="I128" s="23" t="s">
        <v>74</v>
      </c>
      <c r="J128" s="19">
        <v>16</v>
      </c>
      <c r="K128" s="19">
        <v>2.1</v>
      </c>
      <c r="L128" s="19">
        <v>8</v>
      </c>
      <c r="M128" s="19">
        <v>9</v>
      </c>
      <c r="N128" s="19">
        <v>1</v>
      </c>
      <c r="O128" s="19">
        <f>K128*L128*M128</f>
        <v>151.20000000000002</v>
      </c>
      <c r="P128" s="19">
        <v>1.5780000000000001</v>
      </c>
      <c r="Q128" s="24">
        <f>P128*O128</f>
        <v>238.59360000000004</v>
      </c>
    </row>
    <row r="129" spans="5:17" x14ac:dyDescent="0.25">
      <c r="I129" s="25" t="s">
        <v>22</v>
      </c>
      <c r="J129" s="26">
        <v>8</v>
      </c>
      <c r="K129" s="26">
        <v>2.1</v>
      </c>
      <c r="L129" s="26">
        <v>3</v>
      </c>
      <c r="M129" s="26">
        <v>9</v>
      </c>
      <c r="N129" s="26"/>
      <c r="O129" s="26">
        <f>K129*L129*M129</f>
        <v>56.7</v>
      </c>
      <c r="P129" s="26">
        <v>0.39500000000000002</v>
      </c>
      <c r="Q129" s="27">
        <f>O129*P129</f>
        <v>22.396500000000003</v>
      </c>
    </row>
    <row r="130" spans="5:17" x14ac:dyDescent="0.25">
      <c r="Q130" s="50">
        <f>SUM(Q128:Q129)</f>
        <v>260.99010000000004</v>
      </c>
    </row>
    <row r="132" spans="5:17" x14ac:dyDescent="0.25">
      <c r="I132" t="s">
        <v>21</v>
      </c>
    </row>
    <row r="133" spans="5:17" x14ac:dyDescent="0.25">
      <c r="I133" s="20" t="s">
        <v>285</v>
      </c>
      <c r="J133" s="21">
        <v>10</v>
      </c>
      <c r="K133" s="21">
        <v>13</v>
      </c>
      <c r="L133" s="21">
        <v>0.5</v>
      </c>
      <c r="M133" s="34">
        <v>4</v>
      </c>
      <c r="N133" s="21">
        <v>10</v>
      </c>
      <c r="O133" s="21">
        <f t="shared" ref="O133:O138" si="30">IF(N133=8,0.395,IF(N133=10,0.617,IF(N133=12,0.888,IF(N133=14,1.208,IF(N133=16,1.578)))))</f>
        <v>0.61699999999999999</v>
      </c>
      <c r="P133" s="21">
        <f t="shared" ref="P133:P138" si="31">(K133+L133)*M133</f>
        <v>54</v>
      </c>
      <c r="Q133" s="47">
        <f>O133*P133</f>
        <v>33.317999999999998</v>
      </c>
    </row>
    <row r="134" spans="5:17" x14ac:dyDescent="0.25">
      <c r="I134" s="23"/>
      <c r="J134" s="19">
        <v>14</v>
      </c>
      <c r="K134" s="19">
        <v>13.8</v>
      </c>
      <c r="L134" s="19">
        <v>0.5</v>
      </c>
      <c r="M134" s="37">
        <v>6</v>
      </c>
      <c r="N134" s="19">
        <v>14</v>
      </c>
      <c r="O134" s="19">
        <f t="shared" si="30"/>
        <v>1.208</v>
      </c>
      <c r="P134" s="19">
        <f t="shared" si="31"/>
        <v>85.800000000000011</v>
      </c>
      <c r="Q134" s="39">
        <f>O134*P134</f>
        <v>103.64640000000001</v>
      </c>
    </row>
    <row r="135" spans="5:17" x14ac:dyDescent="0.25">
      <c r="I135" s="23"/>
      <c r="J135" s="19">
        <v>16</v>
      </c>
      <c r="K135" s="19">
        <f>(7.4+1.1+4.25+3.5)</f>
        <v>16.25</v>
      </c>
      <c r="L135" s="19">
        <v>0.5</v>
      </c>
      <c r="M135" s="37">
        <v>3</v>
      </c>
      <c r="N135" s="19">
        <v>16</v>
      </c>
      <c r="O135" s="19">
        <f t="shared" si="30"/>
        <v>1.5780000000000001</v>
      </c>
      <c r="P135" s="19">
        <f t="shared" si="31"/>
        <v>50.25</v>
      </c>
      <c r="Q135" s="39">
        <f>O135*P135</f>
        <v>79.294499999999999</v>
      </c>
    </row>
    <row r="136" spans="5:17" x14ac:dyDescent="0.25">
      <c r="E136">
        <f>4+1.1+2.1+3+13.4+13.4+4.25+3.5</f>
        <v>44.75</v>
      </c>
      <c r="I136" s="23"/>
      <c r="J136" s="19" t="s">
        <v>22</v>
      </c>
      <c r="K136" s="19">
        <v>1.9</v>
      </c>
      <c r="L136" s="19">
        <v>0</v>
      </c>
      <c r="M136" s="37">
        <f>(34+14+14+7+13)</f>
        <v>82</v>
      </c>
      <c r="N136" s="19">
        <v>10</v>
      </c>
      <c r="O136" s="19">
        <f t="shared" si="30"/>
        <v>0.61699999999999999</v>
      </c>
      <c r="P136" s="19">
        <f t="shared" si="31"/>
        <v>155.79999999999998</v>
      </c>
      <c r="Q136" s="39">
        <f>O136*P136</f>
        <v>96.128599999999992</v>
      </c>
    </row>
    <row r="137" spans="5:17" x14ac:dyDescent="0.25">
      <c r="I137" s="23"/>
      <c r="J137" s="19" t="s">
        <v>23</v>
      </c>
      <c r="K137" s="19">
        <v>1.45</v>
      </c>
      <c r="L137" s="19">
        <v>0</v>
      </c>
      <c r="M137" s="37">
        <f>(34+14+14+7+13)</f>
        <v>82</v>
      </c>
      <c r="N137" s="19">
        <v>10</v>
      </c>
      <c r="O137" s="19">
        <f t="shared" si="30"/>
        <v>0.61699999999999999</v>
      </c>
      <c r="P137" s="19">
        <f t="shared" si="31"/>
        <v>118.89999999999999</v>
      </c>
      <c r="Q137" s="39">
        <f t="shared" ref="Q137:Q173" si="32">O137*P137</f>
        <v>73.3613</v>
      </c>
    </row>
    <row r="138" spans="5:17" x14ac:dyDescent="0.25">
      <c r="I138" s="23"/>
      <c r="J138" s="19" t="s">
        <v>24</v>
      </c>
      <c r="K138" s="19">
        <v>0.35</v>
      </c>
      <c r="L138" s="19">
        <v>0</v>
      </c>
      <c r="M138" s="37">
        <v>60</v>
      </c>
      <c r="N138" s="19">
        <v>10</v>
      </c>
      <c r="O138" s="19">
        <f t="shared" si="30"/>
        <v>0.61699999999999999</v>
      </c>
      <c r="P138" s="19">
        <f t="shared" si="31"/>
        <v>21</v>
      </c>
      <c r="Q138" s="39">
        <f t="shared" si="32"/>
        <v>12.957000000000001</v>
      </c>
    </row>
    <row r="139" spans="5:17" x14ac:dyDescent="0.25">
      <c r="I139" s="23"/>
      <c r="J139" s="19"/>
      <c r="K139" s="19"/>
      <c r="L139" s="19"/>
      <c r="M139" s="19"/>
      <c r="N139" s="19"/>
      <c r="O139" s="19"/>
      <c r="P139" s="19"/>
      <c r="Q139" s="39">
        <f t="shared" si="32"/>
        <v>0</v>
      </c>
    </row>
    <row r="140" spans="5:17" x14ac:dyDescent="0.25">
      <c r="I140" s="23" t="s">
        <v>286</v>
      </c>
      <c r="J140" s="19">
        <v>10</v>
      </c>
      <c r="K140" s="19">
        <v>13</v>
      </c>
      <c r="L140" s="19">
        <v>0</v>
      </c>
      <c r="M140" s="37">
        <v>4</v>
      </c>
      <c r="N140" s="19">
        <v>10</v>
      </c>
      <c r="O140" s="19">
        <f t="shared" ref="O140:O145" si="33">IF(N140=8,0.395,IF(N140=10,0.617,IF(N140=12,0.888,IF(N140=14,1.208,IF(N140=16,1.578)))))</f>
        <v>0.61699999999999999</v>
      </c>
      <c r="P140" s="19">
        <f t="shared" ref="P140:P145" si="34">(K140+L140)*M140</f>
        <v>52</v>
      </c>
      <c r="Q140" s="39">
        <f t="shared" si="32"/>
        <v>32.084000000000003</v>
      </c>
    </row>
    <row r="141" spans="5:17" x14ac:dyDescent="0.25">
      <c r="I141" s="23"/>
      <c r="J141" s="19">
        <v>14</v>
      </c>
      <c r="K141" s="19">
        <v>0</v>
      </c>
      <c r="L141" s="19">
        <v>0</v>
      </c>
      <c r="M141" s="37">
        <v>0</v>
      </c>
      <c r="N141" s="19">
        <v>14</v>
      </c>
      <c r="O141" s="19">
        <f t="shared" si="33"/>
        <v>1.208</v>
      </c>
      <c r="P141" s="19">
        <f t="shared" si="34"/>
        <v>0</v>
      </c>
      <c r="Q141" s="39">
        <f t="shared" si="32"/>
        <v>0</v>
      </c>
    </row>
    <row r="142" spans="5:17" x14ac:dyDescent="0.25">
      <c r="I142" s="23"/>
      <c r="J142" s="19">
        <v>16</v>
      </c>
      <c r="K142" s="19">
        <v>44.75</v>
      </c>
      <c r="L142" s="19">
        <v>0.5</v>
      </c>
      <c r="M142" s="37">
        <v>3</v>
      </c>
      <c r="N142" s="19">
        <v>16</v>
      </c>
      <c r="O142" s="19">
        <f t="shared" si="33"/>
        <v>1.5780000000000001</v>
      </c>
      <c r="P142" s="19">
        <f t="shared" si="34"/>
        <v>135.75</v>
      </c>
      <c r="Q142" s="39">
        <f t="shared" si="32"/>
        <v>214.21350000000001</v>
      </c>
    </row>
    <row r="143" spans="5:17" x14ac:dyDescent="0.25">
      <c r="I143" s="23"/>
      <c r="J143" s="19" t="s">
        <v>22</v>
      </c>
      <c r="K143" s="19">
        <v>1.9</v>
      </c>
      <c r="L143" s="19">
        <v>0</v>
      </c>
      <c r="M143" s="37">
        <f>(3.5/0.1)+(1.44/0.1)+(2.5/0.1)+(2/0.15)</f>
        <v>87.733333333333334</v>
      </c>
      <c r="N143" s="19">
        <v>10</v>
      </c>
      <c r="O143" s="19">
        <f t="shared" si="33"/>
        <v>0.61699999999999999</v>
      </c>
      <c r="P143" s="19">
        <f t="shared" si="34"/>
        <v>166.69333333333333</v>
      </c>
      <c r="Q143" s="39">
        <f t="shared" si="32"/>
        <v>102.84978666666666</v>
      </c>
    </row>
    <row r="144" spans="5:17" x14ac:dyDescent="0.25">
      <c r="I144" s="23"/>
      <c r="J144" s="19" t="s">
        <v>23</v>
      </c>
      <c r="K144" s="19">
        <v>1.45</v>
      </c>
      <c r="L144" s="19">
        <v>0</v>
      </c>
      <c r="M144" s="37">
        <f>(34+14+14+7+13)</f>
        <v>82</v>
      </c>
      <c r="N144" s="19">
        <v>10</v>
      </c>
      <c r="O144" s="19">
        <f t="shared" si="33"/>
        <v>0.61699999999999999</v>
      </c>
      <c r="P144" s="19">
        <f t="shared" si="34"/>
        <v>118.89999999999999</v>
      </c>
      <c r="Q144" s="39">
        <f t="shared" si="32"/>
        <v>73.3613</v>
      </c>
    </row>
    <row r="145" spans="9:17" x14ac:dyDescent="0.25">
      <c r="I145" s="23"/>
      <c r="J145" s="19" t="s">
        <v>24</v>
      </c>
      <c r="K145" s="19">
        <v>0.35</v>
      </c>
      <c r="L145" s="19">
        <v>0</v>
      </c>
      <c r="M145" s="37">
        <v>60</v>
      </c>
      <c r="N145" s="19">
        <v>10</v>
      </c>
      <c r="O145" s="19">
        <f t="shared" si="33"/>
        <v>0.61699999999999999</v>
      </c>
      <c r="P145" s="19">
        <f t="shared" si="34"/>
        <v>21</v>
      </c>
      <c r="Q145" s="39">
        <f t="shared" si="32"/>
        <v>12.957000000000001</v>
      </c>
    </row>
    <row r="146" spans="9:17" x14ac:dyDescent="0.25">
      <c r="I146" s="23"/>
      <c r="J146" s="19"/>
      <c r="K146" s="19"/>
      <c r="L146" s="19"/>
      <c r="M146" s="19"/>
      <c r="N146" s="19"/>
      <c r="O146" s="19"/>
      <c r="P146" s="19"/>
      <c r="Q146" s="39">
        <f t="shared" si="32"/>
        <v>0</v>
      </c>
    </row>
    <row r="147" spans="9:17" x14ac:dyDescent="0.25">
      <c r="I147" s="23" t="s">
        <v>287</v>
      </c>
      <c r="J147" s="19">
        <v>10</v>
      </c>
      <c r="K147" s="19">
        <v>13</v>
      </c>
      <c r="L147" s="19">
        <v>0.5</v>
      </c>
      <c r="M147" s="37">
        <v>4</v>
      </c>
      <c r="N147" s="19">
        <v>10</v>
      </c>
      <c r="O147" s="19">
        <f t="shared" ref="O147:O152" si="35">IF(N147=8,0.395,IF(N147=10,0.617,IF(N147=12,0.888,IF(N147=14,1.208,IF(N147=16,1.578)))))</f>
        <v>0.61699999999999999</v>
      </c>
      <c r="P147" s="19">
        <f t="shared" ref="P147:P152" si="36">(K147+L147)*M147</f>
        <v>54</v>
      </c>
      <c r="Q147" s="39">
        <f t="shared" si="32"/>
        <v>33.317999999999998</v>
      </c>
    </row>
    <row r="148" spans="9:17" x14ac:dyDescent="0.25">
      <c r="I148" s="23"/>
      <c r="J148" s="19">
        <v>14</v>
      </c>
      <c r="K148" s="19"/>
      <c r="L148" s="19"/>
      <c r="M148" s="37">
        <v>6</v>
      </c>
      <c r="N148" s="19">
        <v>14</v>
      </c>
      <c r="O148" s="19">
        <f t="shared" si="35"/>
        <v>1.208</v>
      </c>
      <c r="P148" s="19">
        <f t="shared" si="36"/>
        <v>0</v>
      </c>
      <c r="Q148" s="39">
        <f t="shared" si="32"/>
        <v>0</v>
      </c>
    </row>
    <row r="149" spans="9:17" x14ac:dyDescent="0.25">
      <c r="I149" s="23"/>
      <c r="J149" s="19">
        <v>16</v>
      </c>
      <c r="K149" s="19">
        <v>44.2</v>
      </c>
      <c r="L149" s="19">
        <v>0.5</v>
      </c>
      <c r="M149" s="37">
        <v>3</v>
      </c>
      <c r="N149" s="19">
        <v>16</v>
      </c>
      <c r="O149" s="19">
        <f t="shared" si="35"/>
        <v>1.5780000000000001</v>
      </c>
      <c r="P149" s="19">
        <f t="shared" si="36"/>
        <v>134.10000000000002</v>
      </c>
      <c r="Q149" s="39">
        <f t="shared" si="32"/>
        <v>211.60980000000004</v>
      </c>
    </row>
    <row r="150" spans="9:17" x14ac:dyDescent="0.25">
      <c r="I150" s="23"/>
      <c r="J150" s="19" t="s">
        <v>22</v>
      </c>
      <c r="K150" s="19">
        <v>1.9</v>
      </c>
      <c r="L150" s="19">
        <v>0</v>
      </c>
      <c r="M150" s="37">
        <f>(34+14+14+7+13)</f>
        <v>82</v>
      </c>
      <c r="N150" s="19">
        <v>10</v>
      </c>
      <c r="O150" s="19">
        <f t="shared" si="35"/>
        <v>0.61699999999999999</v>
      </c>
      <c r="P150" s="19">
        <f t="shared" si="36"/>
        <v>155.79999999999998</v>
      </c>
      <c r="Q150" s="39">
        <f t="shared" si="32"/>
        <v>96.128599999999992</v>
      </c>
    </row>
    <row r="151" spans="9:17" x14ac:dyDescent="0.25">
      <c r="I151" s="23"/>
      <c r="J151" s="19" t="s">
        <v>23</v>
      </c>
      <c r="K151" s="19">
        <v>1.45</v>
      </c>
      <c r="L151" s="19">
        <v>0</v>
      </c>
      <c r="M151" s="37">
        <f>(34+14+14+7+13)</f>
        <v>82</v>
      </c>
      <c r="N151" s="19">
        <v>10</v>
      </c>
      <c r="O151" s="19">
        <f t="shared" si="35"/>
        <v>0.61699999999999999</v>
      </c>
      <c r="P151" s="19">
        <f t="shared" si="36"/>
        <v>118.89999999999999</v>
      </c>
      <c r="Q151" s="39">
        <f t="shared" si="32"/>
        <v>73.3613</v>
      </c>
    </row>
    <row r="152" spans="9:17" x14ac:dyDescent="0.25">
      <c r="I152" s="23"/>
      <c r="J152" s="19" t="s">
        <v>24</v>
      </c>
      <c r="K152" s="19">
        <v>0.35</v>
      </c>
      <c r="L152" s="19">
        <v>0</v>
      </c>
      <c r="M152" s="37">
        <v>60</v>
      </c>
      <c r="N152" s="19">
        <v>10</v>
      </c>
      <c r="O152" s="19">
        <f t="shared" si="35"/>
        <v>0.61699999999999999</v>
      </c>
      <c r="P152" s="19">
        <f t="shared" si="36"/>
        <v>21</v>
      </c>
      <c r="Q152" s="39">
        <f t="shared" si="32"/>
        <v>12.957000000000001</v>
      </c>
    </row>
    <row r="153" spans="9:17" x14ac:dyDescent="0.25">
      <c r="I153" s="23"/>
      <c r="J153" s="19"/>
      <c r="K153" s="19"/>
      <c r="L153" s="19"/>
      <c r="M153" s="19"/>
      <c r="N153" s="19"/>
      <c r="O153" s="19"/>
      <c r="P153" s="19"/>
      <c r="Q153" s="39">
        <f t="shared" si="32"/>
        <v>0</v>
      </c>
    </row>
    <row r="154" spans="9:17" x14ac:dyDescent="0.25">
      <c r="I154" s="23" t="s">
        <v>32</v>
      </c>
      <c r="J154" s="19">
        <v>10</v>
      </c>
      <c r="K154" s="19">
        <v>11.3</v>
      </c>
      <c r="L154" s="19">
        <v>0</v>
      </c>
      <c r="M154" s="37">
        <v>4</v>
      </c>
      <c r="N154" s="19">
        <v>10</v>
      </c>
      <c r="O154" s="19">
        <f t="shared" ref="O154:O159" si="37">IF(N154=8,0.395,IF(N154=10,0.617,IF(N154=12,0.888,IF(N154=14,1.208,IF(N154=16,1.578)))))</f>
        <v>0.61699999999999999</v>
      </c>
      <c r="P154" s="19">
        <f t="shared" ref="P154:P159" si="38">(K154+L154)*M154</f>
        <v>45.2</v>
      </c>
      <c r="Q154" s="39">
        <f t="shared" si="32"/>
        <v>27.888400000000001</v>
      </c>
    </row>
    <row r="155" spans="9:17" x14ac:dyDescent="0.25">
      <c r="I155" s="23"/>
      <c r="J155" s="19">
        <v>14</v>
      </c>
      <c r="K155" s="19">
        <v>11.8</v>
      </c>
      <c r="L155" s="19">
        <v>0</v>
      </c>
      <c r="M155" s="37">
        <v>6</v>
      </c>
      <c r="N155" s="19">
        <v>14</v>
      </c>
      <c r="O155" s="19">
        <f t="shared" si="37"/>
        <v>1.208</v>
      </c>
      <c r="P155" s="19">
        <f t="shared" si="38"/>
        <v>70.800000000000011</v>
      </c>
      <c r="Q155" s="39">
        <f t="shared" si="32"/>
        <v>85.52640000000001</v>
      </c>
    </row>
    <row r="156" spans="9:17" x14ac:dyDescent="0.25">
      <c r="I156" s="23"/>
      <c r="J156" s="19">
        <v>16</v>
      </c>
      <c r="K156" s="19">
        <f>(2+4+3+4.25+2)</f>
        <v>15.25</v>
      </c>
      <c r="L156" s="19"/>
      <c r="M156" s="37">
        <v>3</v>
      </c>
      <c r="N156" s="19">
        <v>16</v>
      </c>
      <c r="O156" s="19">
        <f t="shared" si="37"/>
        <v>1.5780000000000001</v>
      </c>
      <c r="P156" s="19">
        <f t="shared" si="38"/>
        <v>45.75</v>
      </c>
      <c r="Q156" s="39">
        <f t="shared" si="32"/>
        <v>72.1935</v>
      </c>
    </row>
    <row r="157" spans="9:17" x14ac:dyDescent="0.25">
      <c r="I157" s="23"/>
      <c r="J157" s="19" t="s">
        <v>22</v>
      </c>
      <c r="K157" s="19">
        <v>1.9</v>
      </c>
      <c r="L157" s="19">
        <v>0</v>
      </c>
      <c r="M157" s="37">
        <f>(60+(1.85+1.9)/0.15)</f>
        <v>85</v>
      </c>
      <c r="N157" s="19">
        <v>10</v>
      </c>
      <c r="O157" s="19">
        <f t="shared" si="37"/>
        <v>0.61699999999999999</v>
      </c>
      <c r="P157" s="19">
        <f t="shared" si="38"/>
        <v>161.5</v>
      </c>
      <c r="Q157" s="39">
        <f t="shared" si="32"/>
        <v>99.645499999999998</v>
      </c>
    </row>
    <row r="158" spans="9:17" x14ac:dyDescent="0.25">
      <c r="I158" s="23"/>
      <c r="J158" s="19" t="s">
        <v>23</v>
      </c>
      <c r="K158" s="19">
        <v>1.45</v>
      </c>
      <c r="L158" s="19">
        <v>0</v>
      </c>
      <c r="M158" s="37">
        <v>85</v>
      </c>
      <c r="N158" s="19">
        <v>10</v>
      </c>
      <c r="O158" s="19">
        <f t="shared" si="37"/>
        <v>0.61699999999999999</v>
      </c>
      <c r="P158" s="19">
        <f t="shared" si="38"/>
        <v>123.25</v>
      </c>
      <c r="Q158" s="39">
        <f t="shared" si="32"/>
        <v>76.045249999999996</v>
      </c>
    </row>
    <row r="159" spans="9:17" x14ac:dyDescent="0.25">
      <c r="I159" s="23"/>
      <c r="J159" s="19" t="s">
        <v>24</v>
      </c>
      <c r="K159" s="19">
        <v>0.35</v>
      </c>
      <c r="L159" s="19">
        <v>0</v>
      </c>
      <c r="M159" s="37">
        <v>60</v>
      </c>
      <c r="N159" s="19">
        <v>10</v>
      </c>
      <c r="O159" s="19">
        <f t="shared" si="37"/>
        <v>0.61699999999999999</v>
      </c>
      <c r="P159" s="19">
        <f t="shared" si="38"/>
        <v>21</v>
      </c>
      <c r="Q159" s="39">
        <f t="shared" si="32"/>
        <v>12.957000000000001</v>
      </c>
    </row>
    <row r="160" spans="9:17" x14ac:dyDescent="0.25">
      <c r="I160" s="23"/>
      <c r="J160" s="19"/>
      <c r="K160" s="19"/>
      <c r="L160" s="19"/>
      <c r="M160" s="19"/>
      <c r="N160" s="19"/>
      <c r="O160" s="19"/>
      <c r="P160" s="19"/>
      <c r="Q160" s="39">
        <f t="shared" si="32"/>
        <v>0</v>
      </c>
    </row>
    <row r="161" spans="9:17" x14ac:dyDescent="0.25">
      <c r="I161" s="23" t="s">
        <v>34</v>
      </c>
      <c r="J161" s="19">
        <v>10</v>
      </c>
      <c r="K161" s="19">
        <v>11.3</v>
      </c>
      <c r="L161" s="19">
        <v>0</v>
      </c>
      <c r="M161" s="37">
        <v>4</v>
      </c>
      <c r="N161" s="19">
        <v>10</v>
      </c>
      <c r="O161" s="19">
        <f t="shared" ref="O161:O166" si="39">IF(N161=8,0.395,IF(N161=10,0.617,IF(N161=12,0.888,IF(N161=14,1.208,IF(N161=16,1.578)))))</f>
        <v>0.61699999999999999</v>
      </c>
      <c r="P161" s="19">
        <f t="shared" ref="P161:P166" si="40">(K161+L161)*M161</f>
        <v>45.2</v>
      </c>
      <c r="Q161" s="39">
        <f t="shared" si="32"/>
        <v>27.888400000000001</v>
      </c>
    </row>
    <row r="162" spans="9:17" x14ac:dyDescent="0.25">
      <c r="I162" s="23"/>
      <c r="J162" s="19">
        <v>14</v>
      </c>
      <c r="K162" s="19">
        <v>11.8</v>
      </c>
      <c r="L162" s="19">
        <v>0</v>
      </c>
      <c r="M162" s="37">
        <v>6</v>
      </c>
      <c r="N162" s="19">
        <v>14</v>
      </c>
      <c r="O162" s="19">
        <f t="shared" si="39"/>
        <v>1.208</v>
      </c>
      <c r="P162" s="19">
        <f t="shared" si="40"/>
        <v>70.800000000000011</v>
      </c>
      <c r="Q162" s="39">
        <f t="shared" si="32"/>
        <v>85.52640000000001</v>
      </c>
    </row>
    <row r="163" spans="9:17" x14ac:dyDescent="0.25">
      <c r="I163" s="23"/>
      <c r="J163" s="19">
        <v>16</v>
      </c>
      <c r="K163" s="19">
        <f>(2+4+3+4.25+2)</f>
        <v>15.25</v>
      </c>
      <c r="L163" s="19"/>
      <c r="M163" s="37">
        <v>3</v>
      </c>
      <c r="N163" s="19">
        <v>16</v>
      </c>
      <c r="O163" s="19">
        <f t="shared" si="39"/>
        <v>1.5780000000000001</v>
      </c>
      <c r="P163" s="19">
        <f t="shared" si="40"/>
        <v>45.75</v>
      </c>
      <c r="Q163" s="39">
        <f t="shared" si="32"/>
        <v>72.1935</v>
      </c>
    </row>
    <row r="164" spans="9:17" x14ac:dyDescent="0.25">
      <c r="I164" s="23"/>
      <c r="J164" s="19" t="s">
        <v>22</v>
      </c>
      <c r="K164" s="19">
        <v>1.9</v>
      </c>
      <c r="L164" s="19">
        <v>0</v>
      </c>
      <c r="M164" s="37">
        <f>(60+(1.85+1.9)/0.15)</f>
        <v>85</v>
      </c>
      <c r="N164" s="19">
        <v>10</v>
      </c>
      <c r="O164" s="19">
        <f t="shared" si="39"/>
        <v>0.61699999999999999</v>
      </c>
      <c r="P164" s="19">
        <f t="shared" si="40"/>
        <v>161.5</v>
      </c>
      <c r="Q164" s="39">
        <f t="shared" si="32"/>
        <v>99.645499999999998</v>
      </c>
    </row>
    <row r="165" spans="9:17" x14ac:dyDescent="0.25">
      <c r="I165" s="23"/>
      <c r="J165" s="19" t="s">
        <v>23</v>
      </c>
      <c r="K165" s="19">
        <v>1.45</v>
      </c>
      <c r="L165" s="19">
        <v>0</v>
      </c>
      <c r="M165" s="37">
        <v>85</v>
      </c>
      <c r="N165" s="19">
        <v>10</v>
      </c>
      <c r="O165" s="19">
        <f t="shared" si="39"/>
        <v>0.61699999999999999</v>
      </c>
      <c r="P165" s="19">
        <f t="shared" si="40"/>
        <v>123.25</v>
      </c>
      <c r="Q165" s="39">
        <f t="shared" si="32"/>
        <v>76.045249999999996</v>
      </c>
    </row>
    <row r="166" spans="9:17" x14ac:dyDescent="0.25">
      <c r="I166" s="23"/>
      <c r="J166" s="19" t="s">
        <v>24</v>
      </c>
      <c r="K166" s="19">
        <v>0.35</v>
      </c>
      <c r="L166" s="19">
        <v>0</v>
      </c>
      <c r="M166" s="37">
        <v>60</v>
      </c>
      <c r="N166" s="19">
        <v>10</v>
      </c>
      <c r="O166" s="19">
        <f t="shared" si="39"/>
        <v>0.61699999999999999</v>
      </c>
      <c r="P166" s="19">
        <f t="shared" si="40"/>
        <v>21</v>
      </c>
      <c r="Q166" s="39">
        <f t="shared" si="32"/>
        <v>12.957000000000001</v>
      </c>
    </row>
    <row r="167" spans="9:17" x14ac:dyDescent="0.25">
      <c r="I167" s="23"/>
      <c r="J167" s="19"/>
      <c r="K167" s="19"/>
      <c r="L167" s="19"/>
      <c r="M167" s="19"/>
      <c r="N167" s="19"/>
      <c r="O167" s="19"/>
      <c r="P167" s="19"/>
      <c r="Q167" s="39">
        <f t="shared" si="32"/>
        <v>0</v>
      </c>
    </row>
    <row r="168" spans="9:17" x14ac:dyDescent="0.25">
      <c r="I168" s="23" t="s">
        <v>33</v>
      </c>
      <c r="J168" s="19">
        <v>10</v>
      </c>
      <c r="K168" s="19">
        <v>11.3</v>
      </c>
      <c r="L168" s="19">
        <v>0</v>
      </c>
      <c r="M168" s="37">
        <v>4</v>
      </c>
      <c r="N168" s="19">
        <v>10</v>
      </c>
      <c r="O168" s="19">
        <f t="shared" ref="O168:O173" si="41">IF(N168=8,0.395,IF(N168=10,0.617,IF(N168=12,0.888,IF(N168=14,1.208,IF(N168=16,1.578)))))</f>
        <v>0.61699999999999999</v>
      </c>
      <c r="P168" s="19">
        <f t="shared" ref="P168:P173" si="42">(K168+L168)*M168</f>
        <v>45.2</v>
      </c>
      <c r="Q168" s="39">
        <f t="shared" si="32"/>
        <v>27.888400000000001</v>
      </c>
    </row>
    <row r="169" spans="9:17" x14ac:dyDescent="0.25">
      <c r="I169" s="23"/>
      <c r="J169" s="19">
        <v>14</v>
      </c>
      <c r="K169" s="19"/>
      <c r="L169" s="19"/>
      <c r="M169" s="37"/>
      <c r="N169" s="19">
        <v>14</v>
      </c>
      <c r="O169" s="19">
        <f t="shared" si="41"/>
        <v>1.208</v>
      </c>
      <c r="P169" s="19">
        <f t="shared" si="42"/>
        <v>0</v>
      </c>
      <c r="Q169" s="39">
        <f t="shared" si="32"/>
        <v>0</v>
      </c>
    </row>
    <row r="170" spans="9:17" x14ac:dyDescent="0.25">
      <c r="I170" s="23"/>
      <c r="J170" s="19">
        <v>16</v>
      </c>
      <c r="K170" s="19">
        <f>11.8+11.8+3.5+2.3+3+4.25+2</f>
        <v>38.650000000000006</v>
      </c>
      <c r="L170" s="19"/>
      <c r="M170" s="37">
        <v>3</v>
      </c>
      <c r="N170" s="19">
        <v>16</v>
      </c>
      <c r="O170" s="19">
        <f t="shared" si="41"/>
        <v>1.5780000000000001</v>
      </c>
      <c r="P170" s="19">
        <f t="shared" si="42"/>
        <v>115.95000000000002</v>
      </c>
      <c r="Q170" s="39">
        <f t="shared" si="32"/>
        <v>182.96910000000003</v>
      </c>
    </row>
    <row r="171" spans="9:17" x14ac:dyDescent="0.25">
      <c r="I171" s="23"/>
      <c r="J171" s="19" t="s">
        <v>22</v>
      </c>
      <c r="K171" s="19">
        <v>2.1</v>
      </c>
      <c r="L171" s="19">
        <v>0</v>
      </c>
      <c r="M171" s="37">
        <f>(60+(1.85+1.9)/0.15)</f>
        <v>85</v>
      </c>
      <c r="N171" s="19">
        <v>10</v>
      </c>
      <c r="O171" s="19">
        <f t="shared" si="41"/>
        <v>0.61699999999999999</v>
      </c>
      <c r="P171" s="19">
        <f t="shared" si="42"/>
        <v>178.5</v>
      </c>
      <c r="Q171" s="39">
        <f t="shared" si="32"/>
        <v>110.1345</v>
      </c>
    </row>
    <row r="172" spans="9:17" x14ac:dyDescent="0.25">
      <c r="I172" s="23"/>
      <c r="J172" s="19" t="s">
        <v>23</v>
      </c>
      <c r="K172" s="19">
        <v>1.45</v>
      </c>
      <c r="L172" s="19">
        <v>0</v>
      </c>
      <c r="M172" s="37">
        <v>85</v>
      </c>
      <c r="N172" s="19">
        <v>10</v>
      </c>
      <c r="O172" s="19">
        <f t="shared" si="41"/>
        <v>0.61699999999999999</v>
      </c>
      <c r="P172" s="19">
        <f t="shared" si="42"/>
        <v>123.25</v>
      </c>
      <c r="Q172" s="39">
        <f t="shared" si="32"/>
        <v>76.045249999999996</v>
      </c>
    </row>
    <row r="173" spans="9:17" x14ac:dyDescent="0.25">
      <c r="I173" s="25"/>
      <c r="J173" s="26" t="s">
        <v>24</v>
      </c>
      <c r="K173" s="26">
        <v>0.45</v>
      </c>
      <c r="L173" s="26">
        <v>0</v>
      </c>
      <c r="M173" s="43">
        <v>60</v>
      </c>
      <c r="N173" s="26">
        <v>10</v>
      </c>
      <c r="O173" s="26">
        <f t="shared" si="41"/>
        <v>0.61699999999999999</v>
      </c>
      <c r="P173" s="26">
        <f t="shared" si="42"/>
        <v>27</v>
      </c>
      <c r="Q173" s="48">
        <f t="shared" si="32"/>
        <v>16.658999999999999</v>
      </c>
    </row>
    <row r="174" spans="9:17" x14ac:dyDescent="0.25">
      <c r="Q174" s="49">
        <f>SUM(Q133:Q173)</f>
        <v>2423.7544366666675</v>
      </c>
    </row>
  </sheetData>
  <mergeCells count="6">
    <mergeCell ref="I127:J127"/>
    <mergeCell ref="B1:F1"/>
    <mergeCell ref="O6:O7"/>
    <mergeCell ref="P6:P7"/>
    <mergeCell ref="O8:O9"/>
    <mergeCell ref="P8:P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Feraillage V1</vt:lpstr>
      <vt:lpstr>Beton V1</vt:lpstr>
      <vt:lpstr>Autre V1</vt:lpstr>
      <vt:lpstr>Maconnerie V1</vt:lpstr>
      <vt:lpstr>Recap V1</vt:lpstr>
      <vt:lpstr>Feraillage V2</vt:lpstr>
      <vt:lpstr>Beton V2</vt:lpstr>
      <vt:lpstr>PROPOSITION 1</vt:lpstr>
      <vt:lpstr>FINALE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ES-SABRE</dc:creator>
  <cp:lastModifiedBy>ES-SABRE</cp:lastModifiedBy>
  <dcterms:created xsi:type="dcterms:W3CDTF">2015-06-05T18:19:34Z</dcterms:created>
  <dcterms:modified xsi:type="dcterms:W3CDTF">2023-08-22T11:25:30Z</dcterms:modified>
</cp:coreProperties>
</file>