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"/>
    </mc:Choice>
  </mc:AlternateContent>
  <xr:revisionPtr revIDLastSave="0" documentId="13_ncr:1_{C6E22C45-5E59-4813-B920-7AF6CA6C345C}" xr6:coauthVersionLast="45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POSITION 1" sheetId="9" r:id="rId1"/>
    <sheet name="Souri" sheetId="10" r:id="rId2"/>
    <sheet name="compte" sheetId="1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8" i="11" l="1"/>
  <c r="I68" i="11"/>
  <c r="V64" i="11"/>
  <c r="V62" i="11"/>
  <c r="T58" i="11"/>
  <c r="N63" i="11"/>
  <c r="S67" i="11"/>
  <c r="N62" i="11"/>
  <c r="S66" i="11"/>
  <c r="J60" i="11"/>
  <c r="S68" i="11" l="1"/>
  <c r="P59" i="11"/>
  <c r="Q59" i="11" s="1"/>
  <c r="N61" i="11"/>
  <c r="N59" i="11"/>
  <c r="K60" i="11"/>
  <c r="L60" i="11" s="1"/>
  <c r="P60" i="11" l="1"/>
  <c r="N6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9" i="11"/>
  <c r="L35" i="11" l="1"/>
  <c r="Q60" i="11"/>
  <c r="Q63" i="11" s="1"/>
  <c r="K41" i="11"/>
  <c r="H35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9" i="11"/>
  <c r="J35" i="11" l="1"/>
  <c r="J17" i="10"/>
  <c r="J16" i="10"/>
  <c r="J15" i="10"/>
  <c r="J14" i="10"/>
  <c r="J13" i="10"/>
  <c r="J12" i="10"/>
  <c r="J10" i="10"/>
  <c r="J9" i="10"/>
  <c r="J8" i="10"/>
  <c r="J7" i="10"/>
  <c r="J6" i="10"/>
  <c r="J5" i="10"/>
  <c r="J18" i="10" s="1"/>
  <c r="H5" i="10"/>
  <c r="J4" i="10"/>
  <c r="BC17" i="9"/>
  <c r="BC16" i="9"/>
  <c r="BC15" i="9"/>
  <c r="BC14" i="9"/>
  <c r="BC13" i="9"/>
  <c r="BC12" i="9"/>
  <c r="BC10" i="9"/>
  <c r="BC9" i="9"/>
  <c r="BC8" i="9"/>
  <c r="BC7" i="9"/>
  <c r="BC6" i="9"/>
  <c r="BA5" i="9"/>
  <c r="BC5" i="9" s="1"/>
  <c r="BC4" i="9"/>
  <c r="BC18" i="9" l="1"/>
  <c r="BR11" i="9"/>
  <c r="BO18" i="9"/>
  <c r="BO17" i="9"/>
  <c r="BO16" i="9"/>
  <c r="BO15" i="9"/>
  <c r="BO14" i="9"/>
  <c r="BO13" i="9"/>
  <c r="BO12" i="9"/>
  <c r="BO11" i="9"/>
  <c r="BO10" i="9"/>
  <c r="BO9" i="9"/>
  <c r="BO8" i="9"/>
  <c r="BO7" i="9"/>
  <c r="BO6" i="9"/>
  <c r="BM5" i="9"/>
  <c r="BO5" i="9" s="1"/>
  <c r="BO4" i="9"/>
  <c r="BO19" i="9" l="1"/>
  <c r="D78" i="9"/>
  <c r="D77" i="9"/>
  <c r="G70" i="9"/>
  <c r="D69" i="9"/>
  <c r="G69" i="9" s="1"/>
  <c r="G67" i="9"/>
  <c r="F59" i="9"/>
  <c r="F58" i="9"/>
  <c r="F57" i="9"/>
  <c r="F56" i="9"/>
  <c r="F55" i="9"/>
  <c r="F54" i="9"/>
  <c r="F53" i="9"/>
  <c r="F52" i="9"/>
  <c r="F51" i="9"/>
  <c r="F50" i="9"/>
  <c r="F49" i="9"/>
  <c r="F48" i="9"/>
  <c r="D47" i="9"/>
  <c r="F47" i="9" s="1"/>
  <c r="D46" i="9"/>
  <c r="G65" i="9" s="1"/>
  <c r="F45" i="9"/>
  <c r="AJ4" i="9"/>
  <c r="AD6" i="9"/>
  <c r="AP6" i="9"/>
  <c r="AD7" i="9"/>
  <c r="AD8" i="9"/>
  <c r="AD9" i="9"/>
  <c r="AL9" i="9"/>
  <c r="AL10" i="9"/>
  <c r="AL11" i="9"/>
  <c r="AL12" i="9"/>
  <c r="AS12" i="9"/>
  <c r="AL13" i="9"/>
  <c r="AS13" i="9"/>
  <c r="AS15" i="9"/>
  <c r="AK17" i="9"/>
  <c r="AK19" i="9"/>
  <c r="AK24" i="9" s="1"/>
  <c r="AL24" i="9" s="1"/>
  <c r="AK23" i="9"/>
  <c r="Y25" i="9"/>
  <c r="AB27" i="9"/>
  <c r="AJ27" i="9"/>
  <c r="AK27" i="9" s="1"/>
  <c r="AL27" i="9" s="1"/>
  <c r="AJ28" i="9"/>
  <c r="AK28" i="9" s="1"/>
  <c r="AL28" i="9" s="1"/>
  <c r="AI32" i="9"/>
  <c r="AJ32" i="9"/>
  <c r="AI33" i="9"/>
  <c r="AK33" i="9" s="1"/>
  <c r="AK37" i="9"/>
  <c r="AL37" i="9"/>
  <c r="AK41" i="9"/>
  <c r="AL41" i="9"/>
  <c r="AA43" i="9"/>
  <c r="AE43" i="9" s="1"/>
  <c r="AG43" i="9" s="1"/>
  <c r="AB44" i="9"/>
  <c r="AE44" i="9" s="1"/>
  <c r="AG44" i="9" s="1"/>
  <c r="AB45" i="9"/>
  <c r="AE45" i="9" s="1"/>
  <c r="AG45" i="9" s="1"/>
  <c r="AJ45" i="9"/>
  <c r="AK45" i="9" s="1"/>
  <c r="AB46" i="9"/>
  <c r="AE46" i="9" s="1"/>
  <c r="AG46" i="9" s="1"/>
  <c r="AJ46" i="9"/>
  <c r="AK46" i="9"/>
  <c r="AK47" i="9"/>
  <c r="AE50" i="9"/>
  <c r="AG50" i="9" s="1"/>
  <c r="AE51" i="9"/>
  <c r="AG51" i="9" s="1"/>
  <c r="AH51" i="9"/>
  <c r="AE52" i="9"/>
  <c r="AG52" i="9" s="1"/>
  <c r="AE53" i="9"/>
  <c r="AG53" i="9" s="1"/>
  <c r="AE54" i="9"/>
  <c r="AG54" i="9" s="1"/>
  <c r="AE55" i="9"/>
  <c r="AG55" i="9" s="1"/>
  <c r="AE56" i="9"/>
  <c r="AG56" i="9" s="1"/>
  <c r="AE57" i="9"/>
  <c r="AG57" i="9" s="1"/>
  <c r="AE58" i="9"/>
  <c r="AG58" i="9" s="1"/>
  <c r="AE62" i="9"/>
  <c r="AF62" i="9"/>
  <c r="AC64" i="9"/>
  <c r="AE64" i="9"/>
  <c r="AF64" i="9"/>
  <c r="AE65" i="9"/>
  <c r="AG65" i="9" s="1"/>
  <c r="AF65" i="9"/>
  <c r="AE68" i="9"/>
  <c r="AF68" i="9"/>
  <c r="AA69" i="9"/>
  <c r="AF69" i="9" s="1"/>
  <c r="AG69" i="9" s="1"/>
  <c r="AE69" i="9"/>
  <c r="AE70" i="9"/>
  <c r="AF70" i="9"/>
  <c r="AE71" i="9"/>
  <c r="AF71" i="9"/>
  <c r="AE74" i="9"/>
  <c r="AF74" i="9"/>
  <c r="AC76" i="9"/>
  <c r="AF76" i="9" s="1"/>
  <c r="AE76" i="9"/>
  <c r="AE77" i="9"/>
  <c r="AF77" i="9"/>
  <c r="AE80" i="9"/>
  <c r="AF80" i="9"/>
  <c r="AE81" i="9"/>
  <c r="AF81" i="9"/>
  <c r="AC82" i="9"/>
  <c r="AF82" i="9" s="1"/>
  <c r="AE82" i="9"/>
  <c r="AE83" i="9"/>
  <c r="AF83" i="9"/>
  <c r="AE86" i="9"/>
  <c r="AF86" i="9"/>
  <c r="AE87" i="9"/>
  <c r="AF87" i="9"/>
  <c r="AE88" i="9"/>
  <c r="AF88" i="9"/>
  <c r="AE89" i="9"/>
  <c r="AF89" i="9"/>
  <c r="AE90" i="9"/>
  <c r="AF90" i="9"/>
  <c r="AE93" i="9"/>
  <c r="AF93" i="9"/>
  <c r="AE94" i="9"/>
  <c r="AF94" i="9"/>
  <c r="AE95" i="9"/>
  <c r="AF95" i="9"/>
  <c r="AE96" i="9"/>
  <c r="AF96" i="9"/>
  <c r="AE97" i="9"/>
  <c r="AF97" i="9"/>
  <c r="AE100" i="9"/>
  <c r="AF100" i="9"/>
  <c r="AE101" i="9"/>
  <c r="AF101" i="9"/>
  <c r="AE103" i="9"/>
  <c r="AF103" i="9"/>
  <c r="AE104" i="9"/>
  <c r="AF104" i="9"/>
  <c r="AE107" i="9"/>
  <c r="AF107" i="9"/>
  <c r="AE108" i="9"/>
  <c r="AF108" i="9"/>
  <c r="AE110" i="9"/>
  <c r="AF110" i="9"/>
  <c r="AE111" i="9"/>
  <c r="AF111" i="9"/>
  <c r="AE116" i="9"/>
  <c r="AF116" i="9"/>
  <c r="AC117" i="9"/>
  <c r="AF117" i="9" s="1"/>
  <c r="AE117" i="9"/>
  <c r="AE121" i="9"/>
  <c r="AG121" i="9" s="1"/>
  <c r="AE122" i="9"/>
  <c r="AG122" i="9"/>
  <c r="AE123" i="9"/>
  <c r="AG123" i="9"/>
  <c r="AE124" i="9"/>
  <c r="AG124" i="9" s="1"/>
  <c r="AE129" i="9"/>
  <c r="AG129" i="9" s="1"/>
  <c r="AE130" i="9"/>
  <c r="AG130" i="9" s="1"/>
  <c r="AE134" i="9"/>
  <c r="AF134" i="9"/>
  <c r="AE135" i="9"/>
  <c r="AF135" i="9"/>
  <c r="AA136" i="9"/>
  <c r="AF136" i="9" s="1"/>
  <c r="AE136" i="9"/>
  <c r="AC137" i="9"/>
  <c r="AF137" i="9" s="1"/>
  <c r="AE137" i="9"/>
  <c r="AC138" i="9"/>
  <c r="AF138" i="9" s="1"/>
  <c r="AE138" i="9"/>
  <c r="AE139" i="9"/>
  <c r="AF139" i="9"/>
  <c r="AG140" i="9"/>
  <c r="AE141" i="9"/>
  <c r="AF141" i="9"/>
  <c r="AE142" i="9"/>
  <c r="AF142" i="9"/>
  <c r="AG142" i="9" s="1"/>
  <c r="AE143" i="9"/>
  <c r="AF143" i="9"/>
  <c r="AC144" i="9"/>
  <c r="AF144" i="9" s="1"/>
  <c r="AE144" i="9"/>
  <c r="AG144" i="9" s="1"/>
  <c r="AC145" i="9"/>
  <c r="AF145" i="9" s="1"/>
  <c r="AE145" i="9"/>
  <c r="AE146" i="9"/>
  <c r="AF146" i="9"/>
  <c r="AG147" i="9"/>
  <c r="AE148" i="9"/>
  <c r="AF148" i="9"/>
  <c r="AE149" i="9"/>
  <c r="AG149" i="9" s="1"/>
  <c r="AF149" i="9"/>
  <c r="AE150" i="9"/>
  <c r="AF150" i="9"/>
  <c r="AG150" i="9" s="1"/>
  <c r="AC151" i="9"/>
  <c r="AF151" i="9" s="1"/>
  <c r="AE151" i="9"/>
  <c r="AC152" i="9"/>
  <c r="AF152" i="9" s="1"/>
  <c r="AE152" i="9"/>
  <c r="AE153" i="9"/>
  <c r="AF153" i="9"/>
  <c r="AG154" i="9"/>
  <c r="AE155" i="9"/>
  <c r="AF155" i="9"/>
  <c r="AE156" i="9"/>
  <c r="AF156" i="9"/>
  <c r="AG156" i="9" s="1"/>
  <c r="AA157" i="9"/>
  <c r="AF157" i="9" s="1"/>
  <c r="AE157" i="9"/>
  <c r="AC158" i="9"/>
  <c r="AF158" i="9" s="1"/>
  <c r="AE158" i="9"/>
  <c r="AE159" i="9"/>
  <c r="AF159" i="9"/>
  <c r="AE160" i="9"/>
  <c r="AF160" i="9"/>
  <c r="AG160" i="9" s="1"/>
  <c r="AG161" i="9"/>
  <c r="AE162" i="9"/>
  <c r="AF162" i="9"/>
  <c r="AE163" i="9"/>
  <c r="AF163" i="9"/>
  <c r="AA164" i="9"/>
  <c r="AF164" i="9" s="1"/>
  <c r="AG164" i="9" s="1"/>
  <c r="AE164" i="9"/>
  <c r="AC165" i="9"/>
  <c r="AF165" i="9" s="1"/>
  <c r="AE165" i="9"/>
  <c r="AE166" i="9"/>
  <c r="AF166" i="9"/>
  <c r="AG166" i="9" s="1"/>
  <c r="AE167" i="9"/>
  <c r="AF167" i="9"/>
  <c r="AG168" i="9"/>
  <c r="AE169" i="9"/>
  <c r="AF169" i="9"/>
  <c r="AE170" i="9"/>
  <c r="AF170" i="9"/>
  <c r="AA171" i="9"/>
  <c r="AF171" i="9" s="1"/>
  <c r="AE171" i="9"/>
  <c r="AC172" i="9"/>
  <c r="AF172" i="9" s="1"/>
  <c r="AE172" i="9"/>
  <c r="AE173" i="9"/>
  <c r="AF173" i="9"/>
  <c r="AE174" i="9"/>
  <c r="AF174" i="9"/>
  <c r="F18" i="9"/>
  <c r="AG167" i="9" l="1"/>
  <c r="AG159" i="9"/>
  <c r="AG171" i="9"/>
  <c r="AG169" i="9"/>
  <c r="AG137" i="9"/>
  <c r="AG135" i="9"/>
  <c r="AG131" i="9"/>
  <c r="AG117" i="9"/>
  <c r="AG111" i="9"/>
  <c r="AG108" i="9"/>
  <c r="AG104" i="9"/>
  <c r="AG95" i="9"/>
  <c r="AG81" i="9"/>
  <c r="AG77" i="9"/>
  <c r="AG141" i="9"/>
  <c r="AG86" i="9"/>
  <c r="AG163" i="9"/>
  <c r="AG155" i="9"/>
  <c r="AG146" i="9"/>
  <c r="AG62" i="9"/>
  <c r="AL42" i="9"/>
  <c r="AG174" i="9"/>
  <c r="AG170" i="9"/>
  <c r="AG158" i="9"/>
  <c r="AG152" i="9"/>
  <c r="AG148" i="9"/>
  <c r="AG134" i="9"/>
  <c r="AG116" i="9"/>
  <c r="AG118" i="9" s="1"/>
  <c r="AG110" i="9"/>
  <c r="AG100" i="9"/>
  <c r="AG96" i="9"/>
  <c r="AG82" i="9"/>
  <c r="AG80" i="9"/>
  <c r="AG68" i="9"/>
  <c r="AG64" i="9"/>
  <c r="AK32" i="9"/>
  <c r="AS23" i="9"/>
  <c r="AE6" i="9"/>
  <c r="AG162" i="9"/>
  <c r="AG143" i="9"/>
  <c r="AG97" i="9"/>
  <c r="AG98" i="9" s="1"/>
  <c r="AH98" i="9" s="1"/>
  <c r="AG47" i="9"/>
  <c r="AE8" i="9"/>
  <c r="AG145" i="9"/>
  <c r="AG138" i="9"/>
  <c r="AG101" i="9"/>
  <c r="AG93" i="9"/>
  <c r="AG89" i="9"/>
  <c r="AG87" i="9"/>
  <c r="AG83" i="9"/>
  <c r="AG76" i="9"/>
  <c r="AG71" i="9"/>
  <c r="AG172" i="9"/>
  <c r="AG136" i="9"/>
  <c r="AG157" i="9"/>
  <c r="AG153" i="9"/>
  <c r="AG139" i="9"/>
  <c r="AG107" i="9"/>
  <c r="AG103" i="9"/>
  <c r="AG94" i="9"/>
  <c r="AG90" i="9"/>
  <c r="AG88" i="9"/>
  <c r="AG74" i="9"/>
  <c r="AG78" i="9" s="1"/>
  <c r="AH78" i="9" s="1"/>
  <c r="AG70" i="9"/>
  <c r="AG72" i="9" s="1"/>
  <c r="AH72" i="9" s="1"/>
  <c r="AK34" i="9"/>
  <c r="AL34" i="9" s="1"/>
  <c r="D79" i="9"/>
  <c r="AG173" i="9"/>
  <c r="AG151" i="9"/>
  <c r="AG66" i="9"/>
  <c r="AH66" i="9" s="1"/>
  <c r="AK48" i="9"/>
  <c r="G66" i="9"/>
  <c r="F46" i="9"/>
  <c r="F60" i="9" s="1"/>
  <c r="AG112" i="9"/>
  <c r="AH112" i="9" s="1"/>
  <c r="AG59" i="9"/>
  <c r="AL29" i="9"/>
  <c r="AG125" i="9"/>
  <c r="AG165" i="9"/>
  <c r="D37" i="9"/>
  <c r="D36" i="9"/>
  <c r="AG91" i="9" l="1"/>
  <c r="AH91" i="9" s="1"/>
  <c r="AG175" i="9"/>
  <c r="D38" i="9"/>
  <c r="AG84" i="9"/>
  <c r="AH84" i="9" s="1"/>
  <c r="AG105" i="9"/>
  <c r="AH105" i="9" s="1"/>
  <c r="F7" i="9"/>
  <c r="F8" i="9"/>
  <c r="F9" i="9"/>
  <c r="F10" i="9"/>
  <c r="F11" i="9"/>
  <c r="F12" i="9"/>
  <c r="F13" i="9"/>
  <c r="F14" i="9"/>
  <c r="F15" i="9"/>
  <c r="F16" i="9"/>
  <c r="F17" i="9"/>
  <c r="F4" i="9"/>
  <c r="G29" i="9"/>
  <c r="G26" i="9"/>
  <c r="D6" i="9"/>
  <c r="G25" i="9" s="1"/>
  <c r="D5" i="9"/>
  <c r="AC24" i="9" s="1"/>
  <c r="G126" i="9"/>
  <c r="E137" i="9"/>
  <c r="G24" i="9" l="1"/>
  <c r="F5" i="9"/>
  <c r="F6" i="9"/>
  <c r="D28" i="9"/>
  <c r="G28" i="9" s="1"/>
  <c r="F19" i="9" l="1"/>
  <c r="BR18" i="9" s="1"/>
  <c r="AC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ES-SABRE</author>
  </authors>
  <commentList>
    <comment ref="I60" authorId="0" shapeId="0" xr:uid="{FDF68B15-00FD-4181-A75B-7D9E44CF3DD3}">
      <text>
        <r>
          <rPr>
            <b/>
            <sz val="9"/>
            <color indexed="81"/>
            <rFont val="Tahoma"/>
            <family val="2"/>
          </rPr>
          <t>8 bache a eau villa 11
8 bache a eau villa 14
2,5 regard villa 15
2,5 rogars villa 14
1,25 rogar villa 11</t>
        </r>
      </text>
    </comment>
    <comment ref="K60" authorId="0" shapeId="0" xr:uid="{E6F5C8BC-3B33-46FB-B4D6-39AEF18B0B6C}">
      <text>
        <r>
          <rPr>
            <b/>
            <sz val="9"/>
            <color indexed="81"/>
            <rFont val="Tahoma"/>
            <family val="2"/>
          </rPr>
          <t xml:space="preserve">2,5 villa 15
2,5 villa 14
1,25 villa 13
1,25 villa 12
1,25 villa 11
</t>
        </r>
      </text>
    </comment>
  </commentList>
</comments>
</file>

<file path=xl/sharedStrings.xml><?xml version="1.0" encoding="utf-8"?>
<sst xmlns="http://schemas.openxmlformats.org/spreadsheetml/2006/main" count="366" uniqueCount="153">
  <si>
    <t>Nervure</t>
  </si>
  <si>
    <t>cadre</t>
  </si>
  <si>
    <t>epingle</t>
  </si>
  <si>
    <t>epingle 2</t>
  </si>
  <si>
    <t>Axe 1-1</t>
  </si>
  <si>
    <t>Axe 2-2</t>
  </si>
  <si>
    <t>Axe 3-3</t>
  </si>
  <si>
    <t>Bache a eau</t>
  </si>
  <si>
    <t>cadre 1</t>
  </si>
  <si>
    <t>long</t>
  </si>
  <si>
    <t>Poutre 1-1</t>
  </si>
  <si>
    <t>poutre 2-2</t>
  </si>
  <si>
    <t>radier</t>
  </si>
  <si>
    <t>voile</t>
  </si>
  <si>
    <t>M3</t>
  </si>
  <si>
    <t>Axe 4-4 pt1</t>
  </si>
  <si>
    <t>Axe 4-4 pt pis</t>
  </si>
  <si>
    <t>N</t>
  </si>
  <si>
    <t>DESIGNATIONS</t>
  </si>
  <si>
    <t>U</t>
  </si>
  <si>
    <t>QUANTITE</t>
  </si>
  <si>
    <t>PU</t>
  </si>
  <si>
    <t>MONTANT</t>
  </si>
  <si>
    <t>BETON DE PROPRETE</t>
  </si>
  <si>
    <t>DALLE FLOTTANTE EPR 10</t>
  </si>
  <si>
    <t>POTEAUX</t>
  </si>
  <si>
    <t>OBS</t>
  </si>
  <si>
    <t>POUTRES</t>
  </si>
  <si>
    <t>ACROTERES</t>
  </si>
  <si>
    <t>M2</t>
  </si>
  <si>
    <t>FORME DE PENTE</t>
  </si>
  <si>
    <t>BETON POUR COURETTE</t>
  </si>
  <si>
    <t>NB</t>
  </si>
  <si>
    <t>SEMELLES</t>
  </si>
  <si>
    <t>VOILE EN SUPER</t>
  </si>
  <si>
    <t>KG</t>
  </si>
  <si>
    <t>BACHE A EAU DE 7 M3 (3,2*2,8*1,6)</t>
  </si>
  <si>
    <t>KG/M3</t>
  </si>
  <si>
    <t>libages</t>
  </si>
  <si>
    <t>amorce poteau</t>
  </si>
  <si>
    <t>voile peripherique</t>
  </si>
  <si>
    <t>v1</t>
  </si>
  <si>
    <t>v2</t>
  </si>
  <si>
    <t>v3</t>
  </si>
  <si>
    <t>voiles pour buanderie annulé</t>
  </si>
  <si>
    <t>dalle flotante</t>
  </si>
  <si>
    <t>p 30*30*2,83</t>
  </si>
  <si>
    <t>surf autocad</t>
  </si>
  <si>
    <t>ep</t>
  </si>
  <si>
    <t>p 40*40*2,83</t>
  </si>
  <si>
    <t>Poteaux</t>
  </si>
  <si>
    <t>Poutre</t>
  </si>
  <si>
    <t>cc</t>
  </si>
  <si>
    <t>aa bb</t>
  </si>
  <si>
    <t>tota</t>
  </si>
  <si>
    <t>tran</t>
  </si>
  <si>
    <t>116 m2</t>
  </si>
  <si>
    <t>forme de pente</t>
  </si>
  <si>
    <t>contour</t>
  </si>
  <si>
    <t>Beton Courette</t>
  </si>
  <si>
    <t>SEMELLEs</t>
  </si>
  <si>
    <t>voile peripherique/radier</t>
  </si>
  <si>
    <t>(piscine et voile picine seulement</t>
  </si>
  <si>
    <t xml:space="preserve">ml </t>
  </si>
  <si>
    <t>long v1 v2 v3</t>
  </si>
  <si>
    <t>voile fer</t>
  </si>
  <si>
    <t>30*30</t>
  </si>
  <si>
    <t>nap</t>
  </si>
  <si>
    <t>niv</t>
  </si>
  <si>
    <t>40*40</t>
  </si>
  <si>
    <t>Kg</t>
  </si>
  <si>
    <t xml:space="preserve">cadre 2 </t>
  </si>
  <si>
    <t>cadre 2</t>
  </si>
  <si>
    <t>1 poteau</t>
  </si>
  <si>
    <t>cadre1</t>
  </si>
  <si>
    <t>poteaux fer</t>
  </si>
  <si>
    <t>poutre</t>
  </si>
  <si>
    <t>SS-Rdc R+1</t>
  </si>
  <si>
    <t>SS-Rdc-R+1-Terrasse</t>
  </si>
  <si>
    <t>poutre 3-3</t>
  </si>
  <si>
    <t>Terrasse</t>
  </si>
  <si>
    <t>Poutre AA</t>
  </si>
  <si>
    <t>Poutre BB</t>
  </si>
  <si>
    <t>Poutre CC</t>
  </si>
  <si>
    <t>SS-Rdc-R+1</t>
  </si>
  <si>
    <t>Poutre CC Terra</t>
  </si>
  <si>
    <t>BETON INFRA ARME AMORCES/VOILE/LIBAGES</t>
  </si>
  <si>
    <t>acroter</t>
  </si>
  <si>
    <t>voiles Infra</t>
  </si>
  <si>
    <t>Amorce poteau</t>
  </si>
  <si>
    <t>A-A</t>
  </si>
  <si>
    <t>B-B</t>
  </si>
  <si>
    <t>C-C</t>
  </si>
  <si>
    <t>deduite du volume des semelle</t>
  </si>
  <si>
    <t>rajoutée au volume des nervures</t>
  </si>
  <si>
    <t>nombre</t>
  </si>
  <si>
    <t>cadre2</t>
  </si>
  <si>
    <t>BETON ARME SEMELLES y/c coff ferr</t>
  </si>
  <si>
    <t>BETON ARMEAMORCES/VOILE/LIBAGES y/c coff ferr</t>
  </si>
  <si>
    <t>VOILES PERIPHERIQUES y/c coff ferr</t>
  </si>
  <si>
    <t>VOILE EN SUPER EPR y/c coff ferr</t>
  </si>
  <si>
    <t>POTEAUXy/c coff ferr</t>
  </si>
  <si>
    <t>POUTRESy/c coff ferr</t>
  </si>
  <si>
    <t>ACROTERESy/c coff ferr</t>
  </si>
  <si>
    <t>PLANCHER 16+5y/c coff ferr</t>
  </si>
  <si>
    <t>DALLE PLEINE ESCALIERy/c coff ferr</t>
  </si>
  <si>
    <t xml:space="preserve">BACHE A EAU DE 7 M3 (3,05*2,8*1,6)y/c coff ferr </t>
  </si>
  <si>
    <t>BETON POUR COURETTEy/c coff ferr</t>
  </si>
  <si>
    <t>total</t>
  </si>
  <si>
    <t xml:space="preserve">NB 5 VILLA EN TERRASSEMENT + BP 03 VILLAS </t>
  </si>
  <si>
    <t>60M3 ET 3500 M3 DE TERRASSEMENT</t>
  </si>
  <si>
    <t>PERGOLLA</t>
  </si>
  <si>
    <t>QUANTITAF BETON  PAR VILLA Y COMPRIS TERRASSEMNT</t>
  </si>
  <si>
    <t>µ</t>
  </si>
  <si>
    <t>DELAI</t>
  </si>
  <si>
    <t>forfait</t>
  </si>
  <si>
    <t>Prix Forfait</t>
  </si>
  <si>
    <t>situation benyoucef</t>
  </si>
  <si>
    <t>beton propreté</t>
  </si>
  <si>
    <t>prix</t>
  </si>
  <si>
    <t>Q</t>
  </si>
  <si>
    <t>villa 12 et 11</t>
  </si>
  <si>
    <t>villa 15</t>
  </si>
  <si>
    <t>designantion</t>
  </si>
  <si>
    <t>article</t>
  </si>
  <si>
    <t>beton semelle</t>
  </si>
  <si>
    <t>villa 14</t>
  </si>
  <si>
    <t>villa 13</t>
  </si>
  <si>
    <t>villa 12</t>
  </si>
  <si>
    <t>villa 11</t>
  </si>
  <si>
    <t>Semelles</t>
  </si>
  <si>
    <t>Rogars</t>
  </si>
  <si>
    <t>prix F/P</t>
  </si>
  <si>
    <t>prix sans beton</t>
  </si>
  <si>
    <t>beton 350</t>
  </si>
  <si>
    <t>beton 200 (BP)</t>
  </si>
  <si>
    <t>PT</t>
  </si>
  <si>
    <t>Total</t>
  </si>
  <si>
    <t>PT Beton</t>
  </si>
  <si>
    <t>Q Total a payé</t>
  </si>
  <si>
    <t>Q Coulé</t>
  </si>
  <si>
    <t>Q Restante ~~</t>
  </si>
  <si>
    <t>Beton des rogares a deduire</t>
  </si>
  <si>
    <t>PT sans Beton</t>
  </si>
  <si>
    <t>Versement</t>
  </si>
  <si>
    <t>Prix total</t>
  </si>
  <si>
    <t>Restant</t>
  </si>
  <si>
    <t>83 m² de coffrage</t>
  </si>
  <si>
    <t>Coffrage bp coté piscine villa 11 et 12</t>
  </si>
  <si>
    <t>Rogares petite</t>
  </si>
  <si>
    <t>Rogares Grande</t>
  </si>
  <si>
    <t>PU Beton Dz</t>
  </si>
  <si>
    <t>achat rond a beto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</si>
</sst>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43" fontId="0" fillId="0" borderId="0" xfId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9" xfId="0" applyFill="1" applyBorder="1"/>
    <xf numFmtId="0" fontId="0" fillId="2" borderId="0" xfId="0" applyFill="1"/>
    <xf numFmtId="0" fontId="0" fillId="2" borderId="12" xfId="0" applyFill="1" applyBorder="1"/>
    <xf numFmtId="43" fontId="0" fillId="0" borderId="3" xfId="1" applyFont="1" applyBorder="1"/>
    <xf numFmtId="164" fontId="0" fillId="0" borderId="3" xfId="0" applyNumberFormat="1" applyBorder="1"/>
    <xf numFmtId="164" fontId="0" fillId="0" borderId="4" xfId="0" applyNumberFormat="1" applyBorder="1" applyAlignment="1">
      <alignment wrapText="1"/>
    </xf>
    <xf numFmtId="43" fontId="0" fillId="0" borderId="0" xfId="1" applyFont="1" applyBorder="1"/>
    <xf numFmtId="0" fontId="0" fillId="0" borderId="6" xfId="0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6" xfId="0" applyNumberFormat="1" applyBorder="1"/>
    <xf numFmtId="164" fontId="0" fillId="0" borderId="9" xfId="0" applyNumberFormat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9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3" fillId="0" borderId="13" xfId="0" applyFont="1" applyBorder="1"/>
    <xf numFmtId="164" fontId="3" fillId="0" borderId="13" xfId="0" applyNumberFormat="1" applyFont="1" applyBorder="1"/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0" xfId="0" applyFont="1" applyFill="1" applyBorder="1"/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2" fontId="7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940C-4505-41D8-BACE-0B840C1AB64C}">
  <dimension ref="A1:BR175"/>
  <sheetViews>
    <sheetView zoomScale="85" zoomScaleNormal="85" workbookViewId="0">
      <selection activeCell="H9" sqref="H9"/>
    </sheetView>
  </sheetViews>
  <sheetFormatPr baseColWidth="10" defaultRowHeight="15" x14ac:dyDescent="0.25"/>
  <cols>
    <col min="1" max="1" width="8" customWidth="1"/>
    <col min="2" max="2" width="32.5703125" customWidth="1"/>
    <col min="3" max="3" width="5.7109375" customWidth="1"/>
    <col min="4" max="4" width="13.140625" bestFit="1" customWidth="1"/>
    <col min="5" max="5" width="12.5703125" customWidth="1"/>
    <col min="6" max="6" width="17.5703125" customWidth="1"/>
    <col min="9" max="9" width="19.7109375" customWidth="1"/>
    <col min="12" max="12" width="30.7109375" customWidth="1"/>
    <col min="13" max="13" width="13.28515625" customWidth="1"/>
    <col min="24" max="24" width="10.85546875" customWidth="1"/>
    <col min="25" max="25" width="12.7109375" hidden="1" customWidth="1"/>
    <col min="26" max="28" width="10.85546875" hidden="1" customWidth="1"/>
    <col min="29" max="29" width="3.28515625" hidden="1" customWidth="1"/>
    <col min="30" max="30" width="6.7109375" hidden="1" customWidth="1"/>
    <col min="31" max="31" width="10.85546875" hidden="1" customWidth="1"/>
    <col min="32" max="32" width="18.140625" hidden="1" customWidth="1"/>
    <col min="33" max="33" width="24.7109375" hidden="1" customWidth="1"/>
    <col min="34" max="34" width="26.5703125" hidden="1" customWidth="1"/>
    <col min="35" max="35" width="9.42578125" hidden="1" customWidth="1"/>
    <col min="36" max="49" width="10.85546875" hidden="1" customWidth="1"/>
    <col min="50" max="50" width="10.85546875" customWidth="1"/>
    <col min="51" max="51" width="27.7109375" customWidth="1"/>
    <col min="52" max="53" width="10.85546875" customWidth="1"/>
    <col min="54" max="54" width="16.5703125" customWidth="1"/>
    <col min="55" max="55" width="16.85546875" customWidth="1"/>
    <col min="56" max="64" width="10.85546875" customWidth="1"/>
    <col min="66" max="66" width="13.5703125" customWidth="1"/>
    <col min="67" max="67" width="17.28515625" customWidth="1"/>
    <col min="70" max="71" width="12.7109375" customWidth="1"/>
    <col min="72" max="72" width="21" customWidth="1"/>
  </cols>
  <sheetData>
    <row r="1" spans="1:70" ht="15.75" x14ac:dyDescent="0.25">
      <c r="A1" s="38"/>
      <c r="B1" s="64" t="s">
        <v>112</v>
      </c>
      <c r="C1" s="64"/>
      <c r="D1" s="64"/>
      <c r="E1" s="64"/>
      <c r="F1" s="64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70" ht="15.75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70" ht="23.25" customHeight="1" x14ac:dyDescent="0.25">
      <c r="A3" s="39" t="s">
        <v>17</v>
      </c>
      <c r="B3" s="39" t="s">
        <v>18</v>
      </c>
      <c r="C3" s="39" t="s">
        <v>19</v>
      </c>
      <c r="D3" s="39" t="s">
        <v>20</v>
      </c>
      <c r="E3" s="39" t="s">
        <v>21</v>
      </c>
      <c r="F3" s="39" t="s">
        <v>22</v>
      </c>
      <c r="G3" s="39" t="s">
        <v>26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AH3" t="s">
        <v>47</v>
      </c>
      <c r="AI3" t="s">
        <v>48</v>
      </c>
      <c r="AX3" s="39" t="s">
        <v>17</v>
      </c>
      <c r="AY3" s="39" t="s">
        <v>18</v>
      </c>
      <c r="AZ3" s="39" t="s">
        <v>19</v>
      </c>
      <c r="BA3" s="39" t="s">
        <v>20</v>
      </c>
      <c r="BB3" s="39" t="s">
        <v>21</v>
      </c>
      <c r="BC3" s="39" t="s">
        <v>22</v>
      </c>
      <c r="BM3" s="39" t="s">
        <v>20</v>
      </c>
      <c r="BN3" s="39" t="s">
        <v>21</v>
      </c>
      <c r="BO3" s="39" t="s">
        <v>22</v>
      </c>
    </row>
    <row r="4" spans="1:70" ht="23.25" customHeight="1" x14ac:dyDescent="0.25">
      <c r="A4" s="39">
        <v>1</v>
      </c>
      <c r="B4" s="39" t="s">
        <v>23</v>
      </c>
      <c r="C4" s="39" t="s">
        <v>14</v>
      </c>
      <c r="D4" s="39">
        <v>14</v>
      </c>
      <c r="E4" s="40">
        <v>7000</v>
      </c>
      <c r="F4" s="41">
        <f>D4*E4</f>
        <v>98000</v>
      </c>
      <c r="G4" s="39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AG4" s="12" t="s">
        <v>45</v>
      </c>
      <c r="AH4" s="13">
        <v>114.2</v>
      </c>
      <c r="AI4" s="13">
        <v>0.1</v>
      </c>
      <c r="AJ4" s="14">
        <f>AH4*AI4</f>
        <v>11.420000000000002</v>
      </c>
      <c r="AX4" s="39">
        <v>1</v>
      </c>
      <c r="AY4" s="39" t="s">
        <v>23</v>
      </c>
      <c r="AZ4" s="39" t="s">
        <v>14</v>
      </c>
      <c r="BA4" s="39">
        <v>14</v>
      </c>
      <c r="BB4" s="40">
        <v>2500</v>
      </c>
      <c r="BC4" s="41">
        <f>BA4*BB4</f>
        <v>35000</v>
      </c>
      <c r="BM4" s="39">
        <v>14</v>
      </c>
      <c r="BN4" s="40">
        <v>7500</v>
      </c>
      <c r="BO4" s="41">
        <f>BM4*BN4</f>
        <v>105000</v>
      </c>
    </row>
    <row r="5" spans="1:70" ht="23.25" customHeight="1" x14ac:dyDescent="0.25">
      <c r="A5" s="39">
        <v>2</v>
      </c>
      <c r="B5" s="39" t="s">
        <v>97</v>
      </c>
      <c r="C5" s="39" t="s">
        <v>14</v>
      </c>
      <c r="D5" s="39">
        <f>38.736-10</f>
        <v>28.735999999999997</v>
      </c>
      <c r="E5" s="40">
        <v>40000</v>
      </c>
      <c r="F5" s="41">
        <f t="shared" ref="F5:F18" si="0">D5*E5</f>
        <v>1149440</v>
      </c>
      <c r="G5" s="3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AX5" s="39">
        <v>2</v>
      </c>
      <c r="AY5" s="39" t="s">
        <v>97</v>
      </c>
      <c r="AZ5" s="39" t="s">
        <v>14</v>
      </c>
      <c r="BA5" s="39">
        <f>38.736-10</f>
        <v>28.735999999999997</v>
      </c>
      <c r="BB5" s="40">
        <v>12000</v>
      </c>
      <c r="BC5" s="41">
        <f t="shared" ref="BC5:BC17" si="1">BA5*BB5</f>
        <v>344831.99999999994</v>
      </c>
      <c r="BM5" s="39">
        <f>38.736-10</f>
        <v>28.735999999999997</v>
      </c>
      <c r="BN5" s="40">
        <v>39000</v>
      </c>
      <c r="BO5" s="41">
        <f t="shared" ref="BO5:BO18" si="2">BM5*BN5</f>
        <v>1120704</v>
      </c>
    </row>
    <row r="6" spans="1:70" ht="28.5" customHeight="1" x14ac:dyDescent="0.25">
      <c r="A6" s="39">
        <v>3</v>
      </c>
      <c r="B6" s="42" t="s">
        <v>98</v>
      </c>
      <c r="C6" s="39" t="s">
        <v>14</v>
      </c>
      <c r="D6" s="39">
        <f>9.094+AE8</f>
        <v>28.0717</v>
      </c>
      <c r="E6" s="40">
        <v>40000</v>
      </c>
      <c r="F6" s="41">
        <f t="shared" si="0"/>
        <v>1122868</v>
      </c>
      <c r="G6" s="39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AD6" s="3">
        <f>0.35*0.4*13.1*3</f>
        <v>5.5019999999999998</v>
      </c>
      <c r="AE6" s="68">
        <f>AD6+AD7</f>
        <v>10.8444</v>
      </c>
      <c r="AF6" s="67" t="s">
        <v>93</v>
      </c>
      <c r="AP6">
        <f>140*0.1</f>
        <v>14</v>
      </c>
      <c r="AX6" s="39">
        <v>3</v>
      </c>
      <c r="AY6" s="42" t="s">
        <v>98</v>
      </c>
      <c r="AZ6" s="39" t="s">
        <v>14</v>
      </c>
      <c r="BA6" s="39">
        <v>28.0717</v>
      </c>
      <c r="BB6" s="40">
        <v>12000</v>
      </c>
      <c r="BC6" s="41">
        <f t="shared" si="1"/>
        <v>336860.4</v>
      </c>
      <c r="BM6" s="39">
        <v>28.0717</v>
      </c>
      <c r="BN6" s="40">
        <v>41000</v>
      </c>
      <c r="BO6" s="41">
        <f t="shared" si="2"/>
        <v>1150939.7</v>
      </c>
    </row>
    <row r="7" spans="1:70" ht="34.5" customHeight="1" x14ac:dyDescent="0.25">
      <c r="A7" s="39">
        <v>4</v>
      </c>
      <c r="B7" s="42" t="s">
        <v>99</v>
      </c>
      <c r="C7" s="39" t="s">
        <v>14</v>
      </c>
      <c r="D7" s="39">
        <v>19.5</v>
      </c>
      <c r="E7" s="40">
        <v>40000</v>
      </c>
      <c r="F7" s="41">
        <f t="shared" si="0"/>
        <v>780000</v>
      </c>
      <c r="G7" s="39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AD7" s="3">
        <f>0.4*0.4*11.13*3</f>
        <v>5.3424000000000014</v>
      </c>
      <c r="AE7" s="68"/>
      <c r="AF7" s="67"/>
      <c r="AX7" s="39">
        <v>4</v>
      </c>
      <c r="AY7" s="42" t="s">
        <v>99</v>
      </c>
      <c r="AZ7" s="39" t="s">
        <v>14</v>
      </c>
      <c r="BA7" s="39">
        <v>19.5</v>
      </c>
      <c r="BB7" s="40">
        <v>13000</v>
      </c>
      <c r="BC7" s="41">
        <f t="shared" si="1"/>
        <v>253500</v>
      </c>
      <c r="BM7" s="39">
        <v>19.5</v>
      </c>
      <c r="BN7" s="40">
        <v>42000</v>
      </c>
      <c r="BO7" s="41">
        <f t="shared" si="2"/>
        <v>819000</v>
      </c>
    </row>
    <row r="8" spans="1:70" ht="33" customHeight="1" x14ac:dyDescent="0.25">
      <c r="A8" s="39">
        <v>5</v>
      </c>
      <c r="B8" s="42" t="s">
        <v>100</v>
      </c>
      <c r="C8" s="39" t="s">
        <v>14</v>
      </c>
      <c r="D8" s="39">
        <v>11.72</v>
      </c>
      <c r="E8" s="40">
        <v>40000</v>
      </c>
      <c r="F8" s="41">
        <f t="shared" si="0"/>
        <v>468800</v>
      </c>
      <c r="G8" s="39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Y8" t="s">
        <v>44</v>
      </c>
      <c r="AD8">
        <f>0.4*0.7*11.13*3</f>
        <v>9.3491999999999997</v>
      </c>
      <c r="AE8" s="68">
        <f>SUM(AD8:AD9)</f>
        <v>18.977699999999999</v>
      </c>
      <c r="AF8" s="67" t="s">
        <v>94</v>
      </c>
      <c r="AJ8" t="s">
        <v>40</v>
      </c>
      <c r="AR8" t="s">
        <v>38</v>
      </c>
      <c r="AS8">
        <v>8.23</v>
      </c>
      <c r="AX8" s="39">
        <v>5</v>
      </c>
      <c r="AY8" s="42" t="s">
        <v>100</v>
      </c>
      <c r="AZ8" s="39" t="s">
        <v>14</v>
      </c>
      <c r="BA8" s="39">
        <v>11.72</v>
      </c>
      <c r="BB8" s="40">
        <v>13000</v>
      </c>
      <c r="BC8" s="41">
        <f t="shared" si="1"/>
        <v>152360</v>
      </c>
      <c r="BM8" s="39">
        <v>11.72</v>
      </c>
      <c r="BN8" s="40">
        <v>42000</v>
      </c>
      <c r="BO8" s="41">
        <f t="shared" si="2"/>
        <v>492240</v>
      </c>
    </row>
    <row r="9" spans="1:70" ht="23.25" customHeight="1" x14ac:dyDescent="0.25">
      <c r="A9" s="39">
        <v>6</v>
      </c>
      <c r="B9" s="39" t="s">
        <v>24</v>
      </c>
      <c r="C9" s="39" t="s">
        <v>29</v>
      </c>
      <c r="D9" s="39">
        <v>110</v>
      </c>
      <c r="E9" s="40">
        <v>2000</v>
      </c>
      <c r="F9" s="41">
        <f t="shared" si="0"/>
        <v>220000</v>
      </c>
      <c r="G9" s="39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AD9">
        <f>0.35*0.7*13.1*3</f>
        <v>9.6284999999999989</v>
      </c>
      <c r="AE9" s="68"/>
      <c r="AF9" s="67"/>
      <c r="AI9" s="4">
        <v>10.1</v>
      </c>
      <c r="AJ9" s="5">
        <v>0.2</v>
      </c>
      <c r="AK9" s="5">
        <v>2.83</v>
      </c>
      <c r="AL9" s="6">
        <f>AI9*AJ9*AK9</f>
        <v>5.7166000000000006</v>
      </c>
      <c r="AX9" s="39">
        <v>6</v>
      </c>
      <c r="AY9" s="39" t="s">
        <v>24</v>
      </c>
      <c r="AZ9" s="39" t="s">
        <v>29</v>
      </c>
      <c r="BA9" s="39">
        <v>110</v>
      </c>
      <c r="BB9" s="40">
        <v>2400</v>
      </c>
      <c r="BC9" s="41">
        <f t="shared" si="1"/>
        <v>264000</v>
      </c>
      <c r="BM9" s="39">
        <v>110</v>
      </c>
      <c r="BN9" s="40">
        <v>2800</v>
      </c>
      <c r="BO9" s="41">
        <f t="shared" si="2"/>
        <v>308000</v>
      </c>
    </row>
    <row r="10" spans="1:70" ht="32.25" customHeight="1" x14ac:dyDescent="0.25">
      <c r="A10" s="39">
        <v>7</v>
      </c>
      <c r="B10" s="39" t="s">
        <v>101</v>
      </c>
      <c r="C10" s="39" t="s">
        <v>14</v>
      </c>
      <c r="D10" s="39">
        <v>11.8</v>
      </c>
      <c r="E10" s="40">
        <v>40000</v>
      </c>
      <c r="F10" s="41">
        <f t="shared" si="0"/>
        <v>472000</v>
      </c>
      <c r="G10" s="44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AE10" s="34"/>
      <c r="AI10" s="7">
        <v>8.9</v>
      </c>
      <c r="AJ10">
        <v>0.2</v>
      </c>
      <c r="AK10">
        <v>2.83</v>
      </c>
      <c r="AL10" s="8">
        <f>AI10*AJ10*AK10</f>
        <v>5.0374000000000008</v>
      </c>
      <c r="AX10" s="39">
        <v>7</v>
      </c>
      <c r="AY10" s="39" t="s">
        <v>101</v>
      </c>
      <c r="AZ10" s="39" t="s">
        <v>14</v>
      </c>
      <c r="BA10" s="39">
        <v>24</v>
      </c>
      <c r="BB10" s="40">
        <v>3000</v>
      </c>
      <c r="BC10" s="41">
        <f t="shared" si="1"/>
        <v>72000</v>
      </c>
      <c r="BM10" s="39">
        <v>11.8</v>
      </c>
      <c r="BN10" s="40">
        <v>41000</v>
      </c>
      <c r="BO10" s="41">
        <f t="shared" si="2"/>
        <v>483800.00000000006</v>
      </c>
    </row>
    <row r="11" spans="1:70" ht="23.25" customHeight="1" x14ac:dyDescent="0.25">
      <c r="A11" s="39">
        <v>8</v>
      </c>
      <c r="B11" s="39" t="s">
        <v>102</v>
      </c>
      <c r="C11" s="39" t="s">
        <v>14</v>
      </c>
      <c r="D11" s="39">
        <v>37.9026</v>
      </c>
      <c r="E11" s="40">
        <v>40000</v>
      </c>
      <c r="F11" s="41">
        <f t="shared" si="0"/>
        <v>1516104</v>
      </c>
      <c r="G11" s="39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AI11" s="7">
        <v>0.2</v>
      </c>
      <c r="AJ11">
        <v>5.0999999999999996</v>
      </c>
      <c r="AK11">
        <v>3.23</v>
      </c>
      <c r="AL11" s="8">
        <f>AI11*AJ11*AK11</f>
        <v>3.2946</v>
      </c>
      <c r="AX11" s="39"/>
      <c r="AY11" s="39"/>
      <c r="AZ11" s="39"/>
      <c r="BA11" s="39"/>
      <c r="BB11" s="40"/>
      <c r="BC11" s="41"/>
      <c r="BM11" s="39">
        <v>37.9026</v>
      </c>
      <c r="BN11" s="40">
        <v>41000</v>
      </c>
      <c r="BO11" s="41">
        <f t="shared" si="2"/>
        <v>1554006.6</v>
      </c>
      <c r="BR11">
        <f>5/8</f>
        <v>0.625</v>
      </c>
    </row>
    <row r="12" spans="1:70" ht="23.25" customHeight="1" x14ac:dyDescent="0.25">
      <c r="A12" s="39">
        <v>9</v>
      </c>
      <c r="B12" s="39" t="s">
        <v>103</v>
      </c>
      <c r="C12" s="39" t="s">
        <v>14</v>
      </c>
      <c r="D12" s="39">
        <v>2.6</v>
      </c>
      <c r="E12" s="40">
        <v>40000</v>
      </c>
      <c r="F12" s="41">
        <f t="shared" si="0"/>
        <v>104000</v>
      </c>
      <c r="G12" s="39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AI12" s="9">
        <v>0.3</v>
      </c>
      <c r="AJ12" s="10">
        <v>5.6</v>
      </c>
      <c r="AK12" s="10">
        <v>3.23</v>
      </c>
      <c r="AL12" s="11">
        <f>AI12*AJ12*AK12</f>
        <v>5.4264000000000001</v>
      </c>
      <c r="AO12" t="s">
        <v>15</v>
      </c>
      <c r="AP12">
        <v>0.2</v>
      </c>
      <c r="AQ12">
        <v>5.0999999999999996</v>
      </c>
      <c r="AR12">
        <v>0.3</v>
      </c>
      <c r="AS12">
        <f>AP12*AQ12*AR12</f>
        <v>0.30599999999999999</v>
      </c>
      <c r="AX12" s="39">
        <v>9</v>
      </c>
      <c r="AY12" s="39" t="s">
        <v>103</v>
      </c>
      <c r="AZ12" s="39" t="s">
        <v>14</v>
      </c>
      <c r="BA12" s="39">
        <v>50</v>
      </c>
      <c r="BB12" s="40">
        <v>3000</v>
      </c>
      <c r="BC12" s="41">
        <f t="shared" si="1"/>
        <v>150000</v>
      </c>
      <c r="BM12" s="39">
        <v>2.6</v>
      </c>
      <c r="BN12" s="40">
        <v>41000</v>
      </c>
      <c r="BO12" s="41">
        <f t="shared" si="2"/>
        <v>106600</v>
      </c>
    </row>
    <row r="13" spans="1:70" ht="23.25" customHeight="1" x14ac:dyDescent="0.25">
      <c r="A13" s="39">
        <v>10</v>
      </c>
      <c r="B13" s="39" t="s">
        <v>104</v>
      </c>
      <c r="C13" s="39" t="s">
        <v>29</v>
      </c>
      <c r="D13" s="39">
        <v>520</v>
      </c>
      <c r="E13" s="40">
        <v>3200</v>
      </c>
      <c r="F13" s="41">
        <f t="shared" si="0"/>
        <v>1664000</v>
      </c>
      <c r="G13" s="39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AC13" s="2">
        <f>F19*1.05</f>
        <v>10300092.6</v>
      </c>
      <c r="AL13" s="16">
        <f>SUM(AL9:AL12)</f>
        <v>19.475000000000001</v>
      </c>
      <c r="AO13" t="s">
        <v>16</v>
      </c>
      <c r="AP13">
        <v>0.3</v>
      </c>
      <c r="AQ13">
        <v>5.6</v>
      </c>
      <c r="AR13">
        <v>0.3</v>
      </c>
      <c r="AS13">
        <f>AP13*AQ13*AR13</f>
        <v>0.504</v>
      </c>
      <c r="AX13" s="39">
        <v>10</v>
      </c>
      <c r="AY13" s="39" t="s">
        <v>104</v>
      </c>
      <c r="AZ13" s="39" t="s">
        <v>29</v>
      </c>
      <c r="BA13" s="39">
        <v>470</v>
      </c>
      <c r="BB13" s="40">
        <v>3000</v>
      </c>
      <c r="BC13" s="41">
        <f t="shared" si="1"/>
        <v>1410000</v>
      </c>
      <c r="BM13" s="39">
        <v>109.11</v>
      </c>
      <c r="BN13" s="40">
        <v>3200</v>
      </c>
      <c r="BO13" s="41">
        <f t="shared" si="2"/>
        <v>349152</v>
      </c>
    </row>
    <row r="14" spans="1:70" ht="37.5" customHeight="1" x14ac:dyDescent="0.25">
      <c r="A14" s="39">
        <v>11</v>
      </c>
      <c r="B14" s="42" t="s">
        <v>105</v>
      </c>
      <c r="C14" s="39" t="s">
        <v>14</v>
      </c>
      <c r="D14" s="39">
        <v>12.27</v>
      </c>
      <c r="E14" s="40">
        <v>40000</v>
      </c>
      <c r="F14" s="41">
        <f t="shared" si="0"/>
        <v>490800</v>
      </c>
      <c r="G14" s="39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AX14" s="39">
        <v>11</v>
      </c>
      <c r="AY14" s="42" t="s">
        <v>105</v>
      </c>
      <c r="AZ14" s="39" t="s">
        <v>14</v>
      </c>
      <c r="BA14" s="39">
        <v>12.27</v>
      </c>
      <c r="BB14" s="40">
        <v>13000</v>
      </c>
      <c r="BC14" s="41">
        <f t="shared" si="1"/>
        <v>159510</v>
      </c>
      <c r="BM14" s="39">
        <v>12.27</v>
      </c>
      <c r="BN14" s="40">
        <v>41000</v>
      </c>
      <c r="BO14" s="41">
        <f t="shared" si="2"/>
        <v>503070</v>
      </c>
    </row>
    <row r="15" spans="1:70" ht="23.25" customHeight="1" x14ac:dyDescent="0.25">
      <c r="A15" s="39">
        <v>12</v>
      </c>
      <c r="B15" s="39" t="s">
        <v>30</v>
      </c>
      <c r="C15" s="39" t="s">
        <v>29</v>
      </c>
      <c r="D15" s="39">
        <v>116</v>
      </c>
      <c r="E15" s="40">
        <v>2100</v>
      </c>
      <c r="F15" s="41">
        <f t="shared" si="0"/>
        <v>243600</v>
      </c>
      <c r="G15" s="3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AH15" t="s">
        <v>13</v>
      </c>
      <c r="AN15" t="s">
        <v>39</v>
      </c>
      <c r="AO15">
        <v>6</v>
      </c>
      <c r="AP15">
        <v>0.3</v>
      </c>
      <c r="AQ15">
        <v>0.1</v>
      </c>
      <c r="AR15">
        <v>0.3</v>
      </c>
      <c r="AS15">
        <f>PRODUCT(AO15:AR15)</f>
        <v>5.3999999999999999E-2</v>
      </c>
      <c r="AX15" s="39">
        <v>12</v>
      </c>
      <c r="AY15" s="39" t="s">
        <v>30</v>
      </c>
      <c r="AZ15" s="39" t="s">
        <v>29</v>
      </c>
      <c r="BA15" s="39">
        <v>116</v>
      </c>
      <c r="BB15" s="40">
        <v>2400</v>
      </c>
      <c r="BC15" s="41">
        <f t="shared" si="1"/>
        <v>278400</v>
      </c>
      <c r="BM15" s="39">
        <v>116</v>
      </c>
      <c r="BN15" s="40">
        <v>2800</v>
      </c>
      <c r="BO15" s="41">
        <f t="shared" si="2"/>
        <v>324800</v>
      </c>
    </row>
    <row r="16" spans="1:70" ht="32.25" customHeight="1" x14ac:dyDescent="0.25">
      <c r="A16" s="39">
        <v>13</v>
      </c>
      <c r="B16" s="42" t="s">
        <v>106</v>
      </c>
      <c r="C16" s="39" t="s">
        <v>14</v>
      </c>
      <c r="D16" s="39">
        <v>7</v>
      </c>
      <c r="E16" s="40">
        <v>40000</v>
      </c>
      <c r="F16" s="41">
        <f t="shared" si="0"/>
        <v>280000</v>
      </c>
      <c r="G16" s="39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AX16" s="39">
        <v>13</v>
      </c>
      <c r="AY16" s="42" t="s">
        <v>106</v>
      </c>
      <c r="AZ16" s="39" t="s">
        <v>14</v>
      </c>
      <c r="BA16" s="39">
        <v>7</v>
      </c>
      <c r="BB16" s="40">
        <v>13000</v>
      </c>
      <c r="BC16" s="41">
        <f t="shared" si="1"/>
        <v>91000</v>
      </c>
      <c r="BM16" s="39">
        <v>7</v>
      </c>
      <c r="BN16" s="40">
        <v>41000</v>
      </c>
      <c r="BO16" s="41">
        <f t="shared" si="2"/>
        <v>287000</v>
      </c>
    </row>
    <row r="17" spans="1:70" ht="23.25" customHeight="1" x14ac:dyDescent="0.25">
      <c r="A17" s="39">
        <v>14</v>
      </c>
      <c r="B17" s="39" t="s">
        <v>107</v>
      </c>
      <c r="C17" s="39" t="s">
        <v>14</v>
      </c>
      <c r="D17" s="39">
        <v>27</v>
      </c>
      <c r="E17" s="40">
        <v>40000</v>
      </c>
      <c r="F17" s="41">
        <f t="shared" si="0"/>
        <v>1080000</v>
      </c>
      <c r="G17" s="39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Y17" t="s">
        <v>62</v>
      </c>
      <c r="AG17" s="4" t="s">
        <v>41</v>
      </c>
      <c r="AH17" s="5">
        <v>3.2</v>
      </c>
      <c r="AI17" s="5">
        <v>0.2</v>
      </c>
      <c r="AJ17" s="5">
        <v>2.83</v>
      </c>
      <c r="AK17" s="5">
        <f>AH17*AI17*AJ17</f>
        <v>1.8112000000000004</v>
      </c>
      <c r="AL17" s="6"/>
      <c r="AX17" s="39">
        <v>14</v>
      </c>
      <c r="AY17" s="39" t="s">
        <v>107</v>
      </c>
      <c r="AZ17" s="39" t="s">
        <v>14</v>
      </c>
      <c r="BA17" s="39">
        <v>27</v>
      </c>
      <c r="BB17" s="40">
        <v>13000</v>
      </c>
      <c r="BC17" s="41">
        <f t="shared" si="1"/>
        <v>351000</v>
      </c>
      <c r="BM17" s="39">
        <v>27</v>
      </c>
      <c r="BN17" s="40">
        <v>41000</v>
      </c>
      <c r="BO17" s="41">
        <f t="shared" si="2"/>
        <v>1107000</v>
      </c>
    </row>
    <row r="18" spans="1:70" ht="23.25" customHeight="1" x14ac:dyDescent="0.25">
      <c r="A18" s="39">
        <v>15</v>
      </c>
      <c r="B18" s="39" t="s">
        <v>111</v>
      </c>
      <c r="C18" s="39" t="s">
        <v>14</v>
      </c>
      <c r="D18" s="39">
        <v>3</v>
      </c>
      <c r="E18" s="40">
        <v>40000</v>
      </c>
      <c r="F18" s="41">
        <f t="shared" si="0"/>
        <v>120000</v>
      </c>
      <c r="G18" s="3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AG18" s="7"/>
      <c r="AL18" s="8"/>
      <c r="AX18" s="39">
        <v>15</v>
      </c>
      <c r="AY18" s="39"/>
      <c r="AZ18" s="39"/>
      <c r="BA18" s="39"/>
      <c r="BB18" s="40"/>
      <c r="BC18" s="41">
        <f>SUM(BC4:BC17)</f>
        <v>3898462.4</v>
      </c>
      <c r="BM18" s="39">
        <v>2</v>
      </c>
      <c r="BN18" s="40">
        <v>41000</v>
      </c>
      <c r="BO18" s="41">
        <f t="shared" si="2"/>
        <v>82000</v>
      </c>
      <c r="BR18">
        <f>F19/BO19</f>
        <v>1.1155764364243039</v>
      </c>
    </row>
    <row r="19" spans="1:70" ht="23.25" customHeight="1" x14ac:dyDescent="0.25">
      <c r="A19" s="38"/>
      <c r="B19" s="38"/>
      <c r="C19" s="38"/>
      <c r="D19" s="38"/>
      <c r="E19" s="45" t="s">
        <v>108</v>
      </c>
      <c r="F19" s="46">
        <f>SUM(F4:F18)</f>
        <v>9809612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2" t="s">
        <v>113</v>
      </c>
      <c r="AG19" s="7" t="s">
        <v>42</v>
      </c>
      <c r="AH19">
        <v>1.85</v>
      </c>
      <c r="AI19">
        <v>0.2</v>
      </c>
      <c r="AJ19">
        <v>2.83</v>
      </c>
      <c r="AK19">
        <f>AH19*AI19*AJ19</f>
        <v>1.0471000000000001</v>
      </c>
      <c r="AL19" s="8"/>
      <c r="AX19" s="38"/>
      <c r="AY19" s="38"/>
      <c r="AZ19" s="38"/>
      <c r="BA19" s="38"/>
      <c r="BB19" s="45" t="s">
        <v>108</v>
      </c>
      <c r="BC19" s="46"/>
      <c r="BM19" s="38"/>
      <c r="BN19" s="45" t="s">
        <v>108</v>
      </c>
      <c r="BO19" s="46">
        <f>SUM(BO4:BO18)</f>
        <v>8793312.3000000007</v>
      </c>
    </row>
    <row r="20" spans="1:70" ht="15.75" x14ac:dyDescent="0.25">
      <c r="A20" s="38"/>
      <c r="B20" s="38"/>
      <c r="C20" s="38"/>
      <c r="D20" s="38"/>
      <c r="E20" s="38"/>
      <c r="F20" s="43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AG20" s="7"/>
      <c r="AL20" s="8"/>
    </row>
    <row r="21" spans="1:70" ht="18.75" x14ac:dyDescent="0.3">
      <c r="E21" s="52" t="s">
        <v>116</v>
      </c>
      <c r="F21" s="53"/>
      <c r="G21" t="s">
        <v>115</v>
      </c>
      <c r="AG21" s="7"/>
      <c r="AL21" s="8"/>
    </row>
    <row r="22" spans="1:70" x14ac:dyDescent="0.25">
      <c r="F22" s="2"/>
      <c r="AG22" s="7"/>
      <c r="AL22" s="8"/>
    </row>
    <row r="23" spans="1:70" x14ac:dyDescent="0.25">
      <c r="G23" t="s">
        <v>37</v>
      </c>
      <c r="AG23" s="7" t="s">
        <v>43</v>
      </c>
      <c r="AH23">
        <v>1.85</v>
      </c>
      <c r="AI23">
        <v>0.2</v>
      </c>
      <c r="AJ23">
        <v>2.83</v>
      </c>
      <c r="AK23">
        <f t="shared" ref="AK23" si="3">AH23*AI23*AJ23</f>
        <v>1.0471000000000001</v>
      </c>
      <c r="AL23" s="8"/>
      <c r="AS23">
        <f>SUM(AS8:AS15)</f>
        <v>9.0939999999999994</v>
      </c>
    </row>
    <row r="24" spans="1:70" x14ac:dyDescent="0.25">
      <c r="A24" t="s">
        <v>32</v>
      </c>
      <c r="B24" s="35" t="s">
        <v>33</v>
      </c>
      <c r="C24" s="35" t="s">
        <v>35</v>
      </c>
      <c r="D24" s="35">
        <v>2475</v>
      </c>
      <c r="E24" s="35"/>
      <c r="F24" s="35"/>
      <c r="G24" s="35">
        <f>D24/D5</f>
        <v>86.128897550111361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AC24">
        <f>D24/D5</f>
        <v>86.128897550111361</v>
      </c>
      <c r="AG24" s="9"/>
      <c r="AH24" s="10"/>
      <c r="AI24" s="10"/>
      <c r="AJ24" s="10"/>
      <c r="AK24" s="10">
        <f>SUM(AK17:AK23)</f>
        <v>3.9054000000000011</v>
      </c>
      <c r="AL24" s="15">
        <f>3*AK24</f>
        <v>11.716200000000004</v>
      </c>
    </row>
    <row r="25" spans="1:70" ht="30" x14ac:dyDescent="0.25">
      <c r="B25" s="36" t="s">
        <v>86</v>
      </c>
      <c r="C25" s="35" t="s">
        <v>35</v>
      </c>
      <c r="D25" s="35">
        <v>3034</v>
      </c>
      <c r="E25" s="35"/>
      <c r="F25" s="35"/>
      <c r="G25" s="35">
        <f>D25/D6</f>
        <v>108.08037988436753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Y25">
        <f>2296/11.8</f>
        <v>194.57627118644066</v>
      </c>
    </row>
    <row r="26" spans="1:70" x14ac:dyDescent="0.25">
      <c r="B26" s="36" t="s">
        <v>34</v>
      </c>
      <c r="C26" s="35" t="s">
        <v>35</v>
      </c>
      <c r="D26" s="35">
        <v>2478</v>
      </c>
      <c r="E26" s="35"/>
      <c r="F26" s="35"/>
      <c r="G26" s="35">
        <f>D26/D8</f>
        <v>211.4334470989761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AG26" t="s">
        <v>63</v>
      </c>
      <c r="AI26" t="s">
        <v>50</v>
      </c>
    </row>
    <row r="27" spans="1:70" x14ac:dyDescent="0.25">
      <c r="B27" s="35" t="s">
        <v>25</v>
      </c>
      <c r="C27" s="35" t="s">
        <v>35</v>
      </c>
      <c r="D27" s="35">
        <v>2296.64</v>
      </c>
      <c r="E27" s="35"/>
      <c r="F27" s="35"/>
      <c r="G27" s="35">
        <v>194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AB27">
        <f>D27/D10</f>
        <v>194.63050847457626</v>
      </c>
      <c r="AI27" s="4" t="s">
        <v>46</v>
      </c>
      <c r="AJ27" s="5">
        <f>0.3*0.3*2.83</f>
        <v>0.25469999999999998</v>
      </c>
      <c r="AK27" s="5">
        <f>AJ27*6</f>
        <v>1.5282</v>
      </c>
      <c r="AL27" s="6">
        <f>AK27*4</f>
        <v>6.1128</v>
      </c>
    </row>
    <row r="28" spans="1:70" x14ac:dyDescent="0.25">
      <c r="B28" s="35" t="s">
        <v>27</v>
      </c>
      <c r="C28" s="35" t="s">
        <v>35</v>
      </c>
      <c r="D28" s="37">
        <f>AH66+AH72+AH78+AH84+AH91+AH98+AH105+AH112</f>
        <v>5959.0454399999999</v>
      </c>
      <c r="E28" s="35"/>
      <c r="F28" s="35"/>
      <c r="G28" s="37">
        <f>D28/D11</f>
        <v>157.2199648572921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AI28" s="9" t="s">
        <v>49</v>
      </c>
      <c r="AJ28" s="10">
        <f>0.4*0.4*2.83</f>
        <v>0.45280000000000009</v>
      </c>
      <c r="AK28" s="10">
        <f>AJ28*3</f>
        <v>1.3584000000000003</v>
      </c>
      <c r="AL28" s="11">
        <f>AK28*4</f>
        <v>5.4336000000000011</v>
      </c>
    </row>
    <row r="29" spans="1:70" x14ac:dyDescent="0.25">
      <c r="B29" s="35" t="s">
        <v>28</v>
      </c>
      <c r="C29" s="35" t="s">
        <v>35</v>
      </c>
      <c r="D29" s="35">
        <v>215</v>
      </c>
      <c r="E29" s="35"/>
      <c r="F29" s="35"/>
      <c r="G29" s="35">
        <f>D29/D12</f>
        <v>82.692307692307693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AJ29" s="5"/>
      <c r="AL29" s="16">
        <f>AL27+AL28+0.2547</f>
        <v>11.801100000000002</v>
      </c>
    </row>
    <row r="30" spans="1:70" x14ac:dyDescent="0.25">
      <c r="B30" s="35" t="s">
        <v>31</v>
      </c>
      <c r="C30" s="35" t="s">
        <v>35</v>
      </c>
      <c r="D30" s="35"/>
      <c r="E30" s="35"/>
      <c r="F30" s="35"/>
      <c r="G30" s="35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70" x14ac:dyDescent="0.25">
      <c r="B31" s="35" t="s">
        <v>36</v>
      </c>
      <c r="C31" s="35" t="s">
        <v>35</v>
      </c>
      <c r="D31" s="35"/>
      <c r="E31" s="35"/>
      <c r="F31" s="35"/>
      <c r="G31" s="35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AH31" s="4" t="s">
        <v>51</v>
      </c>
      <c r="AI31" s="5" t="s">
        <v>52</v>
      </c>
      <c r="AJ31" s="5" t="s">
        <v>53</v>
      </c>
      <c r="AK31" s="6" t="s">
        <v>54</v>
      </c>
    </row>
    <row r="32" spans="1:70" x14ac:dyDescent="0.25">
      <c r="AH32" s="7" t="s">
        <v>9</v>
      </c>
      <c r="AI32">
        <f>13.4*0.3*0.4</f>
        <v>1.6079999999999999</v>
      </c>
      <c r="AJ32">
        <f>14*0.3*0.4*2</f>
        <v>3.3600000000000003</v>
      </c>
      <c r="AK32" s="8">
        <f>AI32+AJ32</f>
        <v>4.968</v>
      </c>
    </row>
    <row r="33" spans="2:38" x14ac:dyDescent="0.25">
      <c r="AH33" s="7" t="s">
        <v>55</v>
      </c>
      <c r="AI33">
        <f>11.13*0.3*0.45*3</f>
        <v>4.5076499999999999</v>
      </c>
      <c r="AK33" s="8">
        <f>AI33</f>
        <v>4.5076499999999999</v>
      </c>
    </row>
    <row r="34" spans="2:38" x14ac:dyDescent="0.25">
      <c r="B34" s="3" t="s">
        <v>109</v>
      </c>
      <c r="D34" t="s">
        <v>110</v>
      </c>
      <c r="AH34" s="9"/>
      <c r="AI34" s="10"/>
      <c r="AJ34" s="10"/>
      <c r="AK34" s="11">
        <f>SUM(AK32:AK33)</f>
        <v>9.4756499999999999</v>
      </c>
      <c r="AL34" s="16">
        <f>AK34*4</f>
        <v>37.9026</v>
      </c>
    </row>
    <row r="36" spans="2:38" x14ac:dyDescent="0.25">
      <c r="D36" s="1">
        <f>60*7500</f>
        <v>450000</v>
      </c>
      <c r="AJ36" t="s">
        <v>57</v>
      </c>
    </row>
    <row r="37" spans="2:38" x14ac:dyDescent="0.25">
      <c r="D37" s="1">
        <f>3500*600</f>
        <v>2100000</v>
      </c>
      <c r="AJ37" s="12" t="s">
        <v>56</v>
      </c>
      <c r="AK37" s="13">
        <f>(15+1)/2</f>
        <v>8</v>
      </c>
      <c r="AL37" s="17">
        <f>116</f>
        <v>116</v>
      </c>
    </row>
    <row r="38" spans="2:38" x14ac:dyDescent="0.25">
      <c r="D38" s="1">
        <f>SUM(D36:D37)</f>
        <v>2550000</v>
      </c>
    </row>
    <row r="39" spans="2:38" x14ac:dyDescent="0.25">
      <c r="AI39" t="s">
        <v>59</v>
      </c>
    </row>
    <row r="40" spans="2:38" x14ac:dyDescent="0.25">
      <c r="AI40" s="4"/>
      <c r="AJ40" s="5" t="s">
        <v>60</v>
      </c>
      <c r="AK40" s="5" t="s">
        <v>61</v>
      </c>
      <c r="AL40" s="6" t="s">
        <v>12</v>
      </c>
    </row>
    <row r="41" spans="2:38" x14ac:dyDescent="0.25">
      <c r="AI41" s="9"/>
      <c r="AJ41" s="10">
        <v>5.7</v>
      </c>
      <c r="AK41" s="10">
        <f>11.6*3.97*0.3</f>
        <v>13.8156</v>
      </c>
      <c r="AL41" s="11">
        <f>15*0.4</f>
        <v>6</v>
      </c>
    </row>
    <row r="42" spans="2:38" ht="15.75" x14ac:dyDescent="0.25">
      <c r="B42" s="64" t="s">
        <v>112</v>
      </c>
      <c r="C42" s="64"/>
      <c r="D42" s="64"/>
      <c r="E42" s="64"/>
      <c r="F42" s="64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Y42" t="s">
        <v>65</v>
      </c>
      <c r="AC42" t="s">
        <v>67</v>
      </c>
      <c r="AD42" t="s">
        <v>68</v>
      </c>
      <c r="AG42" t="s">
        <v>70</v>
      </c>
      <c r="AL42" s="16">
        <f>SUM(AJ41:AL41)</f>
        <v>25.515599999999999</v>
      </c>
    </row>
    <row r="43" spans="2:38" ht="15.75" x14ac:dyDescent="0.2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Y43" s="4" t="s">
        <v>64</v>
      </c>
      <c r="Z43" s="5">
        <v>14</v>
      </c>
      <c r="AA43" s="5">
        <f>3.23+0.7</f>
        <v>3.9299999999999997</v>
      </c>
      <c r="AB43" s="5">
        <v>57</v>
      </c>
      <c r="AC43" s="5">
        <v>2</v>
      </c>
      <c r="AD43" s="5">
        <v>3</v>
      </c>
      <c r="AE43" s="5">
        <f>AA43*AB43*AC43*AD43</f>
        <v>1344.06</v>
      </c>
      <c r="AF43" s="5">
        <v>1.208</v>
      </c>
      <c r="AG43" s="6">
        <f>AE43*AF43</f>
        <v>1623.6244799999999</v>
      </c>
    </row>
    <row r="44" spans="2:38" ht="15.75" x14ac:dyDescent="0.25">
      <c r="B44" s="39" t="s">
        <v>18</v>
      </c>
      <c r="C44" s="39" t="s">
        <v>19</v>
      </c>
      <c r="D44" s="39" t="s">
        <v>20</v>
      </c>
      <c r="E44" s="39" t="s">
        <v>21</v>
      </c>
      <c r="F44" s="39" t="s">
        <v>22</v>
      </c>
      <c r="G44" s="39" t="s">
        <v>26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Y44" s="7" t="s">
        <v>41</v>
      </c>
      <c r="Z44">
        <v>12</v>
      </c>
      <c r="AA44">
        <v>3.5</v>
      </c>
      <c r="AB44">
        <f>2.83/0.15</f>
        <v>18.866666666666667</v>
      </c>
      <c r="AC44">
        <v>2</v>
      </c>
      <c r="AD44">
        <v>3</v>
      </c>
      <c r="AE44">
        <f>AD44*AC44*AB44*AA44</f>
        <v>396.2</v>
      </c>
      <c r="AF44">
        <v>0.88800000000000001</v>
      </c>
      <c r="AG44" s="8">
        <f t="shared" ref="AG44:AG46" si="4">AE44*AF44</f>
        <v>351.82560000000001</v>
      </c>
      <c r="AJ44" t="s">
        <v>7</v>
      </c>
    </row>
    <row r="45" spans="2:38" ht="15.75" x14ac:dyDescent="0.25">
      <c r="B45" s="39" t="s">
        <v>23</v>
      </c>
      <c r="C45" s="39" t="s">
        <v>14</v>
      </c>
      <c r="D45" s="39">
        <v>14</v>
      </c>
      <c r="E45" s="40"/>
      <c r="F45" s="41">
        <f>D45*E45</f>
        <v>0</v>
      </c>
      <c r="G45" s="39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Y45" s="7" t="s">
        <v>42</v>
      </c>
      <c r="Z45">
        <v>12</v>
      </c>
      <c r="AA45">
        <v>2.5</v>
      </c>
      <c r="AB45">
        <f t="shared" ref="AB45:AB46" si="5">2.83/0.15</f>
        <v>18.866666666666667</v>
      </c>
      <c r="AC45">
        <v>2</v>
      </c>
      <c r="AD45">
        <v>3</v>
      </c>
      <c r="AE45">
        <f t="shared" ref="AE45:AE46" si="6">AD45*AC45*AB45*AA45</f>
        <v>283</v>
      </c>
      <c r="AF45">
        <v>0.88800000000000001</v>
      </c>
      <c r="AG45" s="8">
        <f t="shared" si="4"/>
        <v>251.304</v>
      </c>
      <c r="AJ45" s="4">
        <f>((3.05-0.4)*(2.8-0.4))</f>
        <v>6.3599999999999994</v>
      </c>
      <c r="AK45" s="5">
        <f>7/AJ45</f>
        <v>1.1006289308176103</v>
      </c>
      <c r="AL45" s="6"/>
    </row>
    <row r="46" spans="2:38" ht="15.75" x14ac:dyDescent="0.25">
      <c r="B46" s="39" t="s">
        <v>97</v>
      </c>
      <c r="C46" s="39" t="s">
        <v>14</v>
      </c>
      <c r="D46" s="39">
        <f>38.736-10</f>
        <v>28.735999999999997</v>
      </c>
      <c r="E46" s="40"/>
      <c r="F46" s="41">
        <f t="shared" ref="F46:F59" si="7">D46*E46</f>
        <v>0</v>
      </c>
      <c r="G46" s="39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Y46" s="9" t="s">
        <v>43</v>
      </c>
      <c r="Z46" s="10">
        <v>12</v>
      </c>
      <c r="AA46" s="10">
        <v>2.5</v>
      </c>
      <c r="AB46" s="10">
        <f t="shared" si="5"/>
        <v>18.866666666666667</v>
      </c>
      <c r="AC46" s="10">
        <v>2</v>
      </c>
      <c r="AD46" s="10">
        <v>3</v>
      </c>
      <c r="AE46" s="10">
        <f t="shared" si="6"/>
        <v>283</v>
      </c>
      <c r="AF46" s="10">
        <v>0.88800000000000001</v>
      </c>
      <c r="AG46" s="11">
        <f t="shared" si="4"/>
        <v>251.304</v>
      </c>
      <c r="AJ46" s="7">
        <f>11.76*0.2*1.1</f>
        <v>2.5872000000000002</v>
      </c>
      <c r="AK46">
        <f>11.76*0.2*1.1</f>
        <v>2.5872000000000002</v>
      </c>
      <c r="AL46" s="8" t="s">
        <v>58</v>
      </c>
    </row>
    <row r="47" spans="2:38" ht="47.25" x14ac:dyDescent="0.25">
      <c r="B47" s="42" t="s">
        <v>98</v>
      </c>
      <c r="C47" s="39" t="s">
        <v>14</v>
      </c>
      <c r="D47" s="39">
        <f>9.094+AE49</f>
        <v>9.0939999999999994</v>
      </c>
      <c r="E47" s="40"/>
      <c r="F47" s="41">
        <f t="shared" si="7"/>
        <v>0</v>
      </c>
      <c r="G47" s="39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AG47" s="16">
        <f>SUM(AG43:AG46)</f>
        <v>2478.0580800000002</v>
      </c>
      <c r="AJ47" s="9">
        <v>8.6300000000000008</v>
      </c>
      <c r="AK47" s="10">
        <f>AJ47*0.5</f>
        <v>4.3150000000000004</v>
      </c>
      <c r="AL47" s="11" t="s">
        <v>12</v>
      </c>
    </row>
    <row r="48" spans="2:38" ht="31.5" x14ac:dyDescent="0.25">
      <c r="B48" s="42" t="s">
        <v>99</v>
      </c>
      <c r="C48" s="39" t="s">
        <v>14</v>
      </c>
      <c r="D48" s="39">
        <v>19.5</v>
      </c>
      <c r="E48" s="40"/>
      <c r="F48" s="41">
        <f t="shared" si="7"/>
        <v>0</v>
      </c>
      <c r="G48" s="39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AK48" s="16">
        <f>SUM(AK46:AK47)</f>
        <v>6.9022000000000006</v>
      </c>
    </row>
    <row r="49" spans="2:34" ht="31.5" x14ac:dyDescent="0.25">
      <c r="B49" s="42" t="s">
        <v>100</v>
      </c>
      <c r="C49" s="39" t="s">
        <v>14</v>
      </c>
      <c r="D49" s="39">
        <v>11.72</v>
      </c>
      <c r="E49" s="40"/>
      <c r="F49" s="41">
        <f t="shared" si="7"/>
        <v>0</v>
      </c>
      <c r="G49" s="39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Y49" t="s">
        <v>75</v>
      </c>
      <c r="AC49" t="s">
        <v>95</v>
      </c>
    </row>
    <row r="50" spans="2:34" ht="15.75" x14ac:dyDescent="0.25">
      <c r="B50" s="39" t="s">
        <v>24</v>
      </c>
      <c r="C50" s="39" t="s">
        <v>14</v>
      </c>
      <c r="D50" s="39">
        <v>11.42</v>
      </c>
      <c r="E50" s="40"/>
      <c r="F50" s="41">
        <f t="shared" si="7"/>
        <v>0</v>
      </c>
      <c r="G50" s="39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Y50" s="4" t="s">
        <v>66</v>
      </c>
      <c r="Z50" s="5">
        <v>14</v>
      </c>
      <c r="AA50" s="5">
        <v>3.95</v>
      </c>
      <c r="AB50" s="5">
        <v>8</v>
      </c>
      <c r="AC50" s="5">
        <v>6</v>
      </c>
      <c r="AD50" s="5">
        <v>4</v>
      </c>
      <c r="AE50" s="5">
        <f>AA50*AB50*AC50*AD50</f>
        <v>758.40000000000009</v>
      </c>
      <c r="AF50" s="5">
        <v>1.208</v>
      </c>
      <c r="AG50" s="6">
        <f>AE50*AF50</f>
        <v>916.14720000000011</v>
      </c>
    </row>
    <row r="51" spans="2:34" ht="15.75" x14ac:dyDescent="0.25">
      <c r="B51" s="39" t="s">
        <v>101</v>
      </c>
      <c r="C51" s="39" t="s">
        <v>14</v>
      </c>
      <c r="D51" s="39">
        <v>11.8</v>
      </c>
      <c r="E51" s="40"/>
      <c r="F51" s="41">
        <f t="shared" si="7"/>
        <v>0</v>
      </c>
      <c r="G51" s="44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Y51" s="7" t="s">
        <v>8</v>
      </c>
      <c r="Z51">
        <v>8</v>
      </c>
      <c r="AA51">
        <v>1.2</v>
      </c>
      <c r="AB51">
        <v>26</v>
      </c>
      <c r="AC51">
        <v>6</v>
      </c>
      <c r="AD51">
        <v>4</v>
      </c>
      <c r="AE51">
        <f>1.2*26*6*4</f>
        <v>748.8</v>
      </c>
      <c r="AF51">
        <v>0.39500000000000002</v>
      </c>
      <c r="AG51" s="8">
        <f>AE51*AF51</f>
        <v>295.77600000000001</v>
      </c>
      <c r="AH51">
        <f>295/6/4</f>
        <v>12.291666666666666</v>
      </c>
    </row>
    <row r="52" spans="2:34" ht="15.75" x14ac:dyDescent="0.25">
      <c r="B52" s="39" t="s">
        <v>102</v>
      </c>
      <c r="C52" s="39" t="s">
        <v>14</v>
      </c>
      <c r="D52" s="39">
        <v>37.9026</v>
      </c>
      <c r="E52" s="40"/>
      <c r="F52" s="41">
        <f t="shared" si="7"/>
        <v>0</v>
      </c>
      <c r="G52" s="39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Y52" s="7" t="s">
        <v>71</v>
      </c>
      <c r="Z52">
        <v>8</v>
      </c>
      <c r="AA52">
        <v>0.9</v>
      </c>
      <c r="AB52">
        <v>26</v>
      </c>
      <c r="AC52">
        <v>6</v>
      </c>
      <c r="AD52">
        <v>4</v>
      </c>
      <c r="AE52">
        <f>AA52*AB52*AC52*AD52</f>
        <v>561.6</v>
      </c>
      <c r="AF52">
        <v>0.39500000000000002</v>
      </c>
      <c r="AG52" s="8">
        <f>AF52*AE52</f>
        <v>221.83200000000002</v>
      </c>
    </row>
    <row r="53" spans="2:34" ht="15.75" x14ac:dyDescent="0.25">
      <c r="B53" s="39" t="s">
        <v>103</v>
      </c>
      <c r="C53" s="39" t="s">
        <v>14</v>
      </c>
      <c r="D53" s="39">
        <v>2.6</v>
      </c>
      <c r="E53" s="40"/>
      <c r="F53" s="41">
        <f t="shared" si="7"/>
        <v>0</v>
      </c>
      <c r="G53" s="39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Y53" s="7" t="s">
        <v>73</v>
      </c>
      <c r="Z53">
        <v>14</v>
      </c>
      <c r="AA53">
        <v>3.95</v>
      </c>
      <c r="AB53">
        <v>8</v>
      </c>
      <c r="AC53">
        <v>1</v>
      </c>
      <c r="AD53">
        <v>1</v>
      </c>
      <c r="AE53">
        <f>AA53*AB53</f>
        <v>31.6</v>
      </c>
      <c r="AF53">
        <v>1.208</v>
      </c>
      <c r="AG53" s="8">
        <f>AF53*AE53</f>
        <v>38.172800000000002</v>
      </c>
    </row>
    <row r="54" spans="2:34" ht="15.75" x14ac:dyDescent="0.25">
      <c r="B54" s="39" t="s">
        <v>104</v>
      </c>
      <c r="C54" s="39" t="s">
        <v>29</v>
      </c>
      <c r="D54" s="39">
        <v>109.11</v>
      </c>
      <c r="E54" s="40"/>
      <c r="F54" s="41">
        <f t="shared" si="7"/>
        <v>0</v>
      </c>
      <c r="G54" s="39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Y54" s="7" t="s">
        <v>74</v>
      </c>
      <c r="Z54">
        <v>8</v>
      </c>
      <c r="AA54">
        <v>1.2</v>
      </c>
      <c r="AB54">
        <v>26</v>
      </c>
      <c r="AC54">
        <v>1</v>
      </c>
      <c r="AD54">
        <v>1</v>
      </c>
      <c r="AE54">
        <f>AA54*AB54</f>
        <v>31.2</v>
      </c>
      <c r="AF54">
        <v>0.39500000000000002</v>
      </c>
      <c r="AG54" s="8">
        <f>AF54*AE54</f>
        <v>12.324</v>
      </c>
    </row>
    <row r="55" spans="2:34" ht="31.5" x14ac:dyDescent="0.25">
      <c r="B55" s="42" t="s">
        <v>105</v>
      </c>
      <c r="C55" s="39" t="s">
        <v>14</v>
      </c>
      <c r="D55" s="39">
        <v>12.27</v>
      </c>
      <c r="E55" s="40"/>
      <c r="F55" s="41">
        <f t="shared" si="7"/>
        <v>0</v>
      </c>
      <c r="G55" s="39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Y55" s="7" t="s">
        <v>96</v>
      </c>
      <c r="Z55">
        <v>8</v>
      </c>
      <c r="AA55">
        <v>0.9</v>
      </c>
      <c r="AB55">
        <v>26</v>
      </c>
      <c r="AC55">
        <v>1</v>
      </c>
      <c r="AD55">
        <v>1</v>
      </c>
      <c r="AE55">
        <f>AD55*AB55*AA55</f>
        <v>23.400000000000002</v>
      </c>
      <c r="AF55">
        <v>0.39500000000000002</v>
      </c>
      <c r="AG55" s="8">
        <f>AF55*AE55</f>
        <v>9.2430000000000021</v>
      </c>
    </row>
    <row r="56" spans="2:34" ht="15.75" x14ac:dyDescent="0.25">
      <c r="B56" s="39" t="s">
        <v>30</v>
      </c>
      <c r="C56" s="39" t="s">
        <v>29</v>
      </c>
      <c r="D56" s="39">
        <v>116</v>
      </c>
      <c r="E56" s="40"/>
      <c r="F56" s="41">
        <f t="shared" si="7"/>
        <v>0</v>
      </c>
      <c r="G56" s="39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Y56" s="7" t="s">
        <v>69</v>
      </c>
      <c r="Z56">
        <v>14</v>
      </c>
      <c r="AA56">
        <v>3.95</v>
      </c>
      <c r="AB56">
        <v>8</v>
      </c>
      <c r="AC56">
        <v>3</v>
      </c>
      <c r="AD56">
        <v>4</v>
      </c>
      <c r="AE56">
        <f>PRODUCT(AA56:AD56)</f>
        <v>379.20000000000005</v>
      </c>
      <c r="AF56">
        <v>1.208</v>
      </c>
      <c r="AG56" s="8">
        <f>AF56*AE56</f>
        <v>458.07360000000006</v>
      </c>
    </row>
    <row r="57" spans="2:34" ht="31.5" x14ac:dyDescent="0.25">
      <c r="B57" s="42" t="s">
        <v>106</v>
      </c>
      <c r="C57" s="39" t="s">
        <v>14</v>
      </c>
      <c r="D57" s="39">
        <v>7</v>
      </c>
      <c r="E57" s="40"/>
      <c r="F57" s="41">
        <f t="shared" si="7"/>
        <v>0</v>
      </c>
      <c r="G57" s="39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Y57" s="7" t="s">
        <v>8</v>
      </c>
      <c r="Z57">
        <v>8</v>
      </c>
      <c r="AA57">
        <v>1.6</v>
      </c>
      <c r="AB57">
        <v>26</v>
      </c>
      <c r="AC57">
        <v>3</v>
      </c>
      <c r="AD57">
        <v>4</v>
      </c>
      <c r="AE57">
        <f>AD57*AC57*AB57*AA57</f>
        <v>499.20000000000005</v>
      </c>
      <c r="AF57">
        <v>0.39500000000000002</v>
      </c>
      <c r="AG57" s="8">
        <f>AE57*AF57</f>
        <v>197.18400000000003</v>
      </c>
    </row>
    <row r="58" spans="2:34" ht="15.75" x14ac:dyDescent="0.25">
      <c r="B58" s="39" t="s">
        <v>107</v>
      </c>
      <c r="C58" s="39" t="s">
        <v>14</v>
      </c>
      <c r="D58" s="39">
        <v>27</v>
      </c>
      <c r="E58" s="40"/>
      <c r="F58" s="41">
        <f t="shared" si="7"/>
        <v>0</v>
      </c>
      <c r="G58" s="39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Y58" s="9" t="s">
        <v>72</v>
      </c>
      <c r="Z58" s="10">
        <v>8</v>
      </c>
      <c r="AA58" s="10">
        <v>1.2</v>
      </c>
      <c r="AB58" s="10">
        <v>26</v>
      </c>
      <c r="AC58" s="10">
        <v>3</v>
      </c>
      <c r="AD58" s="10">
        <v>4</v>
      </c>
      <c r="AE58" s="10">
        <f>AA58*AB58*AC58*AD58</f>
        <v>374.4</v>
      </c>
      <c r="AF58" s="10">
        <v>0.39500000000000002</v>
      </c>
      <c r="AG58" s="11">
        <f>AE58*AF58</f>
        <v>147.88800000000001</v>
      </c>
    </row>
    <row r="59" spans="2:34" ht="15.75" x14ac:dyDescent="0.25">
      <c r="B59" s="39" t="s">
        <v>111</v>
      </c>
      <c r="C59" s="39" t="s">
        <v>14</v>
      </c>
      <c r="D59" s="39">
        <v>2</v>
      </c>
      <c r="E59" s="40"/>
      <c r="F59" s="41">
        <f t="shared" si="7"/>
        <v>0</v>
      </c>
      <c r="G59" s="39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AG59" s="16">
        <f>SUM(AG50:AG58)</f>
        <v>2296.6406000000006</v>
      </c>
    </row>
    <row r="60" spans="2:34" ht="15.75" x14ac:dyDescent="0.25">
      <c r="B60" s="38"/>
      <c r="C60" s="38"/>
      <c r="D60" s="38"/>
      <c r="E60" s="45" t="s">
        <v>108</v>
      </c>
      <c r="F60" s="46">
        <f>SUM(F45:F59)</f>
        <v>0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2:34" ht="15.75" x14ac:dyDescent="0.25">
      <c r="B61" s="38"/>
      <c r="C61" s="38"/>
      <c r="D61" s="38"/>
      <c r="E61" s="38"/>
      <c r="F61" s="43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Y61" t="s">
        <v>76</v>
      </c>
    </row>
    <row r="62" spans="2:34" x14ac:dyDescent="0.25">
      <c r="F62" s="2"/>
      <c r="Y62" s="4" t="s">
        <v>10</v>
      </c>
      <c r="Z62" s="5">
        <v>14</v>
      </c>
      <c r="AA62" s="5">
        <v>37</v>
      </c>
      <c r="AB62" s="5">
        <v>0</v>
      </c>
      <c r="AC62" s="18">
        <v>3</v>
      </c>
      <c r="AD62" s="5">
        <v>14</v>
      </c>
      <c r="AE62" s="5">
        <f t="shared" ref="AE62:AE65" si="8">IF(AD62=8,0.395,IF(AD62=10,0.617,IF(AD62=12,0.888,IF(AD62=14,1.208,IF(AD62=16,1.578)))))</f>
        <v>1.208</v>
      </c>
      <c r="AF62" s="19">
        <f t="shared" ref="AF62:AF65" si="9">(AA62+AB62)*AC62</f>
        <v>111</v>
      </c>
      <c r="AG62" s="20">
        <f>AE62*AF62</f>
        <v>134.08799999999999</v>
      </c>
    </row>
    <row r="63" spans="2:34" x14ac:dyDescent="0.25">
      <c r="F63" s="2"/>
      <c r="Y63" s="7"/>
      <c r="AC63" s="21"/>
      <c r="AF63" s="2"/>
      <c r="AG63" s="22"/>
    </row>
    <row r="64" spans="2:34" x14ac:dyDescent="0.25">
      <c r="G64" t="s">
        <v>37</v>
      </c>
      <c r="Y64" s="7"/>
      <c r="Z64" t="s">
        <v>1</v>
      </c>
      <c r="AA64">
        <v>1.42</v>
      </c>
      <c r="AC64" s="21">
        <f>9+9+9+9+26</f>
        <v>62</v>
      </c>
      <c r="AD64">
        <v>10</v>
      </c>
      <c r="AE64">
        <f t="shared" si="8"/>
        <v>0.61699999999999999</v>
      </c>
      <c r="AF64" s="2">
        <f t="shared" si="9"/>
        <v>88.039999999999992</v>
      </c>
      <c r="AG64" s="23">
        <f>AE64*AF64</f>
        <v>54.320679999999996</v>
      </c>
    </row>
    <row r="65" spans="2:34" x14ac:dyDescent="0.25">
      <c r="B65" s="35" t="s">
        <v>33</v>
      </c>
      <c r="C65" s="35" t="s">
        <v>35</v>
      </c>
      <c r="D65" s="35">
        <v>2475</v>
      </c>
      <c r="E65" s="35"/>
      <c r="F65" s="35"/>
      <c r="G65" s="35">
        <f>D65/D46</f>
        <v>86.128897550111361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Y65" s="7"/>
      <c r="Z65" t="s">
        <v>2</v>
      </c>
      <c r="AA65">
        <v>0.94</v>
      </c>
      <c r="AB65">
        <v>0</v>
      </c>
      <c r="AC65" s="21">
        <v>62</v>
      </c>
      <c r="AD65">
        <v>10</v>
      </c>
      <c r="AE65">
        <f t="shared" si="8"/>
        <v>0.61699999999999999</v>
      </c>
      <c r="AF65" s="2">
        <f t="shared" si="9"/>
        <v>58.279999999999994</v>
      </c>
      <c r="AG65" s="23">
        <f>AE65*AF65</f>
        <v>35.958759999999998</v>
      </c>
      <c r="AH65" t="s">
        <v>78</v>
      </c>
    </row>
    <row r="66" spans="2:34" ht="30" x14ac:dyDescent="0.25">
      <c r="B66" s="36" t="s">
        <v>86</v>
      </c>
      <c r="C66" s="35" t="s">
        <v>35</v>
      </c>
      <c r="D66" s="35">
        <v>3034</v>
      </c>
      <c r="E66" s="35"/>
      <c r="F66" s="35"/>
      <c r="G66" s="35">
        <f>D66/D47</f>
        <v>333.62656696723116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Y66" s="7"/>
      <c r="AG66" s="24">
        <f>SUM(AG62:AG65)</f>
        <v>224.36743999999999</v>
      </c>
      <c r="AH66" s="2">
        <f>AG66*4</f>
        <v>897.46975999999995</v>
      </c>
    </row>
    <row r="67" spans="2:34" x14ac:dyDescent="0.25">
      <c r="B67" s="36" t="s">
        <v>34</v>
      </c>
      <c r="C67" s="35" t="s">
        <v>35</v>
      </c>
      <c r="D67" s="35">
        <v>2478</v>
      </c>
      <c r="E67" s="35"/>
      <c r="F67" s="35"/>
      <c r="G67" s="35">
        <f>D67/D49</f>
        <v>211.4334470989761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Y67" s="7"/>
      <c r="AG67" s="8"/>
    </row>
    <row r="68" spans="2:34" x14ac:dyDescent="0.25">
      <c r="B68" s="35" t="s">
        <v>25</v>
      </c>
      <c r="C68" s="35" t="s">
        <v>35</v>
      </c>
      <c r="D68" s="35">
        <v>2296.64</v>
      </c>
      <c r="E68" s="35"/>
      <c r="F68" s="35"/>
      <c r="G68" s="35">
        <v>194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Y68" s="7" t="s">
        <v>11</v>
      </c>
      <c r="Z68">
        <v>16</v>
      </c>
      <c r="AA68">
        <v>13.6</v>
      </c>
      <c r="AC68" s="21">
        <v>3</v>
      </c>
      <c r="AD68">
        <v>16</v>
      </c>
      <c r="AE68">
        <f t="shared" ref="AE68:AE71" si="10">IF(AD68=8,0.395,IF(AD68=10,0.617,IF(AD68=12,0.888,IF(AD68=14,1.208,IF(AD68=16,1.578)))))</f>
        <v>1.5780000000000001</v>
      </c>
      <c r="AF68" s="2">
        <f t="shared" ref="AF68:AF71" si="11">(AA68+AB68)*AC68</f>
        <v>40.799999999999997</v>
      </c>
      <c r="AG68" s="23">
        <f>AE68*AF68</f>
        <v>64.382400000000004</v>
      </c>
    </row>
    <row r="69" spans="2:34" x14ac:dyDescent="0.25">
      <c r="B69" s="35" t="s">
        <v>27</v>
      </c>
      <c r="C69" s="35" t="s">
        <v>35</v>
      </c>
      <c r="D69" s="37">
        <f>AH107+AH113+AH119+AH125+AH132+AH139+AH146+AH153</f>
        <v>0</v>
      </c>
      <c r="E69" s="35"/>
      <c r="F69" s="35"/>
      <c r="G69" s="37">
        <f>D69/D52</f>
        <v>0</v>
      </c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Y69" s="7"/>
      <c r="Z69">
        <v>14</v>
      </c>
      <c r="AA69">
        <f>11.68*2</f>
        <v>23.36</v>
      </c>
      <c r="AC69" s="21">
        <v>3</v>
      </c>
      <c r="AD69">
        <v>14</v>
      </c>
      <c r="AE69">
        <f t="shared" ref="AE69" si="12">IF(AD69=8,0.395,IF(AD69=10,0.617,IF(AD69=12,0.888,IF(AD69=14,1.208,IF(AD69=16,1.578)))))</f>
        <v>1.208</v>
      </c>
      <c r="AF69" s="2">
        <f t="shared" ref="AF69" si="13">(AA69+AB69)*AC69</f>
        <v>70.08</v>
      </c>
      <c r="AG69" s="23">
        <f t="shared" ref="AG69:AG71" si="14">AE69*AF69</f>
        <v>84.656639999999996</v>
      </c>
    </row>
    <row r="70" spans="2:34" x14ac:dyDescent="0.25">
      <c r="B70" s="35" t="s">
        <v>28</v>
      </c>
      <c r="C70" s="35" t="s">
        <v>35</v>
      </c>
      <c r="D70" s="35">
        <v>215</v>
      </c>
      <c r="E70" s="35"/>
      <c r="F70" s="35"/>
      <c r="G70" s="35">
        <f>D70/D53</f>
        <v>82.692307692307693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Y70" s="7"/>
      <c r="Z70" t="s">
        <v>1</v>
      </c>
      <c r="AA70">
        <v>1.42</v>
      </c>
      <c r="AC70" s="21">
        <v>62</v>
      </c>
      <c r="AD70">
        <v>10</v>
      </c>
      <c r="AE70">
        <f t="shared" si="10"/>
        <v>0.61699999999999999</v>
      </c>
      <c r="AF70" s="2">
        <f t="shared" si="11"/>
        <v>88.039999999999992</v>
      </c>
      <c r="AG70" s="23">
        <f t="shared" si="14"/>
        <v>54.320679999999996</v>
      </c>
    </row>
    <row r="71" spans="2:34" x14ac:dyDescent="0.25">
      <c r="B71" s="35" t="s">
        <v>31</v>
      </c>
      <c r="C71" s="35" t="s">
        <v>35</v>
      </c>
      <c r="D71" s="35"/>
      <c r="E71" s="35"/>
      <c r="F71" s="35"/>
      <c r="G71" s="35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Y71" s="7"/>
      <c r="Z71" t="s">
        <v>2</v>
      </c>
      <c r="AA71">
        <v>0.94</v>
      </c>
      <c r="AC71" s="21">
        <v>62</v>
      </c>
      <c r="AD71">
        <v>10</v>
      </c>
      <c r="AE71">
        <f t="shared" si="10"/>
        <v>0.61699999999999999</v>
      </c>
      <c r="AF71" s="2">
        <f t="shared" si="11"/>
        <v>58.279999999999994</v>
      </c>
      <c r="AG71" s="23">
        <f t="shared" si="14"/>
        <v>35.958759999999998</v>
      </c>
      <c r="AH71" t="s">
        <v>78</v>
      </c>
    </row>
    <row r="72" spans="2:34" x14ac:dyDescent="0.25">
      <c r="B72" s="35" t="s">
        <v>36</v>
      </c>
      <c r="C72" s="35" t="s">
        <v>35</v>
      </c>
      <c r="D72" s="35"/>
      <c r="E72" s="35"/>
      <c r="F72" s="35"/>
      <c r="G72" s="35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Y72" s="7"/>
      <c r="AG72" s="24">
        <f>SUM(AG68:AG71)</f>
        <v>239.31847999999997</v>
      </c>
      <c r="AH72" s="2">
        <f>AG72*4</f>
        <v>957.27391999999986</v>
      </c>
    </row>
    <row r="73" spans="2:34" x14ac:dyDescent="0.25">
      <c r="Y73" s="7"/>
      <c r="AG73" s="8"/>
    </row>
    <row r="74" spans="2:34" x14ac:dyDescent="0.25">
      <c r="Y74" s="7" t="s">
        <v>79</v>
      </c>
      <c r="Z74">
        <v>14</v>
      </c>
      <c r="AA74">
        <v>37</v>
      </c>
      <c r="AB74">
        <v>0</v>
      </c>
      <c r="AC74" s="21">
        <v>3</v>
      </c>
      <c r="AD74">
        <v>14</v>
      </c>
      <c r="AE74">
        <f t="shared" ref="AE74" si="15">IF(AD74=8,0.395,IF(AD74=10,0.617,IF(AD74=12,0.888,IF(AD74=14,1.208,IF(AD74=16,1.578)))))</f>
        <v>1.208</v>
      </c>
      <c r="AF74" s="2">
        <f t="shared" ref="AF74" si="16">(AA74+AB74)*AC74</f>
        <v>111</v>
      </c>
      <c r="AG74" s="23">
        <f>AE74*AF74</f>
        <v>134.08799999999999</v>
      </c>
    </row>
    <row r="75" spans="2:34" x14ac:dyDescent="0.25">
      <c r="B75" s="3" t="s">
        <v>109</v>
      </c>
      <c r="D75" t="s">
        <v>110</v>
      </c>
      <c r="Y75" s="7"/>
      <c r="AC75" s="21"/>
      <c r="AF75" s="2"/>
      <c r="AG75" s="22"/>
    </row>
    <row r="76" spans="2:34" x14ac:dyDescent="0.25">
      <c r="Y76" s="7"/>
      <c r="Z76" t="s">
        <v>1</v>
      </c>
      <c r="AA76">
        <v>1.42</v>
      </c>
      <c r="AC76" s="21">
        <f>9+9+9+9+26</f>
        <v>62</v>
      </c>
      <c r="AD76">
        <v>10</v>
      </c>
      <c r="AE76">
        <f t="shared" ref="AE76:AE77" si="17">IF(AD76=8,0.395,IF(AD76=10,0.617,IF(AD76=12,0.888,IF(AD76=14,1.208,IF(AD76=16,1.578)))))</f>
        <v>0.61699999999999999</v>
      </c>
      <c r="AF76" s="2">
        <f t="shared" ref="AF76:AF77" si="18">(AA76+AB76)*AC76</f>
        <v>88.039999999999992</v>
      </c>
      <c r="AG76" s="23">
        <f>AE76*AF76</f>
        <v>54.320679999999996</v>
      </c>
    </row>
    <row r="77" spans="2:34" x14ac:dyDescent="0.25">
      <c r="D77" s="1">
        <f>60*7500</f>
        <v>450000</v>
      </c>
      <c r="Y77" s="7"/>
      <c r="Z77" t="s">
        <v>2</v>
      </c>
      <c r="AA77">
        <v>0.94</v>
      </c>
      <c r="AB77">
        <v>0</v>
      </c>
      <c r="AC77" s="21">
        <v>62</v>
      </c>
      <c r="AD77">
        <v>10</v>
      </c>
      <c r="AE77">
        <f t="shared" si="17"/>
        <v>0.61699999999999999</v>
      </c>
      <c r="AF77" s="2">
        <f t="shared" si="18"/>
        <v>58.279999999999994</v>
      </c>
      <c r="AG77" s="23">
        <f>AE77*AF77</f>
        <v>35.958759999999998</v>
      </c>
      <c r="AH77" t="s">
        <v>77</v>
      </c>
    </row>
    <row r="78" spans="2:34" x14ac:dyDescent="0.25">
      <c r="D78" s="1">
        <f>3500*600</f>
        <v>2100000</v>
      </c>
      <c r="Y78" s="7"/>
      <c r="AG78" s="24">
        <f>SUM(AG74:AG77)</f>
        <v>224.36743999999999</v>
      </c>
      <c r="AH78" s="2">
        <f>AG78*3</f>
        <v>673.10231999999996</v>
      </c>
    </row>
    <row r="79" spans="2:34" x14ac:dyDescent="0.25">
      <c r="D79" s="1">
        <f>SUM(D77:D78)</f>
        <v>2550000</v>
      </c>
      <c r="Y79" s="7"/>
      <c r="AC79" s="21"/>
      <c r="AF79" s="2"/>
      <c r="AG79" s="23"/>
    </row>
    <row r="80" spans="2:34" x14ac:dyDescent="0.25">
      <c r="Y80" s="7" t="s">
        <v>79</v>
      </c>
      <c r="Z80">
        <v>14</v>
      </c>
      <c r="AA80">
        <v>21.5</v>
      </c>
      <c r="AB80">
        <v>0</v>
      </c>
      <c r="AC80" s="21">
        <v>3</v>
      </c>
      <c r="AD80">
        <v>14</v>
      </c>
      <c r="AE80">
        <f t="shared" ref="AE80" si="19">IF(AD80=8,0.395,IF(AD80=10,0.617,IF(AD80=12,0.888,IF(AD80=14,1.208,IF(AD80=16,1.578)))))</f>
        <v>1.208</v>
      </c>
      <c r="AF80" s="2">
        <f t="shared" ref="AF80" si="20">(AA80+AB80)*AC80</f>
        <v>64.5</v>
      </c>
      <c r="AG80" s="23">
        <f>AE80*AF80</f>
        <v>77.915999999999997</v>
      </c>
    </row>
    <row r="81" spans="2:34" ht="18.75" x14ac:dyDescent="0.3">
      <c r="B81" s="47" t="s">
        <v>114</v>
      </c>
      <c r="C81" s="47"/>
      <c r="D81" s="47"/>
      <c r="Y81" s="7"/>
      <c r="Z81">
        <v>16</v>
      </c>
      <c r="AA81">
        <v>1.8</v>
      </c>
      <c r="AB81">
        <v>0</v>
      </c>
      <c r="AC81" s="21">
        <v>3</v>
      </c>
      <c r="AD81">
        <v>16</v>
      </c>
      <c r="AE81">
        <f t="shared" ref="AE81" si="21">IF(AD81=8,0.395,IF(AD81=10,0.617,IF(AD81=12,0.888,IF(AD81=14,1.208,IF(AD81=16,1.578)))))</f>
        <v>1.5780000000000001</v>
      </c>
      <c r="AF81" s="2">
        <f t="shared" ref="AF81" si="22">(AA81+AB81)*AC81</f>
        <v>5.4</v>
      </c>
      <c r="AG81" s="23">
        <f>AE81*AF81</f>
        <v>8.5212000000000003</v>
      </c>
    </row>
    <row r="82" spans="2:34" x14ac:dyDescent="0.25">
      <c r="Y82" s="7"/>
      <c r="Z82" t="s">
        <v>1</v>
      </c>
      <c r="AA82">
        <v>1.42</v>
      </c>
      <c r="AC82" s="21">
        <f>9+9+9+9+26</f>
        <v>62</v>
      </c>
      <c r="AD82">
        <v>10</v>
      </c>
      <c r="AE82">
        <f t="shared" ref="AE82:AE83" si="23">IF(AD82=8,0.395,IF(AD82=10,0.617,IF(AD82=12,0.888,IF(AD82=14,1.208,IF(AD82=16,1.578)))))</f>
        <v>0.61699999999999999</v>
      </c>
      <c r="AF82" s="2">
        <f t="shared" ref="AF82:AF83" si="24">(AA82+AB82)*AC82</f>
        <v>88.039999999999992</v>
      </c>
      <c r="AG82" s="23">
        <f>AE82*AF82</f>
        <v>54.320679999999996</v>
      </c>
    </row>
    <row r="83" spans="2:34" x14ac:dyDescent="0.25">
      <c r="Y83" s="7"/>
      <c r="Z83" t="s">
        <v>2</v>
      </c>
      <c r="AA83">
        <v>0.94</v>
      </c>
      <c r="AB83">
        <v>0</v>
      </c>
      <c r="AC83" s="21">
        <v>62</v>
      </c>
      <c r="AD83">
        <v>10</v>
      </c>
      <c r="AE83">
        <f t="shared" si="23"/>
        <v>0.61699999999999999</v>
      </c>
      <c r="AF83" s="2">
        <f t="shared" si="24"/>
        <v>58.279999999999994</v>
      </c>
      <c r="AG83" s="23">
        <f>AE83*AF83</f>
        <v>35.958759999999998</v>
      </c>
      <c r="AH83" t="s">
        <v>80</v>
      </c>
    </row>
    <row r="84" spans="2:34" x14ac:dyDescent="0.25">
      <c r="Y84" s="7"/>
      <c r="AG84" s="24">
        <f>SUM(AG80:AG83)</f>
        <v>176.71663999999998</v>
      </c>
      <c r="AH84" s="2">
        <f>AG84</f>
        <v>176.71663999999998</v>
      </c>
    </row>
    <row r="85" spans="2:34" x14ac:dyDescent="0.25">
      <c r="Y85" s="7"/>
      <c r="AG85" s="8"/>
    </row>
    <row r="86" spans="2:34" x14ac:dyDescent="0.25">
      <c r="Y86" s="7" t="s">
        <v>81</v>
      </c>
      <c r="Z86">
        <v>12</v>
      </c>
      <c r="AA86">
        <v>25.85</v>
      </c>
      <c r="AB86">
        <v>0</v>
      </c>
      <c r="AC86" s="21">
        <v>3</v>
      </c>
      <c r="AD86">
        <v>12</v>
      </c>
      <c r="AE86">
        <f t="shared" ref="AE86:AE90" si="25">IF(AD86=8,0.395,IF(AD86=10,0.617,IF(AD86=12,0.888,IF(AD86=14,1.208,IF(AD86=16,1.578)))))</f>
        <v>0.88800000000000001</v>
      </c>
      <c r="AF86" s="2">
        <f t="shared" ref="AF86:AF90" si="26">(AA86+AB86)*AC86</f>
        <v>77.550000000000011</v>
      </c>
      <c r="AG86" s="23">
        <f>AE86*AF86</f>
        <v>68.864400000000018</v>
      </c>
    </row>
    <row r="87" spans="2:34" x14ac:dyDescent="0.25">
      <c r="Y87" s="7"/>
      <c r="Z87">
        <v>14</v>
      </c>
      <c r="AA87">
        <v>15.55</v>
      </c>
      <c r="AB87">
        <v>0</v>
      </c>
      <c r="AC87" s="21">
        <v>3</v>
      </c>
      <c r="AD87">
        <v>14</v>
      </c>
      <c r="AE87">
        <f t="shared" si="25"/>
        <v>1.208</v>
      </c>
      <c r="AF87" s="2">
        <f t="shared" si="26"/>
        <v>46.650000000000006</v>
      </c>
      <c r="AG87" s="23">
        <f>AE87*AF87</f>
        <v>56.353200000000008</v>
      </c>
    </row>
    <row r="88" spans="2:34" x14ac:dyDescent="0.25">
      <c r="Y88" s="7"/>
      <c r="Z88">
        <v>16</v>
      </c>
      <c r="AA88">
        <v>6.85</v>
      </c>
      <c r="AB88">
        <v>0</v>
      </c>
      <c r="AC88" s="21">
        <v>3</v>
      </c>
      <c r="AD88">
        <v>16</v>
      </c>
      <c r="AE88">
        <f t="shared" ref="AE88" si="27">IF(AD88=8,0.395,IF(AD88=10,0.617,IF(AD88=12,0.888,IF(AD88=14,1.208,IF(AD88=16,1.578)))))</f>
        <v>1.5780000000000001</v>
      </c>
      <c r="AF88" s="2">
        <f t="shared" ref="AF88" si="28">(AA88+AB88)*AC88</f>
        <v>20.549999999999997</v>
      </c>
      <c r="AG88" s="23">
        <f>AE88*AF88</f>
        <v>32.427899999999994</v>
      </c>
    </row>
    <row r="89" spans="2:34" x14ac:dyDescent="0.25">
      <c r="Y89" s="7"/>
      <c r="Z89" t="s">
        <v>1</v>
      </c>
      <c r="AA89">
        <v>1.32</v>
      </c>
      <c r="AC89" s="21">
        <v>105</v>
      </c>
      <c r="AD89">
        <v>10</v>
      </c>
      <c r="AE89">
        <f t="shared" si="25"/>
        <v>0.61699999999999999</v>
      </c>
      <c r="AF89" s="2">
        <f t="shared" si="26"/>
        <v>138.6</v>
      </c>
      <c r="AG89" s="23">
        <f>AE89*AF89</f>
        <v>85.516199999999998</v>
      </c>
    </row>
    <row r="90" spans="2:34" x14ac:dyDescent="0.25">
      <c r="Y90" s="7"/>
      <c r="Z90" t="s">
        <v>2</v>
      </c>
      <c r="AA90">
        <v>0.84</v>
      </c>
      <c r="AB90">
        <v>0</v>
      </c>
      <c r="AC90" s="21">
        <v>105</v>
      </c>
      <c r="AD90">
        <v>10</v>
      </c>
      <c r="AE90">
        <f t="shared" si="25"/>
        <v>0.61699999999999999</v>
      </c>
      <c r="AF90" s="2">
        <f t="shared" si="26"/>
        <v>88.2</v>
      </c>
      <c r="AG90" s="23">
        <f>AE90*AF90</f>
        <v>54.419400000000003</v>
      </c>
      <c r="AH90" t="s">
        <v>78</v>
      </c>
    </row>
    <row r="91" spans="2:34" x14ac:dyDescent="0.25">
      <c r="Y91" s="7"/>
      <c r="AG91" s="24">
        <f>SUM(AG86:AG90)</f>
        <v>297.58110000000005</v>
      </c>
      <c r="AH91" s="2">
        <f>AG91*4</f>
        <v>1190.3244000000002</v>
      </c>
    </row>
    <row r="92" spans="2:34" x14ac:dyDescent="0.25">
      <c r="Y92" s="7"/>
      <c r="AG92" s="8"/>
    </row>
    <row r="93" spans="2:34" x14ac:dyDescent="0.25">
      <c r="Y93" s="7" t="s">
        <v>82</v>
      </c>
      <c r="Z93">
        <v>12</v>
      </c>
      <c r="AA93">
        <v>24.85</v>
      </c>
      <c r="AB93">
        <v>0</v>
      </c>
      <c r="AC93" s="21">
        <v>3</v>
      </c>
      <c r="AD93">
        <v>12</v>
      </c>
      <c r="AE93">
        <f t="shared" ref="AE93:AE97" si="29">IF(AD93=8,0.395,IF(AD93=10,0.617,IF(AD93=12,0.888,IF(AD93=14,1.208,IF(AD93=16,1.578)))))</f>
        <v>0.88800000000000001</v>
      </c>
      <c r="AF93" s="2">
        <f t="shared" ref="AF93:AF97" si="30">(AA93+AB93)*AC93</f>
        <v>74.550000000000011</v>
      </c>
      <c r="AG93" s="23">
        <f>AE93*AF93</f>
        <v>66.200400000000016</v>
      </c>
    </row>
    <row r="94" spans="2:34" x14ac:dyDescent="0.25">
      <c r="Y94" s="7"/>
      <c r="Z94">
        <v>14</v>
      </c>
      <c r="AA94">
        <v>15.55</v>
      </c>
      <c r="AB94">
        <v>0</v>
      </c>
      <c r="AC94" s="21">
        <v>3</v>
      </c>
      <c r="AD94">
        <v>14</v>
      </c>
      <c r="AE94">
        <f t="shared" si="29"/>
        <v>1.208</v>
      </c>
      <c r="AF94" s="2">
        <f t="shared" si="30"/>
        <v>46.650000000000006</v>
      </c>
      <c r="AG94" s="23">
        <f>AE94*AF94</f>
        <v>56.353200000000008</v>
      </c>
    </row>
    <row r="95" spans="2:34" x14ac:dyDescent="0.25">
      <c r="Y95" s="7"/>
      <c r="Z95">
        <v>16</v>
      </c>
      <c r="AA95">
        <v>6.45</v>
      </c>
      <c r="AB95">
        <v>0</v>
      </c>
      <c r="AC95" s="21">
        <v>3</v>
      </c>
      <c r="AD95">
        <v>16</v>
      </c>
      <c r="AE95">
        <f t="shared" si="29"/>
        <v>1.5780000000000001</v>
      </c>
      <c r="AF95" s="2">
        <f t="shared" si="30"/>
        <v>19.350000000000001</v>
      </c>
      <c r="AG95" s="23">
        <f>AE95*AF95</f>
        <v>30.534300000000005</v>
      </c>
    </row>
    <row r="96" spans="2:34" x14ac:dyDescent="0.25">
      <c r="Y96" s="7"/>
      <c r="Z96" t="s">
        <v>1</v>
      </c>
      <c r="AA96">
        <v>1.32</v>
      </c>
      <c r="AC96" s="21">
        <v>105</v>
      </c>
      <c r="AD96">
        <v>10</v>
      </c>
      <c r="AE96">
        <f t="shared" si="29"/>
        <v>0.61699999999999999</v>
      </c>
      <c r="AF96" s="2">
        <f t="shared" si="30"/>
        <v>138.6</v>
      </c>
      <c r="AG96" s="23">
        <f>AE96*AF96</f>
        <v>85.516199999999998</v>
      </c>
    </row>
    <row r="97" spans="25:34" x14ac:dyDescent="0.25">
      <c r="Y97" s="7"/>
      <c r="Z97" t="s">
        <v>2</v>
      </c>
      <c r="AA97">
        <v>0.84</v>
      </c>
      <c r="AB97">
        <v>0</v>
      </c>
      <c r="AC97" s="21">
        <v>105</v>
      </c>
      <c r="AD97">
        <v>10</v>
      </c>
      <c r="AE97">
        <f t="shared" si="29"/>
        <v>0.61699999999999999</v>
      </c>
      <c r="AF97" s="2">
        <f t="shared" si="30"/>
        <v>88.2</v>
      </c>
      <c r="AG97" s="23">
        <f>AE97*AF97</f>
        <v>54.419400000000003</v>
      </c>
      <c r="AH97" t="s">
        <v>78</v>
      </c>
    </row>
    <row r="98" spans="25:34" x14ac:dyDescent="0.25">
      <c r="Y98" s="7"/>
      <c r="AG98" s="24">
        <f>SUM(AG93:AG97)</f>
        <v>293.02350000000001</v>
      </c>
      <c r="AH98" s="2">
        <f>AG98*4</f>
        <v>1172.0940000000001</v>
      </c>
    </row>
    <row r="99" spans="25:34" x14ac:dyDescent="0.25">
      <c r="Y99" s="7"/>
      <c r="AG99" s="8"/>
    </row>
    <row r="100" spans="25:34" x14ac:dyDescent="0.25">
      <c r="Y100" s="7" t="s">
        <v>83</v>
      </c>
      <c r="Z100">
        <v>12</v>
      </c>
      <c r="AA100">
        <v>23.65</v>
      </c>
      <c r="AB100">
        <v>0</v>
      </c>
      <c r="AC100" s="21">
        <v>3</v>
      </c>
      <c r="AD100">
        <v>12</v>
      </c>
      <c r="AE100">
        <f t="shared" ref="AE100:AE104" si="31">IF(AD100=8,0.395,IF(AD100=10,0.617,IF(AD100=12,0.888,IF(AD100=14,1.208,IF(AD100=16,1.578)))))</f>
        <v>0.88800000000000001</v>
      </c>
      <c r="AF100" s="2">
        <f t="shared" ref="AF100:AF104" si="32">(AA100+AB100)*AC100</f>
        <v>70.949999999999989</v>
      </c>
      <c r="AG100" s="23">
        <f>AE100*AF100</f>
        <v>63.003599999999992</v>
      </c>
    </row>
    <row r="101" spans="25:34" x14ac:dyDescent="0.25">
      <c r="Y101" s="7"/>
      <c r="Z101">
        <v>14</v>
      </c>
      <c r="AA101">
        <v>14.65</v>
      </c>
      <c r="AB101">
        <v>0</v>
      </c>
      <c r="AC101" s="21">
        <v>3</v>
      </c>
      <c r="AD101">
        <v>14</v>
      </c>
      <c r="AE101">
        <f t="shared" si="31"/>
        <v>1.208</v>
      </c>
      <c r="AF101" s="2">
        <f t="shared" si="32"/>
        <v>43.95</v>
      </c>
      <c r="AG101" s="23">
        <f>AE101*AF101</f>
        <v>53.0916</v>
      </c>
    </row>
    <row r="102" spans="25:34" x14ac:dyDescent="0.25">
      <c r="Y102" s="7"/>
      <c r="AC102" s="21"/>
      <c r="AF102" s="2"/>
      <c r="AG102" s="23"/>
    </row>
    <row r="103" spans="25:34" x14ac:dyDescent="0.25">
      <c r="Y103" s="7"/>
      <c r="Z103" t="s">
        <v>1</v>
      </c>
      <c r="AA103">
        <v>1.32</v>
      </c>
      <c r="AC103" s="21">
        <v>105</v>
      </c>
      <c r="AD103">
        <v>10</v>
      </c>
      <c r="AE103">
        <f t="shared" si="31"/>
        <v>0.61699999999999999</v>
      </c>
      <c r="AF103" s="2">
        <f t="shared" si="32"/>
        <v>138.6</v>
      </c>
      <c r="AG103" s="23">
        <f>AE103*AF103</f>
        <v>85.516199999999998</v>
      </c>
    </row>
    <row r="104" spans="25:34" x14ac:dyDescent="0.25">
      <c r="Y104" s="7"/>
      <c r="Z104" t="s">
        <v>2</v>
      </c>
      <c r="AA104">
        <v>0.84</v>
      </c>
      <c r="AB104">
        <v>0</v>
      </c>
      <c r="AC104" s="21">
        <v>105</v>
      </c>
      <c r="AD104">
        <v>10</v>
      </c>
      <c r="AE104">
        <f t="shared" si="31"/>
        <v>0.61699999999999999</v>
      </c>
      <c r="AF104" s="2">
        <f t="shared" si="32"/>
        <v>88.2</v>
      </c>
      <c r="AG104" s="23">
        <f>AE104*AF104</f>
        <v>54.419400000000003</v>
      </c>
      <c r="AH104" t="s">
        <v>84</v>
      </c>
    </row>
    <row r="105" spans="25:34" x14ac:dyDescent="0.25">
      <c r="Y105" s="7"/>
      <c r="AG105" s="24">
        <f>SUM(AG100:AG104)</f>
        <v>256.0308</v>
      </c>
      <c r="AH105" s="2">
        <f>AG105*3</f>
        <v>768.0924</v>
      </c>
    </row>
    <row r="106" spans="25:34" x14ac:dyDescent="0.25">
      <c r="Y106" s="7"/>
      <c r="AG106" s="8"/>
    </row>
    <row r="107" spans="25:34" x14ac:dyDescent="0.25">
      <c r="Y107" s="7" t="s">
        <v>85</v>
      </c>
      <c r="Z107">
        <v>12</v>
      </c>
      <c r="AA107">
        <v>12</v>
      </c>
      <c r="AB107">
        <v>0</v>
      </c>
      <c r="AC107" s="21">
        <v>3</v>
      </c>
      <c r="AD107">
        <v>12</v>
      </c>
      <c r="AE107">
        <f t="shared" ref="AE107:AE108" si="33">IF(AD107=8,0.395,IF(AD107=10,0.617,IF(AD107=12,0.888,IF(AD107=14,1.208,IF(AD107=16,1.578)))))</f>
        <v>0.88800000000000001</v>
      </c>
      <c r="AF107" s="2">
        <f t="shared" ref="AF107:AF108" si="34">(AA107+AB107)*AC107</f>
        <v>36</v>
      </c>
      <c r="AG107" s="23">
        <f>AE107*AF107</f>
        <v>31.968</v>
      </c>
    </row>
    <row r="108" spans="25:34" x14ac:dyDescent="0.25">
      <c r="Y108" s="7"/>
      <c r="Z108">
        <v>14</v>
      </c>
      <c r="AA108">
        <v>7</v>
      </c>
      <c r="AB108">
        <v>0</v>
      </c>
      <c r="AC108" s="21">
        <v>3</v>
      </c>
      <c r="AD108">
        <v>14</v>
      </c>
      <c r="AE108">
        <f t="shared" si="33"/>
        <v>1.208</v>
      </c>
      <c r="AF108" s="2">
        <f t="shared" si="34"/>
        <v>21</v>
      </c>
      <c r="AG108" s="23">
        <f>AE108*AF108</f>
        <v>25.367999999999999</v>
      </c>
    </row>
    <row r="109" spans="25:34" x14ac:dyDescent="0.25">
      <c r="Y109" s="7"/>
      <c r="AC109" s="21"/>
      <c r="AF109" s="2"/>
      <c r="AG109" s="23"/>
    </row>
    <row r="110" spans="25:34" x14ac:dyDescent="0.25">
      <c r="Y110" s="7"/>
      <c r="Z110" t="s">
        <v>1</v>
      </c>
      <c r="AA110">
        <v>1.32</v>
      </c>
      <c r="AC110" s="21">
        <v>50</v>
      </c>
      <c r="AD110">
        <v>10</v>
      </c>
      <c r="AE110">
        <f t="shared" ref="AE110:AE111" si="35">IF(AD110=8,0.395,IF(AD110=10,0.617,IF(AD110=12,0.888,IF(AD110=14,1.208,IF(AD110=16,1.578)))))</f>
        <v>0.61699999999999999</v>
      </c>
      <c r="AF110" s="2">
        <f t="shared" ref="AF110:AF111" si="36">(AA110+AB110)*AC110</f>
        <v>66</v>
      </c>
      <c r="AG110" s="23">
        <f>AE110*AF110</f>
        <v>40.722000000000001</v>
      </c>
    </row>
    <row r="111" spans="25:34" x14ac:dyDescent="0.25">
      <c r="Y111" s="7"/>
      <c r="Z111" t="s">
        <v>2</v>
      </c>
      <c r="AA111">
        <v>0.84</v>
      </c>
      <c r="AB111">
        <v>0</v>
      </c>
      <c r="AC111" s="21">
        <v>50</v>
      </c>
      <c r="AD111">
        <v>10</v>
      </c>
      <c r="AE111">
        <f t="shared" si="35"/>
        <v>0.61699999999999999</v>
      </c>
      <c r="AF111" s="2">
        <f t="shared" si="36"/>
        <v>42</v>
      </c>
      <c r="AG111" s="23">
        <f>AE111*AF111</f>
        <v>25.914000000000001</v>
      </c>
      <c r="AH111" t="s">
        <v>80</v>
      </c>
    </row>
    <row r="112" spans="25:34" x14ac:dyDescent="0.25">
      <c r="Y112" s="9"/>
      <c r="Z112" s="10"/>
      <c r="AA112" s="10"/>
      <c r="AB112" s="10"/>
      <c r="AC112" s="10"/>
      <c r="AD112" s="10"/>
      <c r="AE112" s="10"/>
      <c r="AF112" s="10"/>
      <c r="AG112" s="25">
        <f>SUM(AG107:AG111)</f>
        <v>123.97199999999999</v>
      </c>
      <c r="AH112" s="2">
        <f>AG112</f>
        <v>123.97199999999999</v>
      </c>
    </row>
    <row r="115" spans="7:33" x14ac:dyDescent="0.25">
      <c r="Y115" t="s">
        <v>87</v>
      </c>
    </row>
    <row r="116" spans="7:33" x14ac:dyDescent="0.25">
      <c r="Y116" s="4"/>
      <c r="Z116" s="5">
        <v>10</v>
      </c>
      <c r="AA116" s="5">
        <v>50</v>
      </c>
      <c r="AB116" s="5">
        <v>0</v>
      </c>
      <c r="AC116" s="18">
        <v>2</v>
      </c>
      <c r="AD116" s="5">
        <v>10</v>
      </c>
      <c r="AE116" s="5">
        <f t="shared" ref="AE116:AE117" si="37">IF(AD116=8,0.395,IF(AD116=10,0.617,IF(AD116=12,0.888,IF(AD116=14,1.208,IF(AD116=16,1.578)))))</f>
        <v>0.61699999999999999</v>
      </c>
      <c r="AF116" s="19">
        <f t="shared" ref="AF116:AF117" si="38">(AA116+AB116)*AC116</f>
        <v>100</v>
      </c>
      <c r="AG116" s="20">
        <f>AE116*AF116</f>
        <v>61.7</v>
      </c>
    </row>
    <row r="117" spans="7:33" x14ac:dyDescent="0.25">
      <c r="Y117" s="9"/>
      <c r="Z117" s="10">
        <v>10</v>
      </c>
      <c r="AA117" s="10">
        <v>1</v>
      </c>
      <c r="AB117" s="10">
        <v>0</v>
      </c>
      <c r="AC117" s="26">
        <f>50/0.2</f>
        <v>250</v>
      </c>
      <c r="AD117" s="10">
        <v>10</v>
      </c>
      <c r="AE117" s="10">
        <f t="shared" si="37"/>
        <v>0.61699999999999999</v>
      </c>
      <c r="AF117" s="27">
        <f t="shared" si="38"/>
        <v>250</v>
      </c>
      <c r="AG117" s="28">
        <f>AE117*AF117</f>
        <v>154.25</v>
      </c>
    </row>
    <row r="118" spans="7:33" x14ac:dyDescent="0.25">
      <c r="AG118" s="33">
        <f>SUM(AG116:AG117)</f>
        <v>215.95</v>
      </c>
    </row>
    <row r="120" spans="7:33" x14ac:dyDescent="0.25">
      <c r="Y120" t="s">
        <v>88</v>
      </c>
    </row>
    <row r="121" spans="7:33" x14ac:dyDescent="0.25">
      <c r="Y121" s="4" t="s">
        <v>64</v>
      </c>
      <c r="Z121" s="5">
        <v>14</v>
      </c>
      <c r="AA121" s="5">
        <v>2</v>
      </c>
      <c r="AB121" s="5">
        <v>57</v>
      </c>
      <c r="AC121" s="5">
        <v>2</v>
      </c>
      <c r="AD121" s="5">
        <v>1</v>
      </c>
      <c r="AE121" s="5">
        <f>AA121*AB121*AC121*AD121</f>
        <v>228</v>
      </c>
      <c r="AF121" s="5">
        <v>1.208</v>
      </c>
      <c r="AG121" s="6">
        <f>AE121*AF121</f>
        <v>275.42399999999998</v>
      </c>
    </row>
    <row r="122" spans="7:33" x14ac:dyDescent="0.25">
      <c r="Y122" s="7" t="s">
        <v>41</v>
      </c>
      <c r="Z122">
        <v>12</v>
      </c>
      <c r="AA122">
        <v>3.5</v>
      </c>
      <c r="AB122">
        <v>5</v>
      </c>
      <c r="AC122">
        <v>2</v>
      </c>
      <c r="AD122">
        <v>1</v>
      </c>
      <c r="AE122">
        <f>AD122*AC122*AB122*AA122</f>
        <v>35</v>
      </c>
      <c r="AF122">
        <v>0.88800000000000001</v>
      </c>
      <c r="AG122" s="8">
        <f t="shared" ref="AG122:AG124" si="39">AE122*AF122</f>
        <v>31.080000000000002</v>
      </c>
    </row>
    <row r="123" spans="7:33" x14ac:dyDescent="0.25">
      <c r="Y123" s="7" t="s">
        <v>42</v>
      </c>
      <c r="Z123">
        <v>12</v>
      </c>
      <c r="AA123">
        <v>2.5</v>
      </c>
      <c r="AB123">
        <v>5</v>
      </c>
      <c r="AC123">
        <v>2</v>
      </c>
      <c r="AD123">
        <v>1</v>
      </c>
      <c r="AE123">
        <f t="shared" ref="AE123:AE124" si="40">AD123*AC123*AB123*AA123</f>
        <v>25</v>
      </c>
      <c r="AF123">
        <v>0.88800000000000001</v>
      </c>
      <c r="AG123" s="8">
        <f t="shared" si="39"/>
        <v>22.2</v>
      </c>
    </row>
    <row r="124" spans="7:33" x14ac:dyDescent="0.25">
      <c r="Y124" s="9" t="s">
        <v>43</v>
      </c>
      <c r="Z124" s="10">
        <v>12</v>
      </c>
      <c r="AA124" s="10">
        <v>2.5</v>
      </c>
      <c r="AB124">
        <v>5</v>
      </c>
      <c r="AC124" s="10">
        <v>2</v>
      </c>
      <c r="AD124" s="10">
        <v>1</v>
      </c>
      <c r="AE124" s="10">
        <f t="shared" si="40"/>
        <v>25</v>
      </c>
      <c r="AF124" s="10">
        <v>0.88800000000000001</v>
      </c>
      <c r="AG124" s="11">
        <f t="shared" si="39"/>
        <v>22.2</v>
      </c>
    </row>
    <row r="125" spans="7:33" x14ac:dyDescent="0.25">
      <c r="AG125" s="32">
        <f>SUM(AG121:AG124)</f>
        <v>350.90399999999994</v>
      </c>
    </row>
    <row r="126" spans="7:33" x14ac:dyDescent="0.25">
      <c r="G126">
        <f xml:space="preserve"> 350+260+AG175</f>
        <v>3033.7544366666675</v>
      </c>
    </row>
    <row r="128" spans="7:33" x14ac:dyDescent="0.25">
      <c r="Y128" s="65" t="s">
        <v>89</v>
      </c>
      <c r="Z128" s="66"/>
      <c r="AA128" s="5"/>
      <c r="AB128" s="5"/>
      <c r="AC128" s="5"/>
      <c r="AD128" s="5"/>
      <c r="AE128" s="5"/>
      <c r="AF128" s="5"/>
      <c r="AG128" s="6"/>
    </row>
    <row r="129" spans="5:33" x14ac:dyDescent="0.25">
      <c r="Y129" s="7" t="s">
        <v>9</v>
      </c>
      <c r="Z129">
        <v>16</v>
      </c>
      <c r="AA129">
        <v>2.1</v>
      </c>
      <c r="AB129">
        <v>8</v>
      </c>
      <c r="AC129">
        <v>9</v>
      </c>
      <c r="AD129">
        <v>1</v>
      </c>
      <c r="AE129">
        <f>AA129*AB129*AC129</f>
        <v>151.20000000000002</v>
      </c>
      <c r="AF129">
        <v>1.5780000000000001</v>
      </c>
      <c r="AG129" s="8">
        <f>AF129*AE129</f>
        <v>238.59360000000004</v>
      </c>
    </row>
    <row r="130" spans="5:33" x14ac:dyDescent="0.25">
      <c r="Y130" s="9" t="s">
        <v>1</v>
      </c>
      <c r="Z130" s="10">
        <v>8</v>
      </c>
      <c r="AA130" s="10">
        <v>2.1</v>
      </c>
      <c r="AB130" s="10">
        <v>3</v>
      </c>
      <c r="AC130" s="10">
        <v>9</v>
      </c>
      <c r="AD130" s="10"/>
      <c r="AE130" s="10">
        <f>AA130*AB130*AC130</f>
        <v>56.7</v>
      </c>
      <c r="AF130" s="10">
        <v>0.39500000000000002</v>
      </c>
      <c r="AG130" s="11">
        <f>AE130*AF130</f>
        <v>22.396500000000003</v>
      </c>
    </row>
    <row r="131" spans="5:33" x14ac:dyDescent="0.25">
      <c r="AG131" s="32">
        <f>SUM(AG129:AG130)</f>
        <v>260.99010000000004</v>
      </c>
    </row>
    <row r="133" spans="5:33" x14ac:dyDescent="0.25">
      <c r="Y133" t="s">
        <v>0</v>
      </c>
    </row>
    <row r="134" spans="5:33" x14ac:dyDescent="0.25">
      <c r="Y134" s="4" t="s">
        <v>90</v>
      </c>
      <c r="Z134" s="5">
        <v>10</v>
      </c>
      <c r="AA134" s="5">
        <v>13</v>
      </c>
      <c r="AB134" s="5">
        <v>0.5</v>
      </c>
      <c r="AC134" s="18">
        <v>4</v>
      </c>
      <c r="AD134" s="5">
        <v>10</v>
      </c>
      <c r="AE134" s="5">
        <f t="shared" ref="AE134:AE139" si="41">IF(AD134=8,0.395,IF(AD134=10,0.617,IF(AD134=12,0.888,IF(AD134=14,1.208,IF(AD134=16,1.578)))))</f>
        <v>0.61699999999999999</v>
      </c>
      <c r="AF134" s="5">
        <f t="shared" ref="AF134:AF139" si="42">(AA134+AB134)*AC134</f>
        <v>54</v>
      </c>
      <c r="AG134" s="29">
        <f>AE134*AF134</f>
        <v>33.317999999999998</v>
      </c>
    </row>
    <row r="135" spans="5:33" x14ac:dyDescent="0.25">
      <c r="Y135" s="7"/>
      <c r="Z135">
        <v>14</v>
      </c>
      <c r="AA135">
        <v>13.8</v>
      </c>
      <c r="AB135">
        <v>0.5</v>
      </c>
      <c r="AC135" s="21">
        <v>6</v>
      </c>
      <c r="AD135">
        <v>14</v>
      </c>
      <c r="AE135">
        <f t="shared" si="41"/>
        <v>1.208</v>
      </c>
      <c r="AF135">
        <f t="shared" si="42"/>
        <v>85.800000000000011</v>
      </c>
      <c r="AG135" s="22">
        <f>AE135*AF135</f>
        <v>103.64640000000001</v>
      </c>
    </row>
    <row r="136" spans="5:33" x14ac:dyDescent="0.25">
      <c r="Y136" s="7"/>
      <c r="Z136">
        <v>16</v>
      </c>
      <c r="AA136">
        <f>(7.4+1.1+4.25+3.5)</f>
        <v>16.25</v>
      </c>
      <c r="AB136">
        <v>0.5</v>
      </c>
      <c r="AC136" s="21">
        <v>3</v>
      </c>
      <c r="AD136">
        <v>16</v>
      </c>
      <c r="AE136">
        <f t="shared" si="41"/>
        <v>1.5780000000000001</v>
      </c>
      <c r="AF136">
        <f t="shared" si="42"/>
        <v>50.25</v>
      </c>
      <c r="AG136" s="22">
        <f>AE136*AF136</f>
        <v>79.294499999999999</v>
      </c>
    </row>
    <row r="137" spans="5:33" x14ac:dyDescent="0.25">
      <c r="E137">
        <f>4+1.1+2.1+3+13.4+13.4+4.25+3.5</f>
        <v>44.75</v>
      </c>
      <c r="Y137" s="7"/>
      <c r="Z137" t="s">
        <v>1</v>
      </c>
      <c r="AA137">
        <v>1.9</v>
      </c>
      <c r="AB137">
        <v>0</v>
      </c>
      <c r="AC137" s="21">
        <f>(34+14+14+7+13)</f>
        <v>82</v>
      </c>
      <c r="AD137">
        <v>10</v>
      </c>
      <c r="AE137">
        <f t="shared" si="41"/>
        <v>0.61699999999999999</v>
      </c>
      <c r="AF137">
        <f t="shared" si="42"/>
        <v>155.79999999999998</v>
      </c>
      <c r="AG137" s="22">
        <f>AE137*AF137</f>
        <v>96.128599999999992</v>
      </c>
    </row>
    <row r="138" spans="5:33" x14ac:dyDescent="0.25">
      <c r="Y138" s="7"/>
      <c r="Z138" t="s">
        <v>2</v>
      </c>
      <c r="AA138">
        <v>1.45</v>
      </c>
      <c r="AB138">
        <v>0</v>
      </c>
      <c r="AC138" s="21">
        <f>(34+14+14+7+13)</f>
        <v>82</v>
      </c>
      <c r="AD138">
        <v>10</v>
      </c>
      <c r="AE138">
        <f t="shared" si="41"/>
        <v>0.61699999999999999</v>
      </c>
      <c r="AF138">
        <f t="shared" si="42"/>
        <v>118.89999999999999</v>
      </c>
      <c r="AG138" s="22">
        <f t="shared" ref="AG138:AG174" si="43">AE138*AF138</f>
        <v>73.3613</v>
      </c>
    </row>
    <row r="139" spans="5:33" x14ac:dyDescent="0.25">
      <c r="Y139" s="7"/>
      <c r="Z139" t="s">
        <v>3</v>
      </c>
      <c r="AA139">
        <v>0.35</v>
      </c>
      <c r="AB139">
        <v>0</v>
      </c>
      <c r="AC139" s="21">
        <v>60</v>
      </c>
      <c r="AD139">
        <v>10</v>
      </c>
      <c r="AE139">
        <f t="shared" si="41"/>
        <v>0.61699999999999999</v>
      </c>
      <c r="AF139">
        <f t="shared" si="42"/>
        <v>21</v>
      </c>
      <c r="AG139" s="22">
        <f t="shared" si="43"/>
        <v>12.957000000000001</v>
      </c>
    </row>
    <row r="140" spans="5:33" x14ac:dyDescent="0.25">
      <c r="Y140" s="7"/>
      <c r="AG140" s="22">
        <f t="shared" si="43"/>
        <v>0</v>
      </c>
    </row>
    <row r="141" spans="5:33" x14ac:dyDescent="0.25">
      <c r="Y141" s="7" t="s">
        <v>91</v>
      </c>
      <c r="Z141">
        <v>10</v>
      </c>
      <c r="AA141">
        <v>13</v>
      </c>
      <c r="AB141">
        <v>0</v>
      </c>
      <c r="AC141" s="21">
        <v>4</v>
      </c>
      <c r="AD141">
        <v>10</v>
      </c>
      <c r="AE141">
        <f t="shared" ref="AE141:AE146" si="44">IF(AD141=8,0.395,IF(AD141=10,0.617,IF(AD141=12,0.888,IF(AD141=14,1.208,IF(AD141=16,1.578)))))</f>
        <v>0.61699999999999999</v>
      </c>
      <c r="AF141">
        <f t="shared" ref="AF141:AF146" si="45">(AA141+AB141)*AC141</f>
        <v>52</v>
      </c>
      <c r="AG141" s="22">
        <f t="shared" si="43"/>
        <v>32.084000000000003</v>
      </c>
    </row>
    <row r="142" spans="5:33" x14ac:dyDescent="0.25">
      <c r="Y142" s="7"/>
      <c r="Z142">
        <v>14</v>
      </c>
      <c r="AA142">
        <v>0</v>
      </c>
      <c r="AB142">
        <v>0</v>
      </c>
      <c r="AC142" s="21">
        <v>0</v>
      </c>
      <c r="AD142">
        <v>14</v>
      </c>
      <c r="AE142">
        <f t="shared" si="44"/>
        <v>1.208</v>
      </c>
      <c r="AF142">
        <f t="shared" si="45"/>
        <v>0</v>
      </c>
      <c r="AG142" s="22">
        <f t="shared" si="43"/>
        <v>0</v>
      </c>
    </row>
    <row r="143" spans="5:33" x14ac:dyDescent="0.25">
      <c r="Y143" s="7"/>
      <c r="Z143">
        <v>16</v>
      </c>
      <c r="AA143">
        <v>44.75</v>
      </c>
      <c r="AB143">
        <v>0.5</v>
      </c>
      <c r="AC143" s="21">
        <v>3</v>
      </c>
      <c r="AD143">
        <v>16</v>
      </c>
      <c r="AE143">
        <f t="shared" si="44"/>
        <v>1.5780000000000001</v>
      </c>
      <c r="AF143">
        <f t="shared" si="45"/>
        <v>135.75</v>
      </c>
      <c r="AG143" s="22">
        <f t="shared" si="43"/>
        <v>214.21350000000001</v>
      </c>
    </row>
    <row r="144" spans="5:33" x14ac:dyDescent="0.25">
      <c r="Y144" s="7"/>
      <c r="Z144" t="s">
        <v>1</v>
      </c>
      <c r="AA144">
        <v>1.9</v>
      </c>
      <c r="AB144">
        <v>0</v>
      </c>
      <c r="AC144" s="21">
        <f>(3.5/0.1)+(1.44/0.1)+(2.5/0.1)+(2/0.15)</f>
        <v>87.733333333333334</v>
      </c>
      <c r="AD144">
        <v>10</v>
      </c>
      <c r="AE144">
        <f t="shared" si="44"/>
        <v>0.61699999999999999</v>
      </c>
      <c r="AF144">
        <f t="shared" si="45"/>
        <v>166.69333333333333</v>
      </c>
      <c r="AG144" s="22">
        <f t="shared" si="43"/>
        <v>102.84978666666666</v>
      </c>
    </row>
    <row r="145" spans="25:33" x14ac:dyDescent="0.25">
      <c r="Y145" s="7"/>
      <c r="Z145" t="s">
        <v>2</v>
      </c>
      <c r="AA145">
        <v>1.45</v>
      </c>
      <c r="AB145">
        <v>0</v>
      </c>
      <c r="AC145" s="21">
        <f>(34+14+14+7+13)</f>
        <v>82</v>
      </c>
      <c r="AD145">
        <v>10</v>
      </c>
      <c r="AE145">
        <f t="shared" si="44"/>
        <v>0.61699999999999999</v>
      </c>
      <c r="AF145">
        <f t="shared" si="45"/>
        <v>118.89999999999999</v>
      </c>
      <c r="AG145" s="22">
        <f t="shared" si="43"/>
        <v>73.3613</v>
      </c>
    </row>
    <row r="146" spans="25:33" x14ac:dyDescent="0.25">
      <c r="Y146" s="7"/>
      <c r="Z146" t="s">
        <v>3</v>
      </c>
      <c r="AA146">
        <v>0.35</v>
      </c>
      <c r="AB146">
        <v>0</v>
      </c>
      <c r="AC146" s="21">
        <v>60</v>
      </c>
      <c r="AD146">
        <v>10</v>
      </c>
      <c r="AE146">
        <f t="shared" si="44"/>
        <v>0.61699999999999999</v>
      </c>
      <c r="AF146">
        <f t="shared" si="45"/>
        <v>21</v>
      </c>
      <c r="AG146" s="22">
        <f t="shared" si="43"/>
        <v>12.957000000000001</v>
      </c>
    </row>
    <row r="147" spans="25:33" x14ac:dyDescent="0.25">
      <c r="Y147" s="7"/>
      <c r="AG147" s="22">
        <f t="shared" si="43"/>
        <v>0</v>
      </c>
    </row>
    <row r="148" spans="25:33" x14ac:dyDescent="0.25">
      <c r="Y148" s="7" t="s">
        <v>92</v>
      </c>
      <c r="Z148">
        <v>10</v>
      </c>
      <c r="AA148">
        <v>13</v>
      </c>
      <c r="AB148">
        <v>0.5</v>
      </c>
      <c r="AC148" s="21">
        <v>4</v>
      </c>
      <c r="AD148">
        <v>10</v>
      </c>
      <c r="AE148">
        <f t="shared" ref="AE148:AE153" si="46">IF(AD148=8,0.395,IF(AD148=10,0.617,IF(AD148=12,0.888,IF(AD148=14,1.208,IF(AD148=16,1.578)))))</f>
        <v>0.61699999999999999</v>
      </c>
      <c r="AF148">
        <f t="shared" ref="AF148:AF153" si="47">(AA148+AB148)*AC148</f>
        <v>54</v>
      </c>
      <c r="AG148" s="22">
        <f t="shared" si="43"/>
        <v>33.317999999999998</v>
      </c>
    </row>
    <row r="149" spans="25:33" x14ac:dyDescent="0.25">
      <c r="Y149" s="7"/>
      <c r="Z149">
        <v>14</v>
      </c>
      <c r="AC149" s="21">
        <v>6</v>
      </c>
      <c r="AD149">
        <v>14</v>
      </c>
      <c r="AE149">
        <f t="shared" si="46"/>
        <v>1.208</v>
      </c>
      <c r="AF149">
        <f t="shared" si="47"/>
        <v>0</v>
      </c>
      <c r="AG149" s="22">
        <f t="shared" si="43"/>
        <v>0</v>
      </c>
    </row>
    <row r="150" spans="25:33" x14ac:dyDescent="0.25">
      <c r="Y150" s="7"/>
      <c r="Z150">
        <v>16</v>
      </c>
      <c r="AA150">
        <v>44.2</v>
      </c>
      <c r="AB150">
        <v>0.5</v>
      </c>
      <c r="AC150" s="21">
        <v>3</v>
      </c>
      <c r="AD150">
        <v>16</v>
      </c>
      <c r="AE150">
        <f t="shared" si="46"/>
        <v>1.5780000000000001</v>
      </c>
      <c r="AF150">
        <f t="shared" si="47"/>
        <v>134.10000000000002</v>
      </c>
      <c r="AG150" s="22">
        <f t="shared" si="43"/>
        <v>211.60980000000004</v>
      </c>
    </row>
    <row r="151" spans="25:33" x14ac:dyDescent="0.25">
      <c r="Y151" s="7"/>
      <c r="Z151" t="s">
        <v>1</v>
      </c>
      <c r="AA151">
        <v>1.9</v>
      </c>
      <c r="AB151">
        <v>0</v>
      </c>
      <c r="AC151" s="21">
        <f>(34+14+14+7+13)</f>
        <v>82</v>
      </c>
      <c r="AD151">
        <v>10</v>
      </c>
      <c r="AE151">
        <f t="shared" si="46"/>
        <v>0.61699999999999999</v>
      </c>
      <c r="AF151">
        <f t="shared" si="47"/>
        <v>155.79999999999998</v>
      </c>
      <c r="AG151" s="22">
        <f t="shared" si="43"/>
        <v>96.128599999999992</v>
      </c>
    </row>
    <row r="152" spans="25:33" x14ac:dyDescent="0.25">
      <c r="Y152" s="7"/>
      <c r="Z152" t="s">
        <v>2</v>
      </c>
      <c r="AA152">
        <v>1.45</v>
      </c>
      <c r="AB152">
        <v>0</v>
      </c>
      <c r="AC152" s="21">
        <f>(34+14+14+7+13)</f>
        <v>82</v>
      </c>
      <c r="AD152">
        <v>10</v>
      </c>
      <c r="AE152">
        <f t="shared" si="46"/>
        <v>0.61699999999999999</v>
      </c>
      <c r="AF152">
        <f t="shared" si="47"/>
        <v>118.89999999999999</v>
      </c>
      <c r="AG152" s="22">
        <f t="shared" si="43"/>
        <v>73.3613</v>
      </c>
    </row>
    <row r="153" spans="25:33" x14ac:dyDescent="0.25">
      <c r="Y153" s="7"/>
      <c r="Z153" t="s">
        <v>3</v>
      </c>
      <c r="AA153">
        <v>0.35</v>
      </c>
      <c r="AB153">
        <v>0</v>
      </c>
      <c r="AC153" s="21">
        <v>60</v>
      </c>
      <c r="AD153">
        <v>10</v>
      </c>
      <c r="AE153">
        <f t="shared" si="46"/>
        <v>0.61699999999999999</v>
      </c>
      <c r="AF153">
        <f t="shared" si="47"/>
        <v>21</v>
      </c>
      <c r="AG153" s="22">
        <f t="shared" si="43"/>
        <v>12.957000000000001</v>
      </c>
    </row>
    <row r="154" spans="25:33" x14ac:dyDescent="0.25">
      <c r="Y154" s="7"/>
      <c r="AG154" s="22">
        <f t="shared" si="43"/>
        <v>0</v>
      </c>
    </row>
    <row r="155" spans="25:33" x14ac:dyDescent="0.25">
      <c r="Y155" s="7" t="s">
        <v>4</v>
      </c>
      <c r="Z155">
        <v>10</v>
      </c>
      <c r="AA155">
        <v>11.3</v>
      </c>
      <c r="AB155">
        <v>0</v>
      </c>
      <c r="AC155" s="21">
        <v>4</v>
      </c>
      <c r="AD155">
        <v>10</v>
      </c>
      <c r="AE155">
        <f t="shared" ref="AE155:AE160" si="48">IF(AD155=8,0.395,IF(AD155=10,0.617,IF(AD155=12,0.888,IF(AD155=14,1.208,IF(AD155=16,1.578)))))</f>
        <v>0.61699999999999999</v>
      </c>
      <c r="AF155">
        <f t="shared" ref="AF155:AF160" si="49">(AA155+AB155)*AC155</f>
        <v>45.2</v>
      </c>
      <c r="AG155" s="22">
        <f t="shared" si="43"/>
        <v>27.888400000000001</v>
      </c>
    </row>
    <row r="156" spans="25:33" x14ac:dyDescent="0.25">
      <c r="Y156" s="7"/>
      <c r="Z156">
        <v>14</v>
      </c>
      <c r="AA156">
        <v>11.8</v>
      </c>
      <c r="AB156">
        <v>0</v>
      </c>
      <c r="AC156" s="21">
        <v>6</v>
      </c>
      <c r="AD156">
        <v>14</v>
      </c>
      <c r="AE156">
        <f t="shared" si="48"/>
        <v>1.208</v>
      </c>
      <c r="AF156">
        <f t="shared" si="49"/>
        <v>70.800000000000011</v>
      </c>
      <c r="AG156" s="22">
        <f t="shared" si="43"/>
        <v>85.52640000000001</v>
      </c>
    </row>
    <row r="157" spans="25:33" x14ac:dyDescent="0.25">
      <c r="Y157" s="7"/>
      <c r="Z157">
        <v>16</v>
      </c>
      <c r="AA157">
        <f>(2+4+3+4.25+2)</f>
        <v>15.25</v>
      </c>
      <c r="AC157" s="21">
        <v>3</v>
      </c>
      <c r="AD157">
        <v>16</v>
      </c>
      <c r="AE157">
        <f t="shared" si="48"/>
        <v>1.5780000000000001</v>
      </c>
      <c r="AF157">
        <f t="shared" si="49"/>
        <v>45.75</v>
      </c>
      <c r="AG157" s="22">
        <f t="shared" si="43"/>
        <v>72.1935</v>
      </c>
    </row>
    <row r="158" spans="25:33" x14ac:dyDescent="0.25">
      <c r="Y158" s="7"/>
      <c r="Z158" t="s">
        <v>1</v>
      </c>
      <c r="AA158">
        <v>1.9</v>
      </c>
      <c r="AB158">
        <v>0</v>
      </c>
      <c r="AC158" s="21">
        <f>(60+(1.85+1.9)/0.15)</f>
        <v>85</v>
      </c>
      <c r="AD158">
        <v>10</v>
      </c>
      <c r="AE158">
        <f t="shared" si="48"/>
        <v>0.61699999999999999</v>
      </c>
      <c r="AF158">
        <f t="shared" si="49"/>
        <v>161.5</v>
      </c>
      <c r="AG158" s="22">
        <f t="shared" si="43"/>
        <v>99.645499999999998</v>
      </c>
    </row>
    <row r="159" spans="25:33" x14ac:dyDescent="0.25">
      <c r="Y159" s="7"/>
      <c r="Z159" t="s">
        <v>2</v>
      </c>
      <c r="AA159">
        <v>1.45</v>
      </c>
      <c r="AB159">
        <v>0</v>
      </c>
      <c r="AC159" s="21">
        <v>85</v>
      </c>
      <c r="AD159">
        <v>10</v>
      </c>
      <c r="AE159">
        <f t="shared" si="48"/>
        <v>0.61699999999999999</v>
      </c>
      <c r="AF159">
        <f t="shared" si="49"/>
        <v>123.25</v>
      </c>
      <c r="AG159" s="22">
        <f t="shared" si="43"/>
        <v>76.045249999999996</v>
      </c>
    </row>
    <row r="160" spans="25:33" x14ac:dyDescent="0.25">
      <c r="Y160" s="7"/>
      <c r="Z160" t="s">
        <v>3</v>
      </c>
      <c r="AA160">
        <v>0.35</v>
      </c>
      <c r="AB160">
        <v>0</v>
      </c>
      <c r="AC160" s="21">
        <v>60</v>
      </c>
      <c r="AD160">
        <v>10</v>
      </c>
      <c r="AE160">
        <f t="shared" si="48"/>
        <v>0.61699999999999999</v>
      </c>
      <c r="AF160">
        <f t="shared" si="49"/>
        <v>21</v>
      </c>
      <c r="AG160" s="22">
        <f t="shared" si="43"/>
        <v>12.957000000000001</v>
      </c>
    </row>
    <row r="161" spans="25:33" x14ac:dyDescent="0.25">
      <c r="Y161" s="7"/>
      <c r="AG161" s="22">
        <f t="shared" si="43"/>
        <v>0</v>
      </c>
    </row>
    <row r="162" spans="25:33" x14ac:dyDescent="0.25">
      <c r="Y162" s="7" t="s">
        <v>6</v>
      </c>
      <c r="Z162">
        <v>10</v>
      </c>
      <c r="AA162">
        <v>11.3</v>
      </c>
      <c r="AB162">
        <v>0</v>
      </c>
      <c r="AC162" s="21">
        <v>4</v>
      </c>
      <c r="AD162">
        <v>10</v>
      </c>
      <c r="AE162">
        <f t="shared" ref="AE162:AE167" si="50">IF(AD162=8,0.395,IF(AD162=10,0.617,IF(AD162=12,0.888,IF(AD162=14,1.208,IF(AD162=16,1.578)))))</f>
        <v>0.61699999999999999</v>
      </c>
      <c r="AF162">
        <f t="shared" ref="AF162:AF167" si="51">(AA162+AB162)*AC162</f>
        <v>45.2</v>
      </c>
      <c r="AG162" s="22">
        <f t="shared" si="43"/>
        <v>27.888400000000001</v>
      </c>
    </row>
    <row r="163" spans="25:33" x14ac:dyDescent="0.25">
      <c r="Y163" s="7"/>
      <c r="Z163">
        <v>14</v>
      </c>
      <c r="AA163">
        <v>11.8</v>
      </c>
      <c r="AB163">
        <v>0</v>
      </c>
      <c r="AC163" s="21">
        <v>6</v>
      </c>
      <c r="AD163">
        <v>14</v>
      </c>
      <c r="AE163">
        <f t="shared" si="50"/>
        <v>1.208</v>
      </c>
      <c r="AF163">
        <f t="shared" si="51"/>
        <v>70.800000000000011</v>
      </c>
      <c r="AG163" s="22">
        <f t="shared" si="43"/>
        <v>85.52640000000001</v>
      </c>
    </row>
    <row r="164" spans="25:33" x14ac:dyDescent="0.25">
      <c r="Y164" s="7"/>
      <c r="Z164">
        <v>16</v>
      </c>
      <c r="AA164">
        <f>(2+4+3+4.25+2)</f>
        <v>15.25</v>
      </c>
      <c r="AC164" s="21">
        <v>3</v>
      </c>
      <c r="AD164">
        <v>16</v>
      </c>
      <c r="AE164">
        <f t="shared" si="50"/>
        <v>1.5780000000000001</v>
      </c>
      <c r="AF164">
        <f t="shared" si="51"/>
        <v>45.75</v>
      </c>
      <c r="AG164" s="22">
        <f t="shared" si="43"/>
        <v>72.1935</v>
      </c>
    </row>
    <row r="165" spans="25:33" x14ac:dyDescent="0.25">
      <c r="Y165" s="7"/>
      <c r="Z165" t="s">
        <v>1</v>
      </c>
      <c r="AA165">
        <v>1.9</v>
      </c>
      <c r="AB165">
        <v>0</v>
      </c>
      <c r="AC165" s="21">
        <f>(60+(1.85+1.9)/0.15)</f>
        <v>85</v>
      </c>
      <c r="AD165">
        <v>10</v>
      </c>
      <c r="AE165">
        <f t="shared" si="50"/>
        <v>0.61699999999999999</v>
      </c>
      <c r="AF165">
        <f t="shared" si="51"/>
        <v>161.5</v>
      </c>
      <c r="AG165" s="22">
        <f t="shared" si="43"/>
        <v>99.645499999999998</v>
      </c>
    </row>
    <row r="166" spans="25:33" x14ac:dyDescent="0.25">
      <c r="Y166" s="7"/>
      <c r="Z166" t="s">
        <v>2</v>
      </c>
      <c r="AA166">
        <v>1.45</v>
      </c>
      <c r="AB166">
        <v>0</v>
      </c>
      <c r="AC166" s="21">
        <v>85</v>
      </c>
      <c r="AD166">
        <v>10</v>
      </c>
      <c r="AE166">
        <f t="shared" si="50"/>
        <v>0.61699999999999999</v>
      </c>
      <c r="AF166">
        <f t="shared" si="51"/>
        <v>123.25</v>
      </c>
      <c r="AG166" s="22">
        <f t="shared" si="43"/>
        <v>76.045249999999996</v>
      </c>
    </row>
    <row r="167" spans="25:33" x14ac:dyDescent="0.25">
      <c r="Y167" s="7"/>
      <c r="Z167" t="s">
        <v>3</v>
      </c>
      <c r="AA167">
        <v>0.35</v>
      </c>
      <c r="AB167">
        <v>0</v>
      </c>
      <c r="AC167" s="21">
        <v>60</v>
      </c>
      <c r="AD167">
        <v>10</v>
      </c>
      <c r="AE167">
        <f t="shared" si="50"/>
        <v>0.61699999999999999</v>
      </c>
      <c r="AF167">
        <f t="shared" si="51"/>
        <v>21</v>
      </c>
      <c r="AG167" s="22">
        <f t="shared" si="43"/>
        <v>12.957000000000001</v>
      </c>
    </row>
    <row r="168" spans="25:33" x14ac:dyDescent="0.25">
      <c r="Y168" s="7"/>
      <c r="AG168" s="22">
        <f t="shared" si="43"/>
        <v>0</v>
      </c>
    </row>
    <row r="169" spans="25:33" x14ac:dyDescent="0.25">
      <c r="Y169" s="7" t="s">
        <v>5</v>
      </c>
      <c r="Z169">
        <v>10</v>
      </c>
      <c r="AA169">
        <v>11.3</v>
      </c>
      <c r="AB169">
        <v>0</v>
      </c>
      <c r="AC169" s="21">
        <v>4</v>
      </c>
      <c r="AD169">
        <v>10</v>
      </c>
      <c r="AE169">
        <f t="shared" ref="AE169:AE174" si="52">IF(AD169=8,0.395,IF(AD169=10,0.617,IF(AD169=12,0.888,IF(AD169=14,1.208,IF(AD169=16,1.578)))))</f>
        <v>0.61699999999999999</v>
      </c>
      <c r="AF169">
        <f t="shared" ref="AF169:AF174" si="53">(AA169+AB169)*AC169</f>
        <v>45.2</v>
      </c>
      <c r="AG169" s="22">
        <f t="shared" si="43"/>
        <v>27.888400000000001</v>
      </c>
    </row>
    <row r="170" spans="25:33" x14ac:dyDescent="0.25">
      <c r="Y170" s="7"/>
      <c r="Z170">
        <v>14</v>
      </c>
      <c r="AC170" s="21"/>
      <c r="AD170">
        <v>14</v>
      </c>
      <c r="AE170">
        <f t="shared" si="52"/>
        <v>1.208</v>
      </c>
      <c r="AF170">
        <f t="shared" si="53"/>
        <v>0</v>
      </c>
      <c r="AG170" s="22">
        <f t="shared" si="43"/>
        <v>0</v>
      </c>
    </row>
    <row r="171" spans="25:33" x14ac:dyDescent="0.25">
      <c r="Y171" s="7"/>
      <c r="Z171">
        <v>16</v>
      </c>
      <c r="AA171">
        <f>11.8+11.8+3.5+2.3+3+4.25+2</f>
        <v>38.650000000000006</v>
      </c>
      <c r="AC171" s="21">
        <v>3</v>
      </c>
      <c r="AD171">
        <v>16</v>
      </c>
      <c r="AE171">
        <f t="shared" si="52"/>
        <v>1.5780000000000001</v>
      </c>
      <c r="AF171">
        <f t="shared" si="53"/>
        <v>115.95000000000002</v>
      </c>
      <c r="AG171" s="22">
        <f t="shared" si="43"/>
        <v>182.96910000000003</v>
      </c>
    </row>
    <row r="172" spans="25:33" x14ac:dyDescent="0.25">
      <c r="Y172" s="7"/>
      <c r="Z172" t="s">
        <v>1</v>
      </c>
      <c r="AA172">
        <v>2.1</v>
      </c>
      <c r="AB172">
        <v>0</v>
      </c>
      <c r="AC172" s="21">
        <f>(60+(1.85+1.9)/0.15)</f>
        <v>85</v>
      </c>
      <c r="AD172">
        <v>10</v>
      </c>
      <c r="AE172">
        <f t="shared" si="52"/>
        <v>0.61699999999999999</v>
      </c>
      <c r="AF172">
        <f t="shared" si="53"/>
        <v>178.5</v>
      </c>
      <c r="AG172" s="22">
        <f t="shared" si="43"/>
        <v>110.1345</v>
      </c>
    </row>
    <row r="173" spans="25:33" x14ac:dyDescent="0.25">
      <c r="Y173" s="7"/>
      <c r="Z173" t="s">
        <v>2</v>
      </c>
      <c r="AA173">
        <v>1.45</v>
      </c>
      <c r="AB173">
        <v>0</v>
      </c>
      <c r="AC173" s="21">
        <v>85</v>
      </c>
      <c r="AD173">
        <v>10</v>
      </c>
      <c r="AE173">
        <f t="shared" si="52"/>
        <v>0.61699999999999999</v>
      </c>
      <c r="AF173">
        <f t="shared" si="53"/>
        <v>123.25</v>
      </c>
      <c r="AG173" s="22">
        <f t="shared" si="43"/>
        <v>76.045249999999996</v>
      </c>
    </row>
    <row r="174" spans="25:33" x14ac:dyDescent="0.25">
      <c r="Y174" s="9"/>
      <c r="Z174" s="10" t="s">
        <v>3</v>
      </c>
      <c r="AA174" s="10">
        <v>0.45</v>
      </c>
      <c r="AB174" s="10">
        <v>0</v>
      </c>
      <c r="AC174" s="26">
        <v>60</v>
      </c>
      <c r="AD174" s="10">
        <v>10</v>
      </c>
      <c r="AE174" s="10">
        <f t="shared" si="52"/>
        <v>0.61699999999999999</v>
      </c>
      <c r="AF174" s="10">
        <f t="shared" si="53"/>
        <v>27</v>
      </c>
      <c r="AG174" s="30">
        <f t="shared" si="43"/>
        <v>16.658999999999999</v>
      </c>
    </row>
    <row r="175" spans="25:33" x14ac:dyDescent="0.25">
      <c r="AG175" s="31">
        <f>SUM(AG134:AG174)</f>
        <v>2423.7544366666675</v>
      </c>
    </row>
  </sheetData>
  <mergeCells count="7">
    <mergeCell ref="B1:F1"/>
    <mergeCell ref="B42:F42"/>
    <mergeCell ref="Y128:Z128"/>
    <mergeCell ref="AF8:AF9"/>
    <mergeCell ref="AF6:AF7"/>
    <mergeCell ref="AE8:AE9"/>
    <mergeCell ref="AE6:AE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3DE6-87A7-4D10-B219-778617E9BDF2}">
  <dimension ref="E3:J19"/>
  <sheetViews>
    <sheetView topLeftCell="A13" workbookViewId="0">
      <selection activeCell="F14" sqref="F14"/>
    </sheetView>
  </sheetViews>
  <sheetFormatPr baseColWidth="10" defaultRowHeight="15" x14ac:dyDescent="0.25"/>
  <cols>
    <col min="5" max="5" width="12.7109375" customWidth="1"/>
    <col min="6" max="6" width="42.28515625" customWidth="1"/>
    <col min="7" max="7" width="16.42578125" customWidth="1"/>
    <col min="10" max="10" width="17.5703125" customWidth="1"/>
  </cols>
  <sheetData>
    <row r="3" spans="5:10" ht="15.75" x14ac:dyDescent="0.25">
      <c r="E3" s="39" t="s">
        <v>17</v>
      </c>
      <c r="F3" s="39" t="s">
        <v>18</v>
      </c>
      <c r="G3" s="39" t="s">
        <v>19</v>
      </c>
      <c r="H3" s="39" t="s">
        <v>20</v>
      </c>
      <c r="I3" s="39" t="s">
        <v>21</v>
      </c>
      <c r="J3" s="39" t="s">
        <v>22</v>
      </c>
    </row>
    <row r="4" spans="5:10" ht="15.75" x14ac:dyDescent="0.25">
      <c r="E4" s="39">
        <v>1</v>
      </c>
      <c r="F4" s="39" t="s">
        <v>23</v>
      </c>
      <c r="G4" s="39" t="s">
        <v>14</v>
      </c>
      <c r="H4" s="39">
        <v>14</v>
      </c>
      <c r="I4" s="40">
        <v>2500</v>
      </c>
      <c r="J4" s="41">
        <f>H4*I4</f>
        <v>35000</v>
      </c>
    </row>
    <row r="5" spans="5:10" ht="15.75" x14ac:dyDescent="0.25">
      <c r="E5" s="39">
        <v>2</v>
      </c>
      <c r="F5" s="39" t="s">
        <v>97</v>
      </c>
      <c r="G5" s="39" t="s">
        <v>14</v>
      </c>
      <c r="H5" s="39">
        <f>38.736-10</f>
        <v>28.735999999999997</v>
      </c>
      <c r="I5" s="40">
        <v>12000</v>
      </c>
      <c r="J5" s="41">
        <f t="shared" ref="J5:J17" si="0">H5*I5</f>
        <v>344831.99999999994</v>
      </c>
    </row>
    <row r="6" spans="5:10" ht="94.5" x14ac:dyDescent="0.25">
      <c r="E6" s="39">
        <v>3</v>
      </c>
      <c r="F6" s="42" t="s">
        <v>98</v>
      </c>
      <c r="G6" s="39" t="s">
        <v>14</v>
      </c>
      <c r="H6" s="39">
        <v>28.0717</v>
      </c>
      <c r="I6" s="40">
        <v>12000</v>
      </c>
      <c r="J6" s="41">
        <f t="shared" si="0"/>
        <v>336860.4</v>
      </c>
    </row>
    <row r="7" spans="5:10" ht="63" x14ac:dyDescent="0.25">
      <c r="E7" s="39">
        <v>4</v>
      </c>
      <c r="F7" s="42" t="s">
        <v>99</v>
      </c>
      <c r="G7" s="39" t="s">
        <v>14</v>
      </c>
      <c r="H7" s="39">
        <v>19.5</v>
      </c>
      <c r="I7" s="40">
        <v>13000</v>
      </c>
      <c r="J7" s="41">
        <f t="shared" si="0"/>
        <v>253500</v>
      </c>
    </row>
    <row r="8" spans="5:10" ht="63" x14ac:dyDescent="0.25">
      <c r="E8" s="39">
        <v>5</v>
      </c>
      <c r="F8" s="42" t="s">
        <v>100</v>
      </c>
      <c r="G8" s="39" t="s">
        <v>14</v>
      </c>
      <c r="H8" s="39">
        <v>11.72</v>
      </c>
      <c r="I8" s="40">
        <v>13000</v>
      </c>
      <c r="J8" s="41">
        <f t="shared" si="0"/>
        <v>152360</v>
      </c>
    </row>
    <row r="9" spans="5:10" ht="15.75" x14ac:dyDescent="0.25">
      <c r="E9" s="39">
        <v>6</v>
      </c>
      <c r="F9" s="39" t="s">
        <v>24</v>
      </c>
      <c r="G9" s="39" t="s">
        <v>29</v>
      </c>
      <c r="H9" s="39">
        <v>110</v>
      </c>
      <c r="I9" s="40">
        <v>2400</v>
      </c>
      <c r="J9" s="41">
        <f t="shared" si="0"/>
        <v>264000</v>
      </c>
    </row>
    <row r="10" spans="5:10" ht="15.75" x14ac:dyDescent="0.25">
      <c r="E10" s="39">
        <v>7</v>
      </c>
      <c r="F10" s="39" t="s">
        <v>101</v>
      </c>
      <c r="G10" s="39" t="s">
        <v>14</v>
      </c>
      <c r="H10" s="39">
        <v>24</v>
      </c>
      <c r="I10" s="40">
        <v>3000</v>
      </c>
      <c r="J10" s="41">
        <f t="shared" si="0"/>
        <v>72000</v>
      </c>
    </row>
    <row r="11" spans="5:10" ht="15.75" x14ac:dyDescent="0.25">
      <c r="E11" s="39"/>
      <c r="F11" s="39"/>
      <c r="G11" s="39"/>
      <c r="H11" s="39"/>
      <c r="I11" s="40"/>
      <c r="J11" s="41"/>
    </row>
    <row r="12" spans="5:10" ht="15.75" x14ac:dyDescent="0.25">
      <c r="E12" s="39">
        <v>9</v>
      </c>
      <c r="F12" s="39" t="s">
        <v>103</v>
      </c>
      <c r="G12" s="39" t="s">
        <v>14</v>
      </c>
      <c r="H12" s="39">
        <v>50</v>
      </c>
      <c r="I12" s="40">
        <v>3000</v>
      </c>
      <c r="J12" s="41">
        <f t="shared" si="0"/>
        <v>150000</v>
      </c>
    </row>
    <row r="13" spans="5:10" ht="15.75" x14ac:dyDescent="0.25">
      <c r="E13" s="39">
        <v>10</v>
      </c>
      <c r="F13" s="39" t="s">
        <v>104</v>
      </c>
      <c r="G13" s="39" t="s">
        <v>29</v>
      </c>
      <c r="H13" s="39">
        <v>470</v>
      </c>
      <c r="I13" s="40">
        <v>3000</v>
      </c>
      <c r="J13" s="41">
        <f t="shared" si="0"/>
        <v>1410000</v>
      </c>
    </row>
    <row r="14" spans="5:10" ht="15.75" x14ac:dyDescent="0.25">
      <c r="E14" s="39">
        <v>11</v>
      </c>
      <c r="F14" s="42" t="s">
        <v>105</v>
      </c>
      <c r="G14" s="39" t="s">
        <v>14</v>
      </c>
      <c r="H14" s="39">
        <v>12.27</v>
      </c>
      <c r="I14" s="40">
        <v>16000</v>
      </c>
      <c r="J14" s="41">
        <f t="shared" si="0"/>
        <v>196320</v>
      </c>
    </row>
    <row r="15" spans="5:10" ht="15.75" x14ac:dyDescent="0.25">
      <c r="E15" s="39">
        <v>12</v>
      </c>
      <c r="F15" s="39" t="s">
        <v>30</v>
      </c>
      <c r="G15" s="39" t="s">
        <v>29</v>
      </c>
      <c r="H15" s="39">
        <v>116</v>
      </c>
      <c r="I15" s="40">
        <v>2400</v>
      </c>
      <c r="J15" s="41">
        <f t="shared" si="0"/>
        <v>278400</v>
      </c>
    </row>
    <row r="16" spans="5:10" ht="31.5" x14ac:dyDescent="0.25">
      <c r="E16" s="39">
        <v>13</v>
      </c>
      <c r="F16" s="42" t="s">
        <v>106</v>
      </c>
      <c r="G16" s="39" t="s">
        <v>14</v>
      </c>
      <c r="H16" s="39">
        <v>7</v>
      </c>
      <c r="I16" s="40">
        <v>13000</v>
      </c>
      <c r="J16" s="41">
        <f t="shared" si="0"/>
        <v>91000</v>
      </c>
    </row>
    <row r="17" spans="5:10" ht="15.75" x14ac:dyDescent="0.25">
      <c r="E17" s="39">
        <v>14</v>
      </c>
      <c r="F17" s="39" t="s">
        <v>107</v>
      </c>
      <c r="G17" s="39" t="s">
        <v>14</v>
      </c>
      <c r="H17" s="39">
        <v>27</v>
      </c>
      <c r="I17" s="40">
        <v>13000</v>
      </c>
      <c r="J17" s="41">
        <f t="shared" si="0"/>
        <v>351000</v>
      </c>
    </row>
    <row r="18" spans="5:10" ht="15.75" x14ac:dyDescent="0.25">
      <c r="E18" s="39">
        <v>15</v>
      </c>
      <c r="F18" s="39"/>
      <c r="G18" s="39"/>
      <c r="H18" s="39"/>
      <c r="I18" s="40"/>
      <c r="J18" s="41">
        <f>SUM(J4:J17)</f>
        <v>3935272.4</v>
      </c>
    </row>
    <row r="19" spans="5:10" ht="15.75" x14ac:dyDescent="0.25">
      <c r="E19" s="38"/>
      <c r="F19" s="38"/>
      <c r="G19" s="38"/>
      <c r="H19" s="38"/>
      <c r="I19" s="45" t="s">
        <v>108</v>
      </c>
      <c r="J19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F7B5-8CFD-4998-B15F-F444C93B4DD0}">
  <dimension ref="D4:V71"/>
  <sheetViews>
    <sheetView tabSelected="1" topLeftCell="F52" workbookViewId="0">
      <selection activeCell="O70" sqref="O70"/>
    </sheetView>
  </sheetViews>
  <sheetFormatPr baseColWidth="10" defaultRowHeight="15" x14ac:dyDescent="0.25"/>
  <cols>
    <col min="4" max="5" width="29.5703125" customWidth="1"/>
    <col min="6" max="6" width="17.28515625" customWidth="1"/>
    <col min="7" max="7" width="7.7109375" hidden="1" customWidth="1"/>
    <col min="8" max="8" width="9" customWidth="1"/>
    <col min="9" max="9" width="13" customWidth="1"/>
    <col min="10" max="10" width="6.85546875" customWidth="1"/>
    <col min="11" max="11" width="13.7109375" customWidth="1"/>
    <col min="12" max="12" width="13.42578125" customWidth="1"/>
    <col min="13" max="13" width="15.42578125" customWidth="1"/>
    <col min="14" max="14" width="12.28515625" style="58" customWidth="1"/>
    <col min="15" max="15" width="12.5703125" customWidth="1"/>
    <col min="17" max="17" width="12.28515625" customWidth="1"/>
  </cols>
  <sheetData>
    <row r="4" spans="4:12" x14ac:dyDescent="0.25">
      <c r="H4" t="s">
        <v>117</v>
      </c>
    </row>
    <row r="8" spans="4:12" x14ac:dyDescent="0.25">
      <c r="D8" s="54" t="s">
        <v>124</v>
      </c>
      <c r="E8" s="55"/>
      <c r="F8" s="55" t="s">
        <v>123</v>
      </c>
      <c r="G8" s="55"/>
      <c r="H8" s="55" t="s">
        <v>120</v>
      </c>
      <c r="I8" s="55" t="s">
        <v>119</v>
      </c>
      <c r="J8" s="56" t="s">
        <v>132</v>
      </c>
      <c r="K8" s="57" t="s">
        <v>133</v>
      </c>
    </row>
    <row r="9" spans="4:12" x14ac:dyDescent="0.25">
      <c r="D9" t="s">
        <v>118</v>
      </c>
      <c r="F9" t="s">
        <v>121</v>
      </c>
      <c r="H9">
        <v>81</v>
      </c>
      <c r="I9">
        <v>7000</v>
      </c>
      <c r="J9">
        <f>I9*H9</f>
        <v>567000</v>
      </c>
      <c r="K9">
        <v>1200</v>
      </c>
      <c r="L9">
        <f>K9*H9</f>
        <v>97200</v>
      </c>
    </row>
    <row r="10" spans="4:12" x14ac:dyDescent="0.25">
      <c r="J10">
        <f t="shared" ref="J10:J27" si="0">I10*H10</f>
        <v>0</v>
      </c>
      <c r="L10">
        <f t="shared" ref="L10:L27" si="1">K10*H10</f>
        <v>0</v>
      </c>
    </row>
    <row r="11" spans="4:12" x14ac:dyDescent="0.25">
      <c r="D11" t="s">
        <v>125</v>
      </c>
      <c r="E11" t="s">
        <v>130</v>
      </c>
      <c r="F11" t="s">
        <v>122</v>
      </c>
      <c r="H11">
        <v>52</v>
      </c>
      <c r="I11">
        <v>40000</v>
      </c>
      <c r="J11">
        <f t="shared" si="0"/>
        <v>2080000</v>
      </c>
      <c r="K11">
        <v>32400</v>
      </c>
      <c r="L11">
        <f t="shared" si="1"/>
        <v>1684800</v>
      </c>
    </row>
    <row r="12" spans="4:12" x14ac:dyDescent="0.25">
      <c r="F12" t="s">
        <v>126</v>
      </c>
      <c r="H12">
        <v>45</v>
      </c>
      <c r="I12">
        <v>40000</v>
      </c>
      <c r="J12">
        <f t="shared" si="0"/>
        <v>1800000</v>
      </c>
      <c r="K12">
        <v>32400</v>
      </c>
      <c r="L12">
        <f t="shared" si="1"/>
        <v>1458000</v>
      </c>
    </row>
    <row r="13" spans="4:12" x14ac:dyDescent="0.25">
      <c r="F13" t="s">
        <v>127</v>
      </c>
      <c r="H13">
        <v>54.5</v>
      </c>
      <c r="I13">
        <v>40000</v>
      </c>
      <c r="J13">
        <f t="shared" si="0"/>
        <v>2180000</v>
      </c>
      <c r="K13">
        <v>32400</v>
      </c>
      <c r="L13">
        <f t="shared" si="1"/>
        <v>1765800</v>
      </c>
    </row>
    <row r="14" spans="4:12" x14ac:dyDescent="0.25">
      <c r="F14" t="s">
        <v>128</v>
      </c>
      <c r="H14">
        <v>38</v>
      </c>
      <c r="I14">
        <v>40000</v>
      </c>
      <c r="J14">
        <f t="shared" si="0"/>
        <v>1520000</v>
      </c>
      <c r="K14">
        <v>32400</v>
      </c>
      <c r="L14">
        <f t="shared" si="1"/>
        <v>1231200</v>
      </c>
    </row>
    <row r="15" spans="4:12" x14ac:dyDescent="0.25">
      <c r="F15" t="s">
        <v>129</v>
      </c>
      <c r="H15">
        <v>42</v>
      </c>
      <c r="I15">
        <v>40000</v>
      </c>
      <c r="J15">
        <f t="shared" si="0"/>
        <v>1680000</v>
      </c>
      <c r="K15">
        <v>32400</v>
      </c>
      <c r="L15">
        <f t="shared" si="1"/>
        <v>1360800</v>
      </c>
    </row>
    <row r="16" spans="4:12" x14ac:dyDescent="0.25">
      <c r="J16">
        <f t="shared" si="0"/>
        <v>0</v>
      </c>
      <c r="L16">
        <f t="shared" si="1"/>
        <v>0</v>
      </c>
    </row>
    <row r="17" spans="5:12" x14ac:dyDescent="0.25">
      <c r="E17" t="s">
        <v>0</v>
      </c>
      <c r="F17" t="s">
        <v>122</v>
      </c>
      <c r="H17">
        <v>41</v>
      </c>
      <c r="I17">
        <v>40000</v>
      </c>
      <c r="J17">
        <f t="shared" si="0"/>
        <v>1640000</v>
      </c>
      <c r="K17">
        <v>32400</v>
      </c>
      <c r="L17">
        <f t="shared" si="1"/>
        <v>1328400</v>
      </c>
    </row>
    <row r="18" spans="5:12" x14ac:dyDescent="0.25">
      <c r="F18" t="s">
        <v>126</v>
      </c>
      <c r="H18">
        <v>36</v>
      </c>
      <c r="I18">
        <v>40000</v>
      </c>
      <c r="J18">
        <f t="shared" si="0"/>
        <v>1440000</v>
      </c>
      <c r="K18">
        <v>32400</v>
      </c>
      <c r="L18">
        <f t="shared" si="1"/>
        <v>1166400</v>
      </c>
    </row>
    <row r="19" spans="5:12" x14ac:dyDescent="0.25">
      <c r="F19" t="s">
        <v>127</v>
      </c>
      <c r="H19">
        <v>16</v>
      </c>
      <c r="I19">
        <v>40000</v>
      </c>
      <c r="J19">
        <f t="shared" si="0"/>
        <v>640000</v>
      </c>
      <c r="K19">
        <v>32400</v>
      </c>
      <c r="L19">
        <f t="shared" si="1"/>
        <v>518400</v>
      </c>
    </row>
    <row r="20" spans="5:12" x14ac:dyDescent="0.25">
      <c r="F20" t="s">
        <v>128</v>
      </c>
      <c r="H20">
        <v>8</v>
      </c>
      <c r="I20">
        <v>40000</v>
      </c>
      <c r="J20">
        <f t="shared" si="0"/>
        <v>320000</v>
      </c>
      <c r="K20">
        <v>32400</v>
      </c>
      <c r="L20">
        <f t="shared" si="1"/>
        <v>259200</v>
      </c>
    </row>
    <row r="21" spans="5:12" x14ac:dyDescent="0.25">
      <c r="F21" t="s">
        <v>129</v>
      </c>
      <c r="H21">
        <v>11</v>
      </c>
      <c r="I21">
        <v>40000</v>
      </c>
      <c r="J21">
        <f t="shared" si="0"/>
        <v>440000</v>
      </c>
      <c r="K21">
        <v>32400</v>
      </c>
      <c r="L21">
        <f t="shared" si="1"/>
        <v>356400</v>
      </c>
    </row>
    <row r="22" spans="5:12" x14ac:dyDescent="0.25">
      <c r="J22">
        <f t="shared" si="0"/>
        <v>0</v>
      </c>
      <c r="L22">
        <f t="shared" si="1"/>
        <v>0</v>
      </c>
    </row>
    <row r="23" spans="5:12" x14ac:dyDescent="0.25">
      <c r="E23" t="s">
        <v>7</v>
      </c>
      <c r="F23" t="s">
        <v>122</v>
      </c>
      <c r="H23">
        <v>11</v>
      </c>
      <c r="I23">
        <v>40000</v>
      </c>
      <c r="J23">
        <f t="shared" si="0"/>
        <v>440000</v>
      </c>
      <c r="K23">
        <v>32400</v>
      </c>
      <c r="L23">
        <f t="shared" si="1"/>
        <v>356400</v>
      </c>
    </row>
    <row r="24" spans="5:12" x14ac:dyDescent="0.25">
      <c r="F24" t="s">
        <v>126</v>
      </c>
      <c r="H24">
        <v>11</v>
      </c>
      <c r="I24">
        <v>40000</v>
      </c>
      <c r="J24">
        <f t="shared" si="0"/>
        <v>440000</v>
      </c>
      <c r="K24">
        <v>32400</v>
      </c>
      <c r="L24">
        <f t="shared" si="1"/>
        <v>356400</v>
      </c>
    </row>
    <row r="25" spans="5:12" x14ac:dyDescent="0.25">
      <c r="F25" t="s">
        <v>127</v>
      </c>
      <c r="H25">
        <v>11</v>
      </c>
      <c r="I25">
        <v>40000</v>
      </c>
      <c r="J25">
        <f t="shared" si="0"/>
        <v>440000</v>
      </c>
      <c r="K25">
        <v>32400</v>
      </c>
      <c r="L25">
        <f t="shared" si="1"/>
        <v>356400</v>
      </c>
    </row>
    <row r="26" spans="5:12" x14ac:dyDescent="0.25">
      <c r="F26" t="s">
        <v>128</v>
      </c>
      <c r="H26">
        <v>11</v>
      </c>
      <c r="I26">
        <v>40000</v>
      </c>
      <c r="J26">
        <f t="shared" si="0"/>
        <v>440000</v>
      </c>
      <c r="K26">
        <v>32400</v>
      </c>
      <c r="L26">
        <f t="shared" si="1"/>
        <v>356400</v>
      </c>
    </row>
    <row r="27" spans="5:12" x14ac:dyDescent="0.25">
      <c r="F27" t="s">
        <v>129</v>
      </c>
      <c r="H27">
        <v>11</v>
      </c>
      <c r="I27">
        <v>40000</v>
      </c>
      <c r="J27">
        <f t="shared" si="0"/>
        <v>440000</v>
      </c>
      <c r="K27">
        <v>32400</v>
      </c>
      <c r="L27">
        <f t="shared" si="1"/>
        <v>356400</v>
      </c>
    </row>
    <row r="29" spans="5:12" x14ac:dyDescent="0.25">
      <c r="E29" t="s">
        <v>131</v>
      </c>
      <c r="F29" t="s">
        <v>122</v>
      </c>
      <c r="H29">
        <v>5</v>
      </c>
    </row>
    <row r="30" spans="5:12" x14ac:dyDescent="0.25">
      <c r="F30" t="s">
        <v>126</v>
      </c>
      <c r="H30">
        <v>5</v>
      </c>
    </row>
    <row r="31" spans="5:12" x14ac:dyDescent="0.25">
      <c r="F31" t="s">
        <v>127</v>
      </c>
      <c r="H31">
        <v>5</v>
      </c>
    </row>
    <row r="32" spans="5:12" x14ac:dyDescent="0.25">
      <c r="F32" t="s">
        <v>128</v>
      </c>
      <c r="H32">
        <v>5</v>
      </c>
    </row>
    <row r="33" spans="6:12" x14ac:dyDescent="0.25">
      <c r="F33" t="s">
        <v>129</v>
      </c>
      <c r="H33">
        <v>5</v>
      </c>
    </row>
    <row r="35" spans="6:12" x14ac:dyDescent="0.25">
      <c r="H35">
        <f>SUM(H11:H27)</f>
        <v>398.5</v>
      </c>
      <c r="J35">
        <f>SUM(J9:J27)</f>
        <v>16507000</v>
      </c>
      <c r="L35">
        <f>SUM(L9:L27)</f>
        <v>13008600</v>
      </c>
    </row>
    <row r="41" spans="6:12" x14ac:dyDescent="0.25">
      <c r="K41">
        <f>25.5*0.3</f>
        <v>7.6499999999999995</v>
      </c>
    </row>
    <row r="58" spans="6:22" ht="27" customHeight="1" x14ac:dyDescent="0.25">
      <c r="F58" s="35"/>
      <c r="G58" s="35"/>
      <c r="H58" s="35" t="s">
        <v>140</v>
      </c>
      <c r="I58" s="35" t="s">
        <v>141</v>
      </c>
      <c r="J58" s="35" t="s">
        <v>137</v>
      </c>
      <c r="K58" s="36" t="s">
        <v>142</v>
      </c>
      <c r="L58" s="35" t="s">
        <v>139</v>
      </c>
      <c r="M58" s="35" t="s">
        <v>21</v>
      </c>
      <c r="N58" s="59" t="s">
        <v>136</v>
      </c>
      <c r="O58" s="35" t="s">
        <v>151</v>
      </c>
      <c r="P58" s="35" t="s">
        <v>138</v>
      </c>
      <c r="Q58" s="35" t="s">
        <v>143</v>
      </c>
      <c r="T58" s="58">
        <f>P59+P60</f>
        <v>3411675</v>
      </c>
    </row>
    <row r="59" spans="6:22" ht="27" customHeight="1" x14ac:dyDescent="0.25">
      <c r="F59" s="69" t="s">
        <v>135</v>
      </c>
      <c r="G59" s="70"/>
      <c r="H59" s="35">
        <v>81</v>
      </c>
      <c r="I59" s="35">
        <v>0</v>
      </c>
      <c r="J59" s="35">
        <v>81</v>
      </c>
      <c r="K59" s="36">
        <v>0</v>
      </c>
      <c r="L59" s="35">
        <v>81</v>
      </c>
      <c r="M59" s="59">
        <v>7000</v>
      </c>
      <c r="N59" s="59">
        <f>M59*L59</f>
        <v>567000</v>
      </c>
      <c r="O59" s="59">
        <v>5800</v>
      </c>
      <c r="P59" s="59">
        <f>O59*L59</f>
        <v>469800</v>
      </c>
      <c r="Q59" s="59">
        <f>N59-P59</f>
        <v>97200</v>
      </c>
    </row>
    <row r="60" spans="6:22" x14ac:dyDescent="0.25">
      <c r="F60" s="69" t="s">
        <v>134</v>
      </c>
      <c r="G60" s="70"/>
      <c r="H60" s="35">
        <v>378.5</v>
      </c>
      <c r="I60" s="35">
        <v>22.5</v>
      </c>
      <c r="J60" s="35">
        <f>378.5+6.5+8+8</f>
        <v>401</v>
      </c>
      <c r="K60" s="35">
        <f>1.25+1.25+1.25+2.5+2.5</f>
        <v>8.75</v>
      </c>
      <c r="L60" s="35">
        <f>J60-K60</f>
        <v>392.25</v>
      </c>
      <c r="M60" s="59">
        <v>40000</v>
      </c>
      <c r="N60" s="59">
        <f>M60*L60</f>
        <v>15690000</v>
      </c>
      <c r="O60" s="59">
        <v>7500</v>
      </c>
      <c r="P60" s="59">
        <f>O60*L60</f>
        <v>2941875</v>
      </c>
      <c r="Q60" s="59">
        <f>N60-P60</f>
        <v>12748125</v>
      </c>
    </row>
    <row r="61" spans="6:22" x14ac:dyDescent="0.25">
      <c r="F61" s="69" t="s">
        <v>149</v>
      </c>
      <c r="G61" s="70"/>
      <c r="H61" s="35">
        <v>7</v>
      </c>
      <c r="I61" s="35">
        <v>8</v>
      </c>
      <c r="J61" s="35">
        <v>15</v>
      </c>
      <c r="K61" s="35">
        <v>0</v>
      </c>
      <c r="L61" s="35">
        <v>15</v>
      </c>
      <c r="M61" s="59">
        <v>15000</v>
      </c>
      <c r="N61" s="59">
        <f>M61*L61</f>
        <v>225000</v>
      </c>
      <c r="O61" s="35"/>
      <c r="P61" s="35"/>
      <c r="Q61" s="59">
        <v>225000</v>
      </c>
    </row>
    <row r="62" spans="6:22" x14ac:dyDescent="0.25">
      <c r="F62" s="60" t="s">
        <v>150</v>
      </c>
      <c r="G62" s="61"/>
      <c r="H62" s="35">
        <v>0</v>
      </c>
      <c r="I62" s="35">
        <v>10</v>
      </c>
      <c r="J62" s="35">
        <v>10</v>
      </c>
      <c r="K62" s="35">
        <v>0</v>
      </c>
      <c r="L62" s="35">
        <v>10</v>
      </c>
      <c r="M62" s="59">
        <v>30000</v>
      </c>
      <c r="N62" s="59">
        <f>M62*L62</f>
        <v>300000</v>
      </c>
      <c r="O62" s="35"/>
      <c r="P62" s="35"/>
      <c r="Q62" s="59">
        <v>300000</v>
      </c>
      <c r="V62">
        <f>32500*8.75+15000*25</f>
        <v>659375</v>
      </c>
    </row>
    <row r="63" spans="6:22" x14ac:dyDescent="0.25">
      <c r="F63" s="71" t="s">
        <v>137</v>
      </c>
      <c r="G63" s="72"/>
      <c r="H63" s="62"/>
      <c r="I63" s="62"/>
      <c r="J63" s="62"/>
      <c r="K63" s="62"/>
      <c r="L63" s="62"/>
      <c r="M63" s="62"/>
      <c r="N63" s="63">
        <f>SUM(N59:N62)</f>
        <v>16782000</v>
      </c>
      <c r="O63" s="62"/>
      <c r="P63" s="62"/>
      <c r="Q63" s="63">
        <f>SUM(Q59:Q62)</f>
        <v>13370325</v>
      </c>
    </row>
    <row r="64" spans="6:22" x14ac:dyDescent="0.25">
      <c r="V64">
        <f>15*15000+10*30000</f>
        <v>525000</v>
      </c>
    </row>
    <row r="66" spans="8:19" x14ac:dyDescent="0.25">
      <c r="S66">
        <f>8.75*40000</f>
        <v>350000</v>
      </c>
    </row>
    <row r="67" spans="8:19" x14ac:dyDescent="0.25">
      <c r="I67" s="74" t="s">
        <v>145</v>
      </c>
      <c r="J67" s="74"/>
      <c r="K67" s="35" t="s">
        <v>144</v>
      </c>
      <c r="L67" s="73" t="s">
        <v>152</v>
      </c>
      <c r="M67" s="78" t="s">
        <v>146</v>
      </c>
      <c r="S67">
        <f>10*30000+15*15000</f>
        <v>525000</v>
      </c>
    </row>
    <row r="68" spans="8:19" x14ac:dyDescent="0.25">
      <c r="I68" s="75">
        <f>Q63</f>
        <v>13370325</v>
      </c>
      <c r="J68" s="75"/>
      <c r="K68" s="76">
        <v>5500000</v>
      </c>
      <c r="L68" s="77">
        <v>2774384</v>
      </c>
      <c r="M68" s="79">
        <f>I68-K68-L68</f>
        <v>5095941</v>
      </c>
      <c r="S68">
        <f>S67-S66</f>
        <v>175000</v>
      </c>
    </row>
    <row r="71" spans="8:19" x14ac:dyDescent="0.25">
      <c r="H71" t="s">
        <v>148</v>
      </c>
      <c r="L71" t="s">
        <v>147</v>
      </c>
    </row>
  </sheetData>
  <mergeCells count="6">
    <mergeCell ref="I68:J68"/>
    <mergeCell ref="F59:G59"/>
    <mergeCell ref="F60:G60"/>
    <mergeCell ref="F61:G61"/>
    <mergeCell ref="F63:G63"/>
    <mergeCell ref="I67:J67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PROPOSITION 1</vt:lpstr>
      <vt:lpstr>Souri</vt:lpstr>
      <vt:lpstr>compte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2023-12-06T11:17:40Z</dcterms:modified>
</cp:coreProperties>
</file>