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ennymccline/Downloads/"/>
    </mc:Choice>
  </mc:AlternateContent>
  <xr:revisionPtr revIDLastSave="0" documentId="13_ncr:1_{D0A68857-26A6-A54C-8343-725ECDC0C4FA}" xr6:coauthVersionLast="47" xr6:coauthVersionMax="47" xr10:uidLastSave="{00000000-0000-0000-0000-000000000000}"/>
  <bookViews>
    <workbookView xWindow="0" yWindow="500" windowWidth="28800" windowHeight="17500" xr2:uid="{685F8EED-2012-4C27-B6A0-C93E0F15DE73}"/>
  </bookViews>
  <sheets>
    <sheet name="Master Model Rough Draft" sheetId="8" r:id="rId1"/>
    <sheet name="PCR LOD Comparison, RNA Only" sheetId="3" r:id="rId2"/>
    <sheet name="Monkeypox Sample Ct 24" sheetId="6" r:id="rId3"/>
  </sheets>
  <definedNames>
    <definedName name="_xlnm._FilterDatabase" localSheetId="0" hidden="1">'Master Model Rough Draft'!$E$80:$F$204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8" l="1"/>
  <c r="T18" i="8"/>
  <c r="B7" i="8"/>
  <c r="B20" i="8" s="1"/>
  <c r="B21" i="8" s="1"/>
  <c r="N14" i="8" s="1"/>
  <c r="B11" i="8" l="1"/>
  <c r="B22" i="8" s="1"/>
  <c r="S20" i="8"/>
  <c r="S21" i="8"/>
  <c r="S22" i="8"/>
  <c r="S23" i="8"/>
  <c r="S24" i="8"/>
  <c r="S25" i="8"/>
  <c r="S18" i="8"/>
  <c r="T25" i="8"/>
  <c r="T24" i="8"/>
  <c r="T23" i="8"/>
  <c r="T22" i="8"/>
  <c r="T21" i="8"/>
  <c r="T20" i="8"/>
  <c r="AE45" i="8"/>
  <c r="H16" i="8"/>
  <c r="K13" i="8"/>
  <c r="N8" i="8"/>
  <c r="N7" i="8"/>
  <c r="N12" i="8"/>
  <c r="B12" i="8"/>
  <c r="D5" i="3"/>
  <c r="D6" i="3"/>
  <c r="H6" i="3"/>
  <c r="H5" i="3"/>
  <c r="E5" i="3"/>
  <c r="F5" i="3"/>
  <c r="I5" i="3"/>
  <c r="K5" i="3"/>
  <c r="L5" i="3"/>
  <c r="N5" i="3"/>
  <c r="O5" i="3"/>
  <c r="Q5" i="3"/>
  <c r="R5" i="3"/>
  <c r="J7" i="6"/>
  <c r="K7" i="6"/>
  <c r="D7" i="6"/>
  <c r="E7" i="6"/>
  <c r="N32" i="6"/>
  <c r="M32" i="6"/>
  <c r="K32" i="6"/>
  <c r="J32" i="6"/>
  <c r="H32" i="6"/>
  <c r="G32" i="6"/>
  <c r="E32" i="6"/>
  <c r="D32" i="6"/>
  <c r="C32" i="6"/>
  <c r="N21" i="6"/>
  <c r="M21" i="6"/>
  <c r="K21" i="6"/>
  <c r="J21" i="6"/>
  <c r="H21" i="6"/>
  <c r="G21" i="6"/>
  <c r="E21" i="6"/>
  <c r="D21" i="6"/>
  <c r="C21" i="6"/>
  <c r="N10" i="6"/>
  <c r="M10" i="6"/>
  <c r="K10" i="6"/>
  <c r="J10" i="6"/>
  <c r="H10" i="6"/>
  <c r="G10" i="6"/>
  <c r="E10" i="6"/>
  <c r="D10" i="6"/>
  <c r="C10" i="6"/>
  <c r="R27" i="3"/>
  <c r="Q27" i="3"/>
  <c r="R32" i="3"/>
  <c r="Q32" i="3"/>
  <c r="R21" i="3"/>
  <c r="Q21" i="3"/>
  <c r="R10" i="3"/>
  <c r="Q10" i="3"/>
  <c r="R6" i="3"/>
  <c r="R22" i="3" s="1"/>
  <c r="Q6" i="3"/>
  <c r="Q22" i="3" s="1"/>
  <c r="O32" i="3"/>
  <c r="N32" i="3"/>
  <c r="O21" i="3"/>
  <c r="N21" i="3"/>
  <c r="O10" i="3"/>
  <c r="N10" i="3"/>
  <c r="O6" i="3"/>
  <c r="O22" i="3" s="1"/>
  <c r="N6" i="3"/>
  <c r="N22" i="3" s="1"/>
  <c r="L6" i="3"/>
  <c r="L7" i="3" s="1"/>
  <c r="K6" i="3"/>
  <c r="K7" i="3" s="1"/>
  <c r="I6" i="3"/>
  <c r="H20" i="3"/>
  <c r="L32" i="3"/>
  <c r="K32" i="3"/>
  <c r="I32" i="3"/>
  <c r="H32" i="3"/>
  <c r="F32" i="3"/>
  <c r="E32" i="3"/>
  <c r="D32" i="3"/>
  <c r="L21" i="3"/>
  <c r="K21" i="3"/>
  <c r="I21" i="3"/>
  <c r="H21" i="3"/>
  <c r="F21" i="3"/>
  <c r="E21" i="3"/>
  <c r="D21" i="3"/>
  <c r="L10" i="3"/>
  <c r="K10" i="3"/>
  <c r="I10" i="3"/>
  <c r="H10" i="3"/>
  <c r="F10" i="3"/>
  <c r="E10" i="3"/>
  <c r="D10" i="3"/>
  <c r="I7" i="3"/>
  <c r="F6" i="3"/>
  <c r="F22" i="3" s="1"/>
  <c r="E6" i="3"/>
  <c r="E22" i="3" s="1"/>
  <c r="D20" i="3"/>
  <c r="B23" i="8" l="1"/>
  <c r="N15" i="8" s="1"/>
  <c r="E10" i="8"/>
  <c r="E17" i="8" s="1"/>
  <c r="N9" i="8"/>
  <c r="B13" i="8"/>
  <c r="B14" i="8" s="1"/>
  <c r="E7" i="8" s="1"/>
  <c r="C22" i="6"/>
  <c r="C20" i="6"/>
  <c r="C7" i="6"/>
  <c r="D22" i="6"/>
  <c r="D20" i="6"/>
  <c r="E22" i="6"/>
  <c r="E20" i="6"/>
  <c r="G22" i="6"/>
  <c r="G20" i="6"/>
  <c r="G7" i="6"/>
  <c r="H22" i="6"/>
  <c r="H20" i="6"/>
  <c r="H7" i="6"/>
  <c r="J22" i="6"/>
  <c r="J20" i="6"/>
  <c r="K22" i="6"/>
  <c r="K20" i="6"/>
  <c r="M22" i="6"/>
  <c r="M20" i="6"/>
  <c r="M7" i="6"/>
  <c r="N22" i="6"/>
  <c r="N20" i="6"/>
  <c r="N7" i="6"/>
  <c r="C23" i="6"/>
  <c r="C27" i="6" s="1"/>
  <c r="C11" i="6"/>
  <c r="C13" i="6" s="1"/>
  <c r="C17" i="6" s="1"/>
  <c r="D23" i="6"/>
  <c r="D27" i="6" s="1"/>
  <c r="D11" i="6"/>
  <c r="D13" i="6" s="1"/>
  <c r="D17" i="6" s="1"/>
  <c r="E23" i="6"/>
  <c r="E27" i="6" s="1"/>
  <c r="E11" i="6"/>
  <c r="E13" i="6" s="1"/>
  <c r="E17" i="6" s="1"/>
  <c r="G23" i="6"/>
  <c r="G27" i="6" s="1"/>
  <c r="G11" i="6"/>
  <c r="G13" i="6" s="1"/>
  <c r="G17" i="6" s="1"/>
  <c r="H23" i="6"/>
  <c r="H27" i="6" s="1"/>
  <c r="H11" i="6"/>
  <c r="H13" i="6" s="1"/>
  <c r="H17" i="6" s="1"/>
  <c r="J23" i="6"/>
  <c r="J27" i="6" s="1"/>
  <c r="J11" i="6"/>
  <c r="J13" i="6" s="1"/>
  <c r="J17" i="6" s="1"/>
  <c r="K23" i="6"/>
  <c r="K27" i="6" s="1"/>
  <c r="K11" i="6"/>
  <c r="K13" i="6" s="1"/>
  <c r="K17" i="6" s="1"/>
  <c r="M23" i="6"/>
  <c r="M27" i="6" s="1"/>
  <c r="M11" i="6"/>
  <c r="M13" i="6" s="1"/>
  <c r="M17" i="6" s="1"/>
  <c r="N23" i="6"/>
  <c r="N27" i="6" s="1"/>
  <c r="N11" i="6"/>
  <c r="N13" i="6" s="1"/>
  <c r="N17" i="6" s="1"/>
  <c r="C33" i="6"/>
  <c r="C35" i="6" s="1"/>
  <c r="C36" i="6" s="1"/>
  <c r="C37" i="6" s="1"/>
  <c r="D33" i="6"/>
  <c r="D35" i="6" s="1"/>
  <c r="D36" i="6" s="1"/>
  <c r="D37" i="6" s="1"/>
  <c r="E33" i="6"/>
  <c r="E35" i="6" s="1"/>
  <c r="E36" i="6" s="1"/>
  <c r="E37" i="6" s="1"/>
  <c r="G33" i="6"/>
  <c r="G35" i="6" s="1"/>
  <c r="G36" i="6" s="1"/>
  <c r="G37" i="6" s="1"/>
  <c r="H33" i="6"/>
  <c r="H35" i="6" s="1"/>
  <c r="H36" i="6" s="1"/>
  <c r="H37" i="6" s="1"/>
  <c r="J33" i="6"/>
  <c r="J35" i="6" s="1"/>
  <c r="J36" i="6" s="1"/>
  <c r="J37" i="6" s="1"/>
  <c r="K33" i="6"/>
  <c r="K35" i="6" s="1"/>
  <c r="K36" i="6" s="1"/>
  <c r="K37" i="6" s="1"/>
  <c r="M33" i="6"/>
  <c r="M35" i="6" s="1"/>
  <c r="M36" i="6" s="1"/>
  <c r="M37" i="6" s="1"/>
  <c r="N33" i="6"/>
  <c r="N35" i="6" s="1"/>
  <c r="N36" i="6" s="1"/>
  <c r="N37" i="6" s="1"/>
  <c r="R20" i="3"/>
  <c r="N7" i="3"/>
  <c r="O7" i="3"/>
  <c r="O11" i="3"/>
  <c r="O13" i="3" s="1"/>
  <c r="O17" i="3" s="1"/>
  <c r="N11" i="3"/>
  <c r="N13" i="3" s="1"/>
  <c r="N17" i="3" s="1"/>
  <c r="I11" i="3"/>
  <c r="I13" i="3" s="1"/>
  <c r="I17" i="3" s="1"/>
  <c r="L20" i="3"/>
  <c r="L23" i="3" s="1"/>
  <c r="O20" i="3"/>
  <c r="O23" i="3" s="1"/>
  <c r="O27" i="3" s="1"/>
  <c r="O33" i="3" s="1"/>
  <c r="O36" i="3" s="1"/>
  <c r="O37" i="3" s="1"/>
  <c r="O38" i="3" s="1"/>
  <c r="R23" i="3"/>
  <c r="R33" i="3"/>
  <c r="R36" i="3" s="1"/>
  <c r="R37" i="3" s="1"/>
  <c r="R38" i="3" s="1"/>
  <c r="Q20" i="3"/>
  <c r="Q23" i="3" s="1"/>
  <c r="Q33" i="3" s="1"/>
  <c r="Q36" i="3" s="1"/>
  <c r="Q37" i="3" s="1"/>
  <c r="Q38" i="3" s="1"/>
  <c r="Q7" i="3"/>
  <c r="Q11" i="3" s="1"/>
  <c r="Q13" i="3" s="1"/>
  <c r="Q17" i="3" s="1"/>
  <c r="R7" i="3"/>
  <c r="R11" i="3" s="1"/>
  <c r="R13" i="3" s="1"/>
  <c r="R17" i="3" s="1"/>
  <c r="N20" i="3"/>
  <c r="N23" i="3" s="1"/>
  <c r="E7" i="3"/>
  <c r="E11" i="3" s="1"/>
  <c r="E13" i="3" s="1"/>
  <c r="E17" i="3" s="1"/>
  <c r="E20" i="3"/>
  <c r="E23" i="3" s="1"/>
  <c r="E27" i="3" s="1"/>
  <c r="E33" i="3" s="1"/>
  <c r="H22" i="3"/>
  <c r="F7" i="3"/>
  <c r="F20" i="3"/>
  <c r="F23" i="3" s="1"/>
  <c r="F27" i="3" s="1"/>
  <c r="F33" i="3" s="1"/>
  <c r="F11" i="3"/>
  <c r="F13" i="3" s="1"/>
  <c r="F17" i="3" s="1"/>
  <c r="K20" i="3"/>
  <c r="K23" i="3" s="1"/>
  <c r="K27" i="3" s="1"/>
  <c r="K33" i="3" s="1"/>
  <c r="K11" i="3"/>
  <c r="K13" i="3" s="1"/>
  <c r="K17" i="3" s="1"/>
  <c r="L11" i="3"/>
  <c r="L13" i="3" s="1"/>
  <c r="L17" i="3" s="1"/>
  <c r="H23" i="3"/>
  <c r="H27" i="3" s="1"/>
  <c r="H33" i="3" s="1"/>
  <c r="D23" i="3"/>
  <c r="D27" i="3" s="1"/>
  <c r="D33" i="3" s="1"/>
  <c r="K22" i="3"/>
  <c r="I22" i="3"/>
  <c r="I20" i="3"/>
  <c r="I23" i="3" s="1"/>
  <c r="I27" i="3" s="1"/>
  <c r="I33" i="3" s="1"/>
  <c r="L22" i="3"/>
  <c r="D7" i="3"/>
  <c r="D11" i="3" s="1"/>
  <c r="D13" i="3" s="1"/>
  <c r="D17" i="3" s="1"/>
  <c r="D22" i="3"/>
  <c r="H7" i="3"/>
  <c r="H11" i="3" s="1"/>
  <c r="H13" i="3" s="1"/>
  <c r="H17" i="3" s="1"/>
  <c r="E9" i="8" l="1"/>
  <c r="E11" i="8" s="1"/>
  <c r="E8" i="8"/>
  <c r="E18" i="8" s="1"/>
  <c r="H6" i="8" s="1"/>
  <c r="N16" i="8"/>
  <c r="N21" i="8" s="1"/>
  <c r="E15" i="8"/>
  <c r="E16" i="8" s="1"/>
  <c r="I36" i="3"/>
  <c r="I37" i="3" s="1"/>
  <c r="I38" i="3" s="1"/>
  <c r="I34" i="3"/>
  <c r="H36" i="3"/>
  <c r="H37" i="3" s="1"/>
  <c r="H38" i="3" s="1"/>
  <c r="H39" i="3" s="1"/>
  <c r="H42" i="3" s="1"/>
  <c r="H34" i="3"/>
  <c r="F36" i="3"/>
  <c r="F37" i="3" s="1"/>
  <c r="F38" i="3" s="1"/>
  <c r="F39" i="3" s="1"/>
  <c r="F42" i="3" s="1"/>
  <c r="F34" i="3"/>
  <c r="E36" i="3"/>
  <c r="E37" i="3" s="1"/>
  <c r="E38" i="3" s="1"/>
  <c r="E39" i="3" s="1"/>
  <c r="E42" i="3" s="1"/>
  <c r="E34" i="3"/>
  <c r="D36" i="3"/>
  <c r="D37" i="3" s="1"/>
  <c r="D38" i="3" s="1"/>
  <c r="D34" i="3"/>
  <c r="N40" i="6"/>
  <c r="N38" i="6"/>
  <c r="N41" i="6" s="1"/>
  <c r="M40" i="6"/>
  <c r="M38" i="6"/>
  <c r="M41" i="6" s="1"/>
  <c r="K40" i="6"/>
  <c r="K38" i="6"/>
  <c r="K41" i="6" s="1"/>
  <c r="J40" i="6"/>
  <c r="J38" i="6"/>
  <c r="J41" i="6" s="1"/>
  <c r="H40" i="6"/>
  <c r="H38" i="6"/>
  <c r="H41" i="6" s="1"/>
  <c r="G40" i="6"/>
  <c r="G38" i="6"/>
  <c r="G41" i="6" s="1"/>
  <c r="E40" i="6"/>
  <c r="E38" i="6"/>
  <c r="E41" i="6" s="1"/>
  <c r="D40" i="6"/>
  <c r="D38" i="6"/>
  <c r="D41" i="6" s="1"/>
  <c r="C40" i="6"/>
  <c r="C38" i="6"/>
  <c r="C41" i="6" s="1"/>
  <c r="K36" i="3"/>
  <c r="K37" i="3" s="1"/>
  <c r="K38" i="3" s="1"/>
  <c r="K39" i="3" s="1"/>
  <c r="K42" i="3" s="1"/>
  <c r="K34" i="3"/>
  <c r="L27" i="3"/>
  <c r="L33" i="3" s="1"/>
  <c r="N27" i="3"/>
  <c r="N33" i="3" s="1"/>
  <c r="N36" i="3" s="1"/>
  <c r="N37" i="3" s="1"/>
  <c r="N38" i="3" s="1"/>
  <c r="Q39" i="3"/>
  <c r="Q42" i="3" s="1"/>
  <c r="Q41" i="3"/>
  <c r="R39" i="3"/>
  <c r="R42" i="3" s="1"/>
  <c r="R41" i="3"/>
  <c r="O39" i="3"/>
  <c r="O42" i="3" s="1"/>
  <c r="O41" i="3"/>
  <c r="E41" i="3"/>
  <c r="K41" i="3"/>
  <c r="K44" i="3" s="1"/>
  <c r="F41" i="3"/>
  <c r="H41" i="3"/>
  <c r="H44" i="3" s="1"/>
  <c r="F44" i="3"/>
  <c r="F45" i="3"/>
  <c r="I41" i="3"/>
  <c r="I39" i="3"/>
  <c r="I42" i="3" s="1"/>
  <c r="E44" i="3"/>
  <c r="E45" i="3"/>
  <c r="D39" i="3"/>
  <c r="D42" i="3" s="1"/>
  <c r="D41" i="3"/>
  <c r="H7" i="8" l="1"/>
  <c r="H8" i="8" s="1"/>
  <c r="K6" i="8"/>
  <c r="K7" i="8" s="1"/>
  <c r="K8" i="8" s="1"/>
  <c r="K14" i="8" s="1"/>
  <c r="C43" i="6"/>
  <c r="C44" i="6"/>
  <c r="D43" i="6"/>
  <c r="D44" i="6"/>
  <c r="E43" i="6"/>
  <c r="E44" i="6"/>
  <c r="G43" i="6"/>
  <c r="G44" i="6"/>
  <c r="H43" i="6"/>
  <c r="H44" i="6"/>
  <c r="J43" i="6"/>
  <c r="J44" i="6"/>
  <c r="K43" i="6"/>
  <c r="K44" i="6"/>
  <c r="M43" i="6"/>
  <c r="M44" i="6"/>
  <c r="N43" i="6"/>
  <c r="N44" i="6"/>
  <c r="L36" i="3"/>
  <c r="L37" i="3" s="1"/>
  <c r="L38" i="3" s="1"/>
  <c r="L34" i="3"/>
  <c r="N39" i="3"/>
  <c r="N42" i="3" s="1"/>
  <c r="N41" i="3"/>
  <c r="L41" i="3"/>
  <c r="L45" i="3" s="1"/>
  <c r="L39" i="3"/>
  <c r="L42" i="3" s="1"/>
  <c r="R44" i="3"/>
  <c r="R45" i="3"/>
  <c r="Q44" i="3"/>
  <c r="Q45" i="3"/>
  <c r="O44" i="3"/>
  <c r="O45" i="3"/>
  <c r="N44" i="3"/>
  <c r="N45" i="3"/>
  <c r="K45" i="3"/>
  <c r="H45" i="3"/>
  <c r="I44" i="3"/>
  <c r="I45" i="3"/>
  <c r="D44" i="3"/>
  <c r="D45" i="3"/>
  <c r="L44" i="3"/>
  <c r="H13" i="8" l="1"/>
  <c r="H17" i="8" s="1"/>
  <c r="H18" i="8" s="1"/>
  <c r="H19" i="8" l="1"/>
  <c r="H20" i="8" s="1"/>
  <c r="H21" i="8" s="1"/>
  <c r="H22" i="8" s="1"/>
  <c r="H27" i="8" s="1"/>
  <c r="H26" i="8" l="1"/>
  <c r="H29" i="8" s="1"/>
  <c r="H28"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L3" authorId="0" shapeId="0" xr:uid="{029B795A-B90A-461B-BB04-10725A8B12F0}">
      <text>
        <r>
          <rPr>
            <sz val="11"/>
            <color theme="1"/>
            <rFont val="Calibri"/>
            <family val="2"/>
            <scheme val="minor"/>
          </rPr>
          <t>Add illumina seq</t>
        </r>
      </text>
    </comment>
    <comment ref="M3" authorId="0" shapeId="0" xr:uid="{9C4B2222-75F0-4A31-86A0-F96B66FDE8E0}">
      <text>
        <r>
          <rPr>
            <sz val="11"/>
            <color rgb="FF000000"/>
            <rFont val="Calibri"/>
            <family val="2"/>
          </rPr>
          <t>Does not undergo step 2</t>
        </r>
      </text>
    </comment>
    <comment ref="D4" authorId="0" shapeId="0" xr:uid="{E8EDC5DE-37DC-4A00-9628-CA5AF53EF866}">
      <text>
        <r>
          <rPr>
            <sz val="11"/>
            <color rgb="FF000000"/>
            <rFont val="Calibri"/>
            <family val="2"/>
          </rPr>
          <t>Depletion is assumed to be performed post-extraction. This model should not be affected if a depletion step were to be added before extraction.</t>
        </r>
      </text>
    </comment>
    <comment ref="A7" authorId="0" shapeId="0" xr:uid="{408047A1-986F-40AB-8CD5-BA41EC370D08}">
      <text>
        <r>
          <rPr>
            <sz val="11"/>
            <color rgb="FF000000"/>
            <rFont val="Calibri"/>
            <family val="2"/>
          </rPr>
          <t xml:space="preserve">If the mass is originally RNA, multiply the mass by a factor of 1.87 
</t>
        </r>
        <r>
          <rPr>
            <sz val="11"/>
            <color rgb="FF000000"/>
            <rFont val="Calibri"/>
            <family val="2"/>
          </rPr>
          <t xml:space="preserve">
</t>
        </r>
        <r>
          <rPr>
            <sz val="11"/>
            <color rgb="FF000000"/>
            <rFont val="Calibri"/>
            <family val="2"/>
          </rPr>
          <t>(pulling this factor out of my ass on the unevidenced presumption that ~95% of RNA is single stranded, but base for base is 1.04x greater in mass and 1.95/1.04 = 1.87)</t>
        </r>
      </text>
    </comment>
    <comment ref="B8" authorId="0" shapeId="0" xr:uid="{E4401090-4476-4033-8933-79B18A7DD838}">
      <text>
        <r>
          <rPr>
            <sz val="11"/>
            <color rgb="FF000000"/>
            <rFont val="Calibri"/>
            <family val="2"/>
          </rPr>
          <t>Covid Genome = 30000 bp</t>
        </r>
      </text>
    </comment>
    <comment ref="D13" authorId="0" shapeId="0" xr:uid="{A43F12ED-3B20-42D0-9458-96F1C42B605E}">
      <text>
        <r>
          <rPr>
            <sz val="11"/>
            <color rgb="FF000000"/>
            <rFont val="Calibri"/>
            <family val="2"/>
          </rPr>
          <t>Amplification assumed to be completely random</t>
        </r>
      </text>
    </comment>
    <comment ref="G13" authorId="0" shapeId="0" xr:uid="{C67EFB55-BE17-4D1F-A05A-D63F1062FA1A}">
      <text>
        <r>
          <rPr>
            <sz val="11"/>
            <color rgb="FF000000"/>
            <rFont val="Calibri"/>
            <family val="2"/>
          </rPr>
          <t xml:space="preserve">This starts to break down if much more than 10% of strands are processed as Ton gets progressively longer
</t>
        </r>
      </text>
    </comment>
    <comment ref="A20" authorId="0" shapeId="0" xr:uid="{FD744D1B-4B03-4EC8-B784-F15075EE5342}">
      <text>
        <r>
          <rPr>
            <sz val="11"/>
            <color rgb="FF000000"/>
            <rFont val="Calibri"/>
            <family val="2"/>
          </rPr>
          <t xml:space="preserve">Need elution volume...
</t>
        </r>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tc={2790D4C7-4FE1-E445-A85A-FCE053209056}</author>
    <author>tc={5B1C700A-1657-ED4F-9304-CB07DE5621C7}</author>
  </authors>
  <commentList>
    <comment ref="H4" authorId="0" shapeId="0" xr:uid="{2790D4C7-4FE1-E445-A85A-FCE053209056}">
      <text>
        <t>[Threaded comment]
Your version of Excel allows you to read this threaded comment; however, any edits to it will get removed if the file is opened in a newer version of Excel. Learn more: https://go.microsoft.com/fwlink/?linkid=870924
Comment:
    Using estimates from rRNA depletion. The left column is partial rRNA depletion, and the right is complete rRNA depletion as Nava estimated it.</t>
      </text>
    </comment>
    <comment ref="C15" authorId="1" shapeId="0" xr:uid="{5B1C700A-1657-ED4F-9304-CB07DE5621C7}">
      <text>
        <t>[Threaded comment]
Your version of Excel allows you to read this threaded comment; however, any edits to it will get removed if the file is opened in a newer version of Excel. Learn more: https://go.microsoft.com/fwlink/?linkid=870924
Comment:
    AKA Sample enrichment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tc={F7CB20CA-5B20-4F59-8E6C-FFEDE487F5DA}</author>
    <author>tc={2526984B-38BA-4515-911A-31AC5F20F3DE}</author>
    <author>tc={626EFEF2-4B78-4672-AE7E-519691E60452}</author>
    <author>tc={661379B4-96C9-482E-9D91-3DCDFB536855}</author>
  </authors>
  <commentList>
    <comment ref="G4" authorId="0" shapeId="0" xr:uid="{F7CB20CA-5B20-4F59-8E6C-FFEDE487F5DA}">
      <text>
        <t>[Threaded comment]
Your version of Excel allows you to read this threaded comment; however, any edits to it will get removed if the file is opened in a newer version of Excel. Learn more: https://go.microsoft.com/fwlink/?linkid=870924
Comment:
    Using estimates from rRNA depletion. The left column is partial rRNA depletion, and the right is complete rRNA depletion as Nava estimated it.</t>
      </text>
    </comment>
    <comment ref="B15" authorId="1" shapeId="0" xr:uid="{2526984B-38BA-4515-911A-31AC5F20F3DE}">
      <text>
        <t>[Threaded comment]
Your version of Excel allows you to read this threaded comment; however, any edits to it will get removed if the file is opened in a newer version of Excel. Learn more: https://go.microsoft.com/fwlink/?linkid=870924
Comment:
    AKA Sample enrichment</t>
      </text>
    </comment>
    <comment ref="C30" authorId="2" shapeId="0" xr:uid="{626EFEF2-4B78-4672-AE7E-519691E60452}">
      <text>
        <t>[Threaded comment]
Your version of Excel allows you to read this threaded comment; however, any edits to it will get removed if the file is opened in a newer version of Excel. Learn more: https://go.microsoft.com/fwlink/?linkid=870924
Comment:
    Flongle has a max of 126 nanopore channels</t>
      </text>
    </comment>
    <comment ref="D30" authorId="3" shapeId="0" xr:uid="{661379B4-96C9-482E-9D91-3DCDFB536855}">
      <text>
        <t>[Threaded comment]
Your version of Excel allows you to read this threaded comment; however, any edits to it will get removed if the file is opened in a newer version of Excel. Learn more: https://go.microsoft.com/fwlink/?linkid=870924
Comment:
    MinION flow cell has up to 512 Nanopore channels</t>
      </text>
    </comment>
  </commentList>
</comments>
</file>

<file path=xl/sharedStrings.xml><?xml version="1.0" encoding="utf-8"?>
<sst xmlns="http://schemas.openxmlformats.org/spreadsheetml/2006/main" count="268" uniqueCount="166">
  <si>
    <t>Sequencer Comparison Model</t>
  </si>
  <si>
    <t>Lenny McCline</t>
  </si>
  <si>
    <t>This color indicates user input parameter</t>
  </si>
  <si>
    <t>Uncertainy: how should this model handle DNA vs RNA? Should there be a model for DNA and for RNA? Can I assume conversion to ds cDNA?</t>
  </si>
  <si>
    <t xml:space="preserve">1. Sample </t>
  </si>
  <si>
    <t>2. Depletion and Amplification</t>
  </si>
  <si>
    <t>3. Nanopore Sequencing</t>
  </si>
  <si>
    <t>3. Single Molecule Optical Sequencing</t>
  </si>
  <si>
    <t>qPCR Test</t>
  </si>
  <si>
    <t>Note for jumpcode data: how much enrichment is in the data I used? Can I factor that in?</t>
  </si>
  <si>
    <t>Material</t>
  </si>
  <si>
    <t xml:space="preserve">Depletion </t>
  </si>
  <si>
    <t>Library preparation</t>
  </si>
  <si>
    <t>Primer/pair parameters</t>
  </si>
  <si>
    <t>DNA concentration (ng/uL)</t>
  </si>
  <si>
    <t>Fraction of non-target fragments depleted</t>
  </si>
  <si>
    <t>PCR primer length (bp)</t>
  </si>
  <si>
    <t>Sample volume (uL)</t>
  </si>
  <si>
    <t>Fraction of target fragments depleted</t>
  </si>
  <si>
    <t>Quantity DNA in sequencer (ng)</t>
  </si>
  <si>
    <t># of non-overlapping PCR targets</t>
  </si>
  <si>
    <t>Total mass DNA (ng)</t>
  </si>
  <si>
    <t>Total mass DNA post-depletion (ng)</t>
  </si>
  <si>
    <t># total fragments added to sequencer</t>
  </si>
  <si>
    <t># possible fragments</t>
  </si>
  <si>
    <t>Length of target genome (bp)</t>
  </si>
  <si>
    <t>DNA concentration post-depletion (ng/uL)</t>
  </si>
  <si>
    <t># target fragments added to sequencer</t>
  </si>
  <si>
    <t># possible fragments containing a target</t>
  </si>
  <si>
    <t># genome copies</t>
  </si>
  <si>
    <t># total fragments post-depletion</t>
  </si>
  <si>
    <t>PCR target fraction</t>
  </si>
  <si>
    <t>Avg. fragmentation (bp)</t>
  </si>
  <si>
    <t># target fragments post-depletion</t>
  </si>
  <si>
    <t>Throughput</t>
  </si>
  <si>
    <t># total fragments</t>
  </si>
  <si>
    <t>New target fraction</t>
  </si>
  <si>
    <t>Quantity DNA required for max throughput (ng)</t>
  </si>
  <si>
    <t>Read count per run</t>
  </si>
  <si>
    <t>Sample</t>
  </si>
  <si>
    <t># target fragments</t>
  </si>
  <si>
    <t>Time between strands at saturation (sec)</t>
  </si>
  <si>
    <t>Per fragment read length (bp)</t>
  </si>
  <si>
    <t>Total DNA post-extraction</t>
  </si>
  <si>
    <t xml:space="preserve">Target fraction </t>
  </si>
  <si>
    <t>Amplification</t>
  </si>
  <si>
    <t>Time between strands for amount DNA added (sec)</t>
  </si>
  <si>
    <t>Total Gbase sequenced</t>
  </si>
  <si>
    <t>Target mass (ng)</t>
  </si>
  <si>
    <t>Number of amplification cycles</t>
  </si>
  <si>
    <t>No. active nanopores /chip</t>
  </si>
  <si>
    <t># of target strands sequenced</t>
  </si>
  <si>
    <t># target genome fragments in sample</t>
  </si>
  <si>
    <t>Assuming a constant non-target background of 1000 ng and 200 uL of initial sample. Because comparing against a standard curve derived from copy numbers that were quantified post-extraction, concentration and sample loss due to extraction are not included.</t>
  </si>
  <si>
    <t>Defining enrichment here as a fold increase in the relative abundance of the target.</t>
  </si>
  <si>
    <t>Post-amplification total mass of DNA (ng)</t>
  </si>
  <si>
    <t>Speed (nucleotide/s)</t>
  </si>
  <si>
    <t xml:space="preserve">Raw accuracy </t>
  </si>
  <si>
    <t>&gt;95%</t>
  </si>
  <si>
    <t># qPCR targets in sample</t>
  </si>
  <si>
    <t>Show these figures to people in the house and see if they can understand them if I give a brief blurb beneath</t>
  </si>
  <si>
    <t>Extraction</t>
  </si>
  <si>
    <t># total fragments post-amplification</t>
  </si>
  <si>
    <t>Duration strands (sec)</t>
  </si>
  <si>
    <t>DNA concentration factor (x)</t>
  </si>
  <si>
    <t># target fragments post-amplification</t>
  </si>
  <si>
    <t>Total time/strand (sec)</t>
  </si>
  <si>
    <t>Results</t>
  </si>
  <si>
    <t>Estimated from plots here.</t>
  </si>
  <si>
    <t>Standard curve estimated from here</t>
  </si>
  <si>
    <t>Viral copies/uL</t>
  </si>
  <si>
    <t>Viral copies/uL (log10)</t>
  </si>
  <si>
    <t>Ct Value</t>
  </si>
  <si>
    <t>1M Reads</t>
  </si>
  <si>
    <t>10M Reads</t>
  </si>
  <si>
    <t>100M Reads</t>
  </si>
  <si>
    <t>Extraction recovery fraction</t>
  </si>
  <si>
    <t>Pore occupancy %</t>
  </si>
  <si>
    <t>Ct offset</t>
  </si>
  <si>
    <t>New total mass DNA (ng)</t>
  </si>
  <si>
    <t># strands /sec/pore</t>
  </si>
  <si>
    <t>Ct slope</t>
  </si>
  <si>
    <t># strands /sec/chip</t>
  </si>
  <si>
    <t>Ct  value</t>
  </si>
  <si>
    <t>New # total fragments</t>
  </si>
  <si>
    <t># strands /hr/chip</t>
  </si>
  <si>
    <t>New # target fragments</t>
  </si>
  <si>
    <t>Gbase /hr/chip</t>
  </si>
  <si>
    <t># hours sequencing</t>
  </si>
  <si>
    <t>[Leave these]</t>
  </si>
  <si>
    <t>Total # of reads</t>
  </si>
  <si>
    <t>% of strands processed</t>
  </si>
  <si>
    <t>Raw accuracy</t>
  </si>
  <si>
    <t>&gt;99%</t>
  </si>
  <si>
    <t>Nanopore</t>
  </si>
  <si>
    <t>SMO</t>
  </si>
  <si>
    <t>Fragmentation</t>
  </si>
  <si>
    <t>Total DNA quantity (ng)</t>
  </si>
  <si>
    <t># genome copies (fixed)</t>
  </si>
  <si>
    <t>Non-target depletion</t>
  </si>
  <si>
    <t>Jumpcode Data</t>
  </si>
  <si>
    <t>Experimented with changing the 0 read counts to 0.001 here.</t>
  </si>
  <si>
    <t>For 0 reads, estimating an expected read count from the trendline</t>
  </si>
  <si>
    <t>Same as data to left, minus ct values less than 25</t>
  </si>
  <si>
    <t>Read count</t>
  </si>
  <si>
    <t>Ct</t>
  </si>
  <si>
    <t>Note: I removed the values with zero reads… I don't like doing that but I can't plot on a logarithmic plot woth them….</t>
  </si>
  <si>
    <t>Now plotting only the range within the Ct values we're looking at…</t>
  </si>
  <si>
    <t>NA</t>
  </si>
  <si>
    <t>Performance at LOD of High-Sensitivity RT-qPCR COVID Tests</t>
  </si>
  <si>
    <t>The purpose of this sheet is to assess our detection sensitivity at the lower limit of detection of a highly sensitive qPCR COVID test, ~180 genome copies/mL. For reference, a typical lower bound for a 2-days pre-symptomatic person is ~300 copies/mL. 3 mL of sample is assumed. Note that background molecule estimates assume that only total RNA is being sequenced. Additionally, genome copies of the target are assumed to translate into 30 target molecules because COVID has a 30 kb genome</t>
  </si>
  <si>
    <t>Source for background estimates</t>
  </si>
  <si>
    <t>Source for COVID test LOD</t>
  </si>
  <si>
    <t>Source for pre-symptomatic titer estimates</t>
  </si>
  <si>
    <t>More pores</t>
  </si>
  <si>
    <t>Less background</t>
  </si>
  <si>
    <t>Less background, more concentration</t>
  </si>
  <si>
    <t>Less background, more conc, lower min NA input</t>
  </si>
  <si>
    <t>Less background, more conc, time between strands is constant</t>
  </si>
  <si>
    <t>Target Molecules</t>
  </si>
  <si>
    <t>Background molecules</t>
  </si>
  <si>
    <t>Total molecules</t>
  </si>
  <si>
    <t xml:space="preserve">Av. Length strands </t>
  </si>
  <si>
    <t>Mass dsDNA (g/mol/bp)</t>
  </si>
  <si>
    <t>Mass dsDNA (g/mol/strand)</t>
  </si>
  <si>
    <t>Mass dsDNA (ng)</t>
  </si>
  <si>
    <t>Sample volume (mL)</t>
  </si>
  <si>
    <t>DNA conc (ng/mL)</t>
  </si>
  <si>
    <t>DNA concentration (x)</t>
  </si>
  <si>
    <t>Sample making it through prep</t>
  </si>
  <si>
    <t>final conc (ng/mL)</t>
  </si>
  <si>
    <t>Volume sequencer (mL)</t>
  </si>
  <si>
    <t>No. molecules added to sequencer</t>
  </si>
  <si>
    <t>of which No. target molecules added</t>
  </si>
  <si>
    <t>of which No. background molecules added</t>
  </si>
  <si>
    <t>ng sample in sequencer</t>
  </si>
  <si>
    <t>Nanopore seq</t>
  </si>
  <si>
    <t>ng sample required for Max throughput</t>
  </si>
  <si>
    <t>Time between strands (sec) at saturation</t>
  </si>
  <si>
    <t>Time between strands for amount sample added (sec)
** this starts to break down if much more than 10% of strands are processed as Ton gets progressively longer</t>
  </si>
  <si>
    <t>Speed nt/s</t>
  </si>
  <si>
    <t>duration strands (sec)</t>
  </si>
  <si>
    <t>Total time/strand</t>
  </si>
  <si>
    <t>Pore Occupancy %</t>
  </si>
  <si>
    <t>no. strands /sec/pore</t>
  </si>
  <si>
    <t>no. strands /sec/chip</t>
  </si>
  <si>
    <t>no strands/ hr/chip</t>
  </si>
  <si>
    <t>no. hours sequencing</t>
  </si>
  <si>
    <t>total number of strands</t>
  </si>
  <si>
    <t>Total Gbase</t>
  </si>
  <si>
    <t>no. of target strands sequenced</t>
  </si>
  <si>
    <t>no chips</t>
  </si>
  <si>
    <t>\</t>
  </si>
  <si>
    <t>number of samples plexed</t>
  </si>
  <si>
    <t xml:space="preserve">Hours of nanopore time </t>
  </si>
  <si>
    <t>Monkeypox Case Study</t>
  </si>
  <si>
    <t>John Tyson from BC CDC said he got 3x monkeypox genome coverage from an untargeted, DNA-based 150 Gb Illumina run. This sheet models a similar target/non-target ratio on a nanopore sequencer.</t>
  </si>
  <si>
    <t>Same, but longer reads</t>
  </si>
  <si>
    <t>Time between strands for amount sample added (sec)
** this starts to break down if processing much more than 10% of strands are processed as Ton gets progressively longer</t>
  </si>
  <si>
    <t>no. of target strands</t>
  </si>
  <si>
    <t>Volume template used for reaction (uL)</t>
  </si>
  <si>
    <t>New total volume (uL)</t>
  </si>
  <si>
    <t>New DNA concentration (ng/uL)</t>
  </si>
  <si>
    <t>Volume in sequencer (uL)</t>
  </si>
  <si>
    <t>Post-amplification DNA concentration (ng/uL)</t>
  </si>
  <si>
    <t>Total template DNA in PCR reaction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</si>
</sst>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0%"/>
    <numFmt numFmtId="167" formatCode="0.00000"/>
    <numFmt numFmtId="168" formatCode="0.000000"/>
    <numFmt numFmtId="169" formatCode="#,##0.00000"/>
  </numFmts>
  <fonts count="13" x14ac:knownFonts="1">
    <font>
      <sz val="11"/>
      <color theme="1"/>
      <name val="Calibri"/>
      <family val="2"/>
      <scheme val="minor"/>
    </font>
    <font>
      <sz val="11"/>
      <color rgb="FFFF0000"/>
      <name val="Calibri"/>
      <family val="2"/>
      <scheme val="minor"/>
    </font>
    <font>
      <sz val="11"/>
      <color rgb="FF00B050"/>
      <name val="Calibri"/>
      <family val="2"/>
      <scheme val="minor"/>
    </font>
    <font>
      <sz val="15"/>
      <color rgb="FF0070C0"/>
      <name val="Calibri"/>
      <family val="2"/>
      <scheme val="minor"/>
    </font>
    <font>
      <u/>
      <sz val="11"/>
      <color theme="10"/>
      <name val="Calibri"/>
      <family val="2"/>
      <scheme val="minor"/>
    </font>
    <font>
      <sz val="11"/>
      <color rgb="FF444444"/>
      <name val="Calibri"/>
      <family val="2"/>
      <charset val="1"/>
    </font>
    <font>
      <sz val="11"/>
      <color rgb="FF000000"/>
      <name val="Calibri"/>
      <family val="2"/>
    </font>
    <font>
      <sz val="14"/>
      <color theme="1"/>
      <name val="Calibri"/>
      <family val="2"/>
      <scheme val="minor"/>
    </font>
    <font>
      <sz val="15"/>
      <color theme="1"/>
      <name val="Calibri"/>
      <family val="2"/>
      <scheme val="minor"/>
    </font>
    <font>
      <b/>
      <sz val="11"/>
      <color theme="1"/>
      <name val="Calibri"/>
      <family val="2"/>
      <scheme val="minor"/>
    </font>
    <font>
      <sz val="10"/>
      <color theme="1"/>
      <name val="Helvetica Neue"/>
      <family val="2"/>
    </font>
    <font>
      <sz val="18"/>
      <color theme="1"/>
      <name val="Calibri"/>
      <family val="2"/>
      <scheme val="minor"/>
    </font>
    <font>
      <sz val="11"/>
      <color rgb="FF000000"/>
      <name val="Calibri"/>
      <family val="2"/>
    </font>
  </fonts>
  <fills count="11">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9E1F2"/>
        <bgColor indexed="64"/>
      </patternFill>
    </fill>
    <fill>
      <patternFill patternType="solid">
        <fgColor rgb="FFFCE4D6"/>
        <bgColor indexed="64"/>
      </patternFill>
    </fill>
    <fill>
      <patternFill patternType="solid">
        <fgColor rgb="FF70AD47"/>
        <bgColor indexed="64"/>
      </patternFill>
    </fill>
    <fill>
      <patternFill patternType="solid">
        <fgColor rgb="FFFFF2CC"/>
        <bgColor indexed="64"/>
      </patternFill>
    </fill>
  </fills>
  <borders count="13">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79">
    <xf numFmtId="0" fontId="0" fillId="0" borderId="0" xfId="0"/>
    <xf numFmtId="0" fontId="0" fillId="2" borderId="0" xfId="0" applyFill="1"/>
    <xf numFmtId="9" fontId="0" fillId="0" borderId="0" xfId="0" applyNumberFormat="1"/>
    <xf numFmtId="3" fontId="0" fillId="0" borderId="0" xfId="0" applyNumberFormat="1"/>
    <xf numFmtId="3" fontId="0" fillId="2" borderId="0" xfId="0" applyNumberFormat="1" applyFill="1"/>
    <xf numFmtId="2" fontId="0" fillId="0" borderId="0" xfId="0" applyNumberFormat="1"/>
    <xf numFmtId="164" fontId="0" fillId="0" borderId="0" xfId="0" applyNumberFormat="1"/>
    <xf numFmtId="165" fontId="0" fillId="0" borderId="0" xfId="0" applyNumberFormat="1"/>
    <xf numFmtId="4" fontId="0" fillId="0" borderId="0" xfId="0" applyNumberFormat="1"/>
    <xf numFmtId="166" fontId="0" fillId="0" borderId="0" xfId="0" applyNumberFormat="1"/>
    <xf numFmtId="0" fontId="0" fillId="0" borderId="0" xfId="0" applyAlignment="1">
      <alignment wrapText="1"/>
    </xf>
    <xf numFmtId="0" fontId="0" fillId="3" borderId="0" xfId="0" applyFill="1"/>
    <xf numFmtId="167" fontId="0" fillId="0" borderId="0" xfId="0" applyNumberFormat="1"/>
    <xf numFmtId="0" fontId="2" fillId="0" borderId="0" xfId="0" applyFont="1"/>
    <xf numFmtId="0" fontId="3" fillId="4" borderId="0" xfId="0" applyFont="1" applyFill="1"/>
    <xf numFmtId="0" fontId="0" fillId="4" borderId="0" xfId="0" applyFill="1"/>
    <xf numFmtId="168" fontId="0" fillId="0" borderId="0" xfId="0" applyNumberFormat="1"/>
    <xf numFmtId="0" fontId="1" fillId="4" borderId="0" xfId="0" applyFont="1" applyFill="1"/>
    <xf numFmtId="0" fontId="0" fillId="4" borderId="0" xfId="0" applyFill="1" applyAlignment="1">
      <alignment horizontal="center"/>
    </xf>
    <xf numFmtId="0" fontId="1" fillId="4" borderId="0" xfId="0" applyFont="1" applyFill="1" applyAlignment="1">
      <alignment vertical="center"/>
    </xf>
    <xf numFmtId="169" fontId="0" fillId="0" borderId="0" xfId="0" applyNumberFormat="1"/>
    <xf numFmtId="0" fontId="0" fillId="0" borderId="0" xfId="0" applyAlignment="1">
      <alignment horizontal="left"/>
    </xf>
    <xf numFmtId="0" fontId="4" fillId="0" borderId="0" xfId="1" applyAlignment="1">
      <alignment wrapText="1"/>
    </xf>
    <xf numFmtId="0" fontId="0" fillId="5" borderId="0" xfId="0" applyFill="1"/>
    <xf numFmtId="0" fontId="0" fillId="6" borderId="0" xfId="0" applyFill="1"/>
    <xf numFmtId="164" fontId="0" fillId="2" borderId="0" xfId="0" applyNumberFormat="1" applyFill="1"/>
    <xf numFmtId="0" fontId="5" fillId="0" borderId="0" xfId="0" quotePrefix="1" applyFont="1"/>
    <xf numFmtId="0" fontId="0" fillId="0" borderId="0" xfId="0" applyAlignment="1">
      <alignment horizontal="center"/>
    </xf>
    <xf numFmtId="0" fontId="7" fillId="0" borderId="0" xfId="0" applyFont="1" applyAlignment="1">
      <alignment horizontal="center"/>
    </xf>
    <xf numFmtId="0" fontId="7" fillId="0" borderId="0" xfId="0" applyFont="1"/>
    <xf numFmtId="0" fontId="0" fillId="10" borderId="0" xfId="0" applyFill="1" applyAlignment="1">
      <alignment vertical="center" wrapText="1"/>
    </xf>
    <xf numFmtId="0" fontId="0" fillId="8" borderId="3" xfId="0" applyFill="1" applyBorder="1" applyAlignment="1">
      <alignment horizontal="left"/>
    </xf>
    <xf numFmtId="0" fontId="0" fillId="8" borderId="4" xfId="0" applyFill="1" applyBorder="1" applyAlignment="1">
      <alignment horizontal="center"/>
    </xf>
    <xf numFmtId="0" fontId="0" fillId="0" borderId="3" xfId="0" applyBorder="1"/>
    <xf numFmtId="0" fontId="0" fillId="10" borderId="4" xfId="0" applyFill="1" applyBorder="1"/>
    <xf numFmtId="0" fontId="0" fillId="0" borderId="3" xfId="0" applyBorder="1" applyAlignment="1">
      <alignment wrapText="1"/>
    </xf>
    <xf numFmtId="0" fontId="0" fillId="0" borderId="4" xfId="0" applyBorder="1"/>
    <xf numFmtId="0" fontId="0" fillId="8" borderId="3" xfId="0" applyFill="1" applyBorder="1"/>
    <xf numFmtId="0" fontId="0" fillId="8" borderId="4" xfId="0" applyFill="1" applyBorder="1"/>
    <xf numFmtId="0" fontId="0" fillId="0" borderId="5" xfId="0" applyBorder="1"/>
    <xf numFmtId="0" fontId="0" fillId="0" borderId="6" xfId="0" applyBorder="1"/>
    <xf numFmtId="0" fontId="0" fillId="8" borderId="3" xfId="0" applyFill="1" applyBorder="1" applyAlignment="1">
      <alignment horizontal="left" wrapText="1"/>
    </xf>
    <xf numFmtId="2" fontId="0" fillId="0" borderId="4" xfId="0" applyNumberFormat="1" applyBorder="1"/>
    <xf numFmtId="11" fontId="0" fillId="0" borderId="4" xfId="0" applyNumberFormat="1" applyBorder="1"/>
    <xf numFmtId="2" fontId="0" fillId="0" borderId="6" xfId="0" applyNumberFormat="1" applyBorder="1"/>
    <xf numFmtId="0" fontId="0" fillId="8" borderId="3" xfId="0" applyFill="1" applyBorder="1" applyAlignment="1">
      <alignment wrapText="1"/>
    </xf>
    <xf numFmtId="164" fontId="0" fillId="0" borderId="4" xfId="0" applyNumberFormat="1" applyBorder="1"/>
    <xf numFmtId="165" fontId="0" fillId="0" borderId="4" xfId="0" applyNumberFormat="1" applyBorder="1"/>
    <xf numFmtId="4" fontId="0" fillId="0" borderId="4" xfId="0" applyNumberFormat="1" applyBorder="1"/>
    <xf numFmtId="166" fontId="0" fillId="0" borderId="4" xfId="0" applyNumberFormat="1" applyBorder="1"/>
    <xf numFmtId="0" fontId="8" fillId="0" borderId="3" xfId="0" applyFont="1" applyBorder="1" applyAlignment="1">
      <alignment wrapText="1"/>
    </xf>
    <xf numFmtId="0" fontId="8" fillId="9" borderId="4" xfId="0" applyFont="1" applyFill="1" applyBorder="1"/>
    <xf numFmtId="10" fontId="0" fillId="0" borderId="6" xfId="0" applyNumberFormat="1" applyBorder="1"/>
    <xf numFmtId="0" fontId="8" fillId="0" borderId="4" xfId="0" applyFont="1" applyBorder="1"/>
    <xf numFmtId="0" fontId="9" fillId="0" borderId="0" xfId="0" applyFont="1"/>
    <xf numFmtId="0" fontId="0" fillId="5" borderId="4" xfId="0" applyFill="1" applyBorder="1"/>
    <xf numFmtId="0" fontId="10" fillId="0" borderId="0" xfId="0" applyFont="1"/>
    <xf numFmtId="0" fontId="4" fillId="0" borderId="0" xfId="1" applyFill="1" applyBorder="1" applyAlignment="1">
      <alignment wrapText="1"/>
    </xf>
    <xf numFmtId="0" fontId="11" fillId="0" borderId="0" xfId="0" applyFont="1" applyAlignment="1">
      <alignment vertical="center"/>
    </xf>
    <xf numFmtId="0" fontId="12" fillId="0" borderId="0" xfId="0" applyFont="1" applyAlignment="1">
      <alignment wrapText="1"/>
    </xf>
    <xf numFmtId="0" fontId="0" fillId="8" borderId="9" xfId="0" applyFill="1" applyBorder="1" applyAlignment="1">
      <alignment horizontal="left"/>
    </xf>
    <xf numFmtId="0" fontId="0" fillId="8" borderId="10" xfId="0" applyFill="1" applyBorder="1" applyAlignment="1">
      <alignment horizontal="center"/>
    </xf>
    <xf numFmtId="0" fontId="0" fillId="0" borderId="9" xfId="0" applyBorder="1"/>
    <xf numFmtId="0" fontId="0" fillId="10" borderId="10" xfId="0" applyFill="1" applyBorder="1"/>
    <xf numFmtId="0" fontId="0" fillId="0" borderId="9" xfId="0" applyBorder="1" applyAlignment="1">
      <alignment wrapText="1"/>
    </xf>
    <xf numFmtId="0" fontId="0" fillId="0" borderId="10" xfId="0" applyBorder="1"/>
    <xf numFmtId="0" fontId="0" fillId="8" borderId="9" xfId="0" applyFill="1" applyBorder="1"/>
    <xf numFmtId="0" fontId="0" fillId="8" borderId="10" xfId="0" applyFill="1" applyBorder="1"/>
    <xf numFmtId="0" fontId="4" fillId="8" borderId="10" xfId="1" applyFill="1" applyBorder="1" applyAlignment="1">
      <alignment wrapText="1"/>
    </xf>
    <xf numFmtId="0" fontId="8" fillId="0" borderId="11" xfId="0" applyFont="1" applyBorder="1"/>
    <xf numFmtId="0" fontId="8" fillId="0" borderId="12" xfId="0" applyFont="1" applyBorder="1"/>
    <xf numFmtId="0" fontId="6" fillId="0" borderId="5" xfId="0" applyFont="1" applyBorder="1" applyAlignment="1">
      <alignment wrapText="1"/>
    </xf>
    <xf numFmtId="0" fontId="0" fillId="5" borderId="10" xfId="0" applyFill="1" applyBorder="1"/>
    <xf numFmtId="0" fontId="0" fillId="0" borderId="0" xfId="0" applyAlignment="1">
      <alignment horizontal="left" wrapText="1"/>
    </xf>
    <xf numFmtId="0" fontId="7" fillId="7" borderId="1" xfId="0" applyFont="1" applyFill="1" applyBorder="1" applyAlignment="1">
      <alignment horizontal="center"/>
    </xf>
    <xf numFmtId="0" fontId="7" fillId="7" borderId="2" xfId="0" applyFont="1" applyFill="1" applyBorder="1" applyAlignment="1">
      <alignment horizontal="center"/>
    </xf>
    <xf numFmtId="0" fontId="7" fillId="7" borderId="7" xfId="0" applyFont="1" applyFill="1" applyBorder="1" applyAlignment="1">
      <alignment horizontal="center"/>
    </xf>
    <xf numFmtId="0" fontId="7" fillId="7" borderId="8" xfId="0" applyFont="1" applyFill="1" applyBorder="1" applyAlignment="1">
      <alignment horizontal="center"/>
    </xf>
    <xf numFmtId="0" fontId="1" fillId="4" borderId="0" xfId="0" applyFont="1" applyFill="1" applyAlignment="1">
      <alignment horizontal="center"/>
    </xf>
  </cellXfs>
  <cellStyles count="2">
    <cellStyle name="Hyperlink" xfId="1" builtinId="8"/>
    <cellStyle name="Normal" xfId="0" builtinId="0"/>
  </cellStyles>
  <dxfs count="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Sequencing</a:t>
            </a:r>
            <a:r>
              <a:rPr lang="en-US" baseline="0"/>
              <a:t> sensitivity decreases </a:t>
            </a:r>
            <a:r>
              <a:rPr lang="en-US"/>
              <a:t>as non-target DNA quantity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Model Rough Draft'!$AE$44</c:f>
              <c:strCache>
                <c:ptCount val="1"/>
                <c:pt idx="0">
                  <c:v>Nanopore</c:v>
                </c:pt>
              </c:strCache>
            </c:strRef>
          </c:tx>
          <c:spPr>
            <a:ln w="19050" cap="rnd">
              <a:solidFill>
                <a:schemeClr val="accent1"/>
              </a:solidFill>
              <a:round/>
            </a:ln>
            <a:effectLst/>
          </c:spPr>
          <c:marker>
            <c:symbol val="none"/>
          </c:marker>
          <c:xVal>
            <c:numRef>
              <c:f>'Master Model Rough Draft'!$AD$45:$AD$50</c:f>
              <c:numCache>
                <c:formatCode>General</c:formatCode>
                <c:ptCount val="6"/>
                <c:pt idx="0">
                  <c:v>1</c:v>
                </c:pt>
                <c:pt idx="1">
                  <c:v>5</c:v>
                </c:pt>
                <c:pt idx="2">
                  <c:v>10</c:v>
                </c:pt>
                <c:pt idx="3">
                  <c:v>25</c:v>
                </c:pt>
                <c:pt idx="4">
                  <c:v>50</c:v>
                </c:pt>
                <c:pt idx="5">
                  <c:v>100</c:v>
                </c:pt>
              </c:numCache>
            </c:numRef>
          </c:xVal>
          <c:yVal>
            <c:numRef>
              <c:f>'Master Model Rough Draft'!$AE$45:$AE$50</c:f>
              <c:numCache>
                <c:formatCode>General</c:formatCode>
                <c:ptCount val="6"/>
                <c:pt idx="0">
                  <c:v>22.42</c:v>
                </c:pt>
                <c:pt idx="1">
                  <c:v>4.4800000000000004</c:v>
                </c:pt>
                <c:pt idx="2">
                  <c:v>2.2400000000000002</c:v>
                </c:pt>
                <c:pt idx="3">
                  <c:v>0.89</c:v>
                </c:pt>
                <c:pt idx="4">
                  <c:v>0.45</c:v>
                </c:pt>
                <c:pt idx="5">
                  <c:v>0.22</c:v>
                </c:pt>
              </c:numCache>
            </c:numRef>
          </c:yVal>
          <c:smooth val="1"/>
          <c:extLst>
            <c:ext xmlns:c16="http://schemas.microsoft.com/office/drawing/2014/chart" uri="{C3380CC4-5D6E-409C-BE32-E72D297353CC}">
              <c16:uniqueId val="{00000001-5E10-4780-9FD2-689E1413CEBD}"/>
            </c:ext>
          </c:extLst>
        </c:ser>
        <c:ser>
          <c:idx val="1"/>
          <c:order val="1"/>
          <c:tx>
            <c:strRef>
              <c:f>'Master Model Rough Draft'!$AF$44</c:f>
              <c:strCache>
                <c:ptCount val="1"/>
                <c:pt idx="0">
                  <c:v>SMO</c:v>
                </c:pt>
              </c:strCache>
            </c:strRef>
          </c:tx>
          <c:spPr>
            <a:ln w="19050" cap="rnd">
              <a:solidFill>
                <a:schemeClr val="accent2"/>
              </a:solidFill>
              <a:round/>
            </a:ln>
            <a:effectLst/>
          </c:spPr>
          <c:marker>
            <c:symbol val="none"/>
          </c:marker>
          <c:xVal>
            <c:numRef>
              <c:f>'Master Model Rough Draft'!$AD$45:$AD$50</c:f>
              <c:numCache>
                <c:formatCode>General</c:formatCode>
                <c:ptCount val="6"/>
                <c:pt idx="0">
                  <c:v>1</c:v>
                </c:pt>
                <c:pt idx="1">
                  <c:v>5</c:v>
                </c:pt>
                <c:pt idx="2">
                  <c:v>10</c:v>
                </c:pt>
                <c:pt idx="3">
                  <c:v>25</c:v>
                </c:pt>
                <c:pt idx="4">
                  <c:v>50</c:v>
                </c:pt>
                <c:pt idx="5">
                  <c:v>100</c:v>
                </c:pt>
              </c:numCache>
            </c:numRef>
          </c:xVal>
          <c:yVal>
            <c:numRef>
              <c:f>'Master Model Rough Draft'!$AF$45:$AF$50</c:f>
              <c:numCache>
                <c:formatCode>General</c:formatCode>
                <c:ptCount val="6"/>
                <c:pt idx="0">
                  <c:v>49.84</c:v>
                </c:pt>
                <c:pt idx="1">
                  <c:v>9.9600000000000009</c:v>
                </c:pt>
                <c:pt idx="2">
                  <c:v>4.9800000000000004</c:v>
                </c:pt>
                <c:pt idx="3">
                  <c:v>1.99</c:v>
                </c:pt>
                <c:pt idx="4">
                  <c:v>1</c:v>
                </c:pt>
                <c:pt idx="5">
                  <c:v>0.5</c:v>
                </c:pt>
              </c:numCache>
            </c:numRef>
          </c:yVal>
          <c:smooth val="1"/>
          <c:extLst>
            <c:ext xmlns:c16="http://schemas.microsoft.com/office/drawing/2014/chart" uri="{C3380CC4-5D6E-409C-BE32-E72D297353CC}">
              <c16:uniqueId val="{00000003-5E10-4780-9FD2-689E1413CEBD}"/>
            </c:ext>
          </c:extLst>
        </c:ser>
        <c:dLbls>
          <c:showLegendKey val="0"/>
          <c:showVal val="0"/>
          <c:showCatName val="0"/>
          <c:showSerName val="0"/>
          <c:showPercent val="0"/>
          <c:showBubbleSize val="0"/>
        </c:dLbls>
        <c:axId val="2118004183"/>
        <c:axId val="1583491864"/>
      </c:scatterChart>
      <c:valAx>
        <c:axId val="2118004183"/>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Non-target DNA (ng)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491864"/>
        <c:crosses val="autoZero"/>
        <c:crossBetween val="midCat"/>
      </c:valAx>
      <c:valAx>
        <c:axId val="1583491864"/>
        <c:scaling>
          <c:orientation val="minMax"/>
          <c:max val="5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r>
                  <a:rPr lang="en-US" baseline="0"/>
                  <a:t> read count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04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Nanopore target read count increases with smaller fragments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Nanopore (125 Pores, 1 hr)</c:v>
          </c:tx>
          <c:spPr>
            <a:ln w="19050" cap="rnd">
              <a:solidFill>
                <a:schemeClr val="accent1"/>
              </a:solidFill>
              <a:round/>
            </a:ln>
            <a:effectLst/>
          </c:spPr>
          <c:marker>
            <c:symbol val="none"/>
          </c:marker>
          <c:xVal>
            <c:numRef>
              <c:f>'Master Model Rough Draft'!$R$45:$R$49</c:f>
              <c:numCache>
                <c:formatCode>General</c:formatCode>
                <c:ptCount val="5"/>
                <c:pt idx="0">
                  <c:v>2500</c:v>
                </c:pt>
                <c:pt idx="1">
                  <c:v>1000</c:v>
                </c:pt>
                <c:pt idx="2">
                  <c:v>500</c:v>
                </c:pt>
                <c:pt idx="3">
                  <c:v>250</c:v>
                </c:pt>
                <c:pt idx="4">
                  <c:v>125</c:v>
                </c:pt>
              </c:numCache>
            </c:numRef>
          </c:xVal>
          <c:yVal>
            <c:numRef>
              <c:f>'Master Model Rough Draft'!$S$45:$S$49</c:f>
              <c:numCache>
                <c:formatCode>General</c:formatCode>
                <c:ptCount val="5"/>
                <c:pt idx="0">
                  <c:v>0.44800000000000001</c:v>
                </c:pt>
                <c:pt idx="1">
                  <c:v>1.1220000000000001</c:v>
                </c:pt>
                <c:pt idx="2">
                  <c:v>2.2429999999999999</c:v>
                </c:pt>
                <c:pt idx="3">
                  <c:v>4.4859999999999998</c:v>
                </c:pt>
                <c:pt idx="4">
                  <c:v>8.9710000000000001</c:v>
                </c:pt>
              </c:numCache>
            </c:numRef>
          </c:yVal>
          <c:smooth val="1"/>
          <c:extLst>
            <c:ext xmlns:c16="http://schemas.microsoft.com/office/drawing/2014/chart" uri="{C3380CC4-5D6E-409C-BE32-E72D297353CC}">
              <c16:uniqueId val="{00000001-9B24-4BFB-9FEC-74FF15B84DD0}"/>
            </c:ext>
          </c:extLst>
        </c:ser>
        <c:ser>
          <c:idx val="1"/>
          <c:order val="1"/>
          <c:tx>
            <c:v>Single Molecule Optical (1M Reads)</c:v>
          </c:tx>
          <c:spPr>
            <a:ln w="19050" cap="rnd">
              <a:solidFill>
                <a:schemeClr val="accent2"/>
              </a:solidFill>
              <a:round/>
            </a:ln>
            <a:effectLst/>
          </c:spPr>
          <c:marker>
            <c:symbol val="none"/>
          </c:marker>
          <c:xVal>
            <c:numRef>
              <c:f>'Master Model Rough Draft'!$R$45:$R$49</c:f>
              <c:numCache>
                <c:formatCode>General</c:formatCode>
                <c:ptCount val="5"/>
                <c:pt idx="0">
                  <c:v>2500</c:v>
                </c:pt>
                <c:pt idx="1">
                  <c:v>1000</c:v>
                </c:pt>
                <c:pt idx="2">
                  <c:v>500</c:v>
                </c:pt>
                <c:pt idx="3">
                  <c:v>250</c:v>
                </c:pt>
                <c:pt idx="4">
                  <c:v>125</c:v>
                </c:pt>
              </c:numCache>
            </c:numRef>
          </c:xVal>
          <c:yVal>
            <c:numRef>
              <c:f>'Master Model Rough Draft'!$T$45:$T$49</c:f>
              <c:numCache>
                <c:formatCode>General</c:formatCode>
                <c:ptCount val="5"/>
                <c:pt idx="0">
                  <c:v>4.9800000000000004</c:v>
                </c:pt>
                <c:pt idx="1">
                  <c:v>4.9800000000000004</c:v>
                </c:pt>
                <c:pt idx="2">
                  <c:v>4.9800000000000004</c:v>
                </c:pt>
                <c:pt idx="3">
                  <c:v>4.9800000000000004</c:v>
                </c:pt>
                <c:pt idx="4">
                  <c:v>4.9800000000000004</c:v>
                </c:pt>
              </c:numCache>
            </c:numRef>
          </c:yVal>
          <c:smooth val="1"/>
          <c:extLst>
            <c:ext xmlns:c16="http://schemas.microsoft.com/office/drawing/2014/chart" uri="{C3380CC4-5D6E-409C-BE32-E72D297353CC}">
              <c16:uniqueId val="{00000003-9B24-4BFB-9FEC-74FF15B84DD0}"/>
            </c:ext>
          </c:extLst>
        </c:ser>
        <c:dLbls>
          <c:showLegendKey val="0"/>
          <c:showVal val="0"/>
          <c:showCatName val="0"/>
          <c:showSerName val="0"/>
          <c:showPercent val="0"/>
          <c:showBubbleSize val="0"/>
        </c:dLbls>
        <c:axId val="1989558535"/>
        <c:axId val="1989598375"/>
      </c:scatterChart>
      <c:valAx>
        <c:axId val="1989558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Fragment length (bp)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98375"/>
        <c:crosses val="autoZero"/>
        <c:crossBetween val="midCat"/>
      </c:valAx>
      <c:valAx>
        <c:axId val="1989598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 read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55853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sequencing vs qPCR as total reads</a:t>
            </a:r>
            <a:r>
              <a:rPr lang="en-US" baseline="0"/>
              <a:t> </a:t>
            </a:r>
            <a:r>
              <a:rPr lang="en-US"/>
              <a:t>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'Master Model Rough Draft'!$V$17</c:f>
              <c:strCache>
                <c:ptCount val="1"/>
                <c:pt idx="0">
                  <c:v>1M Reads</c:v>
                </c:pt>
              </c:strCache>
            </c:strRef>
          </c:tx>
          <c:spPr>
            <a:ln w="19050" cap="rnd">
              <a:solidFill>
                <a:schemeClr val="accent4"/>
              </a:solidFill>
              <a:round/>
            </a:ln>
            <a:effectLst/>
          </c:spPr>
          <c:marker>
            <c:symbol val="circ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Draft'!$V$18:$V$25</c:f>
              <c:numCache>
                <c:formatCode>General</c:formatCode>
                <c:ptCount val="8"/>
                <c:pt idx="0">
                  <c:v>6.2E-4</c:v>
                </c:pt>
                <c:pt idx="2">
                  <c:v>6.1999999999999998E-3</c:v>
                </c:pt>
                <c:pt idx="3">
                  <c:v>6.2E-2</c:v>
                </c:pt>
                <c:pt idx="4">
                  <c:v>0.62</c:v>
                </c:pt>
                <c:pt idx="5">
                  <c:v>6.2</c:v>
                </c:pt>
                <c:pt idx="6">
                  <c:v>62</c:v>
                </c:pt>
                <c:pt idx="7">
                  <c:v>620</c:v>
                </c:pt>
              </c:numCache>
            </c:numRef>
          </c:yVal>
          <c:smooth val="0"/>
          <c:extLst>
            <c:ext xmlns:c16="http://schemas.microsoft.com/office/drawing/2014/chart" uri="{C3380CC4-5D6E-409C-BE32-E72D297353CC}">
              <c16:uniqueId val="{00000001-1E2F-BD42-9932-9292783D5370}"/>
            </c:ext>
          </c:extLst>
        </c:ser>
        <c:ser>
          <c:idx val="2"/>
          <c:order val="1"/>
          <c:tx>
            <c:strRef>
              <c:f>'Master Model Rough Draft'!$W$17</c:f>
              <c:strCache>
                <c:ptCount val="1"/>
                <c:pt idx="0">
                  <c:v>10M Reads</c:v>
                </c:pt>
              </c:strCache>
            </c:strRef>
          </c:tx>
          <c:spPr>
            <a:ln w="19050" cap="rnd">
              <a:solidFill>
                <a:schemeClr val="accent2"/>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Draft'!$W$18:$W$25</c:f>
              <c:numCache>
                <c:formatCode>General</c:formatCode>
                <c:ptCount val="8"/>
                <c:pt idx="0">
                  <c:v>6.1999999999999998E-3</c:v>
                </c:pt>
                <c:pt idx="2">
                  <c:v>6.2E-2</c:v>
                </c:pt>
                <c:pt idx="3">
                  <c:v>0.62</c:v>
                </c:pt>
                <c:pt idx="4">
                  <c:v>6.2</c:v>
                </c:pt>
                <c:pt idx="5">
                  <c:v>62</c:v>
                </c:pt>
                <c:pt idx="6">
                  <c:v>620</c:v>
                </c:pt>
                <c:pt idx="7">
                  <c:v>6200</c:v>
                </c:pt>
              </c:numCache>
            </c:numRef>
          </c:yVal>
          <c:smooth val="0"/>
          <c:extLst>
            <c:ext xmlns:c16="http://schemas.microsoft.com/office/drawing/2014/chart" uri="{C3380CC4-5D6E-409C-BE32-E72D297353CC}">
              <c16:uniqueId val="{00000002-1E2F-BD42-9932-9292783D5370}"/>
            </c:ext>
          </c:extLst>
        </c:ser>
        <c:ser>
          <c:idx val="3"/>
          <c:order val="2"/>
          <c:tx>
            <c:strRef>
              <c:f>'Master Model Rough Draft'!$X$17</c:f>
              <c:strCache>
                <c:ptCount val="1"/>
                <c:pt idx="0">
                  <c:v>100M Reads</c:v>
                </c:pt>
              </c:strCache>
            </c:strRef>
          </c:tx>
          <c:spPr>
            <a:ln w="19050" cap="rnd">
              <a:solidFill>
                <a:srgbClr val="C00000"/>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Draft'!$X$18:$X$25</c:f>
              <c:numCache>
                <c:formatCode>General</c:formatCode>
                <c:ptCount val="8"/>
                <c:pt idx="0">
                  <c:v>6.2E-2</c:v>
                </c:pt>
                <c:pt idx="2">
                  <c:v>0.62</c:v>
                </c:pt>
                <c:pt idx="3">
                  <c:v>6.2</c:v>
                </c:pt>
                <c:pt idx="4">
                  <c:v>62</c:v>
                </c:pt>
                <c:pt idx="5">
                  <c:v>620</c:v>
                </c:pt>
                <c:pt idx="6">
                  <c:v>6200</c:v>
                </c:pt>
                <c:pt idx="7">
                  <c:v>62000</c:v>
                </c:pt>
              </c:numCache>
            </c:numRef>
          </c:yVal>
          <c:smooth val="0"/>
          <c:extLst>
            <c:ext xmlns:c16="http://schemas.microsoft.com/office/drawing/2014/chart" uri="{C3380CC4-5D6E-409C-BE32-E72D297353CC}">
              <c16:uniqueId val="{00000003-1E2F-BD42-9932-9292783D5370}"/>
            </c:ext>
          </c:extLst>
        </c:ser>
        <c:ser>
          <c:idx val="4"/>
          <c:order val="4"/>
          <c:tx>
            <c:v>qPCR Negative</c:v>
          </c:tx>
          <c:spPr>
            <a:ln w="19050" cap="rnd">
              <a:solidFill>
                <a:srgbClr val="00B050"/>
              </a:solidFill>
              <a:prstDash val="dash"/>
              <a:round/>
            </a:ln>
            <a:effectLst/>
          </c:spPr>
          <c:marker>
            <c:symbol val="circle"/>
            <c:size val="5"/>
            <c:spPr>
              <a:noFill/>
              <a:ln w="9525">
                <a:noFill/>
              </a:ln>
              <a:effectLst/>
            </c:spPr>
          </c:marker>
          <c:xVal>
            <c:numRef>
              <c:f>'Master Model Rough Draft'!$R$27:$R$28</c:f>
              <c:numCache>
                <c:formatCode>General</c:formatCode>
                <c:ptCount val="2"/>
                <c:pt idx="0">
                  <c:v>40</c:v>
                </c:pt>
                <c:pt idx="1">
                  <c:v>40</c:v>
                </c:pt>
              </c:numCache>
            </c:numRef>
          </c:xVal>
          <c:yVal>
            <c:numRef>
              <c:f>'Master Model Rough Draft'!$S$27:$S$28</c:f>
              <c:numCache>
                <c:formatCode>General</c:formatCode>
                <c:ptCount val="2"/>
                <c:pt idx="0">
                  <c:v>10000000</c:v>
                </c:pt>
                <c:pt idx="1">
                  <c:v>1E-4</c:v>
                </c:pt>
              </c:numCache>
            </c:numRef>
          </c:yVal>
          <c:smooth val="0"/>
          <c:extLst>
            <c:ext xmlns:c16="http://schemas.microsoft.com/office/drawing/2014/chart" uri="{C3380CC4-5D6E-409C-BE32-E72D297353CC}">
              <c16:uniqueId val="{0000000F-1E2F-BD42-9932-9292783D5370}"/>
            </c:ext>
          </c:extLst>
        </c:ser>
        <c:ser>
          <c:idx val="6"/>
          <c:order val="5"/>
          <c:tx>
            <c:v>Seq detection threshold</c:v>
          </c:tx>
          <c:spPr>
            <a:ln w="19050" cap="rnd">
              <a:solidFill>
                <a:srgbClr val="FF0000"/>
              </a:solidFill>
              <a:prstDash val="dash"/>
              <a:round/>
            </a:ln>
            <a:effectLst/>
          </c:spPr>
          <c:marker>
            <c:symbol val="circle"/>
            <c:size val="5"/>
            <c:spPr>
              <a:noFill/>
              <a:ln w="9525">
                <a:noFill/>
              </a:ln>
              <a:effectLst/>
            </c:spPr>
          </c:marker>
          <c:xVal>
            <c:numRef>
              <c:f>'Master Model Rough Draft'!$U$27:$U$28</c:f>
              <c:numCache>
                <c:formatCode>General</c:formatCode>
                <c:ptCount val="2"/>
                <c:pt idx="0">
                  <c:v>22</c:v>
                </c:pt>
                <c:pt idx="1">
                  <c:v>48</c:v>
                </c:pt>
              </c:numCache>
            </c:numRef>
          </c:xVal>
          <c:yVal>
            <c:numRef>
              <c:f>'Master Model Rough Draft'!$V$27:$V$28</c:f>
              <c:numCache>
                <c:formatCode>General</c:formatCode>
                <c:ptCount val="2"/>
                <c:pt idx="0">
                  <c:v>3</c:v>
                </c:pt>
                <c:pt idx="1">
                  <c:v>3</c:v>
                </c:pt>
              </c:numCache>
            </c:numRef>
          </c:yVal>
          <c:smooth val="0"/>
          <c:extLst>
            <c:ext xmlns:c16="http://schemas.microsoft.com/office/drawing/2014/chart" uri="{C3380CC4-5D6E-409C-BE32-E72D297353CC}">
              <c16:uniqueId val="{00000012-1E2F-BD42-9932-9292783D5370}"/>
            </c:ext>
          </c:extLst>
        </c:ser>
        <c:ser>
          <c:idx val="7"/>
          <c:order val="6"/>
          <c:tx>
            <c:v>Jumpcode Paper Data</c:v>
          </c:tx>
          <c:spPr>
            <a:ln w="19050" cap="rnd">
              <a:noFill/>
              <a:round/>
            </a:ln>
            <a:effectLst/>
          </c:spPr>
          <c:marker>
            <c:symbol val="none"/>
          </c:marker>
          <c:trendline>
            <c:spPr>
              <a:ln w="19050" cap="rnd">
                <a:solidFill>
                  <a:srgbClr val="7030A0"/>
                </a:solidFill>
                <a:prstDash val="solid"/>
              </a:ln>
              <a:effectLst/>
            </c:spPr>
            <c:trendlineType val="exp"/>
            <c:dispRSqr val="0"/>
            <c:dispEq val="0"/>
          </c:trendline>
          <c:xVal>
            <c:numRef>
              <c:f>'Master Model Rough Draft'!$Q$71:$Q$144</c:f>
              <c:numCache>
                <c:formatCode>General</c:formatCode>
                <c:ptCount val="74"/>
                <c:pt idx="0">
                  <c:v>25.65</c:v>
                </c:pt>
                <c:pt idx="1">
                  <c:v>25.65</c:v>
                </c:pt>
                <c:pt idx="2">
                  <c:v>25.65</c:v>
                </c:pt>
                <c:pt idx="3">
                  <c:v>26.53</c:v>
                </c:pt>
                <c:pt idx="4">
                  <c:v>26.53</c:v>
                </c:pt>
                <c:pt idx="5">
                  <c:v>26.53</c:v>
                </c:pt>
                <c:pt idx="6">
                  <c:v>26.94</c:v>
                </c:pt>
                <c:pt idx="7">
                  <c:v>26.94</c:v>
                </c:pt>
                <c:pt idx="8">
                  <c:v>26.94</c:v>
                </c:pt>
                <c:pt idx="9">
                  <c:v>26.94</c:v>
                </c:pt>
                <c:pt idx="10">
                  <c:v>26.94</c:v>
                </c:pt>
                <c:pt idx="11">
                  <c:v>26.94</c:v>
                </c:pt>
                <c:pt idx="12">
                  <c:v>27.58</c:v>
                </c:pt>
                <c:pt idx="13">
                  <c:v>27.58</c:v>
                </c:pt>
                <c:pt idx="14">
                  <c:v>27.58</c:v>
                </c:pt>
                <c:pt idx="15">
                  <c:v>27.79</c:v>
                </c:pt>
                <c:pt idx="16">
                  <c:v>27.79</c:v>
                </c:pt>
                <c:pt idx="17">
                  <c:v>27.79</c:v>
                </c:pt>
                <c:pt idx="18">
                  <c:v>28.89</c:v>
                </c:pt>
                <c:pt idx="19">
                  <c:v>28.89</c:v>
                </c:pt>
                <c:pt idx="20">
                  <c:v>28.89</c:v>
                </c:pt>
                <c:pt idx="21">
                  <c:v>30.38</c:v>
                </c:pt>
                <c:pt idx="22">
                  <c:v>30.38</c:v>
                </c:pt>
                <c:pt idx="23">
                  <c:v>30.38</c:v>
                </c:pt>
                <c:pt idx="24">
                  <c:v>32.35</c:v>
                </c:pt>
                <c:pt idx="25">
                  <c:v>32.35</c:v>
                </c:pt>
                <c:pt idx="26">
                  <c:v>32.35</c:v>
                </c:pt>
                <c:pt idx="27">
                  <c:v>33.450000000000003</c:v>
                </c:pt>
                <c:pt idx="28">
                  <c:v>33.450000000000003</c:v>
                </c:pt>
                <c:pt idx="29">
                  <c:v>33.450000000000003</c:v>
                </c:pt>
                <c:pt idx="30">
                  <c:v>33.479999999999997</c:v>
                </c:pt>
                <c:pt idx="31">
                  <c:v>33.479999999999997</c:v>
                </c:pt>
                <c:pt idx="32">
                  <c:v>33.479999999999997</c:v>
                </c:pt>
                <c:pt idx="33">
                  <c:v>34.26</c:v>
                </c:pt>
                <c:pt idx="34">
                  <c:v>34.26</c:v>
                </c:pt>
                <c:pt idx="35">
                  <c:v>34.26</c:v>
                </c:pt>
                <c:pt idx="36">
                  <c:v>35</c:v>
                </c:pt>
                <c:pt idx="37">
                  <c:v>35</c:v>
                </c:pt>
                <c:pt idx="38">
                  <c:v>35</c:v>
                </c:pt>
                <c:pt idx="39">
                  <c:v>36.04</c:v>
                </c:pt>
                <c:pt idx="40">
                  <c:v>36.04</c:v>
                </c:pt>
                <c:pt idx="41">
                  <c:v>36.04</c:v>
                </c:pt>
                <c:pt idx="42">
                  <c:v>36.770000000000003</c:v>
                </c:pt>
                <c:pt idx="43">
                  <c:v>36.770000000000003</c:v>
                </c:pt>
                <c:pt idx="44">
                  <c:v>36.770000000000003</c:v>
                </c:pt>
                <c:pt idx="45">
                  <c:v>36.85</c:v>
                </c:pt>
                <c:pt idx="46">
                  <c:v>36.85</c:v>
                </c:pt>
                <c:pt idx="47">
                  <c:v>36.85</c:v>
                </c:pt>
                <c:pt idx="48">
                  <c:v>37.04</c:v>
                </c:pt>
                <c:pt idx="49">
                  <c:v>37.04</c:v>
                </c:pt>
                <c:pt idx="50">
                  <c:v>37.04</c:v>
                </c:pt>
                <c:pt idx="51">
                  <c:v>37.08</c:v>
                </c:pt>
                <c:pt idx="52">
                  <c:v>37.08</c:v>
                </c:pt>
                <c:pt idx="53">
                  <c:v>37.08</c:v>
                </c:pt>
                <c:pt idx="54">
                  <c:v>37.56</c:v>
                </c:pt>
                <c:pt idx="55">
                  <c:v>37.56</c:v>
                </c:pt>
                <c:pt idx="56">
                  <c:v>37.56</c:v>
                </c:pt>
                <c:pt idx="57">
                  <c:v>38.74</c:v>
                </c:pt>
                <c:pt idx="58">
                  <c:v>38.74</c:v>
                </c:pt>
                <c:pt idx="59">
                  <c:v>38.74</c:v>
                </c:pt>
                <c:pt idx="60">
                  <c:v>38.78</c:v>
                </c:pt>
                <c:pt idx="61">
                  <c:v>38.78</c:v>
                </c:pt>
                <c:pt idx="62">
                  <c:v>38.78</c:v>
                </c:pt>
                <c:pt idx="63">
                  <c:v>38.880000000000003</c:v>
                </c:pt>
                <c:pt idx="64">
                  <c:v>38.880000000000003</c:v>
                </c:pt>
                <c:pt idx="65">
                  <c:v>38.880000000000003</c:v>
                </c:pt>
                <c:pt idx="66">
                  <c:v>38.93</c:v>
                </c:pt>
                <c:pt idx="67">
                  <c:v>38.93</c:v>
                </c:pt>
                <c:pt idx="68">
                  <c:v>38.93</c:v>
                </c:pt>
                <c:pt idx="69">
                  <c:v>39.15</c:v>
                </c:pt>
                <c:pt idx="70">
                  <c:v>39.15</c:v>
                </c:pt>
                <c:pt idx="71">
                  <c:v>39.15</c:v>
                </c:pt>
                <c:pt idx="72">
                  <c:v>39.270000000000003</c:v>
                </c:pt>
                <c:pt idx="73">
                  <c:v>39.270000000000003</c:v>
                </c:pt>
              </c:numCache>
            </c:numRef>
          </c:xVal>
          <c:yVal>
            <c:numRef>
              <c:f>'Master Model Rough Draft'!$R$71:$R$144</c:f>
              <c:numCache>
                <c:formatCode>General</c:formatCode>
                <c:ptCount val="74"/>
                <c:pt idx="0">
                  <c:v>2039.8</c:v>
                </c:pt>
                <c:pt idx="1">
                  <c:v>17886.7</c:v>
                </c:pt>
                <c:pt idx="2">
                  <c:v>25931.4</c:v>
                </c:pt>
                <c:pt idx="3">
                  <c:v>9242.7000000000007</c:v>
                </c:pt>
                <c:pt idx="4">
                  <c:v>34573.300000000003</c:v>
                </c:pt>
                <c:pt idx="5">
                  <c:v>36439.199999999997</c:v>
                </c:pt>
                <c:pt idx="6">
                  <c:v>2486.3000000000002</c:v>
                </c:pt>
                <c:pt idx="7">
                  <c:v>8647.6</c:v>
                </c:pt>
                <c:pt idx="8">
                  <c:v>8725.5</c:v>
                </c:pt>
                <c:pt idx="9">
                  <c:v>584.20000000000005</c:v>
                </c:pt>
                <c:pt idx="10">
                  <c:v>3204.4</c:v>
                </c:pt>
                <c:pt idx="11">
                  <c:v>2078.6999999999998</c:v>
                </c:pt>
                <c:pt idx="12">
                  <c:v>1672.7</c:v>
                </c:pt>
                <c:pt idx="13">
                  <c:v>14063.7</c:v>
                </c:pt>
                <c:pt idx="14">
                  <c:v>13036.2</c:v>
                </c:pt>
                <c:pt idx="15">
                  <c:v>387.8</c:v>
                </c:pt>
                <c:pt idx="16">
                  <c:v>1505.2</c:v>
                </c:pt>
                <c:pt idx="17">
                  <c:v>1529.4</c:v>
                </c:pt>
                <c:pt idx="18">
                  <c:v>11.3</c:v>
                </c:pt>
                <c:pt idx="19">
                  <c:v>106.9</c:v>
                </c:pt>
                <c:pt idx="20">
                  <c:v>90.7</c:v>
                </c:pt>
                <c:pt idx="21">
                  <c:v>72.099999999999994</c:v>
                </c:pt>
                <c:pt idx="22">
                  <c:v>410.4</c:v>
                </c:pt>
                <c:pt idx="23">
                  <c:v>798.9</c:v>
                </c:pt>
                <c:pt idx="24">
                  <c:v>18.100000000000001</c:v>
                </c:pt>
                <c:pt idx="25">
                  <c:v>422.4</c:v>
                </c:pt>
                <c:pt idx="26">
                  <c:v>517.70000000000005</c:v>
                </c:pt>
                <c:pt idx="27">
                  <c:v>404.1</c:v>
                </c:pt>
                <c:pt idx="28">
                  <c:v>1486.1</c:v>
                </c:pt>
                <c:pt idx="29">
                  <c:v>2286.3000000000002</c:v>
                </c:pt>
                <c:pt idx="30">
                  <c:v>29.1</c:v>
                </c:pt>
                <c:pt idx="31">
                  <c:v>49.4</c:v>
                </c:pt>
                <c:pt idx="32">
                  <c:v>61</c:v>
                </c:pt>
                <c:pt idx="33">
                  <c:v>7.8</c:v>
                </c:pt>
                <c:pt idx="34">
                  <c:v>31.1</c:v>
                </c:pt>
                <c:pt idx="35">
                  <c:v>32.6</c:v>
                </c:pt>
                <c:pt idx="36">
                  <c:v>66.900000000000006</c:v>
                </c:pt>
                <c:pt idx="37">
                  <c:v>39.6</c:v>
                </c:pt>
                <c:pt idx="38">
                  <c:v>133.5</c:v>
                </c:pt>
                <c:pt idx="39">
                  <c:v>1.6</c:v>
                </c:pt>
                <c:pt idx="40">
                  <c:v>17.2</c:v>
                </c:pt>
                <c:pt idx="41">
                  <c:v>9</c:v>
                </c:pt>
                <c:pt idx="42">
                  <c:v>30.3</c:v>
                </c:pt>
                <c:pt idx="43">
                  <c:v>137.9</c:v>
                </c:pt>
                <c:pt idx="44">
                  <c:v>55.4</c:v>
                </c:pt>
                <c:pt idx="45">
                  <c:v>8</c:v>
                </c:pt>
                <c:pt idx="46">
                  <c:v>13.1</c:v>
                </c:pt>
                <c:pt idx="47">
                  <c:v>11.6</c:v>
                </c:pt>
                <c:pt idx="48">
                  <c:v>3.9</c:v>
                </c:pt>
                <c:pt idx="49">
                  <c:v>16.5</c:v>
                </c:pt>
                <c:pt idx="50">
                  <c:v>35.700000000000003</c:v>
                </c:pt>
                <c:pt idx="51">
                  <c:v>1</c:v>
                </c:pt>
                <c:pt idx="52">
                  <c:v>0.2</c:v>
                </c:pt>
                <c:pt idx="53">
                  <c:v>0.2</c:v>
                </c:pt>
                <c:pt idx="54">
                  <c:v>0.1</c:v>
                </c:pt>
                <c:pt idx="55">
                  <c:v>0.1</c:v>
                </c:pt>
                <c:pt idx="56">
                  <c:v>0.6</c:v>
                </c:pt>
                <c:pt idx="57">
                  <c:v>2.5</c:v>
                </c:pt>
                <c:pt idx="58">
                  <c:v>2.6</c:v>
                </c:pt>
                <c:pt idx="59">
                  <c:v>6</c:v>
                </c:pt>
                <c:pt idx="60">
                  <c:v>1.6</c:v>
                </c:pt>
                <c:pt idx="61">
                  <c:v>5</c:v>
                </c:pt>
                <c:pt idx="62">
                  <c:v>0.1</c:v>
                </c:pt>
                <c:pt idx="63">
                  <c:v>0.1</c:v>
                </c:pt>
                <c:pt idx="64">
                  <c:v>17.899999999999999</c:v>
                </c:pt>
                <c:pt idx="65">
                  <c:v>0.05</c:v>
                </c:pt>
                <c:pt idx="66">
                  <c:v>0.4</c:v>
                </c:pt>
                <c:pt idx="67">
                  <c:v>0.2</c:v>
                </c:pt>
                <c:pt idx="68">
                  <c:v>0.05</c:v>
                </c:pt>
                <c:pt idx="69">
                  <c:v>8.1999999999999993</c:v>
                </c:pt>
                <c:pt idx="70">
                  <c:v>5</c:v>
                </c:pt>
                <c:pt idx="71">
                  <c:v>0.01</c:v>
                </c:pt>
                <c:pt idx="72">
                  <c:v>3.5</c:v>
                </c:pt>
                <c:pt idx="73">
                  <c:v>0.01</c:v>
                </c:pt>
              </c:numCache>
            </c:numRef>
          </c:yVal>
          <c:smooth val="0"/>
          <c:extLst>
            <c:ext xmlns:c16="http://schemas.microsoft.com/office/drawing/2014/chart" uri="{C3380CC4-5D6E-409C-BE32-E72D297353CC}">
              <c16:uniqueId val="{0000000C-7BF1-6E4F-AA79-AF869A9777F5}"/>
            </c:ext>
          </c:extLst>
        </c:ser>
        <c:dLbls>
          <c:showLegendKey val="0"/>
          <c:showVal val="0"/>
          <c:showCatName val="0"/>
          <c:showSerName val="0"/>
          <c:showPercent val="0"/>
          <c:showBubbleSize val="0"/>
        </c:dLbls>
        <c:axId val="1388194543"/>
        <c:axId val="641727583"/>
      </c:scatterChart>
      <c:scatterChart>
        <c:scatterStyle val="lineMarker"/>
        <c:varyColors val="0"/>
        <c:ser>
          <c:idx val="0"/>
          <c:order val="3"/>
          <c:tx>
            <c:v>qPCR Standard Curve</c:v>
          </c:tx>
          <c:spPr>
            <a:ln w="19050" cap="rnd" cmpd="sng">
              <a:solidFill>
                <a:schemeClr val="accent1"/>
              </a:solidFill>
              <a:prstDash val="solid"/>
              <a:round/>
            </a:ln>
            <a:effectLst/>
          </c:spPr>
          <c:marker>
            <c:symbol val="squar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Draft'!$U$18:$U$25</c:f>
              <c:numCache>
                <c:formatCode>General</c:formatCode>
                <c:ptCount val="8"/>
                <c:pt idx="0">
                  <c:v>0.1</c:v>
                </c:pt>
                <c:pt idx="2">
                  <c:v>1</c:v>
                </c:pt>
                <c:pt idx="3">
                  <c:v>10</c:v>
                </c:pt>
                <c:pt idx="4">
                  <c:v>100</c:v>
                </c:pt>
                <c:pt idx="5">
                  <c:v>1000</c:v>
                </c:pt>
                <c:pt idx="6">
                  <c:v>10000</c:v>
                </c:pt>
                <c:pt idx="7">
                  <c:v>100000</c:v>
                </c:pt>
              </c:numCache>
            </c:numRef>
          </c:yVal>
          <c:smooth val="0"/>
          <c:extLst>
            <c:ext xmlns:c16="http://schemas.microsoft.com/office/drawing/2014/chart" uri="{C3380CC4-5D6E-409C-BE32-E72D297353CC}">
              <c16:uniqueId val="{00000000-1E2F-BD42-9932-9292783D5370}"/>
            </c:ext>
          </c:extLst>
        </c:ser>
        <c:dLbls>
          <c:showLegendKey val="0"/>
          <c:showVal val="0"/>
          <c:showCatName val="0"/>
          <c:showSerName val="0"/>
          <c:showPercent val="0"/>
          <c:showBubbleSize val="0"/>
        </c:dLbls>
        <c:axId val="496194384"/>
        <c:axId val="1387695295"/>
      </c:scatterChart>
      <c:valAx>
        <c:axId val="1388194543"/>
        <c:scaling>
          <c:orientation val="minMax"/>
          <c:max val="48"/>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583"/>
        <c:crosses val="autoZero"/>
        <c:crossBetween val="midCat"/>
      </c:valAx>
      <c:valAx>
        <c:axId val="6417275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Target read 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94543"/>
        <c:crosses val="autoZero"/>
        <c:crossBetween val="midCat"/>
      </c:valAx>
      <c:valAx>
        <c:axId val="1387695295"/>
        <c:scaling>
          <c:logBase val="10"/>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Viral</a:t>
                </a:r>
                <a:r>
                  <a:rPr lang="en-US" sz="1200" baseline="0"/>
                  <a:t> copies/uL</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4384"/>
        <c:crosses val="max"/>
        <c:crossBetween val="midCat"/>
      </c:valAx>
      <c:valAx>
        <c:axId val="496194384"/>
        <c:scaling>
          <c:orientation val="minMax"/>
        </c:scaling>
        <c:delete val="1"/>
        <c:axPos val="b"/>
        <c:numFmt formatCode="General" sourceLinked="1"/>
        <c:majorTickMark val="out"/>
        <c:minorTickMark val="none"/>
        <c:tickLblPos val="nextTo"/>
        <c:crossAx val="1387695295"/>
        <c:crosses val="autoZero"/>
        <c:crossBetween val="midCat"/>
      </c:valAx>
      <c:spPr>
        <a:noFill/>
        <a:ln>
          <a:noFill/>
        </a:ln>
        <a:effectLst/>
      </c:spPr>
    </c:plotArea>
    <c:legend>
      <c:legendPos val="b"/>
      <c:legendEntry>
        <c:idx val="5"/>
        <c:delete val="1"/>
      </c:legendEntry>
      <c:layout>
        <c:manualLayout>
          <c:xMode val="edge"/>
          <c:yMode val="edge"/>
          <c:x val="6.8880737163799846E-2"/>
          <c:y val="0.68969017371531793"/>
          <c:w val="0.87226066549638182"/>
          <c:h val="0.308538816794740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sequencing vs qPCR as enrichment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No Enrichment</c:v>
          </c:tx>
          <c:spPr>
            <a:ln w="19050" cap="rnd">
              <a:solidFill>
                <a:schemeClr val="accent4"/>
              </a:solidFill>
              <a:round/>
            </a:ln>
            <a:effectLst/>
          </c:spPr>
          <c:marker>
            <c:symbol val="circ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Draft'!$V$18:$V$25</c:f>
              <c:numCache>
                <c:formatCode>General</c:formatCode>
                <c:ptCount val="8"/>
                <c:pt idx="0">
                  <c:v>6.2E-4</c:v>
                </c:pt>
                <c:pt idx="2">
                  <c:v>6.1999999999999998E-3</c:v>
                </c:pt>
                <c:pt idx="3">
                  <c:v>6.2E-2</c:v>
                </c:pt>
                <c:pt idx="4">
                  <c:v>0.62</c:v>
                </c:pt>
                <c:pt idx="5">
                  <c:v>6.2</c:v>
                </c:pt>
                <c:pt idx="6">
                  <c:v>62</c:v>
                </c:pt>
                <c:pt idx="7">
                  <c:v>620</c:v>
                </c:pt>
              </c:numCache>
            </c:numRef>
          </c:yVal>
          <c:smooth val="0"/>
          <c:extLst>
            <c:ext xmlns:c16="http://schemas.microsoft.com/office/drawing/2014/chart" uri="{C3380CC4-5D6E-409C-BE32-E72D297353CC}">
              <c16:uniqueId val="{00000000-DEB9-7D44-B97E-C8815BAF2439}"/>
            </c:ext>
          </c:extLst>
        </c:ser>
        <c:ser>
          <c:idx val="2"/>
          <c:order val="1"/>
          <c:tx>
            <c:v>10x Enrichment</c:v>
          </c:tx>
          <c:spPr>
            <a:ln w="19050" cap="rnd">
              <a:solidFill>
                <a:schemeClr val="accent2"/>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Draft'!$W$18:$W$25</c:f>
              <c:numCache>
                <c:formatCode>General</c:formatCode>
                <c:ptCount val="8"/>
                <c:pt idx="0">
                  <c:v>6.1999999999999998E-3</c:v>
                </c:pt>
                <c:pt idx="2">
                  <c:v>6.2E-2</c:v>
                </c:pt>
                <c:pt idx="3">
                  <c:v>0.62</c:v>
                </c:pt>
                <c:pt idx="4">
                  <c:v>6.2</c:v>
                </c:pt>
                <c:pt idx="5">
                  <c:v>62</c:v>
                </c:pt>
                <c:pt idx="6">
                  <c:v>620</c:v>
                </c:pt>
                <c:pt idx="7">
                  <c:v>6200</c:v>
                </c:pt>
              </c:numCache>
            </c:numRef>
          </c:yVal>
          <c:smooth val="0"/>
          <c:extLst>
            <c:ext xmlns:c16="http://schemas.microsoft.com/office/drawing/2014/chart" uri="{C3380CC4-5D6E-409C-BE32-E72D297353CC}">
              <c16:uniqueId val="{00000001-DEB9-7D44-B97E-C8815BAF2439}"/>
            </c:ext>
          </c:extLst>
        </c:ser>
        <c:ser>
          <c:idx val="3"/>
          <c:order val="2"/>
          <c:tx>
            <c:v>100x Enrichment</c:v>
          </c:tx>
          <c:spPr>
            <a:ln w="19050" cap="rnd">
              <a:solidFill>
                <a:srgbClr val="C00000"/>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Draft'!$X$18:$X$25</c:f>
              <c:numCache>
                <c:formatCode>General</c:formatCode>
                <c:ptCount val="8"/>
                <c:pt idx="0">
                  <c:v>6.2E-2</c:v>
                </c:pt>
                <c:pt idx="2">
                  <c:v>0.62</c:v>
                </c:pt>
                <c:pt idx="3">
                  <c:v>6.2</c:v>
                </c:pt>
                <c:pt idx="4">
                  <c:v>62</c:v>
                </c:pt>
                <c:pt idx="5">
                  <c:v>620</c:v>
                </c:pt>
                <c:pt idx="6">
                  <c:v>6200</c:v>
                </c:pt>
                <c:pt idx="7">
                  <c:v>62000</c:v>
                </c:pt>
              </c:numCache>
            </c:numRef>
          </c:yVal>
          <c:smooth val="0"/>
          <c:extLst>
            <c:ext xmlns:c16="http://schemas.microsoft.com/office/drawing/2014/chart" uri="{C3380CC4-5D6E-409C-BE32-E72D297353CC}">
              <c16:uniqueId val="{00000002-DEB9-7D44-B97E-C8815BAF2439}"/>
            </c:ext>
          </c:extLst>
        </c:ser>
        <c:ser>
          <c:idx val="4"/>
          <c:order val="4"/>
          <c:tx>
            <c:v>qPCR Negative</c:v>
          </c:tx>
          <c:spPr>
            <a:ln w="19050" cap="rnd">
              <a:solidFill>
                <a:srgbClr val="00B050"/>
              </a:solidFill>
              <a:prstDash val="sysDot"/>
              <a:round/>
            </a:ln>
            <a:effectLst/>
          </c:spPr>
          <c:marker>
            <c:symbol val="circle"/>
            <c:size val="5"/>
            <c:spPr>
              <a:noFill/>
              <a:ln w="9525">
                <a:noFill/>
              </a:ln>
              <a:effectLst/>
            </c:spPr>
          </c:marker>
          <c:xVal>
            <c:numRef>
              <c:f>'Master Model Rough Draft'!$R$27:$R$28</c:f>
              <c:numCache>
                <c:formatCode>General</c:formatCode>
                <c:ptCount val="2"/>
                <c:pt idx="0">
                  <c:v>40</c:v>
                </c:pt>
                <c:pt idx="1">
                  <c:v>40</c:v>
                </c:pt>
              </c:numCache>
            </c:numRef>
          </c:xVal>
          <c:yVal>
            <c:numRef>
              <c:f>'Master Model Rough Draft'!$S$27:$S$28</c:f>
              <c:numCache>
                <c:formatCode>General</c:formatCode>
                <c:ptCount val="2"/>
                <c:pt idx="0">
                  <c:v>10000000</c:v>
                </c:pt>
                <c:pt idx="1">
                  <c:v>1E-4</c:v>
                </c:pt>
              </c:numCache>
            </c:numRef>
          </c:yVal>
          <c:smooth val="0"/>
          <c:extLst>
            <c:ext xmlns:c16="http://schemas.microsoft.com/office/drawing/2014/chart" uri="{C3380CC4-5D6E-409C-BE32-E72D297353CC}">
              <c16:uniqueId val="{00000003-DEB9-7D44-B97E-C8815BAF2439}"/>
            </c:ext>
          </c:extLst>
        </c:ser>
        <c:ser>
          <c:idx val="6"/>
          <c:order val="5"/>
          <c:tx>
            <c:v>Seq detection threshold</c:v>
          </c:tx>
          <c:spPr>
            <a:ln w="19050" cap="rnd">
              <a:solidFill>
                <a:srgbClr val="FF0000"/>
              </a:solidFill>
              <a:prstDash val="sysDot"/>
              <a:round/>
            </a:ln>
            <a:effectLst/>
          </c:spPr>
          <c:marker>
            <c:symbol val="circle"/>
            <c:size val="5"/>
            <c:spPr>
              <a:noFill/>
              <a:ln w="9525">
                <a:noFill/>
              </a:ln>
              <a:effectLst/>
            </c:spPr>
          </c:marker>
          <c:xVal>
            <c:numRef>
              <c:f>'Master Model Rough Draft'!$U$27:$U$28</c:f>
              <c:numCache>
                <c:formatCode>General</c:formatCode>
                <c:ptCount val="2"/>
                <c:pt idx="0">
                  <c:v>22</c:v>
                </c:pt>
                <c:pt idx="1">
                  <c:v>48</c:v>
                </c:pt>
              </c:numCache>
            </c:numRef>
          </c:xVal>
          <c:yVal>
            <c:numRef>
              <c:f>'Master Model Rough Draft'!$V$27:$V$28</c:f>
              <c:numCache>
                <c:formatCode>General</c:formatCode>
                <c:ptCount val="2"/>
                <c:pt idx="0">
                  <c:v>3</c:v>
                </c:pt>
                <c:pt idx="1">
                  <c:v>3</c:v>
                </c:pt>
              </c:numCache>
            </c:numRef>
          </c:yVal>
          <c:smooth val="0"/>
          <c:extLst>
            <c:ext xmlns:c16="http://schemas.microsoft.com/office/drawing/2014/chart" uri="{C3380CC4-5D6E-409C-BE32-E72D297353CC}">
              <c16:uniqueId val="{00000004-DEB9-7D44-B97E-C8815BAF2439}"/>
            </c:ext>
          </c:extLst>
        </c:ser>
        <c:dLbls>
          <c:showLegendKey val="0"/>
          <c:showVal val="0"/>
          <c:showCatName val="0"/>
          <c:showSerName val="0"/>
          <c:showPercent val="0"/>
          <c:showBubbleSize val="0"/>
        </c:dLbls>
        <c:axId val="1388194543"/>
        <c:axId val="641727583"/>
      </c:scatterChart>
      <c:scatterChart>
        <c:scatterStyle val="lineMarker"/>
        <c:varyColors val="0"/>
        <c:ser>
          <c:idx val="0"/>
          <c:order val="3"/>
          <c:tx>
            <c:v>qPCR Standard Curve</c:v>
          </c:tx>
          <c:spPr>
            <a:ln w="19050" cap="rnd" cmpd="sng">
              <a:solidFill>
                <a:schemeClr val="accent1"/>
              </a:solidFill>
              <a:prstDash val="dash"/>
              <a:round/>
            </a:ln>
            <a:effectLst/>
          </c:spPr>
          <c:marker>
            <c:symbol val="squar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Draft'!$U$18:$U$25</c:f>
              <c:numCache>
                <c:formatCode>General</c:formatCode>
                <c:ptCount val="8"/>
                <c:pt idx="0">
                  <c:v>0.1</c:v>
                </c:pt>
                <c:pt idx="2">
                  <c:v>1</c:v>
                </c:pt>
                <c:pt idx="3">
                  <c:v>10</c:v>
                </c:pt>
                <c:pt idx="4">
                  <c:v>100</c:v>
                </c:pt>
                <c:pt idx="5">
                  <c:v>1000</c:v>
                </c:pt>
                <c:pt idx="6">
                  <c:v>10000</c:v>
                </c:pt>
                <c:pt idx="7">
                  <c:v>100000</c:v>
                </c:pt>
              </c:numCache>
            </c:numRef>
          </c:yVal>
          <c:smooth val="0"/>
          <c:extLst>
            <c:ext xmlns:c16="http://schemas.microsoft.com/office/drawing/2014/chart" uri="{C3380CC4-5D6E-409C-BE32-E72D297353CC}">
              <c16:uniqueId val="{00000005-DEB9-7D44-B97E-C8815BAF2439}"/>
            </c:ext>
          </c:extLst>
        </c:ser>
        <c:dLbls>
          <c:showLegendKey val="0"/>
          <c:showVal val="0"/>
          <c:showCatName val="0"/>
          <c:showSerName val="0"/>
          <c:showPercent val="0"/>
          <c:showBubbleSize val="0"/>
        </c:dLbls>
        <c:axId val="496194384"/>
        <c:axId val="1387695295"/>
      </c:scatterChart>
      <c:valAx>
        <c:axId val="1388194543"/>
        <c:scaling>
          <c:orientation val="minMax"/>
          <c:max val="48"/>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583"/>
        <c:crosses val="autoZero"/>
        <c:crossBetween val="midCat"/>
      </c:valAx>
      <c:valAx>
        <c:axId val="6417275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Target read 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94543"/>
        <c:crosses val="autoZero"/>
        <c:crossBetween val="midCat"/>
      </c:valAx>
      <c:valAx>
        <c:axId val="1387695295"/>
        <c:scaling>
          <c:logBase val="10"/>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Viral</a:t>
                </a:r>
                <a:r>
                  <a:rPr lang="en-US" sz="1200" baseline="0"/>
                  <a:t> copies/uL</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4384"/>
        <c:crosses val="max"/>
        <c:crossBetween val="midCat"/>
      </c:valAx>
      <c:valAx>
        <c:axId val="496194384"/>
        <c:scaling>
          <c:orientation val="minMax"/>
        </c:scaling>
        <c:delete val="1"/>
        <c:axPos val="b"/>
        <c:numFmt formatCode="General" sourceLinked="1"/>
        <c:majorTickMark val="out"/>
        <c:minorTickMark val="none"/>
        <c:tickLblPos val="nextTo"/>
        <c:crossAx val="1387695295"/>
        <c:crosses val="autoZero"/>
        <c:crossBetween val="midCat"/>
      </c:valAx>
      <c:spPr>
        <a:noFill/>
        <a:ln>
          <a:noFill/>
        </a:ln>
        <a:effectLst/>
      </c:spPr>
    </c:plotArea>
    <c:legend>
      <c:legendPos val="b"/>
      <c:layout>
        <c:manualLayout>
          <c:xMode val="edge"/>
          <c:yMode val="edge"/>
          <c:x val="5.4195738641384904E-2"/>
          <c:y val="0.84208704260685707"/>
          <c:w val="0.87226066549638182"/>
          <c:h val="0.1579129573931429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of sequencing vs qPCR as total reads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1M Reads</c:v>
          </c:tx>
          <c:spPr>
            <a:ln w="19050" cap="rnd">
              <a:solidFill>
                <a:schemeClr val="accent4"/>
              </a:solidFill>
              <a:round/>
            </a:ln>
            <a:effectLst/>
          </c:spPr>
          <c:marker>
            <c:symbol val="circ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Draft'!$V$18:$V$25</c:f>
              <c:numCache>
                <c:formatCode>General</c:formatCode>
                <c:ptCount val="8"/>
                <c:pt idx="0">
                  <c:v>6.2E-4</c:v>
                </c:pt>
                <c:pt idx="2">
                  <c:v>6.1999999999999998E-3</c:v>
                </c:pt>
                <c:pt idx="3">
                  <c:v>6.2E-2</c:v>
                </c:pt>
                <c:pt idx="4">
                  <c:v>0.62</c:v>
                </c:pt>
                <c:pt idx="5">
                  <c:v>6.2</c:v>
                </c:pt>
                <c:pt idx="6">
                  <c:v>62</c:v>
                </c:pt>
                <c:pt idx="7">
                  <c:v>620</c:v>
                </c:pt>
              </c:numCache>
            </c:numRef>
          </c:yVal>
          <c:smooth val="0"/>
          <c:extLst>
            <c:ext xmlns:c16="http://schemas.microsoft.com/office/drawing/2014/chart" uri="{C3380CC4-5D6E-409C-BE32-E72D297353CC}">
              <c16:uniqueId val="{00000000-ECBC-DD44-9184-CE4AA47DCE7D}"/>
            </c:ext>
          </c:extLst>
        </c:ser>
        <c:ser>
          <c:idx val="2"/>
          <c:order val="1"/>
          <c:tx>
            <c:v>10M Reads</c:v>
          </c:tx>
          <c:spPr>
            <a:ln w="19050" cap="rnd">
              <a:solidFill>
                <a:schemeClr val="accent2"/>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Draft'!$W$18:$W$25</c:f>
              <c:numCache>
                <c:formatCode>General</c:formatCode>
                <c:ptCount val="8"/>
                <c:pt idx="0">
                  <c:v>6.1999999999999998E-3</c:v>
                </c:pt>
                <c:pt idx="2">
                  <c:v>6.2E-2</c:v>
                </c:pt>
                <c:pt idx="3">
                  <c:v>0.62</c:v>
                </c:pt>
                <c:pt idx="4">
                  <c:v>6.2</c:v>
                </c:pt>
                <c:pt idx="5">
                  <c:v>62</c:v>
                </c:pt>
                <c:pt idx="6">
                  <c:v>620</c:v>
                </c:pt>
                <c:pt idx="7">
                  <c:v>6200</c:v>
                </c:pt>
              </c:numCache>
            </c:numRef>
          </c:yVal>
          <c:smooth val="0"/>
          <c:extLst>
            <c:ext xmlns:c16="http://schemas.microsoft.com/office/drawing/2014/chart" uri="{C3380CC4-5D6E-409C-BE32-E72D297353CC}">
              <c16:uniqueId val="{00000001-ECBC-DD44-9184-CE4AA47DCE7D}"/>
            </c:ext>
          </c:extLst>
        </c:ser>
        <c:ser>
          <c:idx val="3"/>
          <c:order val="2"/>
          <c:tx>
            <c:v>100M Reads</c:v>
          </c:tx>
          <c:spPr>
            <a:ln w="19050" cap="rnd">
              <a:solidFill>
                <a:srgbClr val="C00000"/>
              </a:solidFill>
              <a:round/>
            </a:ln>
            <a:effectLst/>
          </c:spPr>
          <c:marker>
            <c:symbol val="triangl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Draft'!$X$18:$X$25</c:f>
              <c:numCache>
                <c:formatCode>General</c:formatCode>
                <c:ptCount val="8"/>
                <c:pt idx="0">
                  <c:v>6.2E-2</c:v>
                </c:pt>
                <c:pt idx="2">
                  <c:v>0.62</c:v>
                </c:pt>
                <c:pt idx="3">
                  <c:v>6.2</c:v>
                </c:pt>
                <c:pt idx="4">
                  <c:v>62</c:v>
                </c:pt>
                <c:pt idx="5">
                  <c:v>620</c:v>
                </c:pt>
                <c:pt idx="6">
                  <c:v>6200</c:v>
                </c:pt>
                <c:pt idx="7">
                  <c:v>62000</c:v>
                </c:pt>
              </c:numCache>
            </c:numRef>
          </c:yVal>
          <c:smooth val="0"/>
          <c:extLst>
            <c:ext xmlns:c16="http://schemas.microsoft.com/office/drawing/2014/chart" uri="{C3380CC4-5D6E-409C-BE32-E72D297353CC}">
              <c16:uniqueId val="{00000002-ECBC-DD44-9184-CE4AA47DCE7D}"/>
            </c:ext>
          </c:extLst>
        </c:ser>
        <c:ser>
          <c:idx val="4"/>
          <c:order val="4"/>
          <c:tx>
            <c:v>qPCR Negative</c:v>
          </c:tx>
          <c:spPr>
            <a:ln w="19050" cap="rnd">
              <a:solidFill>
                <a:srgbClr val="00B050"/>
              </a:solidFill>
              <a:prstDash val="sysDot"/>
              <a:round/>
            </a:ln>
            <a:effectLst/>
          </c:spPr>
          <c:marker>
            <c:symbol val="circle"/>
            <c:size val="5"/>
            <c:spPr>
              <a:noFill/>
              <a:ln w="9525">
                <a:noFill/>
              </a:ln>
              <a:effectLst/>
            </c:spPr>
          </c:marker>
          <c:xVal>
            <c:numRef>
              <c:f>'Master Model Rough Draft'!$R$27:$R$28</c:f>
              <c:numCache>
                <c:formatCode>General</c:formatCode>
                <c:ptCount val="2"/>
                <c:pt idx="0">
                  <c:v>40</c:v>
                </c:pt>
                <c:pt idx="1">
                  <c:v>40</c:v>
                </c:pt>
              </c:numCache>
            </c:numRef>
          </c:xVal>
          <c:yVal>
            <c:numRef>
              <c:f>'Master Model Rough Draft'!$S$27:$S$28</c:f>
              <c:numCache>
                <c:formatCode>General</c:formatCode>
                <c:ptCount val="2"/>
                <c:pt idx="0">
                  <c:v>10000000</c:v>
                </c:pt>
                <c:pt idx="1">
                  <c:v>1E-4</c:v>
                </c:pt>
              </c:numCache>
            </c:numRef>
          </c:yVal>
          <c:smooth val="0"/>
          <c:extLst>
            <c:ext xmlns:c16="http://schemas.microsoft.com/office/drawing/2014/chart" uri="{C3380CC4-5D6E-409C-BE32-E72D297353CC}">
              <c16:uniqueId val="{00000003-ECBC-DD44-9184-CE4AA47DCE7D}"/>
            </c:ext>
          </c:extLst>
        </c:ser>
        <c:ser>
          <c:idx val="6"/>
          <c:order val="5"/>
          <c:tx>
            <c:v>Seq detection threshold</c:v>
          </c:tx>
          <c:spPr>
            <a:ln w="19050" cap="rnd">
              <a:solidFill>
                <a:srgbClr val="FF0000"/>
              </a:solidFill>
              <a:prstDash val="sysDot"/>
              <a:round/>
            </a:ln>
            <a:effectLst/>
          </c:spPr>
          <c:marker>
            <c:symbol val="circle"/>
            <c:size val="5"/>
            <c:spPr>
              <a:noFill/>
              <a:ln w="9525">
                <a:noFill/>
              </a:ln>
              <a:effectLst/>
            </c:spPr>
          </c:marker>
          <c:xVal>
            <c:numRef>
              <c:f>'Master Model Rough Draft'!$U$27:$U$28</c:f>
              <c:numCache>
                <c:formatCode>General</c:formatCode>
                <c:ptCount val="2"/>
                <c:pt idx="0">
                  <c:v>22</c:v>
                </c:pt>
                <c:pt idx="1">
                  <c:v>48</c:v>
                </c:pt>
              </c:numCache>
            </c:numRef>
          </c:xVal>
          <c:yVal>
            <c:numRef>
              <c:f>'Master Model Rough Draft'!$V$27:$V$28</c:f>
              <c:numCache>
                <c:formatCode>General</c:formatCode>
                <c:ptCount val="2"/>
                <c:pt idx="0">
                  <c:v>3</c:v>
                </c:pt>
                <c:pt idx="1">
                  <c:v>3</c:v>
                </c:pt>
              </c:numCache>
            </c:numRef>
          </c:yVal>
          <c:smooth val="0"/>
          <c:extLst>
            <c:ext xmlns:c16="http://schemas.microsoft.com/office/drawing/2014/chart" uri="{C3380CC4-5D6E-409C-BE32-E72D297353CC}">
              <c16:uniqueId val="{00000004-ECBC-DD44-9184-CE4AA47DCE7D}"/>
            </c:ext>
          </c:extLst>
        </c:ser>
        <c:dLbls>
          <c:showLegendKey val="0"/>
          <c:showVal val="0"/>
          <c:showCatName val="0"/>
          <c:showSerName val="0"/>
          <c:showPercent val="0"/>
          <c:showBubbleSize val="0"/>
        </c:dLbls>
        <c:axId val="1388194543"/>
        <c:axId val="641727583"/>
      </c:scatterChart>
      <c:scatterChart>
        <c:scatterStyle val="lineMarker"/>
        <c:varyColors val="0"/>
        <c:ser>
          <c:idx val="0"/>
          <c:order val="3"/>
          <c:tx>
            <c:v>qPCR Standard Curve</c:v>
          </c:tx>
          <c:spPr>
            <a:ln w="19050" cap="rnd" cmpd="sng">
              <a:solidFill>
                <a:schemeClr val="accent1"/>
              </a:solidFill>
              <a:prstDash val="dash"/>
              <a:round/>
            </a:ln>
            <a:effectLst/>
          </c:spPr>
          <c:marker>
            <c:symbol val="square"/>
            <c:size val="5"/>
            <c:spPr>
              <a:noFill/>
              <a:ln w="9525">
                <a:noFill/>
              </a:ln>
              <a:effectLst/>
            </c:spPr>
          </c:marker>
          <c:xVal>
            <c:numRef>
              <c:f>'Master Model Rough Draft'!$T$18:$T$25</c:f>
              <c:numCache>
                <c:formatCode>General</c:formatCode>
                <c:ptCount val="8"/>
                <c:pt idx="0">
                  <c:v>45.36</c:v>
                </c:pt>
                <c:pt idx="2">
                  <c:v>42</c:v>
                </c:pt>
                <c:pt idx="3">
                  <c:v>38.64</c:v>
                </c:pt>
                <c:pt idx="4">
                  <c:v>35.28</c:v>
                </c:pt>
                <c:pt idx="5">
                  <c:v>31.92</c:v>
                </c:pt>
                <c:pt idx="6">
                  <c:v>28.560000000000002</c:v>
                </c:pt>
                <c:pt idx="7">
                  <c:v>25.2</c:v>
                </c:pt>
              </c:numCache>
            </c:numRef>
          </c:xVal>
          <c:yVal>
            <c:numRef>
              <c:f>'Master Model Rough Draft'!$U$18:$U$25</c:f>
              <c:numCache>
                <c:formatCode>General</c:formatCode>
                <c:ptCount val="8"/>
                <c:pt idx="0">
                  <c:v>0.1</c:v>
                </c:pt>
                <c:pt idx="2">
                  <c:v>1</c:v>
                </c:pt>
                <c:pt idx="3">
                  <c:v>10</c:v>
                </c:pt>
                <c:pt idx="4">
                  <c:v>100</c:v>
                </c:pt>
                <c:pt idx="5">
                  <c:v>1000</c:v>
                </c:pt>
                <c:pt idx="6">
                  <c:v>10000</c:v>
                </c:pt>
                <c:pt idx="7">
                  <c:v>100000</c:v>
                </c:pt>
              </c:numCache>
            </c:numRef>
          </c:yVal>
          <c:smooth val="0"/>
          <c:extLst>
            <c:ext xmlns:c16="http://schemas.microsoft.com/office/drawing/2014/chart" uri="{C3380CC4-5D6E-409C-BE32-E72D297353CC}">
              <c16:uniqueId val="{00000005-ECBC-DD44-9184-CE4AA47DCE7D}"/>
            </c:ext>
          </c:extLst>
        </c:ser>
        <c:dLbls>
          <c:showLegendKey val="0"/>
          <c:showVal val="0"/>
          <c:showCatName val="0"/>
          <c:showSerName val="0"/>
          <c:showPercent val="0"/>
          <c:showBubbleSize val="0"/>
        </c:dLbls>
        <c:axId val="496194384"/>
        <c:axId val="1387695295"/>
      </c:scatterChart>
      <c:valAx>
        <c:axId val="1388194543"/>
        <c:scaling>
          <c:orientation val="minMax"/>
          <c:max val="48"/>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583"/>
        <c:crosses val="autoZero"/>
        <c:crossBetween val="midCat"/>
      </c:valAx>
      <c:valAx>
        <c:axId val="6417275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Target read 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94543"/>
        <c:crosses val="autoZero"/>
        <c:crossBetween val="midCat"/>
      </c:valAx>
      <c:valAx>
        <c:axId val="1387695295"/>
        <c:scaling>
          <c:logBase val="10"/>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Viral</a:t>
                </a:r>
                <a:r>
                  <a:rPr lang="en-US" sz="1200" baseline="0"/>
                  <a:t> copies/uL</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94384"/>
        <c:crosses val="max"/>
        <c:crossBetween val="midCat"/>
      </c:valAx>
      <c:valAx>
        <c:axId val="496194384"/>
        <c:scaling>
          <c:orientation val="minMax"/>
        </c:scaling>
        <c:delete val="1"/>
        <c:axPos val="b"/>
        <c:numFmt formatCode="General" sourceLinked="1"/>
        <c:majorTickMark val="out"/>
        <c:minorTickMark val="none"/>
        <c:tickLblPos val="nextTo"/>
        <c:crossAx val="1387695295"/>
        <c:crosses val="autoZero"/>
        <c:crossBetween val="midCat"/>
      </c:valAx>
      <c:spPr>
        <a:noFill/>
        <a:ln>
          <a:noFill/>
        </a:ln>
        <a:effectLst/>
      </c:spPr>
    </c:plotArea>
    <c:legend>
      <c:legendPos val="b"/>
      <c:layout>
        <c:manualLayout>
          <c:xMode val="edge"/>
          <c:yMode val="edge"/>
          <c:x val="5.4195738641384904E-2"/>
          <c:y val="0.84208704260685707"/>
          <c:w val="0.87226066549638182"/>
          <c:h val="0.1579129573931429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346847</xdr:colOff>
      <xdr:row>29</xdr:row>
      <xdr:rowOff>31365</xdr:rowOff>
    </xdr:from>
    <xdr:to>
      <xdr:col>33</xdr:col>
      <xdr:colOff>17893</xdr:colOff>
      <xdr:row>41</xdr:row>
      <xdr:rowOff>142579</xdr:rowOff>
    </xdr:to>
    <xdr:graphicFrame macro="">
      <xdr:nvGraphicFramePr>
        <xdr:cNvPr id="4" name="Chart 3">
          <a:extLst>
            <a:ext uri="{FF2B5EF4-FFF2-40B4-BE49-F238E27FC236}">
              <a16:creationId xmlns:a16="http://schemas.microsoft.com/office/drawing/2014/main" id="{A771BEDD-BA05-8D0F-D30B-B1A6936BD355}"/>
            </a:ext>
            <a:ext uri="{147F2762-F138-4A5C-976F-8EAC2B608ADB}">
              <a16:predDERef xmlns:a16="http://schemas.microsoft.com/office/drawing/2014/main" pred="{774D2A98-8CBC-E228-9D96-9283DFAAB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667166</xdr:colOff>
      <xdr:row>29</xdr:row>
      <xdr:rowOff>54805</xdr:rowOff>
    </xdr:from>
    <xdr:to>
      <xdr:col>24</xdr:col>
      <xdr:colOff>247087</xdr:colOff>
      <xdr:row>41</xdr:row>
      <xdr:rowOff>166613</xdr:rowOff>
    </xdr:to>
    <xdr:graphicFrame macro="">
      <xdr:nvGraphicFramePr>
        <xdr:cNvPr id="7" name="Chart 6">
          <a:extLst>
            <a:ext uri="{FF2B5EF4-FFF2-40B4-BE49-F238E27FC236}">
              <a16:creationId xmlns:a16="http://schemas.microsoft.com/office/drawing/2014/main" id="{07882342-9B9C-4FE4-C908-E50FB168E3A2}"/>
            </a:ext>
            <a:ext uri="{147F2762-F138-4A5C-976F-8EAC2B608ADB}">
              <a16:predDERef xmlns:a16="http://schemas.microsoft.com/office/drawing/2014/main" pred="{A771BEDD-BA05-8D0F-D30B-B1A6936BD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375830</xdr:colOff>
      <xdr:row>3</xdr:row>
      <xdr:rowOff>98425</xdr:rowOff>
    </xdr:from>
    <xdr:to>
      <xdr:col>43</xdr:col>
      <xdr:colOff>363260</xdr:colOff>
      <xdr:row>14</xdr:row>
      <xdr:rowOff>166158</xdr:rowOff>
    </xdr:to>
    <xdr:graphicFrame macro="">
      <xdr:nvGraphicFramePr>
        <xdr:cNvPr id="5" name="Chart 4">
          <a:extLst>
            <a:ext uri="{FF2B5EF4-FFF2-40B4-BE49-F238E27FC236}">
              <a16:creationId xmlns:a16="http://schemas.microsoft.com/office/drawing/2014/main" id="{7C2150F5-7565-0A12-A986-8976510C6371}"/>
            </a:ext>
            <a:ext uri="{147F2762-F138-4A5C-976F-8EAC2B608ADB}">
              <a16:predDERef xmlns:a16="http://schemas.microsoft.com/office/drawing/2014/main" pred="{07882342-9B9C-4FE4-C908-E50FB168E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135466</xdr:colOff>
      <xdr:row>3</xdr:row>
      <xdr:rowOff>67733</xdr:rowOff>
    </xdr:from>
    <xdr:to>
      <xdr:col>34</xdr:col>
      <xdr:colOff>59396</xdr:colOff>
      <xdr:row>13</xdr:row>
      <xdr:rowOff>144869</xdr:rowOff>
    </xdr:to>
    <xdr:graphicFrame macro="">
      <xdr:nvGraphicFramePr>
        <xdr:cNvPr id="10" name="Chart 9">
          <a:extLst>
            <a:ext uri="{FF2B5EF4-FFF2-40B4-BE49-F238E27FC236}">
              <a16:creationId xmlns:a16="http://schemas.microsoft.com/office/drawing/2014/main" id="{D70D92D1-784B-C249-898E-0D3CC8562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440845</xdr:colOff>
      <xdr:row>3</xdr:row>
      <xdr:rowOff>160068</xdr:rowOff>
    </xdr:from>
    <xdr:to>
      <xdr:col>24</xdr:col>
      <xdr:colOff>317450</xdr:colOff>
      <xdr:row>13</xdr:row>
      <xdr:rowOff>237204</xdr:rowOff>
    </xdr:to>
    <xdr:graphicFrame macro="">
      <xdr:nvGraphicFramePr>
        <xdr:cNvPr id="3" name="Chart 2">
          <a:extLst>
            <a:ext uri="{FF2B5EF4-FFF2-40B4-BE49-F238E27FC236}">
              <a16:creationId xmlns:a16="http://schemas.microsoft.com/office/drawing/2014/main" id="{F06AF544-5F74-CB42-80CB-8FA82BC182C4}"/>
            </a:ext>
            <a:ext uri="{147F2762-F138-4A5C-976F-8EAC2B608ADB}">
              <a16:predDERef xmlns:a16="http://schemas.microsoft.com/office/drawing/2014/main" pred="{D70D92D1-784B-C249-898E-0D3CC8562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enny McCline" id="{FBF0E200-DBAB-7540-8A1F-2DAAD58DE039}" userId="S::lmccline4@personalmicrosoftsoftware.ucla.edu::6eb28683-9edc-47f1-9e9f-0d1b79022e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2-10-10T17:30:34.61" personId="{FBF0E200-DBAB-7540-8A1F-2DAAD58DE039}" id="{2790D4C7-4FE1-E445-A85A-FCE053209056}">
    <text>Using estimates from rRNA depletion. The left column is partial rRNA depletion, and the right is complete rRNA depletion as Nava estimated it.</text>
  </threadedComment>
  <threadedComment ref="C15" dT="2022-10-10T15:25:05.94" personId="{FBF0E200-DBAB-7540-8A1F-2DAAD58DE039}" id="{5B1C700A-1657-ED4F-9304-CB07DE5621C7}">
    <text>AKA Sample enrichment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2-10-10T17:30:34.61" personId="{FBF0E200-DBAB-7540-8A1F-2DAAD58DE039}" id="{F7CB20CA-5B20-4F59-8E6C-FFEDE487F5DA}">
    <text>Using estimates from rRNA depletion. The left column is partial rRNA depletion, and the right is complete rRNA depletion as Nava estimated it.</text>
  </threadedComment>
  <threadedComment ref="B15" dT="2022-10-10T15:25:05.94" personId="{FBF0E200-DBAB-7540-8A1F-2DAAD58DE039}" id="{2526984B-38BA-4515-911A-31AC5F20F3DE}">
    <text>AKA Sample enrichment</text>
  </threadedComment>
  <threadedComment ref="C30" dT="2022-10-10T19:05:59.01" personId="{FBF0E200-DBAB-7540-8A1F-2DAAD58DE039}" id="{626EFEF2-4B78-4672-AE7E-519691E60452}">
    <text>Flongle has a max of 126 nanopore channels</text>
  </threadedComment>
  <threadedComment ref="D30" dT="2022-10-10T19:06:59.37" personId="{FBF0E200-DBAB-7540-8A1F-2DAAD58DE039}" id="{661379B4-96C9-482E-9D91-3DCDFB536855}">
    <text>MinION flow cell has up to 512 Nanopore channels</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biorxiv.org/content/10.1101/2020.06.16.155887v1" TargetMode="External"/><Relationship Id="rId1" Type="http://schemas.openxmlformats.org/officeDocument/2006/relationships/hyperlink" Target="https://www.biorxiv.org/content/10.1101/2020.06.16.155887v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bmcmedicine.biomedcentral.com/articles/10.1186/s12916-021-02220-0" TargetMode="External"/><Relationship Id="rId2" Type="http://schemas.openxmlformats.org/officeDocument/2006/relationships/hyperlink" Target="https://journals.asm.org/doi/10.1128/jcm.01785-21" TargetMode="External"/><Relationship Id="rId1" Type="http://schemas.openxmlformats.org/officeDocument/2006/relationships/hyperlink" Target="https://docs.google.com/document/d/149zBb9Pp9TdbSGl3TNZXutWKX2-JOUjSw05Gu6N9XPI/edit"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DB6F-46FB-4F80-837F-A49FE1126902}">
  <dimension ref="A1:FV248"/>
  <sheetViews>
    <sheetView tabSelected="1" topLeftCell="C1" zoomScale="106" zoomScaleNormal="82" workbookViewId="0">
      <selection activeCell="E2" sqref="E2"/>
    </sheetView>
  </sheetViews>
  <sheetFormatPr baseColWidth="10" defaultColWidth="8.83203125" defaultRowHeight="15" x14ac:dyDescent="0.2"/>
  <cols>
    <col min="1" max="1" width="25.1640625" customWidth="1"/>
    <col min="2" max="2" width="19.6640625" customWidth="1"/>
    <col min="3" max="3" width="11.83203125" customWidth="1"/>
    <col min="4" max="4" width="20.6640625" customWidth="1"/>
    <col min="5" max="5" width="21.5" customWidth="1"/>
    <col min="7" max="7" width="26" customWidth="1"/>
    <col min="8" max="8" width="14.33203125" customWidth="1"/>
    <col min="10" max="10" width="25.6640625" customWidth="1"/>
    <col min="11" max="11" width="19.5" customWidth="1"/>
    <col min="12" max="12" width="7.5" customWidth="1"/>
    <col min="13" max="13" width="25.6640625" customWidth="1"/>
    <col min="14" max="14" width="19.6640625" customWidth="1"/>
    <col min="18" max="18" width="9" bestFit="1" customWidth="1"/>
    <col min="19" max="19" width="9.5" bestFit="1" customWidth="1"/>
    <col min="20" max="24" width="9" bestFit="1" customWidth="1"/>
    <col min="26" max="26" width="9.1640625" bestFit="1" customWidth="1"/>
    <col min="32" max="32" width="9.1640625" bestFit="1" customWidth="1"/>
  </cols>
  <sheetData>
    <row r="1" spans="1:27" ht="81.75" customHeight="1" x14ac:dyDescent="0.2">
      <c r="A1" s="58" t="s">
        <v>0</v>
      </c>
      <c r="C1" t="s">
        <v>1</v>
      </c>
    </row>
    <row r="2" spans="1:27" ht="81.75" customHeight="1" thickBot="1" x14ac:dyDescent="0.25">
      <c r="A2" s="30" t="s">
        <v>2</v>
      </c>
      <c r="B2" s="22"/>
      <c r="J2" s="10"/>
    </row>
    <row r="3" spans="1:27" ht="24.75" customHeight="1" x14ac:dyDescent="0.25">
      <c r="A3" s="74" t="s">
        <v>4</v>
      </c>
      <c r="B3" s="75"/>
      <c r="C3" s="28"/>
      <c r="D3" s="74" t="s">
        <v>5</v>
      </c>
      <c r="E3" s="75"/>
      <c r="F3" s="29"/>
      <c r="G3" s="74" t="s">
        <v>6</v>
      </c>
      <c r="H3" s="75"/>
      <c r="I3" s="29"/>
      <c r="J3" s="74" t="s">
        <v>7</v>
      </c>
      <c r="K3" s="75"/>
      <c r="M3" s="76" t="s">
        <v>8</v>
      </c>
      <c r="N3" s="77"/>
      <c r="Q3" t="s">
        <v>9</v>
      </c>
    </row>
    <row r="4" spans="1:27" ht="16" x14ac:dyDescent="0.2">
      <c r="A4" s="31" t="s">
        <v>10</v>
      </c>
      <c r="B4" s="32"/>
      <c r="C4" s="27"/>
      <c r="D4" s="41" t="s">
        <v>11</v>
      </c>
      <c r="E4" s="32"/>
      <c r="G4" s="37" t="s">
        <v>12</v>
      </c>
      <c r="H4" s="32"/>
      <c r="J4" s="37" t="s">
        <v>12</v>
      </c>
      <c r="K4" s="32"/>
      <c r="M4" s="60" t="s">
        <v>13</v>
      </c>
      <c r="N4" s="61"/>
    </row>
    <row r="5" spans="1:27" ht="32" x14ac:dyDescent="0.2">
      <c r="A5" s="33" t="s">
        <v>14</v>
      </c>
      <c r="B5" s="55">
        <v>12.5</v>
      </c>
      <c r="D5" s="35" t="s">
        <v>15</v>
      </c>
      <c r="E5" s="34">
        <v>0.6</v>
      </c>
      <c r="G5" s="33" t="s">
        <v>163</v>
      </c>
      <c r="H5" s="34">
        <v>20</v>
      </c>
      <c r="J5" s="33" t="s">
        <v>163</v>
      </c>
      <c r="K5" s="34">
        <v>20</v>
      </c>
      <c r="M5" s="62" t="s">
        <v>16</v>
      </c>
      <c r="N5" s="63">
        <v>90</v>
      </c>
    </row>
    <row r="6" spans="1:27" ht="32" x14ac:dyDescent="0.2">
      <c r="A6" s="33" t="s">
        <v>17</v>
      </c>
      <c r="B6" s="34">
        <v>200</v>
      </c>
      <c r="D6" s="35" t="s">
        <v>18</v>
      </c>
      <c r="E6" s="34">
        <v>0</v>
      </c>
      <c r="G6" s="35" t="s">
        <v>19</v>
      </c>
      <c r="H6" s="42">
        <f>E18*H5</f>
        <v>250.00009230769234</v>
      </c>
      <c r="J6" s="35" t="s">
        <v>19</v>
      </c>
      <c r="K6" s="42">
        <f>E18*K5</f>
        <v>250.00009230769234</v>
      </c>
      <c r="M6" s="64" t="s">
        <v>20</v>
      </c>
      <c r="N6" s="63">
        <v>1</v>
      </c>
    </row>
    <row r="7" spans="1:27" ht="30" customHeight="1" x14ac:dyDescent="0.2">
      <c r="A7" s="33" t="s">
        <v>21</v>
      </c>
      <c r="B7" s="36">
        <f>B5*B6</f>
        <v>2500</v>
      </c>
      <c r="D7" s="35" t="s">
        <v>22</v>
      </c>
      <c r="E7" s="42">
        <f>(B20-(B14*B18))*(1-E5)+(B14*B18)*(1-E6)</f>
        <v>500.00018461538463</v>
      </c>
      <c r="G7" s="35" t="s">
        <v>23</v>
      </c>
      <c r="H7" s="36">
        <f>H6*(975*1000000000)/B10</f>
        <v>243750090000.00003</v>
      </c>
      <c r="J7" s="35" t="s">
        <v>23</v>
      </c>
      <c r="K7" s="36">
        <f>K6*(975*1000000000)/B10</f>
        <v>243750090000.00003</v>
      </c>
      <c r="M7" s="62" t="s">
        <v>24</v>
      </c>
      <c r="N7" s="65">
        <f>B8-B10</f>
        <v>29000</v>
      </c>
    </row>
    <row r="8" spans="1:27" ht="36" customHeight="1" x14ac:dyDescent="0.2">
      <c r="A8" s="35" t="s">
        <v>25</v>
      </c>
      <c r="B8" s="34">
        <v>30000</v>
      </c>
      <c r="D8" s="35" t="s">
        <v>26</v>
      </c>
      <c r="E8" s="42">
        <f>E7*B17/B6</f>
        <v>12.500004615384617</v>
      </c>
      <c r="G8" s="35" t="s">
        <v>27</v>
      </c>
      <c r="H8" s="36">
        <f>H7*E11</f>
        <v>150000</v>
      </c>
      <c r="J8" s="35" t="s">
        <v>27</v>
      </c>
      <c r="K8" s="36">
        <f>K7*E11</f>
        <v>150000</v>
      </c>
      <c r="M8" s="64" t="s">
        <v>28</v>
      </c>
      <c r="N8" s="65">
        <f>(B10-N5)*N6</f>
        <v>910</v>
      </c>
    </row>
    <row r="9" spans="1:27" ht="32" x14ac:dyDescent="0.2">
      <c r="A9" s="33" t="s">
        <v>29</v>
      </c>
      <c r="B9" s="34">
        <v>20000</v>
      </c>
      <c r="D9" s="35" t="s">
        <v>30</v>
      </c>
      <c r="E9" s="43">
        <f>E7*(975*1000000000)/B10</f>
        <v>487500180000</v>
      </c>
      <c r="G9" s="33"/>
      <c r="H9" s="36"/>
      <c r="J9" s="35"/>
      <c r="K9" s="36"/>
      <c r="M9" s="62" t="s">
        <v>31</v>
      </c>
      <c r="N9" s="65">
        <f>N8/N7</f>
        <v>3.1379310344827584E-2</v>
      </c>
    </row>
    <row r="10" spans="1:27" ht="32" x14ac:dyDescent="0.2">
      <c r="A10" s="33" t="s">
        <v>32</v>
      </c>
      <c r="B10" s="34">
        <v>1000</v>
      </c>
      <c r="D10" s="35" t="s">
        <v>33</v>
      </c>
      <c r="E10" s="43">
        <f>B12*B18*(1-E6)</f>
        <v>300000</v>
      </c>
      <c r="G10" s="45" t="s">
        <v>34</v>
      </c>
      <c r="H10" s="38"/>
      <c r="J10" s="45" t="s">
        <v>34</v>
      </c>
      <c r="K10" s="38"/>
      <c r="M10" s="62"/>
      <c r="N10" s="65"/>
    </row>
    <row r="11" spans="1:27" ht="32" x14ac:dyDescent="0.2">
      <c r="A11" s="33" t="s">
        <v>35</v>
      </c>
      <c r="B11" s="36">
        <f>(975*1000000000)*B7/B10</f>
        <v>2437500000000</v>
      </c>
      <c r="D11" s="33" t="s">
        <v>36</v>
      </c>
      <c r="E11" s="43">
        <f>E10/E9</f>
        <v>6.1538438816576433E-7</v>
      </c>
      <c r="G11" s="35" t="s">
        <v>37</v>
      </c>
      <c r="H11" s="36">
        <v>1</v>
      </c>
      <c r="J11" s="33" t="s">
        <v>38</v>
      </c>
      <c r="K11" s="34">
        <v>5000000</v>
      </c>
      <c r="M11" s="66" t="s">
        <v>39</v>
      </c>
      <c r="N11" s="67"/>
    </row>
    <row r="12" spans="1:27" ht="32" x14ac:dyDescent="0.2">
      <c r="A12" s="33" t="s">
        <v>40</v>
      </c>
      <c r="B12" s="43">
        <f>B9*(B8/B10)</f>
        <v>600000</v>
      </c>
      <c r="D12" s="33"/>
      <c r="E12" s="36"/>
      <c r="G12" s="35" t="s">
        <v>41</v>
      </c>
      <c r="H12" s="36">
        <v>0.1</v>
      </c>
      <c r="J12" s="35" t="s">
        <v>42</v>
      </c>
      <c r="K12" s="36">
        <v>35</v>
      </c>
      <c r="M12" s="62" t="s">
        <v>43</v>
      </c>
      <c r="N12" s="65">
        <f>B20</f>
        <v>1250</v>
      </c>
    </row>
    <row r="13" spans="1:27" ht="32" x14ac:dyDescent="0.2">
      <c r="A13" s="33" t="s">
        <v>44</v>
      </c>
      <c r="B13" s="36">
        <f>B12/B11</f>
        <v>2.4615384615384616E-7</v>
      </c>
      <c r="D13" s="37" t="s">
        <v>45</v>
      </c>
      <c r="E13" s="38"/>
      <c r="G13" s="35" t="s">
        <v>46</v>
      </c>
      <c r="H13" s="46">
        <f>H11/H6*H12</f>
        <v>3.9999985230774679E-4</v>
      </c>
      <c r="J13" s="33" t="s">
        <v>47</v>
      </c>
      <c r="K13" s="36">
        <f>K11*K12/10^9</f>
        <v>0.17499999999999999</v>
      </c>
      <c r="M13" s="64" t="s">
        <v>160</v>
      </c>
      <c r="N13" s="72">
        <v>5</v>
      </c>
    </row>
    <row r="14" spans="1:27" ht="42" x14ac:dyDescent="0.25">
      <c r="A14" s="33" t="s">
        <v>48</v>
      </c>
      <c r="B14" s="43">
        <f>B7*B13</f>
        <v>6.1538461538461541E-4</v>
      </c>
      <c r="D14" s="35" t="s">
        <v>49</v>
      </c>
      <c r="E14" s="34">
        <v>0</v>
      </c>
      <c r="G14" s="33" t="s">
        <v>50</v>
      </c>
      <c r="H14" s="34">
        <v>800</v>
      </c>
      <c r="J14" s="50" t="s">
        <v>51</v>
      </c>
      <c r="K14" s="53">
        <f>K11*K8/K7</f>
        <v>3.0769219408288215</v>
      </c>
      <c r="M14" s="64" t="s">
        <v>165</v>
      </c>
      <c r="N14" s="65">
        <f>N13*B21</f>
        <v>156.25</v>
      </c>
      <c r="R14" s="73" t="s">
        <v>53</v>
      </c>
      <c r="S14" s="73"/>
      <c r="T14" s="73"/>
      <c r="U14" s="73"/>
      <c r="V14" s="73"/>
      <c r="W14" s="73"/>
      <c r="X14" s="73"/>
      <c r="AA14" t="s">
        <v>54</v>
      </c>
    </row>
    <row r="15" spans="1:27" ht="33" thickBot="1" x14ac:dyDescent="0.25">
      <c r="A15" s="33"/>
      <c r="B15" s="36"/>
      <c r="D15" s="35" t="s">
        <v>55</v>
      </c>
      <c r="E15" s="42">
        <f>E7*2^E14</f>
        <v>500.00018461538463</v>
      </c>
      <c r="G15" s="33" t="s">
        <v>56</v>
      </c>
      <c r="H15" s="36">
        <v>420</v>
      </c>
      <c r="J15" s="39" t="s">
        <v>57</v>
      </c>
      <c r="K15" s="40" t="s">
        <v>58</v>
      </c>
      <c r="M15" s="64" t="s">
        <v>52</v>
      </c>
      <c r="N15" s="65">
        <f>B23*N13/B19</f>
        <v>37500</v>
      </c>
      <c r="R15" s="73"/>
      <c r="S15" s="73"/>
      <c r="T15" s="73"/>
      <c r="U15" s="73"/>
      <c r="V15" s="73"/>
      <c r="W15" s="73"/>
      <c r="X15" s="73"/>
      <c r="AA15" t="s">
        <v>60</v>
      </c>
    </row>
    <row r="16" spans="1:27" ht="32" x14ac:dyDescent="0.2">
      <c r="A16" s="37" t="s">
        <v>61</v>
      </c>
      <c r="B16" s="38"/>
      <c r="D16" s="35" t="s">
        <v>62</v>
      </c>
      <c r="E16" s="36">
        <f>E15*(975*1000000000)/B10</f>
        <v>487500180000</v>
      </c>
      <c r="G16" s="33" t="s">
        <v>63</v>
      </c>
      <c r="H16" s="36">
        <f>B10/H15</f>
        <v>2.3809523809523809</v>
      </c>
      <c r="J16" s="10"/>
      <c r="M16" s="62" t="s">
        <v>59</v>
      </c>
      <c r="N16" s="65">
        <f>N15*N9</f>
        <v>1176.7241379310344</v>
      </c>
      <c r="R16" s="73"/>
      <c r="S16" s="73"/>
      <c r="T16" s="73"/>
      <c r="U16" s="73"/>
      <c r="V16" s="73"/>
      <c r="W16" s="73"/>
      <c r="X16" s="73"/>
    </row>
    <row r="17" spans="1:29" ht="64" x14ac:dyDescent="0.2">
      <c r="A17" s="33" t="s">
        <v>64</v>
      </c>
      <c r="B17" s="34">
        <v>5</v>
      </c>
      <c r="D17" s="35" t="s">
        <v>65</v>
      </c>
      <c r="E17" s="36">
        <f>E10*2^E14</f>
        <v>300000</v>
      </c>
      <c r="G17" s="33" t="s">
        <v>66</v>
      </c>
      <c r="H17" s="42">
        <f>H16+H13</f>
        <v>2.3813523808046888</v>
      </c>
      <c r="M17" s="62"/>
      <c r="N17" s="65"/>
      <c r="Q17" s="57" t="s">
        <v>69</v>
      </c>
      <c r="R17" s="10" t="s">
        <v>70</v>
      </c>
      <c r="S17" s="10" t="s">
        <v>71</v>
      </c>
      <c r="T17" t="s">
        <v>72</v>
      </c>
      <c r="U17" s="10" t="s">
        <v>70</v>
      </c>
      <c r="V17" t="s">
        <v>73</v>
      </c>
      <c r="W17" t="s">
        <v>74</v>
      </c>
      <c r="X17" t="s">
        <v>75</v>
      </c>
      <c r="AA17" s="10"/>
      <c r="AB17" s="10"/>
      <c r="AC17" s="10"/>
    </row>
    <row r="18" spans="1:29" ht="30.75" customHeight="1" thickBot="1" x14ac:dyDescent="0.25">
      <c r="A18" s="33" t="s">
        <v>76</v>
      </c>
      <c r="B18" s="34">
        <v>0.5</v>
      </c>
      <c r="D18" s="71" t="s">
        <v>164</v>
      </c>
      <c r="E18" s="44">
        <f>E8*2^E14</f>
        <v>12.500004615384617</v>
      </c>
      <c r="G18" s="33" t="s">
        <v>77</v>
      </c>
      <c r="H18" s="42">
        <f>H16/H17*100</f>
        <v>99.983202828126906</v>
      </c>
      <c r="M18" s="66" t="s">
        <v>67</v>
      </c>
      <c r="N18" s="68" t="s">
        <v>68</v>
      </c>
      <c r="R18">
        <v>0.1</v>
      </c>
      <c r="S18">
        <f t="shared" ref="S18:S25" si="0">LOG10(R18)</f>
        <v>-1</v>
      </c>
      <c r="T18" s="26">
        <f>N19+LOG10(R18)*N20</f>
        <v>45.36</v>
      </c>
      <c r="U18">
        <v>0.1</v>
      </c>
      <c r="V18">
        <v>6.2E-4</v>
      </c>
      <c r="W18">
        <v>6.1999999999999998E-3</v>
      </c>
      <c r="X18">
        <v>6.2E-2</v>
      </c>
    </row>
    <row r="19" spans="1:29" ht="30.75" customHeight="1" x14ac:dyDescent="0.2">
      <c r="A19" s="33" t="s">
        <v>161</v>
      </c>
      <c r="B19" s="36">
        <f>B6/B17</f>
        <v>40</v>
      </c>
      <c r="D19" s="59"/>
      <c r="E19" s="5"/>
      <c r="G19" s="33" t="s">
        <v>80</v>
      </c>
      <c r="H19" s="47">
        <f>1/H17</f>
        <v>0.41992945187813296</v>
      </c>
      <c r="M19" s="62" t="s">
        <v>78</v>
      </c>
      <c r="N19" s="65">
        <v>42</v>
      </c>
      <c r="T19" s="26"/>
    </row>
    <row r="20" spans="1:29" ht="30.75" customHeight="1" x14ac:dyDescent="0.2">
      <c r="A20" s="33" t="s">
        <v>79</v>
      </c>
      <c r="B20" s="36">
        <f>B7*B18</f>
        <v>1250</v>
      </c>
      <c r="G20" s="33" t="s">
        <v>82</v>
      </c>
      <c r="H20" s="47">
        <f>H19*H14</f>
        <v>335.94356150250638</v>
      </c>
      <c r="M20" s="62" t="s">
        <v>81</v>
      </c>
      <c r="N20" s="65">
        <v>-3.36</v>
      </c>
      <c r="R20">
        <v>1</v>
      </c>
      <c r="S20">
        <f t="shared" si="0"/>
        <v>0</v>
      </c>
      <c r="T20" s="26">
        <f>N19+LOG10(R20)*N20</f>
        <v>42</v>
      </c>
      <c r="U20">
        <v>1</v>
      </c>
      <c r="V20">
        <v>6.1999999999999998E-3</v>
      </c>
      <c r="W20">
        <v>6.2E-2</v>
      </c>
      <c r="X20">
        <v>0.62</v>
      </c>
    </row>
    <row r="21" spans="1:29" ht="34" thickBot="1" x14ac:dyDescent="0.3">
      <c r="A21" s="35" t="s">
        <v>162</v>
      </c>
      <c r="B21" s="36">
        <f>B20/B19</f>
        <v>31.25</v>
      </c>
      <c r="G21" s="33" t="s">
        <v>85</v>
      </c>
      <c r="H21" s="48">
        <f>H20*60*60</f>
        <v>1209396.8214090229</v>
      </c>
      <c r="M21" s="69" t="s">
        <v>83</v>
      </c>
      <c r="N21" s="70">
        <f>N19+LOG10(N16)*N20</f>
        <v>31.682533135176485</v>
      </c>
      <c r="R21">
        <v>10</v>
      </c>
      <c r="S21">
        <f t="shared" si="0"/>
        <v>1</v>
      </c>
      <c r="T21" s="26">
        <f>N19+LOG10(R21)*N20</f>
        <v>38.64</v>
      </c>
      <c r="U21">
        <v>10</v>
      </c>
      <c r="V21">
        <v>6.2E-2</v>
      </c>
      <c r="W21">
        <v>0.62</v>
      </c>
      <c r="X21">
        <v>6.2</v>
      </c>
    </row>
    <row r="22" spans="1:29" x14ac:dyDescent="0.2">
      <c r="A22" s="33" t="s">
        <v>84</v>
      </c>
      <c r="B22" s="36">
        <f>B11*B18</f>
        <v>1218750000000</v>
      </c>
      <c r="G22" s="33" t="s">
        <v>87</v>
      </c>
      <c r="H22" s="48">
        <f>H21*B10/(1*10^9)</f>
        <v>1.2093968214090227</v>
      </c>
      <c r="R22">
        <v>100</v>
      </c>
      <c r="S22">
        <f t="shared" si="0"/>
        <v>2</v>
      </c>
      <c r="T22" s="26">
        <f>N19+LOG10(R22)*N20</f>
        <v>35.28</v>
      </c>
      <c r="U22">
        <v>100</v>
      </c>
      <c r="V22">
        <v>0.62</v>
      </c>
      <c r="W22">
        <v>6.2</v>
      </c>
      <c r="X22">
        <v>62</v>
      </c>
      <c r="Z22" s="10"/>
    </row>
    <row r="23" spans="1:29" ht="16" thickBot="1" x14ac:dyDescent="0.25">
      <c r="A23" s="39" t="s">
        <v>86</v>
      </c>
      <c r="B23" s="40">
        <f>B12*B18</f>
        <v>300000</v>
      </c>
      <c r="G23" s="33" t="s">
        <v>88</v>
      </c>
      <c r="H23" s="42">
        <v>1</v>
      </c>
      <c r="R23">
        <v>1000</v>
      </c>
      <c r="S23">
        <f t="shared" si="0"/>
        <v>3</v>
      </c>
      <c r="T23" s="26">
        <f>N19+LOG10(R23)*N20</f>
        <v>31.92</v>
      </c>
      <c r="U23">
        <v>1000</v>
      </c>
      <c r="V23">
        <v>6.2</v>
      </c>
      <c r="W23">
        <v>62</v>
      </c>
      <c r="X23">
        <v>620</v>
      </c>
      <c r="AA23" s="26"/>
    </row>
    <row r="24" spans="1:29" x14ac:dyDescent="0.2">
      <c r="G24" s="33"/>
      <c r="H24" s="36"/>
      <c r="R24">
        <v>10000</v>
      </c>
      <c r="S24">
        <f t="shared" si="0"/>
        <v>4</v>
      </c>
      <c r="T24" s="26">
        <f>N19+LOG10(R24)*N20</f>
        <v>28.560000000000002</v>
      </c>
      <c r="U24">
        <v>10000</v>
      </c>
      <c r="V24">
        <v>62</v>
      </c>
      <c r="W24">
        <v>620</v>
      </c>
      <c r="X24">
        <v>6200</v>
      </c>
      <c r="AA24" s="26"/>
    </row>
    <row r="25" spans="1:29" x14ac:dyDescent="0.2">
      <c r="G25" s="37" t="s">
        <v>67</v>
      </c>
      <c r="H25" s="38"/>
      <c r="R25">
        <v>100000</v>
      </c>
      <c r="S25">
        <f t="shared" si="0"/>
        <v>5</v>
      </c>
      <c r="T25" s="26">
        <f>N19+LOG10(R25)*N20</f>
        <v>25.2</v>
      </c>
      <c r="U25">
        <v>100000</v>
      </c>
      <c r="V25">
        <v>620</v>
      </c>
      <c r="W25">
        <v>6200</v>
      </c>
      <c r="X25">
        <v>62000</v>
      </c>
      <c r="AA25" s="26"/>
    </row>
    <row r="26" spans="1:29" x14ac:dyDescent="0.2">
      <c r="G26" s="33" t="s">
        <v>90</v>
      </c>
      <c r="H26" s="48">
        <f>H23*H21</f>
        <v>1209396.8214090229</v>
      </c>
      <c r="R26" t="s">
        <v>89</v>
      </c>
      <c r="AA26" s="26"/>
    </row>
    <row r="27" spans="1:29" x14ac:dyDescent="0.2">
      <c r="G27" s="33" t="s">
        <v>47</v>
      </c>
      <c r="H27" s="46">
        <f>H22*H23</f>
        <v>1.2093968214090227</v>
      </c>
      <c r="R27">
        <v>40</v>
      </c>
      <c r="S27">
        <v>10000000</v>
      </c>
      <c r="U27">
        <v>22</v>
      </c>
      <c r="V27">
        <v>3</v>
      </c>
      <c r="AA27" s="26"/>
    </row>
    <row r="28" spans="1:29" x14ac:dyDescent="0.2">
      <c r="G28" s="33" t="s">
        <v>91</v>
      </c>
      <c r="H28" s="49">
        <f>H26/H7</f>
        <v>4.9616261532827442E-6</v>
      </c>
      <c r="R28">
        <v>40</v>
      </c>
      <c r="S28">
        <v>1E-4</v>
      </c>
      <c r="U28">
        <v>48</v>
      </c>
      <c r="V28">
        <v>3</v>
      </c>
      <c r="AA28" s="26"/>
    </row>
    <row r="29" spans="1:29" ht="42" x14ac:dyDescent="0.25">
      <c r="G29" s="50" t="s">
        <v>51</v>
      </c>
      <c r="H29" s="51">
        <f>H8*(H26/H7)</f>
        <v>0.7442439229924116</v>
      </c>
      <c r="AA29" s="26"/>
    </row>
    <row r="30" spans="1:29" ht="16" thickBot="1" x14ac:dyDescent="0.25">
      <c r="G30" s="39" t="s">
        <v>92</v>
      </c>
      <c r="H30" s="52" t="s">
        <v>93</v>
      </c>
    </row>
    <row r="34" spans="1:32" x14ac:dyDescent="0.2">
      <c r="A34" t="s">
        <v>3</v>
      </c>
    </row>
    <row r="44" spans="1:32" x14ac:dyDescent="0.2">
      <c r="R44" t="s">
        <v>32</v>
      </c>
      <c r="S44" t="s">
        <v>94</v>
      </c>
      <c r="T44" t="s">
        <v>95</v>
      </c>
      <c r="AA44" t="s">
        <v>96</v>
      </c>
      <c r="AB44">
        <v>500</v>
      </c>
      <c r="AD44" t="s">
        <v>97</v>
      </c>
      <c r="AE44" t="s">
        <v>94</v>
      </c>
      <c r="AF44" t="s">
        <v>95</v>
      </c>
    </row>
    <row r="45" spans="1:32" x14ac:dyDescent="0.2">
      <c r="R45">
        <v>2500</v>
      </c>
      <c r="S45">
        <v>0.44800000000000001</v>
      </c>
      <c r="T45">
        <v>4.9800000000000004</v>
      </c>
      <c r="AA45" t="s">
        <v>98</v>
      </c>
      <c r="AB45">
        <v>180</v>
      </c>
      <c r="AD45">
        <v>1</v>
      </c>
      <c r="AE45">
        <f>22.42</f>
        <v>22.42</v>
      </c>
      <c r="AF45">
        <v>49.84</v>
      </c>
    </row>
    <row r="46" spans="1:32" x14ac:dyDescent="0.2">
      <c r="R46">
        <v>1000</v>
      </c>
      <c r="S46">
        <v>1.1220000000000001</v>
      </c>
      <c r="T46">
        <v>4.9800000000000004</v>
      </c>
      <c r="AA46" t="s">
        <v>99</v>
      </c>
      <c r="AB46">
        <v>0.9</v>
      </c>
      <c r="AD46" s="54">
        <v>5</v>
      </c>
      <c r="AE46">
        <v>4.4800000000000004</v>
      </c>
      <c r="AF46">
        <v>9.9600000000000009</v>
      </c>
    </row>
    <row r="47" spans="1:32" x14ac:dyDescent="0.2">
      <c r="R47">
        <v>500</v>
      </c>
      <c r="S47">
        <v>2.2429999999999999</v>
      </c>
      <c r="T47">
        <v>4.9800000000000004</v>
      </c>
      <c r="AD47">
        <v>10</v>
      </c>
      <c r="AE47">
        <v>2.2400000000000002</v>
      </c>
      <c r="AF47">
        <v>4.9800000000000004</v>
      </c>
    </row>
    <row r="48" spans="1:32" x14ac:dyDescent="0.2">
      <c r="R48">
        <v>250</v>
      </c>
      <c r="S48">
        <v>4.4859999999999998</v>
      </c>
      <c r="T48">
        <v>4.9800000000000004</v>
      </c>
      <c r="AD48">
        <v>25</v>
      </c>
      <c r="AE48">
        <v>0.89</v>
      </c>
      <c r="AF48">
        <v>1.99</v>
      </c>
    </row>
    <row r="49" spans="18:32" x14ac:dyDescent="0.2">
      <c r="R49">
        <v>125</v>
      </c>
      <c r="S49">
        <v>8.9710000000000001</v>
      </c>
      <c r="T49">
        <v>4.9800000000000004</v>
      </c>
      <c r="AD49">
        <v>50</v>
      </c>
      <c r="AE49">
        <v>0.45</v>
      </c>
      <c r="AF49">
        <v>1</v>
      </c>
    </row>
    <row r="50" spans="18:32" x14ac:dyDescent="0.2">
      <c r="AD50">
        <v>100</v>
      </c>
      <c r="AE50">
        <v>0.22</v>
      </c>
      <c r="AF50">
        <v>0.5</v>
      </c>
    </row>
    <row r="66" spans="1:178"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c r="BN66" s="56"/>
      <c r="BO66" s="56"/>
      <c r="BP66" s="56"/>
      <c r="BQ66" s="56"/>
      <c r="BR66" s="56"/>
      <c r="BS66" s="56"/>
      <c r="BT66" s="56"/>
      <c r="BU66" s="56"/>
      <c r="BV66" s="56"/>
      <c r="BW66" s="56"/>
      <c r="BX66" s="56"/>
      <c r="BY66" s="56"/>
      <c r="BZ66" s="56"/>
      <c r="CA66" s="56"/>
      <c r="CB66" s="56"/>
      <c r="CC66" s="56"/>
      <c r="CD66" s="56"/>
      <c r="CE66" s="56"/>
      <c r="CF66" s="56"/>
      <c r="CG66" s="56"/>
      <c r="CH66" s="56"/>
      <c r="CI66" s="56"/>
      <c r="CJ66" s="56"/>
      <c r="CK66" s="56"/>
      <c r="CL66" s="56"/>
      <c r="CM66" s="56"/>
      <c r="CN66" s="56"/>
      <c r="CO66" s="56"/>
      <c r="CP66" s="56"/>
      <c r="CQ66" s="56"/>
      <c r="CR66" s="56"/>
      <c r="CS66" s="56"/>
      <c r="CT66" s="56"/>
      <c r="CU66" s="56"/>
      <c r="CV66" s="56"/>
      <c r="CW66" s="56"/>
      <c r="CX66" s="56"/>
      <c r="CY66" s="56"/>
      <c r="CZ66" s="56"/>
      <c r="DA66" s="56"/>
      <c r="DB66" s="56"/>
      <c r="DC66" s="56"/>
      <c r="DD66" s="56"/>
      <c r="DE66" s="56"/>
      <c r="DF66" s="56"/>
      <c r="DG66" s="56"/>
      <c r="DH66" s="56"/>
      <c r="DI66" s="56"/>
      <c r="DJ66" s="56"/>
      <c r="DK66" s="56"/>
      <c r="DL66" s="56"/>
      <c r="DM66" s="56"/>
      <c r="DN66" s="56"/>
      <c r="DO66" s="56"/>
      <c r="DP66" s="56"/>
      <c r="DQ66" s="56"/>
      <c r="DR66" s="56"/>
      <c r="DS66" s="56"/>
      <c r="DT66" s="56"/>
      <c r="DU66" s="56"/>
      <c r="DV66" s="56"/>
      <c r="DW66" s="56"/>
      <c r="DX66" s="56"/>
      <c r="DY66" s="56"/>
      <c r="DZ66" s="56"/>
      <c r="EA66" s="56"/>
      <c r="EB66" s="56"/>
      <c r="EC66" s="56"/>
      <c r="ED66" s="56"/>
      <c r="EE66" s="56"/>
      <c r="EF66" s="56"/>
      <c r="EG66" s="56"/>
      <c r="EH66" s="56"/>
      <c r="EI66" s="56"/>
      <c r="EJ66" s="56"/>
      <c r="EK66" s="56"/>
      <c r="EL66" s="56"/>
      <c r="EM66" s="56"/>
      <c r="EN66" s="56"/>
      <c r="EO66" s="56"/>
      <c r="EP66" s="56"/>
      <c r="EQ66" s="56"/>
      <c r="ER66" s="56"/>
      <c r="ES66" s="56"/>
      <c r="ET66" s="56"/>
      <c r="EU66" s="56"/>
      <c r="EV66" s="56"/>
      <c r="EW66" s="56"/>
      <c r="EX66" s="56"/>
      <c r="EY66" s="56"/>
      <c r="EZ66" s="56"/>
      <c r="FA66" s="56"/>
      <c r="FB66" s="56"/>
      <c r="FC66" s="56"/>
      <c r="FD66" s="56"/>
      <c r="FE66" s="56"/>
      <c r="FF66" s="56"/>
      <c r="FG66" s="56"/>
      <c r="FH66" s="56"/>
      <c r="FI66" s="56"/>
      <c r="FJ66" s="56"/>
      <c r="FK66" s="56"/>
      <c r="FL66" s="56"/>
      <c r="FM66" s="56"/>
      <c r="FN66" s="56"/>
      <c r="FO66" s="56"/>
      <c r="FP66" s="56"/>
      <c r="FQ66" s="56"/>
      <c r="FR66" s="56"/>
      <c r="FS66" s="56"/>
      <c r="FT66" s="56"/>
      <c r="FU66" s="56"/>
      <c r="FV66" s="56"/>
    </row>
    <row r="67" spans="1:178"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56"/>
      <c r="BP67" s="56"/>
      <c r="BQ67" s="56"/>
      <c r="BR67" s="56"/>
      <c r="BS67" s="56"/>
      <c r="BT67" s="56"/>
      <c r="BU67" s="56"/>
      <c r="BV67" s="56"/>
      <c r="BW67" s="56"/>
      <c r="BX67" s="56"/>
      <c r="BY67" s="56"/>
      <c r="BZ67" s="56"/>
      <c r="CA67" s="56"/>
      <c r="CB67" s="56"/>
      <c r="CC67" s="56"/>
      <c r="CD67" s="56"/>
      <c r="CE67" s="56"/>
      <c r="CF67" s="56"/>
      <c r="CG67" s="56"/>
      <c r="CH67" s="56"/>
      <c r="CI67" s="56"/>
      <c r="CJ67" s="56"/>
      <c r="CK67" s="56"/>
      <c r="CL67" s="56"/>
      <c r="CM67" s="56"/>
      <c r="CN67" s="56"/>
      <c r="CO67" s="56"/>
      <c r="CP67" s="56"/>
      <c r="CQ67" s="56"/>
      <c r="CR67" s="56"/>
      <c r="CS67" s="56"/>
      <c r="CT67" s="56"/>
      <c r="CU67" s="56"/>
      <c r="CV67" s="56"/>
      <c r="CW67" s="56"/>
      <c r="CX67" s="56"/>
      <c r="CY67" s="56"/>
      <c r="CZ67" s="56"/>
      <c r="DA67" s="56"/>
      <c r="DB67" s="56"/>
      <c r="DC67" s="56"/>
      <c r="DD67" s="56"/>
      <c r="DE67" s="56"/>
      <c r="DF67" s="56"/>
      <c r="DG67" s="56"/>
      <c r="DH67" s="56"/>
      <c r="DI67" s="56"/>
      <c r="DJ67" s="56"/>
      <c r="DK67" s="56"/>
      <c r="DL67" s="56"/>
      <c r="DM67" s="56"/>
      <c r="DN67" s="56"/>
      <c r="DO67" s="56"/>
      <c r="DP67" s="56"/>
      <c r="DQ67" s="56"/>
      <c r="DR67" s="56"/>
      <c r="DS67" s="56"/>
      <c r="DT67" s="56"/>
      <c r="DU67" s="56"/>
      <c r="DV67" s="56"/>
      <c r="DW67" s="56"/>
      <c r="DX67" s="56"/>
      <c r="DY67" s="56"/>
      <c r="DZ67" s="56"/>
      <c r="EA67" s="56"/>
      <c r="EB67" s="56"/>
      <c r="EC67" s="56"/>
      <c r="ED67" s="56"/>
      <c r="EE67" s="56"/>
      <c r="EF67" s="56"/>
      <c r="EG67" s="56"/>
      <c r="EH67" s="56"/>
      <c r="EI67" s="56"/>
      <c r="EJ67" s="56"/>
      <c r="EK67" s="56"/>
      <c r="EL67" s="56"/>
      <c r="EM67" s="56"/>
      <c r="EN67" s="56"/>
      <c r="EO67" s="56"/>
      <c r="EP67" s="56"/>
      <c r="EQ67" s="56"/>
      <c r="ER67" s="56"/>
      <c r="ES67" s="56"/>
      <c r="ET67" s="56"/>
      <c r="EU67" s="56"/>
      <c r="EV67" s="56"/>
      <c r="EW67" s="56"/>
      <c r="EX67" s="56"/>
      <c r="EY67" s="56"/>
      <c r="EZ67" s="56"/>
      <c r="FA67" s="56"/>
      <c r="FB67" s="56"/>
      <c r="FC67" s="56"/>
      <c r="FD67" s="56"/>
      <c r="FE67" s="56"/>
      <c r="FF67" s="56"/>
      <c r="FG67" s="56"/>
      <c r="FH67" s="56"/>
      <c r="FI67" s="56"/>
      <c r="FJ67" s="56"/>
      <c r="FK67" s="56"/>
      <c r="FL67" s="56"/>
      <c r="FM67" s="56"/>
      <c r="FN67" s="56"/>
      <c r="FO67" s="56"/>
      <c r="FP67" s="56"/>
      <c r="FQ67" s="56"/>
      <c r="FR67" s="56"/>
      <c r="FS67" s="56"/>
      <c r="FT67" s="56"/>
      <c r="FU67" s="56"/>
      <c r="FV67" s="56"/>
    </row>
    <row r="69" spans="1:178" x14ac:dyDescent="0.2">
      <c r="A69" t="s">
        <v>100</v>
      </c>
      <c r="C69" t="s">
        <v>101</v>
      </c>
      <c r="M69" t="s">
        <v>102</v>
      </c>
      <c r="Q69" t="s">
        <v>103</v>
      </c>
    </row>
    <row r="70" spans="1:178" x14ac:dyDescent="0.2">
      <c r="A70" t="s">
        <v>104</v>
      </c>
      <c r="B70" t="s">
        <v>105</v>
      </c>
      <c r="C70" t="s">
        <v>104</v>
      </c>
      <c r="F70" t="s">
        <v>104</v>
      </c>
      <c r="M70" t="s">
        <v>105</v>
      </c>
      <c r="N70" t="s">
        <v>104</v>
      </c>
    </row>
    <row r="71" spans="1:178" x14ac:dyDescent="0.2">
      <c r="A71" s="56">
        <v>445651.3</v>
      </c>
      <c r="B71" s="56">
        <v>15.56</v>
      </c>
      <c r="C71" s="56">
        <v>445651.3</v>
      </c>
      <c r="E71" s="56"/>
      <c r="F71" s="56"/>
      <c r="M71" s="56">
        <v>15.56</v>
      </c>
      <c r="N71" s="56">
        <v>445651.3</v>
      </c>
      <c r="Q71" s="56">
        <v>25.65</v>
      </c>
      <c r="R71" s="56">
        <v>2039.8</v>
      </c>
    </row>
    <row r="72" spans="1:178" x14ac:dyDescent="0.2">
      <c r="A72" s="56">
        <v>680220.4</v>
      </c>
      <c r="B72" s="56">
        <v>15.56</v>
      </c>
      <c r="C72" s="56">
        <v>680220.4</v>
      </c>
      <c r="E72" s="56"/>
      <c r="F72" s="56"/>
      <c r="M72" s="56">
        <v>15.56</v>
      </c>
      <c r="N72" s="56">
        <v>680220.4</v>
      </c>
      <c r="Q72" s="56">
        <v>25.65</v>
      </c>
      <c r="R72" s="56">
        <v>17886.7</v>
      </c>
    </row>
    <row r="73" spans="1:178" x14ac:dyDescent="0.2">
      <c r="A73" s="56">
        <v>810434.8</v>
      </c>
      <c r="B73" s="56">
        <v>15.56</v>
      </c>
      <c r="C73" s="56">
        <v>810434.8</v>
      </c>
      <c r="E73" s="56"/>
      <c r="F73" s="56"/>
      <c r="M73" s="56">
        <v>15.56</v>
      </c>
      <c r="N73" s="56">
        <v>810434.8</v>
      </c>
      <c r="Q73" s="56">
        <v>25.65</v>
      </c>
      <c r="R73" s="56">
        <v>25931.4</v>
      </c>
    </row>
    <row r="74" spans="1:178" x14ac:dyDescent="0.2">
      <c r="A74" s="56">
        <v>918459.3</v>
      </c>
      <c r="B74" s="56">
        <v>16.75</v>
      </c>
      <c r="C74" s="56">
        <v>918459.3</v>
      </c>
      <c r="E74" s="56"/>
      <c r="F74" s="56"/>
      <c r="M74" s="56">
        <v>16.75</v>
      </c>
      <c r="N74" s="56">
        <v>918459.3</v>
      </c>
      <c r="Q74" s="56">
        <v>26.53</v>
      </c>
      <c r="R74" s="56">
        <v>9242.7000000000007</v>
      </c>
    </row>
    <row r="75" spans="1:178" x14ac:dyDescent="0.2">
      <c r="A75" s="56">
        <v>981767</v>
      </c>
      <c r="B75" s="56">
        <v>16.75</v>
      </c>
      <c r="C75" s="56">
        <v>981767</v>
      </c>
      <c r="F75" s="56"/>
      <c r="M75" s="56">
        <v>16.75</v>
      </c>
      <c r="N75" s="56">
        <v>981767</v>
      </c>
      <c r="Q75" s="56">
        <v>26.53</v>
      </c>
      <c r="R75" s="56">
        <v>34573.300000000003</v>
      </c>
    </row>
    <row r="76" spans="1:178" x14ac:dyDescent="0.2">
      <c r="A76" s="56">
        <v>983415.1</v>
      </c>
      <c r="B76" s="56">
        <v>16.75</v>
      </c>
      <c r="C76" s="56">
        <v>983415.1</v>
      </c>
      <c r="E76" s="56"/>
      <c r="F76" s="56"/>
      <c r="M76" s="56">
        <v>16.75</v>
      </c>
      <c r="N76" s="56">
        <v>983415.1</v>
      </c>
      <c r="Q76" s="56">
        <v>26.53</v>
      </c>
      <c r="R76" s="56">
        <v>36439.199999999997</v>
      </c>
    </row>
    <row r="77" spans="1:178" x14ac:dyDescent="0.2">
      <c r="A77" s="56">
        <v>150618.9</v>
      </c>
      <c r="B77" s="56">
        <v>17.04</v>
      </c>
      <c r="C77" s="56">
        <v>150618.9</v>
      </c>
      <c r="E77" s="56"/>
      <c r="F77" s="56"/>
      <c r="M77" s="56">
        <v>17.04</v>
      </c>
      <c r="N77" s="56">
        <v>150618.9</v>
      </c>
      <c r="Q77" s="56">
        <v>26.94</v>
      </c>
      <c r="R77" s="56">
        <v>2486.3000000000002</v>
      </c>
    </row>
    <row r="78" spans="1:178" x14ac:dyDescent="0.2">
      <c r="A78" s="56">
        <v>311177.59999999998</v>
      </c>
      <c r="B78" s="56">
        <v>17.04</v>
      </c>
      <c r="C78" s="56">
        <v>311177.59999999998</v>
      </c>
      <c r="E78" s="56" t="s">
        <v>106</v>
      </c>
      <c r="F78" s="56"/>
      <c r="M78" s="56">
        <v>17.04</v>
      </c>
      <c r="N78" s="56">
        <v>311177.59999999998</v>
      </c>
      <c r="Q78" s="56">
        <v>26.94</v>
      </c>
      <c r="R78" s="56">
        <v>8647.6</v>
      </c>
    </row>
    <row r="79" spans="1:178" x14ac:dyDescent="0.2">
      <c r="A79" s="56">
        <v>339106.6</v>
      </c>
      <c r="B79" s="56">
        <v>17.04</v>
      </c>
      <c r="C79" s="56">
        <v>339106.6</v>
      </c>
      <c r="F79" s="56"/>
      <c r="M79" s="56">
        <v>17.04</v>
      </c>
      <c r="N79" s="56">
        <v>339106.6</v>
      </c>
      <c r="Q79" s="56">
        <v>26.94</v>
      </c>
      <c r="R79" s="56">
        <v>8725.5</v>
      </c>
    </row>
    <row r="80" spans="1:178" x14ac:dyDescent="0.2">
      <c r="A80" s="56">
        <v>718956.6</v>
      </c>
      <c r="B80" s="56">
        <v>17.23</v>
      </c>
      <c r="C80" s="56">
        <v>718956.6</v>
      </c>
      <c r="E80" t="s">
        <v>105</v>
      </c>
      <c r="F80" t="s">
        <v>104</v>
      </c>
      <c r="H80" t="s">
        <v>107</v>
      </c>
      <c r="M80" s="56">
        <v>17.23</v>
      </c>
      <c r="N80" s="56">
        <v>718956.6</v>
      </c>
      <c r="Q80" s="56">
        <v>26.94</v>
      </c>
      <c r="R80" s="56">
        <v>584.20000000000005</v>
      </c>
    </row>
    <row r="81" spans="1:18" x14ac:dyDescent="0.2">
      <c r="A81" s="56">
        <v>956012</v>
      </c>
      <c r="B81" s="56">
        <v>17.23</v>
      </c>
      <c r="C81" s="56">
        <v>956012</v>
      </c>
      <c r="E81" s="56">
        <v>15.56</v>
      </c>
      <c r="F81" s="56">
        <v>445651.3</v>
      </c>
      <c r="H81" s="56">
        <v>22.13</v>
      </c>
      <c r="I81" s="56">
        <v>56770.7</v>
      </c>
      <c r="M81" s="56">
        <v>17.23</v>
      </c>
      <c r="N81" s="56">
        <v>956012</v>
      </c>
      <c r="Q81" s="56">
        <v>26.94</v>
      </c>
      <c r="R81" s="56">
        <v>3204.4</v>
      </c>
    </row>
    <row r="82" spans="1:18" x14ac:dyDescent="0.2">
      <c r="A82" s="56">
        <v>950535.5</v>
      </c>
      <c r="B82" s="56">
        <v>17.23</v>
      </c>
      <c r="C82" s="56">
        <v>950535.5</v>
      </c>
      <c r="E82" s="56">
        <v>15.56</v>
      </c>
      <c r="F82" s="56">
        <v>680220.4</v>
      </c>
      <c r="H82" s="56">
        <v>22.13</v>
      </c>
      <c r="I82" s="56">
        <v>168788.3</v>
      </c>
      <c r="M82" s="56">
        <v>17.23</v>
      </c>
      <c r="N82" s="56">
        <v>950535.5</v>
      </c>
      <c r="Q82" s="56">
        <v>26.94</v>
      </c>
      <c r="R82" s="56">
        <v>2078.6999999999998</v>
      </c>
    </row>
    <row r="83" spans="1:18" x14ac:dyDescent="0.2">
      <c r="A83" s="56">
        <v>16452.599999999999</v>
      </c>
      <c r="B83" s="56">
        <v>17.72</v>
      </c>
      <c r="C83" s="56">
        <v>16452.599999999999</v>
      </c>
      <c r="E83" s="56">
        <v>15.56</v>
      </c>
      <c r="F83" s="56">
        <v>810434.8</v>
      </c>
      <c r="H83" s="56">
        <v>22.13</v>
      </c>
      <c r="I83" s="56">
        <v>292472.3</v>
      </c>
      <c r="M83" s="56">
        <v>17.72</v>
      </c>
      <c r="N83" s="56">
        <v>16452.599999999999</v>
      </c>
      <c r="Q83" s="56">
        <v>27.58</v>
      </c>
      <c r="R83" s="56">
        <v>1672.7</v>
      </c>
    </row>
    <row r="84" spans="1:18" x14ac:dyDescent="0.2">
      <c r="A84" s="56">
        <v>171419.9</v>
      </c>
      <c r="B84" s="56">
        <v>17.72</v>
      </c>
      <c r="C84" s="56">
        <v>171419.9</v>
      </c>
      <c r="E84" s="56">
        <v>16.75</v>
      </c>
      <c r="F84" s="56">
        <v>918459.3</v>
      </c>
      <c r="H84" s="56">
        <v>22.17</v>
      </c>
      <c r="I84" s="56">
        <v>17766.400000000001</v>
      </c>
      <c r="M84" s="56">
        <v>17.72</v>
      </c>
      <c r="N84" s="56">
        <v>171419.9</v>
      </c>
      <c r="Q84" s="56">
        <v>27.58</v>
      </c>
      <c r="R84" s="56">
        <v>14063.7</v>
      </c>
    </row>
    <row r="85" spans="1:18" x14ac:dyDescent="0.2">
      <c r="A85" s="56">
        <v>195284.2</v>
      </c>
      <c r="B85" s="56">
        <v>17.72</v>
      </c>
      <c r="C85" s="56">
        <v>195284.2</v>
      </c>
      <c r="E85" s="56">
        <v>16.75</v>
      </c>
      <c r="F85" s="56">
        <v>981767</v>
      </c>
      <c r="H85" s="56">
        <v>22.17</v>
      </c>
      <c r="I85" s="56">
        <v>21370</v>
      </c>
      <c r="M85" s="56">
        <v>17.72</v>
      </c>
      <c r="N85" s="56">
        <v>195284.2</v>
      </c>
      <c r="Q85" s="56">
        <v>27.58</v>
      </c>
      <c r="R85" s="56">
        <v>13036.2</v>
      </c>
    </row>
    <row r="86" spans="1:18" x14ac:dyDescent="0.2">
      <c r="A86" s="56">
        <v>61832.800000000003</v>
      </c>
      <c r="B86" s="56">
        <v>18.13</v>
      </c>
      <c r="C86" s="56">
        <v>61832.800000000003</v>
      </c>
      <c r="E86" s="56">
        <v>16.75</v>
      </c>
      <c r="F86" s="56">
        <v>983415.1</v>
      </c>
      <c r="H86" s="56">
        <v>22.17</v>
      </c>
      <c r="I86" s="56">
        <v>25123.7</v>
      </c>
      <c r="M86" s="56">
        <v>18.13</v>
      </c>
      <c r="N86" s="56">
        <v>61832.800000000003</v>
      </c>
      <c r="Q86" s="56">
        <v>27.79</v>
      </c>
      <c r="R86" s="56">
        <v>387.8</v>
      </c>
    </row>
    <row r="87" spans="1:18" x14ac:dyDescent="0.2">
      <c r="A87" s="56">
        <v>177016.8</v>
      </c>
      <c r="B87" s="56">
        <v>18.13</v>
      </c>
      <c r="C87" s="56">
        <v>177016.8</v>
      </c>
      <c r="E87" s="56">
        <v>17.04</v>
      </c>
      <c r="F87" s="56">
        <v>150618.9</v>
      </c>
      <c r="H87" s="56">
        <v>22.18</v>
      </c>
      <c r="I87" s="56">
        <v>925</v>
      </c>
      <c r="M87" s="56">
        <v>18.13</v>
      </c>
      <c r="N87" s="56">
        <v>177016.8</v>
      </c>
      <c r="Q87" s="56">
        <v>27.79</v>
      </c>
      <c r="R87" s="56">
        <v>1505.2</v>
      </c>
    </row>
    <row r="88" spans="1:18" x14ac:dyDescent="0.2">
      <c r="A88" s="56">
        <v>193192.1</v>
      </c>
      <c r="B88" s="56">
        <v>18.13</v>
      </c>
      <c r="C88" s="56">
        <v>193192.1</v>
      </c>
      <c r="E88" s="56">
        <v>17.04</v>
      </c>
      <c r="F88" s="56">
        <v>311177.59999999998</v>
      </c>
      <c r="H88" s="56">
        <v>22.18</v>
      </c>
      <c r="I88" s="56">
        <v>27939.9</v>
      </c>
      <c r="M88" s="56">
        <v>18.13</v>
      </c>
      <c r="N88" s="56">
        <v>193192.1</v>
      </c>
      <c r="Q88" s="56">
        <v>27.79</v>
      </c>
      <c r="R88" s="56">
        <v>1529.4</v>
      </c>
    </row>
    <row r="89" spans="1:18" x14ac:dyDescent="0.2">
      <c r="A89" s="56">
        <v>443187.5</v>
      </c>
      <c r="B89" s="56">
        <v>18.27</v>
      </c>
      <c r="C89" s="56">
        <v>443187.5</v>
      </c>
      <c r="E89" s="56">
        <v>17.04</v>
      </c>
      <c r="F89" s="56">
        <v>339106.6</v>
      </c>
      <c r="H89" s="56">
        <v>22.23</v>
      </c>
      <c r="I89" s="56">
        <v>4014.5</v>
      </c>
      <c r="M89" s="56">
        <v>18.27</v>
      </c>
      <c r="N89" s="56">
        <v>443187.5</v>
      </c>
      <c r="Q89" s="56">
        <v>28.89</v>
      </c>
      <c r="R89" s="56">
        <v>11.3</v>
      </c>
    </row>
    <row r="90" spans="1:18" x14ac:dyDescent="0.2">
      <c r="A90" s="56">
        <v>919188.2</v>
      </c>
      <c r="B90" s="56">
        <v>18.27</v>
      </c>
      <c r="C90" s="56">
        <v>919188.2</v>
      </c>
      <c r="E90" s="56">
        <v>17.23</v>
      </c>
      <c r="F90" s="56">
        <v>718956.6</v>
      </c>
      <c r="H90" s="56">
        <v>22.23</v>
      </c>
      <c r="I90" s="56">
        <v>28496.9</v>
      </c>
      <c r="M90" s="56">
        <v>18.27</v>
      </c>
      <c r="N90" s="56">
        <v>919188.2</v>
      </c>
      <c r="Q90" s="56">
        <v>28.89</v>
      </c>
      <c r="R90" s="56">
        <v>106.9</v>
      </c>
    </row>
    <row r="91" spans="1:18" x14ac:dyDescent="0.2">
      <c r="A91" s="56">
        <v>912935.8</v>
      </c>
      <c r="B91" s="56">
        <v>18.27</v>
      </c>
      <c r="C91" s="56">
        <v>912935.8</v>
      </c>
      <c r="E91" s="56">
        <v>17.23</v>
      </c>
      <c r="F91" s="56">
        <v>950535.5</v>
      </c>
      <c r="H91" s="56">
        <v>22.23</v>
      </c>
      <c r="I91" s="56">
        <v>44000.2</v>
      </c>
      <c r="M91" s="56">
        <v>18.27</v>
      </c>
      <c r="N91" s="56">
        <v>912935.8</v>
      </c>
      <c r="Q91" s="56">
        <v>28.89</v>
      </c>
      <c r="R91" s="56">
        <v>90.7</v>
      </c>
    </row>
    <row r="92" spans="1:18" x14ac:dyDescent="0.2">
      <c r="A92" s="56">
        <v>62740.1</v>
      </c>
      <c r="B92" s="56">
        <v>18.600000000000001</v>
      </c>
      <c r="C92" s="56">
        <v>62740.1</v>
      </c>
      <c r="E92" s="56">
        <v>17.23</v>
      </c>
      <c r="F92" s="56">
        <v>956012</v>
      </c>
      <c r="H92" s="56">
        <v>22.59</v>
      </c>
      <c r="I92" s="56">
        <v>6378.8</v>
      </c>
      <c r="M92" s="56">
        <v>18.600000000000001</v>
      </c>
      <c r="N92" s="56">
        <v>62740.1</v>
      </c>
      <c r="Q92" s="56">
        <v>30.38</v>
      </c>
      <c r="R92" s="56">
        <v>72.099999999999994</v>
      </c>
    </row>
    <row r="93" spans="1:18" x14ac:dyDescent="0.2">
      <c r="A93" s="56">
        <v>508879.5</v>
      </c>
      <c r="B93" s="56">
        <v>18.600000000000001</v>
      </c>
      <c r="C93" s="56">
        <v>508879.5</v>
      </c>
      <c r="E93" s="56">
        <v>17.72</v>
      </c>
      <c r="F93" s="56">
        <v>16452.599999999999</v>
      </c>
      <c r="H93" s="56">
        <v>22.59</v>
      </c>
      <c r="I93" s="56">
        <v>8040.2</v>
      </c>
      <c r="M93" s="56">
        <v>18.600000000000001</v>
      </c>
      <c r="N93" s="56">
        <v>508879.5</v>
      </c>
      <c r="Q93" s="56">
        <v>30.38</v>
      </c>
      <c r="R93" s="56">
        <v>410.4</v>
      </c>
    </row>
    <row r="94" spans="1:18" x14ac:dyDescent="0.2">
      <c r="A94" s="56">
        <v>533877.5</v>
      </c>
      <c r="B94" s="56">
        <v>18.600000000000001</v>
      </c>
      <c r="C94" s="56">
        <v>533877.5</v>
      </c>
      <c r="E94" s="56">
        <v>17.72</v>
      </c>
      <c r="F94" s="56">
        <v>171419.9</v>
      </c>
      <c r="H94" s="56">
        <v>22.59</v>
      </c>
      <c r="I94" s="56">
        <v>13417.7</v>
      </c>
      <c r="M94" s="56">
        <v>18.600000000000001</v>
      </c>
      <c r="N94" s="56">
        <v>533877.5</v>
      </c>
      <c r="Q94" s="56">
        <v>30.38</v>
      </c>
      <c r="R94" s="56">
        <v>798.9</v>
      </c>
    </row>
    <row r="95" spans="1:18" x14ac:dyDescent="0.2">
      <c r="A95" s="56">
        <v>71950.600000000006</v>
      </c>
      <c r="B95" s="56">
        <v>19.59</v>
      </c>
      <c r="C95" s="56">
        <v>71950.600000000006</v>
      </c>
      <c r="E95" s="56">
        <v>17.72</v>
      </c>
      <c r="F95" s="56">
        <v>195284.2</v>
      </c>
      <c r="H95" s="56">
        <v>23.66</v>
      </c>
      <c r="I95" s="56">
        <v>5020.1000000000004</v>
      </c>
      <c r="M95" s="56">
        <v>19.59</v>
      </c>
      <c r="N95" s="56">
        <v>71950.600000000006</v>
      </c>
      <c r="Q95" s="56">
        <v>32.35</v>
      </c>
      <c r="R95" s="56">
        <v>18.100000000000001</v>
      </c>
    </row>
    <row r="96" spans="1:18" x14ac:dyDescent="0.2">
      <c r="A96" s="56">
        <v>360155.6</v>
      </c>
      <c r="B96" s="56">
        <v>19.59</v>
      </c>
      <c r="C96" s="56">
        <v>360155.6</v>
      </c>
      <c r="E96" s="56">
        <v>18.13</v>
      </c>
      <c r="F96" s="56">
        <v>61832.800000000003</v>
      </c>
      <c r="H96" s="56">
        <v>23.66</v>
      </c>
      <c r="I96" s="56">
        <v>11928.4</v>
      </c>
      <c r="M96" s="56">
        <v>19.59</v>
      </c>
      <c r="N96" s="56">
        <v>360155.6</v>
      </c>
      <c r="Q96" s="56">
        <v>32.35</v>
      </c>
      <c r="R96" s="56">
        <v>422.4</v>
      </c>
    </row>
    <row r="97" spans="1:18" x14ac:dyDescent="0.2">
      <c r="A97" s="56">
        <v>329479.7</v>
      </c>
      <c r="B97" s="56">
        <v>19.59</v>
      </c>
      <c r="C97" s="56">
        <v>329479.7</v>
      </c>
      <c r="E97" s="56">
        <v>18.13</v>
      </c>
      <c r="F97" s="56">
        <v>177016.8</v>
      </c>
      <c r="H97" s="56">
        <v>23.66</v>
      </c>
      <c r="I97" s="56">
        <v>12927.3</v>
      </c>
      <c r="M97" s="56">
        <v>19.59</v>
      </c>
      <c r="N97" s="56">
        <v>329479.7</v>
      </c>
      <c r="Q97" s="56">
        <v>32.35</v>
      </c>
      <c r="R97" s="56">
        <v>517.70000000000005</v>
      </c>
    </row>
    <row r="98" spans="1:18" x14ac:dyDescent="0.2">
      <c r="A98" s="56">
        <v>118869.4</v>
      </c>
      <c r="B98" s="56">
        <v>19.73</v>
      </c>
      <c r="C98" s="56">
        <v>118869.4</v>
      </c>
      <c r="E98" s="56">
        <v>18.13</v>
      </c>
      <c r="F98" s="56">
        <v>193192.1</v>
      </c>
      <c r="H98" s="56">
        <v>23.95</v>
      </c>
      <c r="I98" s="56">
        <v>1492.6</v>
      </c>
      <c r="M98" s="56">
        <v>19.73</v>
      </c>
      <c r="N98" s="56">
        <v>118869.4</v>
      </c>
      <c r="Q98" s="56">
        <v>33.450000000000003</v>
      </c>
      <c r="R98" s="56">
        <v>404.1</v>
      </c>
    </row>
    <row r="99" spans="1:18" x14ac:dyDescent="0.2">
      <c r="A99" s="56">
        <v>283336.2</v>
      </c>
      <c r="B99" s="56">
        <v>19.73</v>
      </c>
      <c r="C99" s="56">
        <v>283336.2</v>
      </c>
      <c r="E99" s="56">
        <v>18.27</v>
      </c>
      <c r="F99" s="56">
        <v>443187.5</v>
      </c>
      <c r="H99" s="56">
        <v>23.95</v>
      </c>
      <c r="I99" s="56">
        <v>1496.5</v>
      </c>
      <c r="M99" s="56">
        <v>19.73</v>
      </c>
      <c r="N99" s="56">
        <v>283336.2</v>
      </c>
      <c r="Q99" s="56">
        <v>33.450000000000003</v>
      </c>
      <c r="R99" s="56">
        <v>1486.1</v>
      </c>
    </row>
    <row r="100" spans="1:18" x14ac:dyDescent="0.2">
      <c r="A100" s="56">
        <v>305130.7</v>
      </c>
      <c r="B100" s="56">
        <v>19.73</v>
      </c>
      <c r="C100" s="56">
        <v>305130.7</v>
      </c>
      <c r="E100" s="56">
        <v>18.27</v>
      </c>
      <c r="F100" s="56">
        <v>912935.8</v>
      </c>
      <c r="H100" s="56">
        <v>23.95</v>
      </c>
      <c r="I100" s="56">
        <v>16921.7</v>
      </c>
      <c r="M100" s="56">
        <v>19.73</v>
      </c>
      <c r="N100" s="56">
        <v>305130.7</v>
      </c>
      <c r="Q100" s="56">
        <v>33.450000000000003</v>
      </c>
      <c r="R100" s="56">
        <v>2286.3000000000002</v>
      </c>
    </row>
    <row r="101" spans="1:18" x14ac:dyDescent="0.2">
      <c r="A101" s="56">
        <v>26246.9</v>
      </c>
      <c r="B101" s="56">
        <v>20.43</v>
      </c>
      <c r="C101" s="56">
        <v>26246.9</v>
      </c>
      <c r="E101" s="56">
        <v>18.27</v>
      </c>
      <c r="F101" s="56">
        <v>919188.2</v>
      </c>
      <c r="H101" s="56">
        <v>24.4</v>
      </c>
      <c r="I101" s="56">
        <v>1984.3</v>
      </c>
      <c r="M101" s="56">
        <v>20.43</v>
      </c>
      <c r="N101" s="56">
        <v>26246.9</v>
      </c>
      <c r="Q101" s="56">
        <v>33.479999999999997</v>
      </c>
      <c r="R101" s="56">
        <v>29.1</v>
      </c>
    </row>
    <row r="102" spans="1:18" x14ac:dyDescent="0.2">
      <c r="A102" s="56">
        <v>49322.3</v>
      </c>
      <c r="B102" s="56">
        <v>20.43</v>
      </c>
      <c r="C102" s="56">
        <v>49322.3</v>
      </c>
      <c r="E102" s="56">
        <v>18.600000000000001</v>
      </c>
      <c r="F102" s="56">
        <v>62740.1</v>
      </c>
      <c r="H102" s="56">
        <v>24.4</v>
      </c>
      <c r="I102" s="56">
        <v>16967.7</v>
      </c>
      <c r="M102" s="56">
        <v>20.43</v>
      </c>
      <c r="N102" s="56">
        <v>49322.3</v>
      </c>
      <c r="Q102" s="56">
        <v>33.479999999999997</v>
      </c>
      <c r="R102" s="56">
        <v>49.4</v>
      </c>
    </row>
    <row r="103" spans="1:18" x14ac:dyDescent="0.2">
      <c r="A103" s="56">
        <v>35554.300000000003</v>
      </c>
      <c r="B103" s="56">
        <v>20.43</v>
      </c>
      <c r="C103" s="56">
        <v>35554.300000000003</v>
      </c>
      <c r="E103" s="56">
        <v>18.600000000000001</v>
      </c>
      <c r="F103" s="56">
        <v>508879.5</v>
      </c>
      <c r="H103" s="56">
        <v>24.4</v>
      </c>
      <c r="I103" s="56">
        <v>17786.900000000001</v>
      </c>
      <c r="M103" s="56">
        <v>20.43</v>
      </c>
      <c r="N103" s="56">
        <v>35554.300000000003</v>
      </c>
      <c r="Q103" s="56">
        <v>33.479999999999997</v>
      </c>
      <c r="R103" s="56">
        <v>61</v>
      </c>
    </row>
    <row r="104" spans="1:18" x14ac:dyDescent="0.2">
      <c r="A104" s="56">
        <v>6353.1</v>
      </c>
      <c r="B104" s="56">
        <v>20.95</v>
      </c>
      <c r="C104" s="56">
        <v>6353.1</v>
      </c>
      <c r="E104" s="56">
        <v>18.600000000000001</v>
      </c>
      <c r="F104" s="56">
        <v>533877.5</v>
      </c>
      <c r="H104" s="56">
        <v>25.65</v>
      </c>
      <c r="I104" s="56">
        <v>2039.8</v>
      </c>
      <c r="M104" s="56">
        <v>20.95</v>
      </c>
      <c r="N104" s="56">
        <v>6353.1</v>
      </c>
      <c r="Q104" s="56">
        <v>34.26</v>
      </c>
      <c r="R104" s="56">
        <v>7.8</v>
      </c>
    </row>
    <row r="105" spans="1:18" x14ac:dyDescent="0.2">
      <c r="A105" s="56">
        <v>7526.9</v>
      </c>
      <c r="B105" s="56">
        <v>20.95</v>
      </c>
      <c r="C105" s="56">
        <v>7526.9</v>
      </c>
      <c r="E105" s="56">
        <v>19.59</v>
      </c>
      <c r="F105" s="56">
        <v>71950.600000000006</v>
      </c>
      <c r="H105" s="56">
        <v>25.65</v>
      </c>
      <c r="I105" s="56">
        <v>17886.7</v>
      </c>
      <c r="M105" s="56">
        <v>20.95</v>
      </c>
      <c r="N105" s="56">
        <v>7526.9</v>
      </c>
      <c r="Q105" s="56">
        <v>34.26</v>
      </c>
      <c r="R105" s="56">
        <v>31.1</v>
      </c>
    </row>
    <row r="106" spans="1:18" x14ac:dyDescent="0.2">
      <c r="A106" s="56">
        <v>16924.3</v>
      </c>
      <c r="B106" s="56">
        <v>20.95</v>
      </c>
      <c r="C106" s="56">
        <v>16924.3</v>
      </c>
      <c r="E106" s="56">
        <v>19.59</v>
      </c>
      <c r="F106" s="56">
        <v>329479.7</v>
      </c>
      <c r="H106" s="56">
        <v>25.65</v>
      </c>
      <c r="I106" s="56">
        <v>25931.4</v>
      </c>
      <c r="M106" s="56">
        <v>20.95</v>
      </c>
      <c r="N106" s="56">
        <v>16924.3</v>
      </c>
      <c r="Q106" s="56">
        <v>34.26</v>
      </c>
      <c r="R106" s="56">
        <v>32.6</v>
      </c>
    </row>
    <row r="107" spans="1:18" x14ac:dyDescent="0.2">
      <c r="A107" s="56">
        <v>56770.7</v>
      </c>
      <c r="B107" s="56">
        <v>22.13</v>
      </c>
      <c r="C107" s="56">
        <v>56770.7</v>
      </c>
      <c r="E107" s="56">
        <v>19.59</v>
      </c>
      <c r="F107" s="56">
        <v>360155.6</v>
      </c>
      <c r="H107" s="56">
        <v>26.53</v>
      </c>
      <c r="I107" s="56">
        <v>9242.7000000000007</v>
      </c>
      <c r="M107" s="56">
        <v>22.13</v>
      </c>
      <c r="N107" s="56">
        <v>56770.7</v>
      </c>
      <c r="Q107" s="56">
        <v>35</v>
      </c>
      <c r="R107" s="56">
        <v>66.900000000000006</v>
      </c>
    </row>
    <row r="108" spans="1:18" x14ac:dyDescent="0.2">
      <c r="A108" s="56">
        <v>168788.3</v>
      </c>
      <c r="B108" s="56">
        <v>22.13</v>
      </c>
      <c r="C108" s="56">
        <v>168788.3</v>
      </c>
      <c r="E108" s="56">
        <v>19.73</v>
      </c>
      <c r="F108" s="56">
        <v>118869.4</v>
      </c>
      <c r="H108" s="56">
        <v>26.53</v>
      </c>
      <c r="I108" s="56">
        <v>34573.300000000003</v>
      </c>
      <c r="M108" s="56">
        <v>22.13</v>
      </c>
      <c r="N108" s="56">
        <v>168788.3</v>
      </c>
      <c r="Q108" s="56">
        <v>35</v>
      </c>
      <c r="R108" s="56">
        <v>39.6</v>
      </c>
    </row>
    <row r="109" spans="1:18" x14ac:dyDescent="0.2">
      <c r="A109" s="56">
        <v>292472.3</v>
      </c>
      <c r="B109" s="56">
        <v>22.13</v>
      </c>
      <c r="C109" s="56">
        <v>292472.3</v>
      </c>
      <c r="E109" s="56">
        <v>19.73</v>
      </c>
      <c r="F109" s="56">
        <v>283336.2</v>
      </c>
      <c r="H109" s="56">
        <v>26.53</v>
      </c>
      <c r="I109" s="56">
        <v>36439.199999999997</v>
      </c>
      <c r="M109" s="56">
        <v>22.13</v>
      </c>
      <c r="N109" s="56">
        <v>292472.3</v>
      </c>
      <c r="Q109" s="56">
        <v>35</v>
      </c>
      <c r="R109" s="56">
        <v>133.5</v>
      </c>
    </row>
    <row r="110" spans="1:18" x14ac:dyDescent="0.2">
      <c r="A110" s="56">
        <v>17766.400000000001</v>
      </c>
      <c r="B110" s="56">
        <v>22.17</v>
      </c>
      <c r="C110" s="56">
        <v>17766.400000000001</v>
      </c>
      <c r="E110" s="56">
        <v>19.73</v>
      </c>
      <c r="F110" s="56">
        <v>305130.7</v>
      </c>
      <c r="H110" s="56">
        <v>26.94</v>
      </c>
      <c r="I110" s="56">
        <v>584.20000000000005</v>
      </c>
      <c r="M110" s="56">
        <v>22.17</v>
      </c>
      <c r="N110" s="56">
        <v>17766.400000000001</v>
      </c>
      <c r="Q110" s="56">
        <v>36.04</v>
      </c>
      <c r="R110" s="56">
        <v>1.6</v>
      </c>
    </row>
    <row r="111" spans="1:18" x14ac:dyDescent="0.2">
      <c r="A111" s="56">
        <v>25123.7</v>
      </c>
      <c r="B111" s="56">
        <v>22.17</v>
      </c>
      <c r="C111" s="56">
        <v>25123.7</v>
      </c>
      <c r="E111" s="56">
        <v>20.43</v>
      </c>
      <c r="F111" s="56">
        <v>26246.9</v>
      </c>
      <c r="H111" s="56">
        <v>26.94</v>
      </c>
      <c r="I111" s="56">
        <v>2078.6999999999998</v>
      </c>
      <c r="M111" s="56">
        <v>22.17</v>
      </c>
      <c r="N111" s="56">
        <v>25123.7</v>
      </c>
      <c r="Q111" s="56">
        <v>36.04</v>
      </c>
      <c r="R111" s="56">
        <v>17.2</v>
      </c>
    </row>
    <row r="112" spans="1:18" x14ac:dyDescent="0.2">
      <c r="A112" s="56">
        <v>21370</v>
      </c>
      <c r="B112" s="56">
        <v>22.17</v>
      </c>
      <c r="C112" s="56">
        <v>21370</v>
      </c>
      <c r="E112" s="56">
        <v>20.43</v>
      </c>
      <c r="F112" s="56">
        <v>35554.300000000003</v>
      </c>
      <c r="H112" s="56">
        <v>26.94</v>
      </c>
      <c r="I112" s="56">
        <v>2486.3000000000002</v>
      </c>
      <c r="M112" s="56">
        <v>22.17</v>
      </c>
      <c r="N112" s="56">
        <v>21370</v>
      </c>
      <c r="Q112" s="56">
        <v>36.04</v>
      </c>
      <c r="R112" s="56">
        <v>9</v>
      </c>
    </row>
    <row r="113" spans="1:18" x14ac:dyDescent="0.2">
      <c r="A113" s="56">
        <v>925</v>
      </c>
      <c r="B113" s="56">
        <v>22.18</v>
      </c>
      <c r="C113" s="56">
        <v>925</v>
      </c>
      <c r="E113" s="56">
        <v>20.43</v>
      </c>
      <c r="F113" s="56">
        <v>49322.3</v>
      </c>
      <c r="H113" s="56">
        <v>26.94</v>
      </c>
      <c r="I113" s="56">
        <v>3204.4</v>
      </c>
      <c r="M113" s="56">
        <v>22.18</v>
      </c>
      <c r="N113" s="56">
        <v>925</v>
      </c>
      <c r="Q113" s="56">
        <v>36.770000000000003</v>
      </c>
      <c r="R113" s="56">
        <v>30.3</v>
      </c>
    </row>
    <row r="114" spans="1:18" x14ac:dyDescent="0.2">
      <c r="A114" s="56">
        <v>27939.9</v>
      </c>
      <c r="B114" s="56">
        <v>22.18</v>
      </c>
      <c r="C114" s="56">
        <v>27939.9</v>
      </c>
      <c r="E114" s="56">
        <v>20.95</v>
      </c>
      <c r="F114" s="56">
        <v>6353.1</v>
      </c>
      <c r="H114" s="56">
        <v>26.94</v>
      </c>
      <c r="I114" s="56">
        <v>8647.6</v>
      </c>
      <c r="M114" s="56">
        <v>22.18</v>
      </c>
      <c r="N114" s="56">
        <v>27939.9</v>
      </c>
      <c r="Q114" s="56">
        <v>36.770000000000003</v>
      </c>
      <c r="R114" s="56">
        <v>137.9</v>
      </c>
    </row>
    <row r="115" spans="1:18" x14ac:dyDescent="0.2">
      <c r="A115" s="56">
        <v>28496.9</v>
      </c>
      <c r="B115" s="56">
        <v>22.23</v>
      </c>
      <c r="C115" s="56">
        <v>28496.9</v>
      </c>
      <c r="E115" s="56">
        <v>20.95</v>
      </c>
      <c r="F115" s="56">
        <v>7526.9</v>
      </c>
      <c r="H115" s="56">
        <v>26.94</v>
      </c>
      <c r="I115" s="56">
        <v>8725.5</v>
      </c>
      <c r="M115" s="56">
        <v>22.23</v>
      </c>
      <c r="N115" s="56">
        <v>28496.9</v>
      </c>
      <c r="Q115" s="56">
        <v>36.770000000000003</v>
      </c>
      <c r="R115" s="56">
        <v>55.4</v>
      </c>
    </row>
    <row r="116" spans="1:18" x14ac:dyDescent="0.2">
      <c r="A116" s="56">
        <v>44000.2</v>
      </c>
      <c r="B116" s="56">
        <v>22.23</v>
      </c>
      <c r="C116" s="56">
        <v>44000.2</v>
      </c>
      <c r="E116" s="56">
        <v>20.95</v>
      </c>
      <c r="F116" s="56">
        <v>16924.3</v>
      </c>
      <c r="H116" s="56">
        <v>27.58</v>
      </c>
      <c r="I116" s="56">
        <v>1672.7</v>
      </c>
      <c r="M116" s="56">
        <v>22.23</v>
      </c>
      <c r="N116" s="56">
        <v>44000.2</v>
      </c>
      <c r="Q116" s="56">
        <v>36.85</v>
      </c>
      <c r="R116" s="56">
        <v>8</v>
      </c>
    </row>
    <row r="117" spans="1:18" x14ac:dyDescent="0.2">
      <c r="A117" s="56">
        <v>4014.5</v>
      </c>
      <c r="B117" s="56">
        <v>22.23</v>
      </c>
      <c r="C117" s="56">
        <v>4014.5</v>
      </c>
      <c r="E117" s="56">
        <v>22.13</v>
      </c>
      <c r="F117" s="56">
        <v>56770.7</v>
      </c>
      <c r="H117" s="56">
        <v>27.58</v>
      </c>
      <c r="I117" s="56">
        <v>13036.2</v>
      </c>
      <c r="M117" s="56">
        <v>22.23</v>
      </c>
      <c r="N117" s="56">
        <v>4014.5</v>
      </c>
      <c r="Q117" s="56">
        <v>36.85</v>
      </c>
      <c r="R117" s="56">
        <v>13.1</v>
      </c>
    </row>
    <row r="118" spans="1:18" x14ac:dyDescent="0.2">
      <c r="A118" s="56">
        <v>6378.8</v>
      </c>
      <c r="B118" s="56">
        <v>22.59</v>
      </c>
      <c r="C118" s="56">
        <v>6378.8</v>
      </c>
      <c r="E118" s="56">
        <v>22.13</v>
      </c>
      <c r="F118" s="56">
        <v>168788.3</v>
      </c>
      <c r="H118" s="56">
        <v>27.58</v>
      </c>
      <c r="I118" s="56">
        <v>14063.7</v>
      </c>
      <c r="M118" s="56">
        <v>22.59</v>
      </c>
      <c r="N118" s="56">
        <v>6378.8</v>
      </c>
      <c r="Q118" s="56">
        <v>36.85</v>
      </c>
      <c r="R118" s="56">
        <v>11.6</v>
      </c>
    </row>
    <row r="119" spans="1:18" x14ac:dyDescent="0.2">
      <c r="A119" s="56">
        <v>13417.7</v>
      </c>
      <c r="B119" s="56">
        <v>22.59</v>
      </c>
      <c r="C119" s="56">
        <v>13417.7</v>
      </c>
      <c r="E119" s="56">
        <v>22.13</v>
      </c>
      <c r="F119" s="56">
        <v>292472.3</v>
      </c>
      <c r="H119" s="56">
        <v>27.79</v>
      </c>
      <c r="I119" s="56">
        <v>387.8</v>
      </c>
      <c r="M119" s="56">
        <v>22.59</v>
      </c>
      <c r="N119" s="56">
        <v>13417.7</v>
      </c>
      <c r="Q119" s="56">
        <v>37.04</v>
      </c>
      <c r="R119" s="56">
        <v>3.9</v>
      </c>
    </row>
    <row r="120" spans="1:18" x14ac:dyDescent="0.2">
      <c r="A120" s="56">
        <v>8040.2</v>
      </c>
      <c r="B120" s="56">
        <v>22.59</v>
      </c>
      <c r="C120" s="56">
        <v>8040.2</v>
      </c>
      <c r="E120" s="56">
        <v>22.17</v>
      </c>
      <c r="F120" s="56">
        <v>17766.400000000001</v>
      </c>
      <c r="H120" s="56">
        <v>27.79</v>
      </c>
      <c r="I120" s="56">
        <v>1505.2</v>
      </c>
      <c r="M120" s="56">
        <v>22.59</v>
      </c>
      <c r="N120" s="56">
        <v>8040.2</v>
      </c>
      <c r="Q120" s="56">
        <v>37.04</v>
      </c>
      <c r="R120" s="56">
        <v>16.5</v>
      </c>
    </row>
    <row r="121" spans="1:18" x14ac:dyDescent="0.2">
      <c r="A121" s="56">
        <v>5020.1000000000004</v>
      </c>
      <c r="B121" s="56">
        <v>23.66</v>
      </c>
      <c r="C121" s="56">
        <v>5020.1000000000004</v>
      </c>
      <c r="E121" s="56">
        <v>22.17</v>
      </c>
      <c r="F121" s="56">
        <v>21370</v>
      </c>
      <c r="H121" s="56">
        <v>27.79</v>
      </c>
      <c r="I121" s="56">
        <v>1529.4</v>
      </c>
      <c r="M121" s="56">
        <v>23.66</v>
      </c>
      <c r="N121" s="56">
        <v>5020.1000000000004</v>
      </c>
      <c r="Q121" s="56">
        <v>37.04</v>
      </c>
      <c r="R121" s="56">
        <v>35.700000000000003</v>
      </c>
    </row>
    <row r="122" spans="1:18" x14ac:dyDescent="0.2">
      <c r="A122" s="56">
        <v>12927.3</v>
      </c>
      <c r="B122" s="56">
        <v>23.66</v>
      </c>
      <c r="C122" s="56">
        <v>12927.3</v>
      </c>
      <c r="E122" s="56">
        <v>22.17</v>
      </c>
      <c r="F122" s="56">
        <v>25123.7</v>
      </c>
      <c r="H122" s="56">
        <v>28.89</v>
      </c>
      <c r="I122" s="56">
        <v>11.3</v>
      </c>
      <c r="M122" s="56">
        <v>23.66</v>
      </c>
      <c r="N122" s="56">
        <v>12927.3</v>
      </c>
      <c r="Q122" s="56">
        <v>37.08</v>
      </c>
      <c r="R122" s="56">
        <v>1</v>
      </c>
    </row>
    <row r="123" spans="1:18" x14ac:dyDescent="0.2">
      <c r="A123" s="56">
        <v>11928.4</v>
      </c>
      <c r="B123" s="56">
        <v>23.66</v>
      </c>
      <c r="C123" s="56">
        <v>11928.4</v>
      </c>
      <c r="E123" s="56">
        <v>22.18</v>
      </c>
      <c r="F123" s="56">
        <v>925</v>
      </c>
      <c r="H123" s="56">
        <v>28.89</v>
      </c>
      <c r="I123" s="56">
        <v>90.7</v>
      </c>
      <c r="M123" s="56">
        <v>23.66</v>
      </c>
      <c r="N123" s="56">
        <v>11928.4</v>
      </c>
      <c r="Q123" s="56">
        <v>37.08</v>
      </c>
      <c r="R123" s="56">
        <v>0.2</v>
      </c>
    </row>
    <row r="124" spans="1:18" x14ac:dyDescent="0.2">
      <c r="A124" s="56">
        <v>1492.6</v>
      </c>
      <c r="B124" s="56">
        <v>23.95</v>
      </c>
      <c r="C124" s="56">
        <v>1492.6</v>
      </c>
      <c r="E124" s="56">
        <v>22.18</v>
      </c>
      <c r="F124" s="56">
        <v>27939.9</v>
      </c>
      <c r="H124" s="56">
        <v>28.89</v>
      </c>
      <c r="I124" s="56">
        <v>106.9</v>
      </c>
      <c r="M124" s="56">
        <v>23.95</v>
      </c>
      <c r="N124" s="56">
        <v>1492.6</v>
      </c>
      <c r="Q124" s="56">
        <v>37.08</v>
      </c>
      <c r="R124" s="56">
        <v>0.2</v>
      </c>
    </row>
    <row r="125" spans="1:18" x14ac:dyDescent="0.2">
      <c r="A125" s="56">
        <v>1496.5</v>
      </c>
      <c r="B125" s="56">
        <v>23.95</v>
      </c>
      <c r="C125" s="56">
        <v>1496.5</v>
      </c>
      <c r="E125" s="56">
        <v>22.23</v>
      </c>
      <c r="F125" s="56">
        <v>4014.5</v>
      </c>
      <c r="H125" s="56">
        <v>30.38</v>
      </c>
      <c r="I125" s="56">
        <v>72.099999999999994</v>
      </c>
      <c r="M125" s="56">
        <v>23.95</v>
      </c>
      <c r="N125" s="56">
        <v>1496.5</v>
      </c>
      <c r="Q125" s="56">
        <v>37.56</v>
      </c>
      <c r="R125" s="56">
        <v>0.1</v>
      </c>
    </row>
    <row r="126" spans="1:18" x14ac:dyDescent="0.2">
      <c r="A126" s="56">
        <v>16921.7</v>
      </c>
      <c r="B126" s="56">
        <v>23.95</v>
      </c>
      <c r="C126" s="56">
        <v>16921.7</v>
      </c>
      <c r="E126" s="56">
        <v>22.23</v>
      </c>
      <c r="F126" s="56">
        <v>28496.9</v>
      </c>
      <c r="H126" s="56">
        <v>30.38</v>
      </c>
      <c r="I126" s="56">
        <v>410.4</v>
      </c>
      <c r="M126" s="56">
        <v>23.95</v>
      </c>
      <c r="N126" s="56">
        <v>16921.7</v>
      </c>
      <c r="Q126" s="56">
        <v>37.56</v>
      </c>
      <c r="R126" s="56">
        <v>0.1</v>
      </c>
    </row>
    <row r="127" spans="1:18" x14ac:dyDescent="0.2">
      <c r="A127" s="56">
        <v>1984.3</v>
      </c>
      <c r="B127" s="56">
        <v>24.4</v>
      </c>
      <c r="C127" s="56">
        <v>1984.3</v>
      </c>
      <c r="E127" s="56">
        <v>22.23</v>
      </c>
      <c r="F127" s="56">
        <v>44000.2</v>
      </c>
      <c r="H127" s="56">
        <v>30.38</v>
      </c>
      <c r="I127" s="56">
        <v>798.9</v>
      </c>
      <c r="M127" s="56">
        <v>24.4</v>
      </c>
      <c r="N127" s="56">
        <v>1984.3</v>
      </c>
      <c r="Q127" s="56">
        <v>37.56</v>
      </c>
      <c r="R127" s="56">
        <v>0.6</v>
      </c>
    </row>
    <row r="128" spans="1:18" x14ac:dyDescent="0.2">
      <c r="A128" s="56">
        <v>17786.900000000001</v>
      </c>
      <c r="B128" s="56">
        <v>24.4</v>
      </c>
      <c r="C128" s="56">
        <v>17786.900000000001</v>
      </c>
      <c r="E128" s="56">
        <v>22.59</v>
      </c>
      <c r="F128" s="56">
        <v>6378.8</v>
      </c>
      <c r="H128" s="56">
        <v>32.35</v>
      </c>
      <c r="I128" s="56">
        <v>18.100000000000001</v>
      </c>
      <c r="M128" s="56">
        <v>24.4</v>
      </c>
      <c r="N128" s="56">
        <v>17786.900000000001</v>
      </c>
      <c r="Q128" s="56">
        <v>38.74</v>
      </c>
      <c r="R128" s="56">
        <v>2.5</v>
      </c>
    </row>
    <row r="129" spans="1:18" x14ac:dyDescent="0.2">
      <c r="A129" s="56">
        <v>16967.7</v>
      </c>
      <c r="B129" s="56">
        <v>24.4</v>
      </c>
      <c r="C129" s="56">
        <v>16967.7</v>
      </c>
      <c r="E129" s="56">
        <v>22.59</v>
      </c>
      <c r="F129" s="56">
        <v>8040.2</v>
      </c>
      <c r="H129" s="56">
        <v>32.35</v>
      </c>
      <c r="I129" s="56">
        <v>422.4</v>
      </c>
      <c r="M129" s="56">
        <v>24.4</v>
      </c>
      <c r="N129" s="56">
        <v>16967.7</v>
      </c>
      <c r="Q129" s="56">
        <v>38.74</v>
      </c>
      <c r="R129" s="56">
        <v>2.6</v>
      </c>
    </row>
    <row r="130" spans="1:18" x14ac:dyDescent="0.2">
      <c r="A130" s="56">
        <v>2039.8</v>
      </c>
      <c r="B130" s="56">
        <v>25.65</v>
      </c>
      <c r="C130" s="56">
        <v>2039.8</v>
      </c>
      <c r="E130" s="56">
        <v>22.59</v>
      </c>
      <c r="F130" s="56">
        <v>13417.7</v>
      </c>
      <c r="H130" s="56">
        <v>32.35</v>
      </c>
      <c r="I130" s="56">
        <v>517.70000000000005</v>
      </c>
      <c r="M130" s="56">
        <v>25.65</v>
      </c>
      <c r="N130" s="56">
        <v>2039.8</v>
      </c>
      <c r="Q130" s="56">
        <v>38.74</v>
      </c>
      <c r="R130" s="56">
        <v>6</v>
      </c>
    </row>
    <row r="131" spans="1:18" x14ac:dyDescent="0.2">
      <c r="A131" s="56">
        <v>17886.7</v>
      </c>
      <c r="B131" s="56">
        <v>25.65</v>
      </c>
      <c r="C131" s="56">
        <v>17886.7</v>
      </c>
      <c r="E131" s="56">
        <v>23.66</v>
      </c>
      <c r="F131" s="56">
        <v>5020.1000000000004</v>
      </c>
      <c r="H131" s="56">
        <v>33.450000000000003</v>
      </c>
      <c r="I131" s="56">
        <v>404.1</v>
      </c>
      <c r="M131" s="56">
        <v>25.65</v>
      </c>
      <c r="N131" s="56">
        <v>17886.7</v>
      </c>
      <c r="Q131" s="56">
        <v>38.78</v>
      </c>
      <c r="R131" s="56">
        <v>1.6</v>
      </c>
    </row>
    <row r="132" spans="1:18" x14ac:dyDescent="0.2">
      <c r="A132" s="56">
        <v>25931.4</v>
      </c>
      <c r="B132" s="56">
        <v>25.65</v>
      </c>
      <c r="C132" s="56">
        <v>25931.4</v>
      </c>
      <c r="E132" s="56">
        <v>23.66</v>
      </c>
      <c r="F132" s="56">
        <v>11928.4</v>
      </c>
      <c r="H132" s="56">
        <v>33.450000000000003</v>
      </c>
      <c r="I132" s="56">
        <v>1486.1</v>
      </c>
      <c r="M132" s="56">
        <v>25.65</v>
      </c>
      <c r="N132" s="56">
        <v>25931.4</v>
      </c>
      <c r="Q132" s="56">
        <v>38.78</v>
      </c>
      <c r="R132" s="56">
        <v>5</v>
      </c>
    </row>
    <row r="133" spans="1:18" x14ac:dyDescent="0.2">
      <c r="A133" s="56">
        <v>9242.7000000000007</v>
      </c>
      <c r="B133" s="56">
        <v>26.53</v>
      </c>
      <c r="C133" s="56">
        <v>9242.7000000000007</v>
      </c>
      <c r="E133" s="56">
        <v>23.66</v>
      </c>
      <c r="F133" s="56">
        <v>12927.3</v>
      </c>
      <c r="H133" s="56">
        <v>33.450000000000003</v>
      </c>
      <c r="I133" s="56">
        <v>2286.3000000000002</v>
      </c>
      <c r="M133" s="56">
        <v>26.53</v>
      </c>
      <c r="N133" s="56">
        <v>9242.7000000000007</v>
      </c>
      <c r="Q133" s="56">
        <v>38.78</v>
      </c>
      <c r="R133" s="56">
        <v>0.1</v>
      </c>
    </row>
    <row r="134" spans="1:18" x14ac:dyDescent="0.2">
      <c r="A134" s="56">
        <v>34573.300000000003</v>
      </c>
      <c r="B134" s="56">
        <v>26.53</v>
      </c>
      <c r="C134" s="56">
        <v>34573.300000000003</v>
      </c>
      <c r="E134" s="56">
        <v>23.95</v>
      </c>
      <c r="F134" s="56">
        <v>1492.6</v>
      </c>
      <c r="H134" s="56">
        <v>33.479999999999997</v>
      </c>
      <c r="I134" s="56">
        <v>29.1</v>
      </c>
      <c r="M134" s="56">
        <v>26.53</v>
      </c>
      <c r="N134" s="56">
        <v>34573.300000000003</v>
      </c>
      <c r="Q134" s="56">
        <v>38.880000000000003</v>
      </c>
      <c r="R134" s="56">
        <v>0.1</v>
      </c>
    </row>
    <row r="135" spans="1:18" x14ac:dyDescent="0.2">
      <c r="A135" s="56">
        <v>36439.199999999997</v>
      </c>
      <c r="B135" s="56">
        <v>26.53</v>
      </c>
      <c r="C135" s="56">
        <v>36439.199999999997</v>
      </c>
      <c r="E135" s="56">
        <v>23.95</v>
      </c>
      <c r="F135" s="56">
        <v>1496.5</v>
      </c>
      <c r="H135" s="56">
        <v>33.479999999999997</v>
      </c>
      <c r="I135" s="56">
        <v>49.4</v>
      </c>
      <c r="M135" s="56">
        <v>26.53</v>
      </c>
      <c r="N135" s="56">
        <v>36439.199999999997</v>
      </c>
      <c r="Q135" s="56">
        <v>38.880000000000003</v>
      </c>
      <c r="R135" s="56">
        <v>17.899999999999999</v>
      </c>
    </row>
    <row r="136" spans="1:18" x14ac:dyDescent="0.2">
      <c r="A136" s="56">
        <v>2486.3000000000002</v>
      </c>
      <c r="B136" s="56">
        <v>26.94</v>
      </c>
      <c r="C136" s="56">
        <v>2486.3000000000002</v>
      </c>
      <c r="E136" s="56">
        <v>23.95</v>
      </c>
      <c r="F136" s="56">
        <v>16921.7</v>
      </c>
      <c r="H136" s="56">
        <v>33.479999999999997</v>
      </c>
      <c r="I136" s="56">
        <v>61</v>
      </c>
      <c r="M136" s="56">
        <v>26.94</v>
      </c>
      <c r="N136" s="56">
        <v>2486.3000000000002</v>
      </c>
      <c r="Q136" s="56">
        <v>38.880000000000003</v>
      </c>
      <c r="R136" s="56">
        <v>0.05</v>
      </c>
    </row>
    <row r="137" spans="1:18" x14ac:dyDescent="0.2">
      <c r="A137" s="56">
        <v>8647.6</v>
      </c>
      <c r="B137" s="56">
        <v>26.94</v>
      </c>
      <c r="C137" s="56">
        <v>8647.6</v>
      </c>
      <c r="E137" s="56">
        <v>24.4</v>
      </c>
      <c r="F137" s="56">
        <v>1984.3</v>
      </c>
      <c r="H137" s="56">
        <v>34.26</v>
      </c>
      <c r="I137" s="56">
        <v>7.8</v>
      </c>
      <c r="M137" s="56">
        <v>26.94</v>
      </c>
      <c r="N137" s="56">
        <v>8647.6</v>
      </c>
      <c r="Q137" s="56">
        <v>38.93</v>
      </c>
      <c r="R137" s="56">
        <v>0.4</v>
      </c>
    </row>
    <row r="138" spans="1:18" x14ac:dyDescent="0.2">
      <c r="A138" s="56">
        <v>8725.5</v>
      </c>
      <c r="B138" s="56">
        <v>26.94</v>
      </c>
      <c r="C138" s="56">
        <v>8725.5</v>
      </c>
      <c r="E138" s="56">
        <v>24.4</v>
      </c>
      <c r="F138" s="56">
        <v>16967.7</v>
      </c>
      <c r="H138" s="56">
        <v>34.26</v>
      </c>
      <c r="I138" s="56">
        <v>31.1</v>
      </c>
      <c r="M138" s="56">
        <v>26.94</v>
      </c>
      <c r="N138" s="56">
        <v>8725.5</v>
      </c>
      <c r="Q138" s="56">
        <v>38.93</v>
      </c>
      <c r="R138" s="56">
        <v>0.2</v>
      </c>
    </row>
    <row r="139" spans="1:18" x14ac:dyDescent="0.2">
      <c r="A139" s="56">
        <v>584.20000000000005</v>
      </c>
      <c r="B139" s="56">
        <v>26.94</v>
      </c>
      <c r="C139" s="56">
        <v>584.20000000000005</v>
      </c>
      <c r="E139" s="56">
        <v>24.4</v>
      </c>
      <c r="F139" s="56">
        <v>17786.900000000001</v>
      </c>
      <c r="H139" s="56">
        <v>34.26</v>
      </c>
      <c r="I139" s="56">
        <v>32.6</v>
      </c>
      <c r="M139" s="56">
        <v>26.94</v>
      </c>
      <c r="N139" s="56">
        <v>584.20000000000005</v>
      </c>
      <c r="Q139" s="56">
        <v>38.93</v>
      </c>
      <c r="R139" s="56">
        <v>0.05</v>
      </c>
    </row>
    <row r="140" spans="1:18" x14ac:dyDescent="0.2">
      <c r="A140" s="56">
        <v>3204.4</v>
      </c>
      <c r="B140" s="56">
        <v>26.94</v>
      </c>
      <c r="C140" s="56">
        <v>3204.4</v>
      </c>
      <c r="E140" s="56">
        <v>25.65</v>
      </c>
      <c r="F140" s="56">
        <v>2039.8</v>
      </c>
      <c r="H140" s="56">
        <v>35</v>
      </c>
      <c r="I140" s="56">
        <v>39.6</v>
      </c>
      <c r="M140" s="56">
        <v>26.94</v>
      </c>
      <c r="N140" s="56">
        <v>3204.4</v>
      </c>
      <c r="Q140" s="56">
        <v>39.15</v>
      </c>
      <c r="R140" s="56">
        <v>8.1999999999999993</v>
      </c>
    </row>
    <row r="141" spans="1:18" x14ac:dyDescent="0.2">
      <c r="A141" s="56">
        <v>2078.6999999999998</v>
      </c>
      <c r="B141" s="56">
        <v>26.94</v>
      </c>
      <c r="C141" s="56">
        <v>2078.6999999999998</v>
      </c>
      <c r="E141" s="56">
        <v>25.65</v>
      </c>
      <c r="F141" s="56">
        <v>17886.7</v>
      </c>
      <c r="H141" s="56">
        <v>35</v>
      </c>
      <c r="I141" s="56">
        <v>66.900000000000006</v>
      </c>
      <c r="M141" s="56">
        <v>26.94</v>
      </c>
      <c r="N141" s="56">
        <v>2078.6999999999998</v>
      </c>
      <c r="Q141" s="56">
        <v>39.15</v>
      </c>
      <c r="R141" s="56">
        <v>5</v>
      </c>
    </row>
    <row r="142" spans="1:18" x14ac:dyDescent="0.2">
      <c r="A142" s="56">
        <v>1672.7</v>
      </c>
      <c r="B142" s="56">
        <v>27.58</v>
      </c>
      <c r="C142" s="56">
        <v>1672.7</v>
      </c>
      <c r="E142" s="56">
        <v>25.65</v>
      </c>
      <c r="F142" s="56">
        <v>25931.4</v>
      </c>
      <c r="H142" s="56">
        <v>35</v>
      </c>
      <c r="I142" s="56">
        <v>133.5</v>
      </c>
      <c r="M142" s="56">
        <v>27.58</v>
      </c>
      <c r="N142" s="56">
        <v>1672.7</v>
      </c>
      <c r="Q142" s="56">
        <v>39.15</v>
      </c>
      <c r="R142" s="56">
        <v>0.01</v>
      </c>
    </row>
    <row r="143" spans="1:18" x14ac:dyDescent="0.2">
      <c r="A143" s="56">
        <v>14063.7</v>
      </c>
      <c r="B143" s="56">
        <v>27.58</v>
      </c>
      <c r="C143" s="56">
        <v>14063.7</v>
      </c>
      <c r="E143" s="56">
        <v>26.53</v>
      </c>
      <c r="F143" s="56">
        <v>9242.7000000000007</v>
      </c>
      <c r="H143" s="56">
        <v>36.04</v>
      </c>
      <c r="I143" s="56">
        <v>1.6</v>
      </c>
      <c r="M143" s="56">
        <v>27.58</v>
      </c>
      <c r="N143" s="56">
        <v>14063.7</v>
      </c>
      <c r="Q143" s="56">
        <v>39.270000000000003</v>
      </c>
      <c r="R143" s="56">
        <v>3.5</v>
      </c>
    </row>
    <row r="144" spans="1:18" x14ac:dyDescent="0.2">
      <c r="A144" s="56">
        <v>13036.2</v>
      </c>
      <c r="B144" s="56">
        <v>27.58</v>
      </c>
      <c r="C144" s="56">
        <v>13036.2</v>
      </c>
      <c r="E144" s="56">
        <v>26.53</v>
      </c>
      <c r="F144" s="56">
        <v>34573.300000000003</v>
      </c>
      <c r="H144" s="56">
        <v>36.04</v>
      </c>
      <c r="I144" s="56">
        <v>9</v>
      </c>
      <c r="M144" s="56">
        <v>27.58</v>
      </c>
      <c r="N144" s="56">
        <v>13036.2</v>
      </c>
      <c r="Q144" s="56">
        <v>39.270000000000003</v>
      </c>
      <c r="R144" s="56">
        <v>0.01</v>
      </c>
    </row>
    <row r="145" spans="1:14" x14ac:dyDescent="0.2">
      <c r="A145" s="56">
        <v>387.8</v>
      </c>
      <c r="B145" s="56">
        <v>27.79</v>
      </c>
      <c r="C145" s="56">
        <v>387.8</v>
      </c>
      <c r="E145" s="56">
        <v>26.53</v>
      </c>
      <c r="F145" s="56">
        <v>36439.199999999997</v>
      </c>
      <c r="H145" s="56">
        <v>36.04</v>
      </c>
      <c r="I145" s="56">
        <v>17.2</v>
      </c>
      <c r="M145" s="56">
        <v>27.79</v>
      </c>
      <c r="N145" s="56">
        <v>387.8</v>
      </c>
    </row>
    <row r="146" spans="1:14" x14ac:dyDescent="0.2">
      <c r="A146" s="56">
        <v>1505.2</v>
      </c>
      <c r="B146" s="56">
        <v>27.79</v>
      </c>
      <c r="C146" s="56">
        <v>1505.2</v>
      </c>
      <c r="E146" s="56">
        <v>26.94</v>
      </c>
      <c r="F146" s="56">
        <v>584.20000000000005</v>
      </c>
      <c r="H146" s="56">
        <v>36.770000000000003</v>
      </c>
      <c r="I146" s="56">
        <v>30.3</v>
      </c>
      <c r="M146" s="56">
        <v>27.79</v>
      </c>
      <c r="N146" s="56">
        <v>1505.2</v>
      </c>
    </row>
    <row r="147" spans="1:14" x14ac:dyDescent="0.2">
      <c r="A147" s="56">
        <v>1529.4</v>
      </c>
      <c r="B147" s="56">
        <v>27.79</v>
      </c>
      <c r="C147" s="56">
        <v>1529.4</v>
      </c>
      <c r="E147" s="56">
        <v>26.94</v>
      </c>
      <c r="F147" s="56">
        <v>2078.6999999999998</v>
      </c>
      <c r="H147" s="56">
        <v>36.770000000000003</v>
      </c>
      <c r="I147" s="56">
        <v>55.4</v>
      </c>
      <c r="M147" s="56">
        <v>27.79</v>
      </c>
      <c r="N147" s="56">
        <v>1529.4</v>
      </c>
    </row>
    <row r="148" spans="1:14" x14ac:dyDescent="0.2">
      <c r="A148" s="56">
        <v>11.3</v>
      </c>
      <c r="B148" s="56">
        <v>28.89</v>
      </c>
      <c r="C148" s="56">
        <v>11.3</v>
      </c>
      <c r="E148" s="56">
        <v>26.94</v>
      </c>
      <c r="F148" s="56">
        <v>2486.3000000000002</v>
      </c>
      <c r="H148" s="56">
        <v>36.770000000000003</v>
      </c>
      <c r="I148" s="56">
        <v>137.9</v>
      </c>
      <c r="M148" s="56">
        <v>28.89</v>
      </c>
      <c r="N148" s="56">
        <v>11.3</v>
      </c>
    </row>
    <row r="149" spans="1:14" x14ac:dyDescent="0.2">
      <c r="A149" s="56">
        <v>106.9</v>
      </c>
      <c r="B149" s="56">
        <v>28.89</v>
      </c>
      <c r="C149" s="56">
        <v>106.9</v>
      </c>
      <c r="E149" s="56">
        <v>26.94</v>
      </c>
      <c r="F149" s="56">
        <v>3204.4</v>
      </c>
      <c r="H149" s="56">
        <v>36.85</v>
      </c>
      <c r="I149" s="56">
        <v>8</v>
      </c>
      <c r="M149" s="56">
        <v>28.89</v>
      </c>
      <c r="N149" s="56">
        <v>106.9</v>
      </c>
    </row>
    <row r="150" spans="1:14" x14ac:dyDescent="0.2">
      <c r="A150" s="56">
        <v>90.7</v>
      </c>
      <c r="B150" s="56">
        <v>28.89</v>
      </c>
      <c r="C150" s="56">
        <v>90.7</v>
      </c>
      <c r="E150" s="56">
        <v>26.94</v>
      </c>
      <c r="F150" s="56">
        <v>8647.6</v>
      </c>
      <c r="H150" s="56">
        <v>36.85</v>
      </c>
      <c r="I150" s="56">
        <v>11.6</v>
      </c>
      <c r="M150" s="56">
        <v>28.89</v>
      </c>
      <c r="N150" s="56">
        <v>90.7</v>
      </c>
    </row>
    <row r="151" spans="1:14" x14ac:dyDescent="0.2">
      <c r="A151" s="56">
        <v>72.099999999999994</v>
      </c>
      <c r="B151" s="56">
        <v>30.38</v>
      </c>
      <c r="C151" s="56">
        <v>72.099999999999994</v>
      </c>
      <c r="E151" s="56">
        <v>26.94</v>
      </c>
      <c r="F151" s="56">
        <v>8725.5</v>
      </c>
      <c r="H151" s="56">
        <v>36.85</v>
      </c>
      <c r="I151" s="56">
        <v>13.1</v>
      </c>
      <c r="M151" s="56">
        <v>30.38</v>
      </c>
      <c r="N151" s="56">
        <v>72.099999999999994</v>
      </c>
    </row>
    <row r="152" spans="1:14" x14ac:dyDescent="0.2">
      <c r="A152" s="56">
        <v>410.4</v>
      </c>
      <c r="B152" s="56">
        <v>30.38</v>
      </c>
      <c r="C152" s="56">
        <v>410.4</v>
      </c>
      <c r="E152" s="56">
        <v>27.58</v>
      </c>
      <c r="F152" s="56">
        <v>1672.7</v>
      </c>
      <c r="H152" s="56">
        <v>37.04</v>
      </c>
      <c r="I152" s="56">
        <v>3.9</v>
      </c>
      <c r="M152" s="56">
        <v>30.38</v>
      </c>
      <c r="N152" s="56">
        <v>410.4</v>
      </c>
    </row>
    <row r="153" spans="1:14" x14ac:dyDescent="0.2">
      <c r="A153" s="56">
        <v>798.9</v>
      </c>
      <c r="B153" s="56">
        <v>30.38</v>
      </c>
      <c r="C153" s="56">
        <v>798.9</v>
      </c>
      <c r="E153" s="56">
        <v>27.58</v>
      </c>
      <c r="F153" s="56">
        <v>13036.2</v>
      </c>
      <c r="H153" s="56">
        <v>37.04</v>
      </c>
      <c r="I153" s="56">
        <v>16.5</v>
      </c>
      <c r="M153" s="56">
        <v>30.38</v>
      </c>
      <c r="N153" s="56">
        <v>798.9</v>
      </c>
    </row>
    <row r="154" spans="1:14" x14ac:dyDescent="0.2">
      <c r="A154" s="56">
        <v>18.100000000000001</v>
      </c>
      <c r="B154" s="56">
        <v>32.35</v>
      </c>
      <c r="C154" s="56">
        <v>18.100000000000001</v>
      </c>
      <c r="E154" s="56">
        <v>27.58</v>
      </c>
      <c r="F154" s="56">
        <v>14063.7</v>
      </c>
      <c r="H154" s="56">
        <v>37.04</v>
      </c>
      <c r="I154" s="56">
        <v>35.700000000000003</v>
      </c>
      <c r="M154" s="56">
        <v>32.35</v>
      </c>
      <c r="N154" s="56">
        <v>18.100000000000001</v>
      </c>
    </row>
    <row r="155" spans="1:14" x14ac:dyDescent="0.2">
      <c r="A155" s="56">
        <v>422.4</v>
      </c>
      <c r="B155" s="56">
        <v>32.35</v>
      </c>
      <c r="C155" s="56">
        <v>422.4</v>
      </c>
      <c r="E155" s="56">
        <v>27.79</v>
      </c>
      <c r="F155" s="56">
        <v>387.8</v>
      </c>
      <c r="H155" s="56">
        <v>37.08</v>
      </c>
      <c r="I155" s="56">
        <v>0.2</v>
      </c>
      <c r="M155" s="56">
        <v>32.35</v>
      </c>
      <c r="N155" s="56">
        <v>422.4</v>
      </c>
    </row>
    <row r="156" spans="1:14" x14ac:dyDescent="0.2">
      <c r="A156" s="56">
        <v>517.70000000000005</v>
      </c>
      <c r="B156" s="56">
        <v>32.35</v>
      </c>
      <c r="C156" s="56">
        <v>517.70000000000005</v>
      </c>
      <c r="E156" s="56">
        <v>27.79</v>
      </c>
      <c r="F156" s="56">
        <v>1505.2</v>
      </c>
      <c r="H156" s="56">
        <v>37.56</v>
      </c>
      <c r="I156" s="56">
        <v>0.6</v>
      </c>
      <c r="M156" s="56">
        <v>32.35</v>
      </c>
      <c r="N156" s="56">
        <v>517.70000000000005</v>
      </c>
    </row>
    <row r="157" spans="1:14" x14ac:dyDescent="0.2">
      <c r="A157" s="56">
        <v>404.1</v>
      </c>
      <c r="B157" s="56">
        <v>33.450000000000003</v>
      </c>
      <c r="C157" s="56">
        <v>404.1</v>
      </c>
      <c r="E157" s="56">
        <v>27.79</v>
      </c>
      <c r="F157" s="56">
        <v>1529.4</v>
      </c>
      <c r="H157" s="56">
        <v>38.74</v>
      </c>
      <c r="I157" s="56">
        <v>2.5</v>
      </c>
      <c r="M157" s="56">
        <v>33.450000000000003</v>
      </c>
      <c r="N157" s="56">
        <v>404.1</v>
      </c>
    </row>
    <row r="158" spans="1:14" x14ac:dyDescent="0.2">
      <c r="A158" s="56">
        <v>1486.1</v>
      </c>
      <c r="B158" s="56">
        <v>33.450000000000003</v>
      </c>
      <c r="C158" s="56">
        <v>1486.1</v>
      </c>
      <c r="E158" s="56">
        <v>28.89</v>
      </c>
      <c r="F158" s="56">
        <v>11.3</v>
      </c>
      <c r="H158" s="56">
        <v>38.74</v>
      </c>
      <c r="I158" s="56">
        <v>2.6</v>
      </c>
      <c r="M158" s="56">
        <v>33.450000000000003</v>
      </c>
      <c r="N158" s="56">
        <v>1486.1</v>
      </c>
    </row>
    <row r="159" spans="1:14" x14ac:dyDescent="0.2">
      <c r="A159" s="56">
        <v>2286.3000000000002</v>
      </c>
      <c r="B159" s="56">
        <v>33.450000000000003</v>
      </c>
      <c r="C159" s="56">
        <v>2286.3000000000002</v>
      </c>
      <c r="E159" s="56">
        <v>28.89</v>
      </c>
      <c r="F159" s="56">
        <v>90.7</v>
      </c>
      <c r="H159" s="56">
        <v>38.74</v>
      </c>
      <c r="I159" s="56">
        <v>6</v>
      </c>
      <c r="M159" s="56">
        <v>33.450000000000003</v>
      </c>
      <c r="N159" s="56">
        <v>2286.3000000000002</v>
      </c>
    </row>
    <row r="160" spans="1:14" x14ac:dyDescent="0.2">
      <c r="A160" s="56">
        <v>29.1</v>
      </c>
      <c r="B160" s="56">
        <v>33.479999999999997</v>
      </c>
      <c r="C160" s="56">
        <v>29.1</v>
      </c>
      <c r="E160" s="56">
        <v>28.89</v>
      </c>
      <c r="F160" s="56">
        <v>106.9</v>
      </c>
      <c r="H160" s="56">
        <v>38.78</v>
      </c>
      <c r="I160" s="56">
        <v>1.6</v>
      </c>
      <c r="M160" s="56">
        <v>33.479999999999997</v>
      </c>
      <c r="N160" s="56">
        <v>29.1</v>
      </c>
    </row>
    <row r="161" spans="1:14" x14ac:dyDescent="0.2">
      <c r="A161" s="56">
        <v>49.4</v>
      </c>
      <c r="B161" s="56">
        <v>33.479999999999997</v>
      </c>
      <c r="C161" s="56">
        <v>49.4</v>
      </c>
      <c r="E161" s="56">
        <v>30.38</v>
      </c>
      <c r="F161" s="56">
        <v>72.099999999999994</v>
      </c>
      <c r="H161" s="56">
        <v>38.78</v>
      </c>
      <c r="I161" s="56">
        <v>5</v>
      </c>
      <c r="M161" s="56">
        <v>33.479999999999997</v>
      </c>
      <c r="N161" s="56">
        <v>49.4</v>
      </c>
    </row>
    <row r="162" spans="1:14" x14ac:dyDescent="0.2">
      <c r="A162" s="56">
        <v>61</v>
      </c>
      <c r="B162" s="56">
        <v>33.479999999999997</v>
      </c>
      <c r="C162" s="56">
        <v>61</v>
      </c>
      <c r="E162" s="56">
        <v>30.38</v>
      </c>
      <c r="F162" s="56">
        <v>410.4</v>
      </c>
      <c r="H162" s="56">
        <v>38.880000000000003</v>
      </c>
      <c r="I162" s="56">
        <v>17.899999999999999</v>
      </c>
      <c r="M162" s="56">
        <v>33.479999999999997</v>
      </c>
      <c r="N162" s="56">
        <v>61</v>
      </c>
    </row>
    <row r="163" spans="1:14" x14ac:dyDescent="0.2">
      <c r="A163" s="56">
        <v>7.8</v>
      </c>
      <c r="B163" s="56">
        <v>34.26</v>
      </c>
      <c r="C163" s="56">
        <v>7.8</v>
      </c>
      <c r="E163" s="56">
        <v>30.38</v>
      </c>
      <c r="F163" s="56">
        <v>798.9</v>
      </c>
      <c r="H163" s="56">
        <v>38.93</v>
      </c>
      <c r="I163" s="56">
        <v>0.2</v>
      </c>
      <c r="M163" s="56">
        <v>34.26</v>
      </c>
      <c r="N163" s="56">
        <v>7.8</v>
      </c>
    </row>
    <row r="164" spans="1:14" x14ac:dyDescent="0.2">
      <c r="A164" s="56">
        <v>31.1</v>
      </c>
      <c r="B164" s="56">
        <v>34.26</v>
      </c>
      <c r="C164" s="56">
        <v>31.1</v>
      </c>
      <c r="E164" s="56">
        <v>32.35</v>
      </c>
      <c r="F164" s="56">
        <v>18.100000000000001</v>
      </c>
      <c r="H164" s="56">
        <v>38.93</v>
      </c>
      <c r="I164" s="56">
        <v>0.4</v>
      </c>
      <c r="M164" s="56">
        <v>34.26</v>
      </c>
      <c r="N164" s="56">
        <v>31.1</v>
      </c>
    </row>
    <row r="165" spans="1:14" x14ac:dyDescent="0.2">
      <c r="A165" s="56">
        <v>32.6</v>
      </c>
      <c r="B165" s="56">
        <v>34.26</v>
      </c>
      <c r="C165" s="56">
        <v>32.6</v>
      </c>
      <c r="E165" s="56">
        <v>32.35</v>
      </c>
      <c r="F165" s="56">
        <v>422.4</v>
      </c>
      <c r="H165" s="56">
        <v>39.15</v>
      </c>
      <c r="I165" s="56">
        <v>5</v>
      </c>
      <c r="M165" s="56">
        <v>34.26</v>
      </c>
      <c r="N165" s="56">
        <v>32.6</v>
      </c>
    </row>
    <row r="166" spans="1:14" x14ac:dyDescent="0.2">
      <c r="A166" s="56">
        <v>66.900000000000006</v>
      </c>
      <c r="B166" s="56">
        <v>35</v>
      </c>
      <c r="C166" s="56">
        <v>66.900000000000006</v>
      </c>
      <c r="E166" s="56">
        <v>32.35</v>
      </c>
      <c r="F166" s="56">
        <v>517.70000000000005</v>
      </c>
      <c r="H166" s="56">
        <v>39.15</v>
      </c>
      <c r="I166" s="56">
        <v>8.1999999999999993</v>
      </c>
      <c r="M166" s="56">
        <v>35</v>
      </c>
      <c r="N166" s="56">
        <v>66.900000000000006</v>
      </c>
    </row>
    <row r="167" spans="1:14" x14ac:dyDescent="0.2">
      <c r="A167" s="56">
        <v>39.6</v>
      </c>
      <c r="B167" s="56">
        <v>35</v>
      </c>
      <c r="C167" s="56">
        <v>39.6</v>
      </c>
      <c r="E167" s="56">
        <v>33.450000000000003</v>
      </c>
      <c r="F167" s="56">
        <v>404.1</v>
      </c>
      <c r="H167" s="56">
        <v>39.270000000000003</v>
      </c>
      <c r="I167" s="56">
        <v>3.5</v>
      </c>
      <c r="M167" s="56">
        <v>35</v>
      </c>
      <c r="N167" s="56">
        <v>39.6</v>
      </c>
    </row>
    <row r="168" spans="1:14" x14ac:dyDescent="0.2">
      <c r="A168" s="56">
        <v>133.5</v>
      </c>
      <c r="B168" s="56">
        <v>35</v>
      </c>
      <c r="C168" s="56">
        <v>133.5</v>
      </c>
      <c r="E168" s="56">
        <v>33.450000000000003</v>
      </c>
      <c r="F168" s="56">
        <v>1486.1</v>
      </c>
      <c r="H168" s="56">
        <v>39.270000000000003</v>
      </c>
      <c r="I168" s="56">
        <v>15.8</v>
      </c>
      <c r="M168" s="56">
        <v>35</v>
      </c>
      <c r="N168" s="56">
        <v>133.5</v>
      </c>
    </row>
    <row r="169" spans="1:14" x14ac:dyDescent="0.2">
      <c r="A169" s="56">
        <v>1.6</v>
      </c>
      <c r="B169" s="56">
        <v>36.04</v>
      </c>
      <c r="C169" s="56">
        <v>1.6</v>
      </c>
      <c r="E169" s="56">
        <v>33.450000000000003</v>
      </c>
      <c r="F169" s="56">
        <v>2286.3000000000002</v>
      </c>
      <c r="M169" s="56">
        <v>36.04</v>
      </c>
      <c r="N169" s="56">
        <v>1.6</v>
      </c>
    </row>
    <row r="170" spans="1:14" x14ac:dyDescent="0.2">
      <c r="A170" s="56">
        <v>17.2</v>
      </c>
      <c r="B170" s="56">
        <v>36.04</v>
      </c>
      <c r="C170" s="56">
        <v>17.2</v>
      </c>
      <c r="E170" s="56">
        <v>33.479999999999997</v>
      </c>
      <c r="F170" s="56">
        <v>29.1</v>
      </c>
      <c r="M170" s="56">
        <v>36.04</v>
      </c>
      <c r="N170" s="56">
        <v>17.2</v>
      </c>
    </row>
    <row r="171" spans="1:14" x14ac:dyDescent="0.2">
      <c r="A171" s="56">
        <v>9</v>
      </c>
      <c r="B171" s="56">
        <v>36.04</v>
      </c>
      <c r="C171" s="56">
        <v>9</v>
      </c>
      <c r="E171" s="56">
        <v>33.479999999999997</v>
      </c>
      <c r="F171" s="56">
        <v>49.4</v>
      </c>
      <c r="M171" s="56">
        <v>36.04</v>
      </c>
      <c r="N171" s="56">
        <v>9</v>
      </c>
    </row>
    <row r="172" spans="1:14" x14ac:dyDescent="0.2">
      <c r="A172" s="56">
        <v>30.3</v>
      </c>
      <c r="B172" s="56">
        <v>36.770000000000003</v>
      </c>
      <c r="C172" s="56">
        <v>30.3</v>
      </c>
      <c r="E172" s="56">
        <v>33.479999999999997</v>
      </c>
      <c r="F172" s="56">
        <v>61</v>
      </c>
      <c r="M172" s="56">
        <v>36.770000000000003</v>
      </c>
      <c r="N172" s="56">
        <v>30.3</v>
      </c>
    </row>
    <row r="173" spans="1:14" x14ac:dyDescent="0.2">
      <c r="A173" s="56">
        <v>137.9</v>
      </c>
      <c r="B173" s="56">
        <v>36.770000000000003</v>
      </c>
      <c r="C173" s="56">
        <v>137.9</v>
      </c>
      <c r="E173" s="56">
        <v>34.26</v>
      </c>
      <c r="F173" s="56">
        <v>7.8</v>
      </c>
      <c r="M173" s="56">
        <v>36.770000000000003</v>
      </c>
      <c r="N173" s="56">
        <v>137.9</v>
      </c>
    </row>
    <row r="174" spans="1:14" x14ac:dyDescent="0.2">
      <c r="A174" s="56">
        <v>55.4</v>
      </c>
      <c r="B174" s="56">
        <v>36.770000000000003</v>
      </c>
      <c r="C174" s="56">
        <v>55.4</v>
      </c>
      <c r="E174" s="56">
        <v>34.26</v>
      </c>
      <c r="F174" s="56">
        <v>31.1</v>
      </c>
      <c r="M174" s="56">
        <v>36.770000000000003</v>
      </c>
      <c r="N174" s="56">
        <v>55.4</v>
      </c>
    </row>
    <row r="175" spans="1:14" x14ac:dyDescent="0.2">
      <c r="A175" s="56">
        <v>8</v>
      </c>
      <c r="B175" s="56">
        <v>36.85</v>
      </c>
      <c r="C175" s="56">
        <v>8</v>
      </c>
      <c r="E175" s="56">
        <v>34.26</v>
      </c>
      <c r="F175" s="56">
        <v>32.6</v>
      </c>
      <c r="M175" s="56">
        <v>36.85</v>
      </c>
      <c r="N175" s="56">
        <v>8</v>
      </c>
    </row>
    <row r="176" spans="1:14" x14ac:dyDescent="0.2">
      <c r="A176" s="56">
        <v>13.1</v>
      </c>
      <c r="B176" s="56">
        <v>36.85</v>
      </c>
      <c r="C176" s="56">
        <v>13.1</v>
      </c>
      <c r="E176" s="56">
        <v>35</v>
      </c>
      <c r="F176" s="56">
        <v>39.6</v>
      </c>
      <c r="M176" s="56">
        <v>36.85</v>
      </c>
      <c r="N176" s="56">
        <v>13.1</v>
      </c>
    </row>
    <row r="177" spans="1:14" x14ac:dyDescent="0.2">
      <c r="A177" s="56">
        <v>11.6</v>
      </c>
      <c r="B177" s="56">
        <v>36.85</v>
      </c>
      <c r="C177" s="56">
        <v>11.6</v>
      </c>
      <c r="E177" s="56">
        <v>35</v>
      </c>
      <c r="F177" s="56">
        <v>66.900000000000006</v>
      </c>
      <c r="M177" s="56">
        <v>36.85</v>
      </c>
      <c r="N177" s="56">
        <v>11.6</v>
      </c>
    </row>
    <row r="178" spans="1:14" x14ac:dyDescent="0.2">
      <c r="A178" s="56">
        <v>3.9</v>
      </c>
      <c r="B178" s="56">
        <v>37.04</v>
      </c>
      <c r="C178" s="56">
        <v>3.9</v>
      </c>
      <c r="E178" s="56">
        <v>35</v>
      </c>
      <c r="F178" s="56">
        <v>133.5</v>
      </c>
      <c r="M178" s="56">
        <v>37.04</v>
      </c>
      <c r="N178" s="56">
        <v>3.9</v>
      </c>
    </row>
    <row r="179" spans="1:14" x14ac:dyDescent="0.2">
      <c r="A179" s="56">
        <v>16.5</v>
      </c>
      <c r="B179" s="56">
        <v>37.04</v>
      </c>
      <c r="C179" s="56">
        <v>16.5</v>
      </c>
      <c r="E179" s="56">
        <v>36.04</v>
      </c>
      <c r="F179" s="56">
        <v>1.6</v>
      </c>
      <c r="M179" s="56">
        <v>37.04</v>
      </c>
      <c r="N179" s="56">
        <v>16.5</v>
      </c>
    </row>
    <row r="180" spans="1:14" x14ac:dyDescent="0.2">
      <c r="A180" s="56">
        <v>35.700000000000003</v>
      </c>
      <c r="B180" s="56">
        <v>37.04</v>
      </c>
      <c r="C180" s="56">
        <v>35.700000000000003</v>
      </c>
      <c r="E180" s="56">
        <v>36.04</v>
      </c>
      <c r="F180" s="56">
        <v>9</v>
      </c>
      <c r="M180" s="56">
        <v>37.04</v>
      </c>
      <c r="N180" s="56">
        <v>35.700000000000003</v>
      </c>
    </row>
    <row r="181" spans="1:14" x14ac:dyDescent="0.2">
      <c r="A181" s="56">
        <v>0</v>
      </c>
      <c r="B181" s="56">
        <v>37.08</v>
      </c>
      <c r="C181" s="56">
        <v>1E-3</v>
      </c>
      <c r="E181" s="56">
        <v>36.04</v>
      </c>
      <c r="F181" s="56">
        <v>17.2</v>
      </c>
      <c r="M181" s="56">
        <v>37.08</v>
      </c>
      <c r="N181" s="56">
        <v>1</v>
      </c>
    </row>
    <row r="182" spans="1:14" x14ac:dyDescent="0.2">
      <c r="A182" s="56">
        <v>0</v>
      </c>
      <c r="B182" s="56">
        <v>37.08</v>
      </c>
      <c r="C182" s="56">
        <v>1E-3</v>
      </c>
      <c r="E182" s="56">
        <v>36.770000000000003</v>
      </c>
      <c r="F182" s="56">
        <v>30.3</v>
      </c>
      <c r="M182" s="56">
        <v>37.08</v>
      </c>
      <c r="N182" s="56">
        <v>0.2</v>
      </c>
    </row>
    <row r="183" spans="1:14" x14ac:dyDescent="0.2">
      <c r="A183" s="56">
        <v>0.2</v>
      </c>
      <c r="B183" s="56">
        <v>37.08</v>
      </c>
      <c r="C183" s="56">
        <v>0.2</v>
      </c>
      <c r="E183" s="56">
        <v>36.770000000000003</v>
      </c>
      <c r="F183" s="56">
        <v>55.4</v>
      </c>
      <c r="M183" s="56">
        <v>37.08</v>
      </c>
      <c r="N183" s="56">
        <v>0.2</v>
      </c>
    </row>
    <row r="184" spans="1:14" x14ac:dyDescent="0.2">
      <c r="A184" s="56">
        <v>0</v>
      </c>
      <c r="B184" s="56">
        <v>37.56</v>
      </c>
      <c r="C184" s="56">
        <v>1E-3</v>
      </c>
      <c r="E184" s="56">
        <v>36.770000000000003</v>
      </c>
      <c r="F184" s="56">
        <v>137.9</v>
      </c>
      <c r="M184" s="56">
        <v>37.56</v>
      </c>
      <c r="N184" s="56">
        <v>0.1</v>
      </c>
    </row>
    <row r="185" spans="1:14" x14ac:dyDescent="0.2">
      <c r="A185" s="56">
        <v>0</v>
      </c>
      <c r="B185" s="56">
        <v>37.56</v>
      </c>
      <c r="C185" s="56">
        <v>1E-3</v>
      </c>
      <c r="E185" s="56">
        <v>36.85</v>
      </c>
      <c r="F185" s="56">
        <v>8</v>
      </c>
      <c r="M185" s="56">
        <v>37.56</v>
      </c>
      <c r="N185" s="56">
        <v>0.1</v>
      </c>
    </row>
    <row r="186" spans="1:14" x14ac:dyDescent="0.2">
      <c r="A186" s="56">
        <v>0.6</v>
      </c>
      <c r="B186" s="56">
        <v>37.56</v>
      </c>
      <c r="C186" s="56">
        <v>0.6</v>
      </c>
      <c r="E186" s="56">
        <v>36.85</v>
      </c>
      <c r="F186" s="56">
        <v>11.6</v>
      </c>
      <c r="M186" s="56">
        <v>37.56</v>
      </c>
      <c r="N186" s="56">
        <v>0.6</v>
      </c>
    </row>
    <row r="187" spans="1:14" x14ac:dyDescent="0.2">
      <c r="A187" s="56">
        <v>2.5</v>
      </c>
      <c r="B187" s="56">
        <v>38.74</v>
      </c>
      <c r="C187" s="56">
        <v>2.5</v>
      </c>
      <c r="E187" s="56">
        <v>36.85</v>
      </c>
      <c r="F187" s="56">
        <v>13.1</v>
      </c>
      <c r="M187" s="56">
        <v>38.74</v>
      </c>
      <c r="N187" s="56">
        <v>2.5</v>
      </c>
    </row>
    <row r="188" spans="1:14" x14ac:dyDescent="0.2">
      <c r="A188" s="56">
        <v>2.6</v>
      </c>
      <c r="B188" s="56">
        <v>38.74</v>
      </c>
      <c r="C188" s="56">
        <v>2.6</v>
      </c>
      <c r="E188" s="56">
        <v>37.04</v>
      </c>
      <c r="F188" s="56">
        <v>3.9</v>
      </c>
      <c r="M188" s="56">
        <v>38.74</v>
      </c>
      <c r="N188" s="56">
        <v>2.6</v>
      </c>
    </row>
    <row r="189" spans="1:14" x14ac:dyDescent="0.2">
      <c r="A189" s="56">
        <v>6</v>
      </c>
      <c r="B189" s="56">
        <v>38.74</v>
      </c>
      <c r="C189" s="56">
        <v>6</v>
      </c>
      <c r="E189" s="56">
        <v>37.04</v>
      </c>
      <c r="F189" s="56">
        <v>16.5</v>
      </c>
      <c r="M189" s="56">
        <v>38.74</v>
      </c>
      <c r="N189" s="56">
        <v>6</v>
      </c>
    </row>
    <row r="190" spans="1:14" x14ac:dyDescent="0.2">
      <c r="A190" s="56">
        <v>1.6</v>
      </c>
      <c r="B190" s="56">
        <v>38.78</v>
      </c>
      <c r="C190" s="56">
        <v>1.6</v>
      </c>
      <c r="E190" s="56">
        <v>37.04</v>
      </c>
      <c r="F190" s="56">
        <v>35.700000000000003</v>
      </c>
      <c r="M190" s="56">
        <v>38.78</v>
      </c>
      <c r="N190" s="56">
        <v>1.6</v>
      </c>
    </row>
    <row r="191" spans="1:14" x14ac:dyDescent="0.2">
      <c r="A191" s="56">
        <v>5</v>
      </c>
      <c r="B191" s="56">
        <v>38.78</v>
      </c>
      <c r="C191" s="56">
        <v>5</v>
      </c>
      <c r="E191" s="56">
        <v>37.08</v>
      </c>
      <c r="F191" s="56">
        <v>0.2</v>
      </c>
      <c r="M191" s="56">
        <v>38.78</v>
      </c>
      <c r="N191" s="56">
        <v>5</v>
      </c>
    </row>
    <row r="192" spans="1:14" x14ac:dyDescent="0.2">
      <c r="A192" s="56">
        <v>0</v>
      </c>
      <c r="B192" s="56">
        <v>38.78</v>
      </c>
      <c r="C192" s="56">
        <v>1E-3</v>
      </c>
      <c r="E192" s="56">
        <v>37.56</v>
      </c>
      <c r="F192" s="56">
        <v>0.6</v>
      </c>
      <c r="M192" s="56">
        <v>38.78</v>
      </c>
      <c r="N192" s="56">
        <v>0.1</v>
      </c>
    </row>
    <row r="193" spans="1:14" x14ac:dyDescent="0.2">
      <c r="A193" s="56">
        <v>0</v>
      </c>
      <c r="B193" s="56">
        <v>38.880000000000003</v>
      </c>
      <c r="C193" s="56">
        <v>1E-3</v>
      </c>
      <c r="E193" s="56">
        <v>38.74</v>
      </c>
      <c r="F193" s="56">
        <v>2.5</v>
      </c>
      <c r="M193" s="56">
        <v>38.880000000000003</v>
      </c>
      <c r="N193" s="56">
        <v>0.1</v>
      </c>
    </row>
    <row r="194" spans="1:14" x14ac:dyDescent="0.2">
      <c r="A194" s="56">
        <v>17.899999999999999</v>
      </c>
      <c r="B194" s="56">
        <v>38.880000000000003</v>
      </c>
      <c r="C194" s="56">
        <v>17.899999999999999</v>
      </c>
      <c r="E194" s="56">
        <v>38.74</v>
      </c>
      <c r="F194" s="56">
        <v>2.6</v>
      </c>
      <c r="M194" s="56">
        <v>38.880000000000003</v>
      </c>
      <c r="N194" s="56">
        <v>17.899999999999999</v>
      </c>
    </row>
    <row r="195" spans="1:14" x14ac:dyDescent="0.2">
      <c r="A195" s="56">
        <v>0</v>
      </c>
      <c r="B195" s="56">
        <v>38.880000000000003</v>
      </c>
      <c r="C195" s="56">
        <v>1E-3</v>
      </c>
      <c r="E195" s="56">
        <v>38.74</v>
      </c>
      <c r="F195" s="56">
        <v>6</v>
      </c>
      <c r="M195" s="56">
        <v>38.880000000000003</v>
      </c>
      <c r="N195" s="56">
        <v>0.05</v>
      </c>
    </row>
    <row r="196" spans="1:14" x14ac:dyDescent="0.2">
      <c r="A196" s="56">
        <v>0.4</v>
      </c>
      <c r="B196" s="56">
        <v>38.93</v>
      </c>
      <c r="C196" s="56">
        <v>0.4</v>
      </c>
      <c r="E196" s="56">
        <v>38.78</v>
      </c>
      <c r="F196" s="56">
        <v>1.6</v>
      </c>
      <c r="M196" s="56">
        <v>38.93</v>
      </c>
      <c r="N196" s="56">
        <v>0.4</v>
      </c>
    </row>
    <row r="197" spans="1:14" x14ac:dyDescent="0.2">
      <c r="A197" s="56">
        <v>0.2</v>
      </c>
      <c r="B197" s="56">
        <v>38.93</v>
      </c>
      <c r="C197" s="56">
        <v>0.2</v>
      </c>
      <c r="E197" s="56">
        <v>38.78</v>
      </c>
      <c r="F197" s="56">
        <v>5</v>
      </c>
      <c r="M197" s="56">
        <v>38.93</v>
      </c>
      <c r="N197" s="56">
        <v>0.2</v>
      </c>
    </row>
    <row r="198" spans="1:14" x14ac:dyDescent="0.2">
      <c r="A198" s="56">
        <v>0</v>
      </c>
      <c r="B198" s="56">
        <v>38.93</v>
      </c>
      <c r="C198" s="56">
        <v>1E-3</v>
      </c>
      <c r="E198" s="56">
        <v>38.880000000000003</v>
      </c>
      <c r="F198" s="56">
        <v>17.899999999999999</v>
      </c>
      <c r="M198" s="56">
        <v>38.93</v>
      </c>
      <c r="N198" s="56">
        <v>0.05</v>
      </c>
    </row>
    <row r="199" spans="1:14" x14ac:dyDescent="0.2">
      <c r="A199" s="56">
        <v>8.1999999999999993</v>
      </c>
      <c r="B199" s="56">
        <v>39.15</v>
      </c>
      <c r="C199" s="56">
        <v>8.1999999999999993</v>
      </c>
      <c r="E199" s="56">
        <v>38.93</v>
      </c>
      <c r="F199" s="56">
        <v>0.2</v>
      </c>
      <c r="M199" s="56">
        <v>39.15</v>
      </c>
      <c r="N199" s="56">
        <v>8.1999999999999993</v>
      </c>
    </row>
    <row r="200" spans="1:14" x14ac:dyDescent="0.2">
      <c r="A200" s="56">
        <v>5</v>
      </c>
      <c r="B200" s="56">
        <v>39.15</v>
      </c>
      <c r="C200" s="56">
        <v>5</v>
      </c>
      <c r="E200" s="56">
        <v>38.93</v>
      </c>
      <c r="F200" s="56">
        <v>0.4</v>
      </c>
      <c r="M200" s="56">
        <v>39.15</v>
      </c>
      <c r="N200" s="56">
        <v>5</v>
      </c>
    </row>
    <row r="201" spans="1:14" x14ac:dyDescent="0.2">
      <c r="A201" s="56">
        <v>0</v>
      </c>
      <c r="B201" s="56">
        <v>39.15</v>
      </c>
      <c r="C201" s="56">
        <v>1E-3</v>
      </c>
      <c r="E201" s="56">
        <v>39.15</v>
      </c>
      <c r="F201" s="56">
        <v>5</v>
      </c>
      <c r="M201" s="56">
        <v>39.15</v>
      </c>
      <c r="N201" s="56">
        <v>0.01</v>
      </c>
    </row>
    <row r="202" spans="1:14" x14ac:dyDescent="0.2">
      <c r="A202" s="56">
        <v>3.5</v>
      </c>
      <c r="B202" s="56">
        <v>39.270000000000003</v>
      </c>
      <c r="C202" s="56">
        <v>3.5</v>
      </c>
      <c r="E202" s="56">
        <v>39.15</v>
      </c>
      <c r="F202" s="56">
        <v>8.1999999999999993</v>
      </c>
      <c r="M202" s="56">
        <v>39.270000000000003</v>
      </c>
      <c r="N202" s="56">
        <v>3.5</v>
      </c>
    </row>
    <row r="203" spans="1:14" x14ac:dyDescent="0.2">
      <c r="A203" s="56">
        <v>0</v>
      </c>
      <c r="B203" s="56">
        <v>39.270000000000003</v>
      </c>
      <c r="C203" s="56">
        <v>1E-3</v>
      </c>
      <c r="E203" s="56">
        <v>39.270000000000003</v>
      </c>
      <c r="F203" s="56">
        <v>3.5</v>
      </c>
      <c r="M203" s="56">
        <v>39.270000000000003</v>
      </c>
      <c r="N203" s="56">
        <v>0.01</v>
      </c>
    </row>
    <row r="204" spans="1:14" x14ac:dyDescent="0.2">
      <c r="A204" s="56">
        <v>15.8</v>
      </c>
      <c r="B204" s="56">
        <v>39.270000000000003</v>
      </c>
      <c r="C204" s="56">
        <v>15.8</v>
      </c>
      <c r="E204" s="56">
        <v>39.270000000000003</v>
      </c>
      <c r="F204" s="56">
        <v>15.8</v>
      </c>
      <c r="M204" s="56">
        <v>39.270000000000003</v>
      </c>
      <c r="N204" s="56">
        <v>15.8</v>
      </c>
    </row>
    <row r="205" spans="1:14" x14ac:dyDescent="0.2">
      <c r="A205" s="56">
        <v>8.1999999999999993</v>
      </c>
      <c r="B205" s="56" t="s">
        <v>108</v>
      </c>
    </row>
    <row r="206" spans="1:14" x14ac:dyDescent="0.2">
      <c r="A206" s="56">
        <v>2.5</v>
      </c>
      <c r="B206" s="56" t="s">
        <v>108</v>
      </c>
    </row>
    <row r="207" spans="1:14" x14ac:dyDescent="0.2">
      <c r="A207" s="56">
        <v>0</v>
      </c>
      <c r="B207" s="56" t="s">
        <v>108</v>
      </c>
    </row>
    <row r="208" spans="1:14" x14ac:dyDescent="0.2">
      <c r="A208" s="56">
        <v>9.3000000000000007</v>
      </c>
      <c r="B208" s="56" t="s">
        <v>108</v>
      </c>
    </row>
    <row r="209" spans="1:2" x14ac:dyDescent="0.2">
      <c r="A209" s="56">
        <v>4.3</v>
      </c>
      <c r="B209" s="56" t="s">
        <v>108</v>
      </c>
    </row>
    <row r="210" spans="1:2" x14ac:dyDescent="0.2">
      <c r="A210" s="56">
        <v>0</v>
      </c>
      <c r="B210" s="56" t="s">
        <v>108</v>
      </c>
    </row>
    <row r="211" spans="1:2" x14ac:dyDescent="0.2">
      <c r="A211" s="56">
        <v>0</v>
      </c>
      <c r="B211" s="56" t="s">
        <v>108</v>
      </c>
    </row>
    <row r="212" spans="1:2" x14ac:dyDescent="0.2">
      <c r="A212" s="56">
        <v>0</v>
      </c>
      <c r="B212" s="56" t="s">
        <v>108</v>
      </c>
    </row>
    <row r="213" spans="1:2" x14ac:dyDescent="0.2">
      <c r="A213" s="56">
        <v>0</v>
      </c>
      <c r="B213" s="56" t="s">
        <v>108</v>
      </c>
    </row>
    <row r="214" spans="1:2" x14ac:dyDescent="0.2">
      <c r="A214" s="56">
        <v>0</v>
      </c>
      <c r="B214" s="56" t="s">
        <v>108</v>
      </c>
    </row>
    <row r="215" spans="1:2" x14ac:dyDescent="0.2">
      <c r="A215" s="56">
        <v>0</v>
      </c>
      <c r="B215" s="56" t="s">
        <v>108</v>
      </c>
    </row>
    <row r="216" spans="1:2" x14ac:dyDescent="0.2">
      <c r="A216" s="56">
        <v>0</v>
      </c>
      <c r="B216" s="56" t="s">
        <v>108</v>
      </c>
    </row>
    <row r="217" spans="1:2" x14ac:dyDescent="0.2">
      <c r="A217" s="56">
        <v>0</v>
      </c>
      <c r="B217" s="56" t="s">
        <v>108</v>
      </c>
    </row>
    <row r="218" spans="1:2" x14ac:dyDescent="0.2">
      <c r="A218" s="56">
        <v>0</v>
      </c>
      <c r="B218" s="56" t="s">
        <v>108</v>
      </c>
    </row>
    <row r="219" spans="1:2" x14ac:dyDescent="0.2">
      <c r="A219" s="56">
        <v>0</v>
      </c>
      <c r="B219" s="56" t="s">
        <v>108</v>
      </c>
    </row>
    <row r="220" spans="1:2" x14ac:dyDescent="0.2">
      <c r="A220" s="56">
        <v>0</v>
      </c>
      <c r="B220" s="56" t="s">
        <v>108</v>
      </c>
    </row>
    <row r="221" spans="1:2" x14ac:dyDescent="0.2">
      <c r="A221" s="56">
        <v>0</v>
      </c>
      <c r="B221" s="56" t="s">
        <v>108</v>
      </c>
    </row>
    <row r="222" spans="1:2" x14ac:dyDescent="0.2">
      <c r="A222" s="56">
        <v>0</v>
      </c>
      <c r="B222" s="56" t="s">
        <v>108</v>
      </c>
    </row>
    <row r="223" spans="1:2" x14ac:dyDescent="0.2">
      <c r="A223" s="56">
        <v>6.8</v>
      </c>
      <c r="B223" s="56" t="s">
        <v>108</v>
      </c>
    </row>
    <row r="224" spans="1:2" x14ac:dyDescent="0.2">
      <c r="A224" s="56">
        <v>0</v>
      </c>
      <c r="B224" s="56" t="s">
        <v>108</v>
      </c>
    </row>
    <row r="225" spans="1:2" x14ac:dyDescent="0.2">
      <c r="A225" s="56">
        <v>12.5</v>
      </c>
      <c r="B225" s="56" t="s">
        <v>108</v>
      </c>
    </row>
    <row r="226" spans="1:2" x14ac:dyDescent="0.2">
      <c r="A226" s="56">
        <v>0</v>
      </c>
      <c r="B226" s="56" t="s">
        <v>108</v>
      </c>
    </row>
    <row r="227" spans="1:2" x14ac:dyDescent="0.2">
      <c r="A227" s="56">
        <v>0</v>
      </c>
      <c r="B227" s="56" t="s">
        <v>108</v>
      </c>
    </row>
    <row r="228" spans="1:2" x14ac:dyDescent="0.2">
      <c r="A228" s="56">
        <v>0</v>
      </c>
      <c r="B228" s="56" t="s">
        <v>108</v>
      </c>
    </row>
    <row r="229" spans="1:2" x14ac:dyDescent="0.2">
      <c r="A229" s="56">
        <v>1</v>
      </c>
      <c r="B229" s="56" t="s">
        <v>108</v>
      </c>
    </row>
    <row r="230" spans="1:2" x14ac:dyDescent="0.2">
      <c r="A230" s="56">
        <v>0</v>
      </c>
      <c r="B230" s="56" t="s">
        <v>108</v>
      </c>
    </row>
    <row r="231" spans="1:2" x14ac:dyDescent="0.2">
      <c r="A231" s="56">
        <v>0</v>
      </c>
      <c r="B231" s="56" t="s">
        <v>108</v>
      </c>
    </row>
    <row r="232" spans="1:2" x14ac:dyDescent="0.2">
      <c r="A232" s="56">
        <v>0</v>
      </c>
      <c r="B232" s="56" t="s">
        <v>108</v>
      </c>
    </row>
    <row r="233" spans="1:2" x14ac:dyDescent="0.2">
      <c r="A233" s="56">
        <v>2.5</v>
      </c>
      <c r="B233" s="56" t="s">
        <v>108</v>
      </c>
    </row>
    <row r="234" spans="1:2" x14ac:dyDescent="0.2">
      <c r="A234" s="56">
        <v>4.9000000000000004</v>
      </c>
      <c r="B234" s="56" t="s">
        <v>108</v>
      </c>
    </row>
    <row r="235" spans="1:2" x14ac:dyDescent="0.2">
      <c r="A235" s="56">
        <v>0</v>
      </c>
      <c r="B235" s="56" t="s">
        <v>108</v>
      </c>
    </row>
    <row r="236" spans="1:2" x14ac:dyDescent="0.2">
      <c r="A236" s="56">
        <v>12</v>
      </c>
      <c r="B236" s="56" t="s">
        <v>108</v>
      </c>
    </row>
    <row r="237" spans="1:2" x14ac:dyDescent="0.2">
      <c r="A237" s="56">
        <v>0</v>
      </c>
      <c r="B237" s="56" t="s">
        <v>108</v>
      </c>
    </row>
    <row r="238" spans="1:2" x14ac:dyDescent="0.2">
      <c r="A238" s="56">
        <v>0</v>
      </c>
      <c r="B238" s="56" t="s">
        <v>108</v>
      </c>
    </row>
    <row r="239" spans="1:2" x14ac:dyDescent="0.2">
      <c r="A239" s="56">
        <v>0</v>
      </c>
      <c r="B239" s="56" t="s">
        <v>108</v>
      </c>
    </row>
    <row r="240" spans="1:2" x14ac:dyDescent="0.2">
      <c r="A240" s="56">
        <v>0.7</v>
      </c>
      <c r="B240" s="56" t="s">
        <v>108</v>
      </c>
    </row>
    <row r="241" spans="1:2" x14ac:dyDescent="0.2">
      <c r="A241" s="56">
        <v>0</v>
      </c>
      <c r="B241" s="56" t="s">
        <v>108</v>
      </c>
    </row>
    <row r="242" spans="1:2" x14ac:dyDescent="0.2">
      <c r="A242" s="56">
        <v>0</v>
      </c>
      <c r="B242" s="56" t="s">
        <v>108</v>
      </c>
    </row>
    <row r="243" spans="1:2" x14ac:dyDescent="0.2">
      <c r="A243" s="56">
        <v>0</v>
      </c>
      <c r="B243" s="56" t="s">
        <v>108</v>
      </c>
    </row>
    <row r="244" spans="1:2" x14ac:dyDescent="0.2">
      <c r="A244" s="56">
        <v>0</v>
      </c>
      <c r="B244" s="56" t="s">
        <v>108</v>
      </c>
    </row>
    <row r="245" spans="1:2" x14ac:dyDescent="0.2">
      <c r="A245" s="56">
        <v>0</v>
      </c>
      <c r="B245" s="56" t="s">
        <v>108</v>
      </c>
    </row>
    <row r="246" spans="1:2" x14ac:dyDescent="0.2">
      <c r="A246" s="56">
        <v>0</v>
      </c>
      <c r="B246" s="56" t="s">
        <v>108</v>
      </c>
    </row>
    <row r="247" spans="1:2" x14ac:dyDescent="0.2">
      <c r="A247" s="56">
        <v>0</v>
      </c>
      <c r="B247" s="56" t="s">
        <v>108</v>
      </c>
    </row>
    <row r="248" spans="1:2" x14ac:dyDescent="0.2">
      <c r="A248" s="56">
        <v>0</v>
      </c>
      <c r="B248" s="56" t="s">
        <v>108</v>
      </c>
    </row>
  </sheetData>
  <autoFilter ref="E80:F204" xr:uid="{236CDB6F-46FB-4F80-837F-A49FE1126902}">
    <sortState xmlns:xlrd2="http://schemas.microsoft.com/office/spreadsheetml/2017/richdata2" ref="E81:F204">
      <sortCondition ref="E81:E204"/>
    </sortState>
  </autoFilter>
  <sortState xmlns:xlrd2="http://schemas.microsoft.com/office/spreadsheetml/2017/richdata2" ref="E71:F204">
    <sortCondition ref="F71:F204"/>
  </sortState>
  <mergeCells count="6">
    <mergeCell ref="R14:X16"/>
    <mergeCell ref="A3:B3"/>
    <mergeCell ref="M3:N3"/>
    <mergeCell ref="J3:K3"/>
    <mergeCell ref="G3:H3"/>
    <mergeCell ref="D3:E3"/>
  </mergeCells>
  <conditionalFormatting sqref="H29">
    <cfRule type="cellIs" dxfId="6" priority="7" stopIfTrue="1" operator="greaterThan">
      <formula>3</formula>
    </cfRule>
    <cfRule type="cellIs" dxfId="5" priority="6" stopIfTrue="1" operator="lessThan">
      <formula>3</formula>
    </cfRule>
  </conditionalFormatting>
  <conditionalFormatting sqref="K14">
    <cfRule type="cellIs" dxfId="4" priority="1" stopIfTrue="1" operator="lessThan">
      <formula>3</formula>
    </cfRule>
    <cfRule type="cellIs" dxfId="3" priority="2" stopIfTrue="1" operator="greaterThan">
      <formula>3</formula>
    </cfRule>
  </conditionalFormatting>
  <conditionalFormatting sqref="N21">
    <cfRule type="cellIs" dxfId="2" priority="3" operator="lessThan">
      <formula>35</formula>
    </cfRule>
    <cfRule type="cellIs" dxfId="1" priority="5" operator="between">
      <formula>35</formula>
      <formula>39.999</formula>
    </cfRule>
    <cfRule type="cellIs" dxfId="0" priority="4" operator="greaterThan">
      <formula>40</formula>
    </cfRule>
  </conditionalFormatting>
  <hyperlinks>
    <hyperlink ref="N18" r:id="rId1" xr:uid="{B63A80C3-E787-4B51-B0E2-22D6C1242216}"/>
    <hyperlink ref="Q17" r:id="rId2" display="https://www.biorxiv.org/content/10.1101/2020.06.16.155887v1" xr:uid="{1A67715D-0FD4-7846-8E96-AEA39F9DBAD4}"/>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8950-4F53-054D-AEEC-0A74628A9AFF}">
  <dimension ref="A1:R51"/>
  <sheetViews>
    <sheetView topLeftCell="A3" workbookViewId="0">
      <selection activeCell="D5" sqref="D5"/>
    </sheetView>
  </sheetViews>
  <sheetFormatPr baseColWidth="10" defaultColWidth="8.83203125" defaultRowHeight="15" x14ac:dyDescent="0.2"/>
  <cols>
    <col min="2" max="2" width="14.33203125" customWidth="1"/>
    <col min="3" max="3" width="38.33203125" customWidth="1"/>
    <col min="4" max="4" width="19.83203125" customWidth="1"/>
    <col min="5" max="5" width="20.1640625" customWidth="1"/>
    <col min="6" max="6" width="17.83203125" customWidth="1"/>
    <col min="7" max="7" width="4.1640625" customWidth="1"/>
    <col min="8" max="8" width="12.1640625" customWidth="1"/>
    <col min="9" max="9" width="12.6640625" bestFit="1" customWidth="1"/>
    <col min="10" max="10" width="8" customWidth="1"/>
    <col min="11" max="11" width="15.1640625" customWidth="1"/>
    <col min="12" max="12" width="18.1640625" customWidth="1"/>
    <col min="14" max="14" width="17.6640625" customWidth="1"/>
    <col min="15" max="15" width="25.33203125" customWidth="1"/>
    <col min="16" max="16" width="6.6640625" customWidth="1"/>
    <col min="17" max="17" width="27.33203125" customWidth="1"/>
    <col min="18" max="18" width="34" customWidth="1"/>
  </cols>
  <sheetData>
    <row r="1" spans="1:18" ht="20" x14ac:dyDescent="0.25">
      <c r="B1" s="14" t="s">
        <v>109</v>
      </c>
      <c r="C1" s="15"/>
      <c r="D1" s="15"/>
      <c r="E1" s="15"/>
    </row>
    <row r="2" spans="1:18" ht="74.25" customHeight="1" x14ac:dyDescent="0.2">
      <c r="B2" s="73" t="s">
        <v>110</v>
      </c>
      <c r="C2" s="73"/>
      <c r="D2" s="73"/>
      <c r="E2" s="73"/>
      <c r="F2" s="22" t="s">
        <v>111</v>
      </c>
      <c r="H2" s="22" t="s">
        <v>112</v>
      </c>
      <c r="I2" s="22" t="s">
        <v>113</v>
      </c>
    </row>
    <row r="3" spans="1:18" ht="16" customHeight="1" x14ac:dyDescent="0.2"/>
    <row r="4" spans="1:18" x14ac:dyDescent="0.2">
      <c r="B4" s="24" t="s">
        <v>39</v>
      </c>
      <c r="D4" s="18"/>
      <c r="E4" s="19" t="s">
        <v>114</v>
      </c>
      <c r="F4" s="17"/>
      <c r="H4" s="78" t="s">
        <v>115</v>
      </c>
      <c r="I4" s="78"/>
      <c r="K4" s="78" t="s">
        <v>116</v>
      </c>
      <c r="L4" s="78"/>
      <c r="N4" s="78" t="s">
        <v>117</v>
      </c>
      <c r="O4" s="78"/>
      <c r="Q4" s="78" t="s">
        <v>118</v>
      </c>
      <c r="R4" s="78"/>
    </row>
    <row r="5" spans="1:18" x14ac:dyDescent="0.2">
      <c r="C5" s="21" t="s">
        <v>119</v>
      </c>
      <c r="D5">
        <f>540*30</f>
        <v>16200</v>
      </c>
      <c r="E5">
        <f t="shared" ref="E5:R5" si="0">540*30</f>
        <v>16200</v>
      </c>
      <c r="F5">
        <f t="shared" si="0"/>
        <v>16200</v>
      </c>
      <c r="H5">
        <f>540*30</f>
        <v>16200</v>
      </c>
      <c r="I5">
        <f t="shared" si="0"/>
        <v>16200</v>
      </c>
      <c r="K5">
        <f t="shared" si="0"/>
        <v>16200</v>
      </c>
      <c r="L5">
        <f t="shared" si="0"/>
        <v>16200</v>
      </c>
      <c r="N5">
        <f t="shared" si="0"/>
        <v>16200</v>
      </c>
      <c r="O5">
        <f t="shared" si="0"/>
        <v>16200</v>
      </c>
      <c r="Q5">
        <f t="shared" si="0"/>
        <v>16200</v>
      </c>
      <c r="R5">
        <f t="shared" si="0"/>
        <v>16200</v>
      </c>
    </row>
    <row r="6" spans="1:18" x14ac:dyDescent="0.2">
      <c r="C6" t="s">
        <v>120</v>
      </c>
      <c r="D6" s="3">
        <f>3*10^11</f>
        <v>300000000000</v>
      </c>
      <c r="E6" s="3">
        <f>3*10^11</f>
        <v>300000000000</v>
      </c>
      <c r="F6" s="3">
        <f t="shared" ref="F6" si="1">3*10^11</f>
        <v>300000000000</v>
      </c>
      <c r="G6" s="3"/>
      <c r="H6" s="4">
        <f>3*10^7</f>
        <v>30000000</v>
      </c>
      <c r="I6" s="4">
        <f>3*10^4</f>
        <v>30000</v>
      </c>
      <c r="J6" s="3"/>
      <c r="K6" s="4">
        <f>3*10^7</f>
        <v>30000000</v>
      </c>
      <c r="L6" s="4">
        <f>3*10^4</f>
        <v>30000</v>
      </c>
      <c r="N6" s="4">
        <f>3*10^7</f>
        <v>30000000</v>
      </c>
      <c r="O6" s="4">
        <f>3*10^4</f>
        <v>30000</v>
      </c>
      <c r="Q6" s="4">
        <f>3*10^7</f>
        <v>30000000</v>
      </c>
      <c r="R6" s="4">
        <f>3*10^4</f>
        <v>30000</v>
      </c>
    </row>
    <row r="7" spans="1:18" x14ac:dyDescent="0.2">
      <c r="C7" t="s">
        <v>121</v>
      </c>
      <c r="D7" s="3">
        <f>D5+D6</f>
        <v>300000016200</v>
      </c>
      <c r="E7" s="3">
        <f>E5+E6</f>
        <v>300000016200</v>
      </c>
      <c r="F7" s="3">
        <f t="shared" ref="F7" si="2">F5+F6</f>
        <v>300000016200</v>
      </c>
      <c r="G7" s="3"/>
      <c r="H7" s="3">
        <f t="shared" ref="H7:I7" si="3">H5+H6</f>
        <v>30016200</v>
      </c>
      <c r="I7" s="3">
        <f t="shared" si="3"/>
        <v>46200</v>
      </c>
      <c r="J7" s="3"/>
      <c r="K7" s="3">
        <f t="shared" ref="K7:L7" si="4">K5+K6</f>
        <v>30016200</v>
      </c>
      <c r="L7" s="3">
        <f t="shared" si="4"/>
        <v>46200</v>
      </c>
      <c r="N7" s="3">
        <f t="shared" ref="N7:O7" si="5">N5+N6</f>
        <v>30016200</v>
      </c>
      <c r="O7" s="3">
        <f t="shared" si="5"/>
        <v>46200</v>
      </c>
      <c r="Q7" s="3">
        <f t="shared" ref="Q7:R7" si="6">Q5+Q6</f>
        <v>30016200</v>
      </c>
      <c r="R7" s="3">
        <f t="shared" si="6"/>
        <v>46200</v>
      </c>
    </row>
    <row r="8" spans="1:18" x14ac:dyDescent="0.2">
      <c r="C8" s="23" t="s">
        <v>122</v>
      </c>
      <c r="D8">
        <v>1000</v>
      </c>
      <c r="E8">
        <v>1000</v>
      </c>
      <c r="F8">
        <v>1000</v>
      </c>
      <c r="H8">
        <v>1000</v>
      </c>
      <c r="I8">
        <v>1000</v>
      </c>
      <c r="K8">
        <v>1000</v>
      </c>
      <c r="L8">
        <v>1000</v>
      </c>
      <c r="N8">
        <v>1000</v>
      </c>
      <c r="O8">
        <v>1000</v>
      </c>
      <c r="Q8">
        <v>1000</v>
      </c>
      <c r="R8">
        <v>1000</v>
      </c>
    </row>
    <row r="9" spans="1:18" x14ac:dyDescent="0.2">
      <c r="C9" t="s">
        <v>123</v>
      </c>
      <c r="D9">
        <v>618</v>
      </c>
      <c r="E9">
        <v>618</v>
      </c>
      <c r="F9">
        <v>618</v>
      </c>
      <c r="H9">
        <v>618</v>
      </c>
      <c r="I9">
        <v>618</v>
      </c>
      <c r="K9">
        <v>618</v>
      </c>
      <c r="L9">
        <v>618</v>
      </c>
      <c r="N9">
        <v>618</v>
      </c>
      <c r="O9">
        <v>618</v>
      </c>
      <c r="Q9">
        <v>618</v>
      </c>
      <c r="R9">
        <v>618</v>
      </c>
    </row>
    <row r="10" spans="1:18" x14ac:dyDescent="0.2">
      <c r="C10" t="s">
        <v>124</v>
      </c>
      <c r="D10">
        <f>D9*D8</f>
        <v>618000</v>
      </c>
      <c r="E10">
        <f>E9*E8</f>
        <v>618000</v>
      </c>
      <c r="F10">
        <f t="shared" ref="F10" si="7">F9*F8</f>
        <v>618000</v>
      </c>
      <c r="H10">
        <f t="shared" ref="H10:I10" si="8">H9*H8</f>
        <v>618000</v>
      </c>
      <c r="I10">
        <f t="shared" si="8"/>
        <v>618000</v>
      </c>
      <c r="K10">
        <f t="shared" ref="K10:L10" si="9">K9*K8</f>
        <v>618000</v>
      </c>
      <c r="L10">
        <f t="shared" si="9"/>
        <v>618000</v>
      </c>
      <c r="N10">
        <f t="shared" ref="N10:O10" si="10">N9*N8</f>
        <v>618000</v>
      </c>
      <c r="O10">
        <f t="shared" si="10"/>
        <v>618000</v>
      </c>
      <c r="Q10">
        <f t="shared" ref="Q10:R10" si="11">Q9*Q8</f>
        <v>618000</v>
      </c>
      <c r="R10">
        <f t="shared" si="11"/>
        <v>618000</v>
      </c>
    </row>
    <row r="11" spans="1:18" x14ac:dyDescent="0.2">
      <c r="C11" t="s">
        <v>125</v>
      </c>
      <c r="D11" s="5">
        <f>D10*D7/(6.02*10^23)*(1*10^9)</f>
        <v>307.97343855747511</v>
      </c>
      <c r="E11" s="5">
        <f>E10*E7/(6.02*10^23)*(1*10^9)</f>
        <v>307.97343855747511</v>
      </c>
      <c r="F11" s="5">
        <f t="shared" ref="F11" si="12">F10*F7/(6.02*10^23)*(1*10^9)</f>
        <v>307.97343855747511</v>
      </c>
      <c r="G11" s="5"/>
      <c r="H11" s="5">
        <f t="shared" ref="H11:I11" si="13">H10*H7/(6.02*10^23)*(1*10^9)</f>
        <v>3.0813972757475085E-2</v>
      </c>
      <c r="I11" s="5">
        <f t="shared" si="13"/>
        <v>4.7427906976744188E-5</v>
      </c>
      <c r="K11" s="5">
        <f t="shared" ref="K11:L11" si="14">K10*K7/(6.02*10^23)*(1*10^9)</f>
        <v>3.0813972757475085E-2</v>
      </c>
      <c r="L11" s="5">
        <f t="shared" si="14"/>
        <v>4.7427906976744188E-5</v>
      </c>
      <c r="N11" s="5">
        <f t="shared" ref="N11:O11" si="15">N10*N7/(6.02*10^23)*(1*10^9)</f>
        <v>3.0813972757475085E-2</v>
      </c>
      <c r="O11" s="5">
        <f t="shared" si="15"/>
        <v>4.7427906976744188E-5</v>
      </c>
      <c r="Q11" s="5">
        <f t="shared" ref="Q11:R11" si="16">Q10*Q7/(6.02*10^23)*(1*10^9)</f>
        <v>3.0813972757475085E-2</v>
      </c>
      <c r="R11" s="5">
        <f t="shared" si="16"/>
        <v>4.7427906976744188E-5</v>
      </c>
    </row>
    <row r="12" spans="1:18" x14ac:dyDescent="0.2">
      <c r="A12" s="13"/>
      <c r="C12" t="s">
        <v>126</v>
      </c>
      <c r="D12">
        <v>3</v>
      </c>
      <c r="E12">
        <v>3</v>
      </c>
      <c r="F12">
        <v>3</v>
      </c>
      <c r="H12">
        <v>3</v>
      </c>
      <c r="I12">
        <v>3</v>
      </c>
      <c r="K12">
        <v>3</v>
      </c>
      <c r="L12">
        <v>3</v>
      </c>
      <c r="N12">
        <v>3</v>
      </c>
      <c r="O12">
        <v>3</v>
      </c>
      <c r="Q12">
        <v>3</v>
      </c>
      <c r="R12">
        <v>3</v>
      </c>
    </row>
    <row r="13" spans="1:18" x14ac:dyDescent="0.2">
      <c r="C13" t="s">
        <v>127</v>
      </c>
      <c r="D13" s="5">
        <f>D11/D12</f>
        <v>102.6578128524917</v>
      </c>
      <c r="E13" s="5">
        <f>E11/E12</f>
        <v>102.6578128524917</v>
      </c>
      <c r="F13" s="5">
        <f t="shared" ref="F13" si="17">F11/F12</f>
        <v>102.6578128524917</v>
      </c>
      <c r="G13" s="5"/>
      <c r="H13" s="5">
        <f t="shared" ref="H13:I13" si="18">H11/H12</f>
        <v>1.0271324252491694E-2</v>
      </c>
      <c r="I13" s="5">
        <f t="shared" si="18"/>
        <v>1.5809302325581396E-5</v>
      </c>
      <c r="K13" s="5">
        <f t="shared" ref="K13:L13" si="19">K11/K12</f>
        <v>1.0271324252491694E-2</v>
      </c>
      <c r="L13" s="5">
        <f t="shared" si="19"/>
        <v>1.5809302325581396E-5</v>
      </c>
      <c r="N13" s="5">
        <f t="shared" ref="N13:O13" si="20">N11/N12</f>
        <v>1.0271324252491694E-2</v>
      </c>
      <c r="O13" s="5">
        <f t="shared" si="20"/>
        <v>1.5809302325581396E-5</v>
      </c>
      <c r="Q13" s="5">
        <f t="shared" ref="Q13:R13" si="21">Q11/Q12</f>
        <v>1.0271324252491694E-2</v>
      </c>
      <c r="R13" s="5">
        <f t="shared" si="21"/>
        <v>1.5809302325581396E-5</v>
      </c>
    </row>
    <row r="15" spans="1:18" x14ac:dyDescent="0.2">
      <c r="C15" t="s">
        <v>128</v>
      </c>
      <c r="D15">
        <v>5</v>
      </c>
      <c r="E15">
        <v>5</v>
      </c>
      <c r="F15">
        <v>5</v>
      </c>
      <c r="H15">
        <v>5</v>
      </c>
      <c r="I15">
        <v>5</v>
      </c>
      <c r="K15" s="1">
        <v>20</v>
      </c>
      <c r="L15" s="1">
        <v>20</v>
      </c>
      <c r="N15" s="1">
        <v>20</v>
      </c>
      <c r="O15" s="1">
        <v>20</v>
      </c>
      <c r="Q15" s="1">
        <v>20</v>
      </c>
      <c r="R15" s="1">
        <v>20</v>
      </c>
    </row>
    <row r="16" spans="1:18" x14ac:dyDescent="0.2">
      <c r="C16" t="s">
        <v>129</v>
      </c>
      <c r="D16" s="2">
        <v>0.5</v>
      </c>
      <c r="E16" s="2">
        <v>0.5</v>
      </c>
      <c r="F16" s="2">
        <v>0.5</v>
      </c>
      <c r="G16" s="2"/>
      <c r="H16" s="2">
        <v>0.5</v>
      </c>
      <c r="I16" s="2">
        <v>0.5</v>
      </c>
      <c r="K16" s="2">
        <v>0.5</v>
      </c>
      <c r="L16" s="2">
        <v>0.5</v>
      </c>
      <c r="N16" s="2">
        <v>0.5</v>
      </c>
      <c r="O16" s="2">
        <v>0.5</v>
      </c>
      <c r="Q16" s="2">
        <v>0.5</v>
      </c>
      <c r="R16" s="2">
        <v>0.5</v>
      </c>
    </row>
    <row r="17" spans="2:18" x14ac:dyDescent="0.2">
      <c r="C17" t="s">
        <v>130</v>
      </c>
      <c r="D17" s="12">
        <f>D13*D15*D16</f>
        <v>256.64453213122925</v>
      </c>
      <c r="E17" s="12">
        <f>E13*E15*E16</f>
        <v>256.64453213122925</v>
      </c>
      <c r="F17" s="12">
        <f t="shared" ref="F17" si="22">F13*F15*F16</f>
        <v>256.64453213122925</v>
      </c>
      <c r="G17" s="12"/>
      <c r="H17" s="12">
        <f t="shared" ref="H17:I17" si="23">H13*H15*H16</f>
        <v>2.5678310631229235E-2</v>
      </c>
      <c r="I17" s="12">
        <f t="shared" si="23"/>
        <v>3.952325581395349E-5</v>
      </c>
      <c r="J17" s="12"/>
      <c r="K17" s="12">
        <f t="shared" ref="K17:L17" si="24">K13*K15*K16</f>
        <v>0.10271324252491694</v>
      </c>
      <c r="L17" s="12">
        <f t="shared" si="24"/>
        <v>1.5809302325581396E-4</v>
      </c>
      <c r="N17" s="12">
        <f t="shared" ref="N17:O17" si="25">N13*N15*N16</f>
        <v>0.10271324252491694</v>
      </c>
      <c r="O17" s="12">
        <f t="shared" si="25"/>
        <v>1.5809302325581396E-4</v>
      </c>
      <c r="Q17" s="12">
        <f t="shared" ref="Q17:R17" si="26">Q13*Q15*Q16</f>
        <v>0.10271324252491694</v>
      </c>
      <c r="R17" s="12">
        <f t="shared" si="26"/>
        <v>1.5809302325581396E-4</v>
      </c>
    </row>
    <row r="19" spans="2:18" x14ac:dyDescent="0.2">
      <c r="C19" t="s">
        <v>131</v>
      </c>
      <c r="D19">
        <v>0.05</v>
      </c>
      <c r="E19">
        <v>0.05</v>
      </c>
      <c r="F19">
        <v>0.05</v>
      </c>
      <c r="H19">
        <v>0.05</v>
      </c>
      <c r="I19">
        <v>0.05</v>
      </c>
      <c r="K19">
        <v>0.05</v>
      </c>
      <c r="L19">
        <v>0.05</v>
      </c>
      <c r="N19">
        <v>0.05</v>
      </c>
      <c r="O19">
        <v>0.05</v>
      </c>
      <c r="Q19">
        <v>0.05</v>
      </c>
      <c r="R19">
        <v>0.05</v>
      </c>
    </row>
    <row r="20" spans="2:18" x14ac:dyDescent="0.2">
      <c r="C20" t="s">
        <v>132</v>
      </c>
      <c r="D20" s="3">
        <f>(D19/D12)*(D6+D5)*D15*D16</f>
        <v>12500000675</v>
      </c>
      <c r="E20" s="3">
        <f>(E19/E12)*(E6+E5)*E15*E16</f>
        <v>12500000675</v>
      </c>
      <c r="F20" s="3">
        <f>(F19/F12)*(F6+F5)*F15*F16</f>
        <v>12500000675</v>
      </c>
      <c r="G20" s="3"/>
      <c r="H20" s="3">
        <f t="shared" ref="H20:I20" si="27">(H19/H12)*(H6+H5)*H15*H16</f>
        <v>1250675</v>
      </c>
      <c r="I20" s="3">
        <f t="shared" si="27"/>
        <v>1925</v>
      </c>
      <c r="K20" s="3">
        <f t="shared" ref="K20:L20" si="28">(K19/K12)*(K6+K5)*K15*K16</f>
        <v>5002700</v>
      </c>
      <c r="L20" s="3">
        <f t="shared" si="28"/>
        <v>7700</v>
      </c>
      <c r="N20" s="3">
        <f t="shared" ref="N20:O20" si="29">(N19/N12)*(N6+N5)*N15*N16</f>
        <v>5002700</v>
      </c>
      <c r="O20" s="3">
        <f t="shared" si="29"/>
        <v>7700</v>
      </c>
      <c r="Q20" s="3">
        <f t="shared" ref="Q20:R20" si="30">(Q19/Q12)*(Q6+Q5)*Q15*Q16</f>
        <v>5002700</v>
      </c>
      <c r="R20" s="3">
        <f t="shared" si="30"/>
        <v>7700</v>
      </c>
    </row>
    <row r="21" spans="2:18" x14ac:dyDescent="0.2">
      <c r="C21" t="s">
        <v>133</v>
      </c>
      <c r="D21" s="4">
        <f>(D19/D12)*(D5)*D15*D16</f>
        <v>675</v>
      </c>
      <c r="E21" s="4">
        <f>(E19/E12)*(E5)*E15*E16</f>
        <v>675</v>
      </c>
      <c r="F21" s="4">
        <f>(F19/F12)*(F5)*F15*F16</f>
        <v>675</v>
      </c>
      <c r="G21" s="3"/>
      <c r="H21" s="4">
        <f t="shared" ref="H21:I21" si="31">(H19/H12)*(H5)*H15*H16</f>
        <v>675</v>
      </c>
      <c r="I21" s="4">
        <f t="shared" si="31"/>
        <v>675</v>
      </c>
      <c r="K21" s="4">
        <f t="shared" ref="K21:L21" si="32">(K19/K12)*(K5)*K15*K16</f>
        <v>2700</v>
      </c>
      <c r="L21" s="4">
        <f t="shared" si="32"/>
        <v>2700</v>
      </c>
      <c r="N21" s="4">
        <f t="shared" ref="N21:O21" si="33">(N19/N12)*(N5)*N15*N16</f>
        <v>2700</v>
      </c>
      <c r="O21" s="4">
        <f t="shared" si="33"/>
        <v>2700</v>
      </c>
      <c r="Q21" s="4">
        <f t="shared" ref="Q21:R21" si="34">(Q19/Q12)*(Q5)*Q15*Q16</f>
        <v>2700</v>
      </c>
      <c r="R21" s="4">
        <f t="shared" si="34"/>
        <v>2700</v>
      </c>
    </row>
    <row r="22" spans="2:18" x14ac:dyDescent="0.2">
      <c r="C22" t="s">
        <v>134</v>
      </c>
      <c r="D22" s="3">
        <f>(D19/D12)*(D6)*D15*D16</f>
        <v>12500000000</v>
      </c>
      <c r="E22" s="3">
        <f>(E19/E12)*(E6)*E15*E16</f>
        <v>12500000000</v>
      </c>
      <c r="F22" s="3">
        <f>(F19/F12)*(F6)*F15*F16</f>
        <v>12500000000</v>
      </c>
      <c r="G22" s="3"/>
      <c r="H22" s="3">
        <f t="shared" ref="H22:I22" si="35">(H19/H12)*(H6)*H15*H16</f>
        <v>1250000</v>
      </c>
      <c r="I22" s="3">
        <f t="shared" si="35"/>
        <v>1250</v>
      </c>
      <c r="K22" s="3">
        <f t="shared" ref="K22:L22" si="36">(K19/K12)*(K6)*K15*K16</f>
        <v>5000000</v>
      </c>
      <c r="L22" s="3">
        <f t="shared" si="36"/>
        <v>5000</v>
      </c>
      <c r="N22" s="3">
        <f t="shared" ref="N22:O22" si="37">(N19/N12)*(N6)*N15*N16</f>
        <v>5000000</v>
      </c>
      <c r="O22" s="3">
        <f t="shared" si="37"/>
        <v>5000</v>
      </c>
      <c r="Q22" s="3">
        <f t="shared" ref="Q22:R22" si="38">(Q19/Q12)*(Q6)*Q15*Q16</f>
        <v>5000000</v>
      </c>
      <c r="R22" s="3">
        <f t="shared" si="38"/>
        <v>5000</v>
      </c>
    </row>
    <row r="23" spans="2:18" x14ac:dyDescent="0.2">
      <c r="C23" t="s">
        <v>135</v>
      </c>
      <c r="D23" s="20">
        <f>D10*D20/(6.02*10^23)*(1*10^9)</f>
        <v>12.832226606561463</v>
      </c>
      <c r="E23" s="20">
        <f t="shared" ref="E23:K23" si="39">E10*E20/(6.02*10^23)*(1*10^9)</f>
        <v>12.832226606561463</v>
      </c>
      <c r="F23" s="20">
        <f t="shared" si="39"/>
        <v>12.832226606561463</v>
      </c>
      <c r="G23" s="20"/>
      <c r="H23" s="20">
        <f t="shared" si="39"/>
        <v>1.2839155315614618E-3</v>
      </c>
      <c r="I23" s="20">
        <f t="shared" si="39"/>
        <v>1.9761627906976745E-6</v>
      </c>
      <c r="J23" s="20"/>
      <c r="K23" s="20">
        <f t="shared" si="39"/>
        <v>5.1356621262458471E-3</v>
      </c>
      <c r="L23" s="20">
        <f>L10*L20/(6.02*10^23)*(1*10^9)</f>
        <v>7.904651162790698E-6</v>
      </c>
      <c r="N23" s="20">
        <f t="shared" ref="N23" si="40">N10*N20/(6.02*10^23)*(1*10^9)</f>
        <v>5.1356621262458471E-3</v>
      </c>
      <c r="O23" s="20">
        <f>O10*O20/(6.02*10^23)*(1*10^9)</f>
        <v>7.904651162790698E-6</v>
      </c>
      <c r="Q23" s="20">
        <f t="shared" ref="Q23" si="41">Q10*Q20/(6.02*10^23)*(1*10^9)</f>
        <v>5.1356621262458471E-3</v>
      </c>
      <c r="R23" s="20">
        <f>R10*R20/(6.02*10^23)*(1*10^9)</f>
        <v>7.904651162790698E-6</v>
      </c>
    </row>
    <row r="24" spans="2:18" x14ac:dyDescent="0.2">
      <c r="B24" s="24" t="s">
        <v>136</v>
      </c>
    </row>
    <row r="25" spans="2:18" x14ac:dyDescent="0.2">
      <c r="C25" t="s">
        <v>137</v>
      </c>
      <c r="D25">
        <v>1</v>
      </c>
      <c r="E25">
        <v>1</v>
      </c>
      <c r="F25">
        <v>1</v>
      </c>
      <c r="H25">
        <v>1</v>
      </c>
      <c r="I25">
        <v>1</v>
      </c>
      <c r="K25">
        <v>1</v>
      </c>
      <c r="L25">
        <v>1</v>
      </c>
      <c r="N25" s="1">
        <v>0.01</v>
      </c>
      <c r="O25" s="1">
        <v>0.01</v>
      </c>
      <c r="Q25">
        <v>1</v>
      </c>
      <c r="R25">
        <v>1</v>
      </c>
    </row>
    <row r="26" spans="2:18" x14ac:dyDescent="0.2">
      <c r="C26" t="s">
        <v>138</v>
      </c>
      <c r="D26">
        <v>0.1</v>
      </c>
      <c r="E26">
        <v>0.1</v>
      </c>
      <c r="F26">
        <v>0.1</v>
      </c>
      <c r="H26">
        <v>0.1</v>
      </c>
      <c r="I26">
        <v>0.1</v>
      </c>
      <c r="K26">
        <v>0.1</v>
      </c>
      <c r="L26">
        <v>0.1</v>
      </c>
      <c r="N26">
        <v>0.1</v>
      </c>
      <c r="O26">
        <v>0.1</v>
      </c>
      <c r="Q26">
        <v>0.1</v>
      </c>
      <c r="R26">
        <v>0.1</v>
      </c>
    </row>
    <row r="27" spans="2:18" ht="80" x14ac:dyDescent="0.2">
      <c r="C27" s="10" t="s">
        <v>139</v>
      </c>
      <c r="D27" s="6">
        <f>D25/D23*D26</f>
        <v>7.7928798380841645E-3</v>
      </c>
      <c r="E27" s="6">
        <f>E25/E23*E26</f>
        <v>7.7928798380841645E-3</v>
      </c>
      <c r="F27" s="6">
        <f>F25/F23*F26</f>
        <v>7.7928798380841645E-3</v>
      </c>
      <c r="G27" s="6"/>
      <c r="H27" s="6">
        <f>H25/H23*H26</f>
        <v>77.886743747373188</v>
      </c>
      <c r="I27" s="6">
        <f>I25/I23*I26</f>
        <v>50603.118564283614</v>
      </c>
      <c r="K27" s="6">
        <f>K25/K23*K26</f>
        <v>19.471685936843297</v>
      </c>
      <c r="L27" s="6">
        <f>L25/L23*L26</f>
        <v>12650.779641070903</v>
      </c>
      <c r="M27" s="6"/>
      <c r="N27" s="6">
        <f t="shared" ref="N27:O27" si="42">N25/N23*N26</f>
        <v>0.19471685936843297</v>
      </c>
      <c r="O27" s="6">
        <f t="shared" si="42"/>
        <v>126.50779641070903</v>
      </c>
      <c r="Q27" s="25">
        <f>1</f>
        <v>1</v>
      </c>
      <c r="R27" s="25">
        <f>1</f>
        <v>1</v>
      </c>
    </row>
    <row r="30" spans="2:18" x14ac:dyDescent="0.2">
      <c r="C30" s="23" t="s">
        <v>50</v>
      </c>
      <c r="D30" s="1">
        <v>125</v>
      </c>
      <c r="E30" s="1">
        <v>500</v>
      </c>
      <c r="F30" s="1">
        <v>5000</v>
      </c>
      <c r="H30">
        <v>125</v>
      </c>
      <c r="I30">
        <v>125</v>
      </c>
      <c r="K30">
        <v>125</v>
      </c>
      <c r="L30">
        <v>125</v>
      </c>
      <c r="N30">
        <v>125</v>
      </c>
      <c r="O30">
        <v>125</v>
      </c>
      <c r="Q30">
        <v>125</v>
      </c>
      <c r="R30">
        <v>125</v>
      </c>
    </row>
    <row r="31" spans="2:18" x14ac:dyDescent="0.2">
      <c r="C31" t="s">
        <v>140</v>
      </c>
      <c r="D31">
        <v>500</v>
      </c>
      <c r="E31">
        <v>500</v>
      </c>
      <c r="F31">
        <v>500</v>
      </c>
      <c r="H31">
        <v>500</v>
      </c>
      <c r="I31">
        <v>500</v>
      </c>
      <c r="K31">
        <v>500</v>
      </c>
      <c r="L31">
        <v>500</v>
      </c>
      <c r="N31">
        <v>500</v>
      </c>
      <c r="O31">
        <v>500</v>
      </c>
      <c r="Q31">
        <v>500</v>
      </c>
      <c r="R31">
        <v>500</v>
      </c>
    </row>
    <row r="32" spans="2:18" x14ac:dyDescent="0.2">
      <c r="C32" t="s">
        <v>141</v>
      </c>
      <c r="D32">
        <f>D8/D31</f>
        <v>2</v>
      </c>
      <c r="E32">
        <f>E8/E31</f>
        <v>2</v>
      </c>
      <c r="F32">
        <f>F8/F31</f>
        <v>2</v>
      </c>
      <c r="H32">
        <f>H8/H31</f>
        <v>2</v>
      </c>
      <c r="I32">
        <f>I8/I31</f>
        <v>2</v>
      </c>
      <c r="K32">
        <f>K8/K31</f>
        <v>2</v>
      </c>
      <c r="L32">
        <f>L8/L31</f>
        <v>2</v>
      </c>
      <c r="N32">
        <f>N8/N31</f>
        <v>2</v>
      </c>
      <c r="O32">
        <f>O8/O31</f>
        <v>2</v>
      </c>
      <c r="Q32">
        <f>Q8/Q31</f>
        <v>2</v>
      </c>
      <c r="R32">
        <f>R8/R31</f>
        <v>2</v>
      </c>
    </row>
    <row r="33" spans="3:18" x14ac:dyDescent="0.2">
      <c r="C33" t="s">
        <v>142</v>
      </c>
      <c r="D33" s="5">
        <f>D32+D27</f>
        <v>2.007792879838084</v>
      </c>
      <c r="E33" s="5">
        <f>E32+E27</f>
        <v>2.007792879838084</v>
      </c>
      <c r="F33" s="5">
        <f>F32+F27</f>
        <v>2.007792879838084</v>
      </c>
      <c r="G33" s="5"/>
      <c r="H33" s="5">
        <f>H32+H27</f>
        <v>79.886743747373188</v>
      </c>
      <c r="I33" s="5">
        <f>I32+I27</f>
        <v>50605.118564283614</v>
      </c>
      <c r="K33" s="5">
        <f>K32+K27</f>
        <v>21.471685936843297</v>
      </c>
      <c r="L33" s="5">
        <f>L32+L27</f>
        <v>12652.779641070903</v>
      </c>
      <c r="N33" s="5">
        <f>N32+N27</f>
        <v>2.194716859368433</v>
      </c>
      <c r="O33" s="5">
        <f>O32+O27</f>
        <v>128.50779641070903</v>
      </c>
      <c r="Q33" s="5">
        <f>Q32+Q27</f>
        <v>3</v>
      </c>
      <c r="R33" s="5">
        <f>R32+R27</f>
        <v>3</v>
      </c>
    </row>
    <row r="34" spans="3:18" x14ac:dyDescent="0.2">
      <c r="C34" t="s">
        <v>143</v>
      </c>
      <c r="D34" s="5">
        <f>D32/D33*100</f>
        <v>99.61186833979049</v>
      </c>
      <c r="E34" s="5">
        <f>E32/E33*100</f>
        <v>99.61186833979049</v>
      </c>
      <c r="F34" s="5">
        <f>F32/F33*100</f>
        <v>99.61186833979049</v>
      </c>
      <c r="G34" s="5"/>
      <c r="H34" s="5">
        <f>H32/H33*100</f>
        <v>2.5035442755366573</v>
      </c>
      <c r="I34" s="5">
        <f>I32/I33*100</f>
        <v>3.9521693787939703E-3</v>
      </c>
      <c r="K34" s="5">
        <f>K32/K33*100</f>
        <v>9.3145922769306022</v>
      </c>
      <c r="L34" s="5">
        <f>L32/L33*100</f>
        <v>1.5806803380247002E-2</v>
      </c>
      <c r="N34" s="5"/>
      <c r="O34" s="5"/>
      <c r="Q34" s="5"/>
      <c r="R34" s="5"/>
    </row>
    <row r="36" spans="3:18" x14ac:dyDescent="0.2">
      <c r="C36" t="s">
        <v>144</v>
      </c>
      <c r="D36" s="7">
        <f>1/D33</f>
        <v>0.49805934169895244</v>
      </c>
      <c r="E36" s="7">
        <f>1/E33</f>
        <v>0.49805934169895244</v>
      </c>
      <c r="F36" s="7">
        <f t="shared" ref="F36" si="43">1/F33</f>
        <v>0.49805934169895244</v>
      </c>
      <c r="G36" s="7"/>
      <c r="H36" s="7">
        <f t="shared" ref="H36:I36" si="44">1/H33</f>
        <v>1.2517721377683286E-2</v>
      </c>
      <c r="I36" s="7">
        <f t="shared" si="44"/>
        <v>1.9760846893969853E-5</v>
      </c>
      <c r="K36" s="7">
        <f t="shared" ref="K36:L36" si="45">1/K33</f>
        <v>4.6572961384653014E-2</v>
      </c>
      <c r="L36" s="7">
        <f t="shared" si="45"/>
        <v>7.9034016901235012E-5</v>
      </c>
      <c r="N36" s="7">
        <f t="shared" ref="N36:O36" si="46">1/N33</f>
        <v>0.45563964013461261</v>
      </c>
      <c r="O36" s="7">
        <f t="shared" si="46"/>
        <v>7.7816290367629885E-3</v>
      </c>
      <c r="Q36" s="7">
        <f t="shared" ref="Q36:R36" si="47">1/Q33</f>
        <v>0.33333333333333331</v>
      </c>
      <c r="R36" s="7">
        <f t="shared" si="47"/>
        <v>0.33333333333333331</v>
      </c>
    </row>
    <row r="37" spans="3:18" x14ac:dyDescent="0.2">
      <c r="C37" t="s">
        <v>145</v>
      </c>
      <c r="D37" s="7">
        <f>D36*D30</f>
        <v>62.257417712369055</v>
      </c>
      <c r="E37" s="7">
        <f>E36*E30</f>
        <v>249.02967084947622</v>
      </c>
      <c r="F37" s="7">
        <f t="shared" ref="F37" si="48">F36*F30</f>
        <v>2490.2967084947622</v>
      </c>
      <c r="G37" s="7"/>
      <c r="H37" s="7">
        <f t="shared" ref="H37:I37" si="49">H36*H30</f>
        <v>1.5647151722104109</v>
      </c>
      <c r="I37" s="7">
        <f t="shared" si="49"/>
        <v>2.4701058617462314E-3</v>
      </c>
      <c r="K37" s="7">
        <f t="shared" ref="K37:L37" si="50">K36*K30</f>
        <v>5.8216201730816266</v>
      </c>
      <c r="L37" s="7">
        <f t="shared" si="50"/>
        <v>9.879252112654377E-3</v>
      </c>
      <c r="N37" s="7">
        <f t="shared" ref="N37:O37" si="51">N36*N30</f>
        <v>56.954955016826574</v>
      </c>
      <c r="O37" s="7">
        <f t="shared" si="51"/>
        <v>0.9727036295953736</v>
      </c>
      <c r="Q37" s="7">
        <f t="shared" ref="Q37:R37" si="52">Q36*Q30</f>
        <v>41.666666666666664</v>
      </c>
      <c r="R37" s="7">
        <f t="shared" si="52"/>
        <v>41.666666666666664</v>
      </c>
    </row>
    <row r="38" spans="3:18" x14ac:dyDescent="0.2">
      <c r="C38" t="s">
        <v>146</v>
      </c>
      <c r="D38" s="8">
        <f>D37*60*60</f>
        <v>224126.70376452859</v>
      </c>
      <c r="E38" s="8">
        <f>E37*60*60</f>
        <v>896506.81505811436</v>
      </c>
      <c r="F38" s="8">
        <f t="shared" ref="F38" si="53">F37*60*60</f>
        <v>8965068.1505811438</v>
      </c>
      <c r="G38" s="8"/>
      <c r="H38" s="8">
        <f t="shared" ref="H38:I38" si="54">H37*60*60</f>
        <v>5632.9746199574784</v>
      </c>
      <c r="I38" s="8">
        <f t="shared" si="54"/>
        <v>8.8923811022864339</v>
      </c>
      <c r="K38" s="8">
        <f t="shared" ref="K38:L38" si="55">K37*60*60</f>
        <v>20957.832623093855</v>
      </c>
      <c r="L38" s="8">
        <f t="shared" si="55"/>
        <v>35.565307605555752</v>
      </c>
      <c r="N38" s="8">
        <f t="shared" ref="N38:O38" si="56">N37*60*60</f>
        <v>205037.83806057565</v>
      </c>
      <c r="O38" s="8">
        <f t="shared" si="56"/>
        <v>3501.7330665433446</v>
      </c>
      <c r="Q38" s="8">
        <f t="shared" ref="Q38:R38" si="57">Q37*60*60</f>
        <v>150000</v>
      </c>
      <c r="R38" s="8">
        <f t="shared" si="57"/>
        <v>150000</v>
      </c>
    </row>
    <row r="39" spans="3:18" x14ac:dyDescent="0.2">
      <c r="C39" t="s">
        <v>87</v>
      </c>
      <c r="D39" s="8">
        <f>D38*D8/(1*10^9)</f>
        <v>0.22412670376452859</v>
      </c>
      <c r="E39" s="8">
        <f>E38*E8/(1*10^9)</f>
        <v>0.89650681505811436</v>
      </c>
      <c r="F39" s="8">
        <f>F38*F8/(1*10^9)</f>
        <v>8.9650681505811445</v>
      </c>
      <c r="G39" s="8"/>
      <c r="H39" s="8">
        <f>H38*H8/(1*10^9)</f>
        <v>5.6329746199574784E-3</v>
      </c>
      <c r="I39" s="8">
        <f>I38*I8/(1*10^9)</f>
        <v>8.8923811022864344E-6</v>
      </c>
      <c r="K39" s="8">
        <f>K38*K8/(1*10^9)</f>
        <v>2.0957832623093853E-2</v>
      </c>
      <c r="L39" s="8">
        <f>L38*L8/(1*10^9)</f>
        <v>3.5565307605555755E-5</v>
      </c>
      <c r="N39" s="8">
        <f>N38*N8/(1*10^9)</f>
        <v>0.20503783806057566</v>
      </c>
      <c r="O39" s="8">
        <f>O38*O8/(1*10^9)</f>
        <v>3.501733066543345E-3</v>
      </c>
      <c r="Q39" s="8">
        <f>Q38*Q8/(1*10^9)</f>
        <v>0.15</v>
      </c>
      <c r="R39" s="8">
        <f>R38*R8/(1*10^9)</f>
        <v>0.15</v>
      </c>
    </row>
    <row r="40" spans="3:18" x14ac:dyDescent="0.2">
      <c r="C40" s="23" t="s">
        <v>147</v>
      </c>
      <c r="D40" s="5">
        <v>0.75</v>
      </c>
      <c r="E40" s="5">
        <v>0.75</v>
      </c>
      <c r="F40" s="5">
        <v>0.75</v>
      </c>
      <c r="G40" s="5"/>
      <c r="H40" s="5">
        <v>0.75</v>
      </c>
      <c r="I40" s="5">
        <v>0.75</v>
      </c>
      <c r="J40" s="5"/>
      <c r="K40" s="5">
        <v>0.75</v>
      </c>
      <c r="L40" s="5">
        <v>0.75</v>
      </c>
      <c r="N40" s="5">
        <v>0.75</v>
      </c>
      <c r="O40" s="5">
        <v>0.75</v>
      </c>
      <c r="Q40" s="5">
        <v>0.75</v>
      </c>
      <c r="R40" s="5">
        <v>0.75</v>
      </c>
    </row>
    <row r="41" spans="3:18" x14ac:dyDescent="0.2">
      <c r="C41" t="s">
        <v>148</v>
      </c>
      <c r="D41" s="8">
        <f>D40*D38</f>
        <v>168095.02782339643</v>
      </c>
      <c r="E41" s="8">
        <f>E40*E38</f>
        <v>672380.11129358574</v>
      </c>
      <c r="F41" s="8">
        <f t="shared" ref="F41" si="58">F40*F38</f>
        <v>6723801.1129358578</v>
      </c>
      <c r="G41" s="8"/>
      <c r="H41" s="8">
        <f t="shared" ref="H41:I41" si="59">H40*H38</f>
        <v>4224.7309649681083</v>
      </c>
      <c r="I41" s="8">
        <f t="shared" si="59"/>
        <v>6.6692858267148249</v>
      </c>
      <c r="K41" s="8">
        <f t="shared" ref="K41:L41" si="60">K40*K38</f>
        <v>15718.374467320391</v>
      </c>
      <c r="L41" s="8">
        <f t="shared" si="60"/>
        <v>26.673980704166816</v>
      </c>
      <c r="N41" s="8">
        <f t="shared" ref="N41:O41" si="61">N40*N38</f>
        <v>153778.37854543174</v>
      </c>
      <c r="O41" s="8">
        <f t="shared" si="61"/>
        <v>2626.2997999075087</v>
      </c>
      <c r="Q41" s="8">
        <f t="shared" ref="Q41:R41" si="62">Q40*Q38</f>
        <v>112500</v>
      </c>
      <c r="R41" s="8">
        <f t="shared" si="62"/>
        <v>112500</v>
      </c>
    </row>
    <row r="42" spans="3:18" x14ac:dyDescent="0.2">
      <c r="C42" t="s">
        <v>149</v>
      </c>
      <c r="D42" s="16">
        <f t="shared" ref="D42:L42" si="63">D39*D40</f>
        <v>0.16809502782339644</v>
      </c>
      <c r="E42" s="16">
        <f t="shared" si="63"/>
        <v>0.67238011129358577</v>
      </c>
      <c r="F42" s="16">
        <f t="shared" si="63"/>
        <v>6.7238011129358579</v>
      </c>
      <c r="G42" s="16"/>
      <c r="H42" s="16">
        <f t="shared" si="63"/>
        <v>4.2247309649681083E-3</v>
      </c>
      <c r="I42" s="16">
        <f t="shared" si="63"/>
        <v>6.6692858267148254E-6</v>
      </c>
      <c r="J42" s="16"/>
      <c r="K42" s="16">
        <f t="shared" si="63"/>
        <v>1.5718374467320391E-2</v>
      </c>
      <c r="L42" s="16">
        <f t="shared" si="63"/>
        <v>2.6673980704166815E-5</v>
      </c>
      <c r="N42" s="16">
        <f t="shared" ref="N42:O42" si="64">N39*N40</f>
        <v>0.15377837854543175</v>
      </c>
      <c r="O42" s="16">
        <f t="shared" si="64"/>
        <v>2.6262997999075086E-3</v>
      </c>
      <c r="Q42" s="16">
        <f t="shared" ref="Q42:R42" si="65">Q39*Q40</f>
        <v>0.11249999999999999</v>
      </c>
      <c r="R42" s="16">
        <f t="shared" si="65"/>
        <v>0.11249999999999999</v>
      </c>
    </row>
    <row r="44" spans="3:18" x14ac:dyDescent="0.2">
      <c r="C44" t="s">
        <v>91</v>
      </c>
      <c r="D44" s="9">
        <f>D41/D20</f>
        <v>1.3447601499701233E-5</v>
      </c>
      <c r="E44" s="9">
        <f>E41/E20</f>
        <v>5.3790405998804934E-5</v>
      </c>
      <c r="F44" s="9">
        <f>F41/F20</f>
        <v>5.3790405998804943E-4</v>
      </c>
      <c r="G44" s="9"/>
      <c r="H44" s="9">
        <f>H41/H20</f>
        <v>3.3779606732109529E-3</v>
      </c>
      <c r="I44" s="9">
        <f>I41/I20</f>
        <v>3.4645640658258832E-3</v>
      </c>
      <c r="K44" s="9">
        <f>K41/K20</f>
        <v>3.141978225222458E-3</v>
      </c>
      <c r="L44" s="9">
        <f>L41/L20</f>
        <v>3.4641533382034828E-3</v>
      </c>
      <c r="N44" s="9">
        <f>N41/N20</f>
        <v>3.0739076607718182E-2</v>
      </c>
      <c r="O44" s="9">
        <f>O41/O20</f>
        <v>0.34107789609188427</v>
      </c>
      <c r="Q44" s="9">
        <f>Q41/Q20</f>
        <v>2.2487856557458972E-2</v>
      </c>
      <c r="R44" s="9">
        <f>R41/R20</f>
        <v>14.61038961038961</v>
      </c>
    </row>
    <row r="45" spans="3:18" x14ac:dyDescent="0.2">
      <c r="C45" t="s">
        <v>150</v>
      </c>
      <c r="D45" s="11">
        <f>D21*(D41/D20)</f>
        <v>9.0771310122983329E-3</v>
      </c>
      <c r="E45" s="11">
        <f>E21*(E41/E20)</f>
        <v>3.6308524049193332E-2</v>
      </c>
      <c r="F45" s="11">
        <f>F21*(F41/F20)</f>
        <v>0.36308524049193336</v>
      </c>
      <c r="H45" s="11">
        <f>H21*(H41/H20)</f>
        <v>2.2801234544173932</v>
      </c>
      <c r="I45" s="11">
        <f>I21*(I41/I20)</f>
        <v>2.3385807444324711</v>
      </c>
      <c r="K45" s="11">
        <f>K21*(K41/K20)</f>
        <v>8.4833412081006365</v>
      </c>
      <c r="L45" s="11">
        <f>L21*(L41/L20)</f>
        <v>9.3532140131494028</v>
      </c>
      <c r="N45" s="11">
        <f>N21*(N41/N20)</f>
        <v>82.995506840839084</v>
      </c>
      <c r="O45" s="11">
        <f>O21*(O41/O20)</f>
        <v>920.91031944808753</v>
      </c>
      <c r="Q45" s="11">
        <f>Q21*(Q41/Q20)</f>
        <v>60.717212705139225</v>
      </c>
      <c r="R45" s="11">
        <f>R21*(R41/R20)</f>
        <v>39448.051948051951</v>
      </c>
    </row>
    <row r="49" spans="3:11" x14ac:dyDescent="0.2">
      <c r="C49" t="s">
        <v>151</v>
      </c>
      <c r="K49" t="s">
        <v>152</v>
      </c>
    </row>
    <row r="50" spans="3:11" x14ac:dyDescent="0.2">
      <c r="C50" t="s">
        <v>153</v>
      </c>
    </row>
    <row r="51" spans="3:11" x14ac:dyDescent="0.2">
      <c r="C51" t="s">
        <v>154</v>
      </c>
    </row>
  </sheetData>
  <mergeCells count="5">
    <mergeCell ref="H4:I4"/>
    <mergeCell ref="K4:L4"/>
    <mergeCell ref="B2:E2"/>
    <mergeCell ref="N4:O4"/>
    <mergeCell ref="Q4:R4"/>
  </mergeCells>
  <hyperlinks>
    <hyperlink ref="F2" r:id="rId1" location="heading=h.35nkun2" xr:uid="{8A642DCE-3168-F74F-96E4-893EDFA8BE80}"/>
    <hyperlink ref="H2" r:id="rId2" xr:uid="{6E272F3D-20C5-674E-B731-FA88B0A9DEBE}"/>
    <hyperlink ref="I2" r:id="rId3" xr:uid="{72D705C5-9943-454F-8DB1-494835C22DE5}"/>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69C7B-76CE-4D4D-BD4E-62D1557FE5C0}">
  <dimension ref="A1:N44"/>
  <sheetViews>
    <sheetView workbookViewId="0">
      <selection activeCell="H65" sqref="H65"/>
    </sheetView>
  </sheetViews>
  <sheetFormatPr baseColWidth="10" defaultColWidth="8.83203125" defaultRowHeight="15" x14ac:dyDescent="0.2"/>
  <cols>
    <col min="2" max="2" width="37.83203125" customWidth="1"/>
    <col min="3" max="3" width="21.6640625" customWidth="1"/>
    <col min="4" max="4" width="18.6640625" customWidth="1"/>
    <col min="5" max="5" width="15.5" customWidth="1"/>
    <col min="7" max="7" width="17.83203125" customWidth="1"/>
    <col min="8" max="8" width="19.5" customWidth="1"/>
    <col min="10" max="10" width="20.5" customWidth="1"/>
    <col min="11" max="11" width="17.1640625" customWidth="1"/>
    <col min="13" max="13" width="17.83203125" customWidth="1"/>
    <col min="14" max="14" width="16" customWidth="1"/>
  </cols>
  <sheetData>
    <row r="1" spans="1:14" ht="20" x14ac:dyDescent="0.25">
      <c r="A1" s="14" t="s">
        <v>155</v>
      </c>
      <c r="B1" s="15"/>
      <c r="C1" s="15"/>
      <c r="D1" s="15"/>
    </row>
    <row r="3" spans="1:14" ht="36.75" customHeight="1" x14ac:dyDescent="0.2">
      <c r="A3" s="73" t="s">
        <v>156</v>
      </c>
      <c r="B3" s="73"/>
      <c r="C3" s="73"/>
      <c r="D3" s="73"/>
      <c r="E3" s="22"/>
    </row>
    <row r="4" spans="1:14" x14ac:dyDescent="0.2">
      <c r="C4" s="18"/>
      <c r="D4" s="19" t="s">
        <v>114</v>
      </c>
      <c r="E4" s="17"/>
      <c r="G4" s="78" t="s">
        <v>115</v>
      </c>
      <c r="H4" s="78"/>
      <c r="J4" s="78" t="s">
        <v>116</v>
      </c>
      <c r="K4" s="78"/>
      <c r="M4" s="78" t="s">
        <v>157</v>
      </c>
      <c r="N4" s="78"/>
    </row>
    <row r="5" spans="1:14" x14ac:dyDescent="0.2">
      <c r="A5" t="s">
        <v>39</v>
      </c>
      <c r="B5" t="s">
        <v>119</v>
      </c>
      <c r="C5">
        <v>600000</v>
      </c>
      <c r="D5">
        <v>600000</v>
      </c>
      <c r="E5">
        <v>600000</v>
      </c>
      <c r="G5">
        <v>600000</v>
      </c>
      <c r="H5">
        <v>600000</v>
      </c>
      <c r="J5">
        <v>600000</v>
      </c>
      <c r="K5">
        <v>600000</v>
      </c>
      <c r="M5">
        <v>600000</v>
      </c>
      <c r="N5">
        <v>600000</v>
      </c>
    </row>
    <row r="6" spans="1:14" x14ac:dyDescent="0.2">
      <c r="B6" t="s">
        <v>120</v>
      </c>
      <c r="C6" s="3">
        <v>150000000000</v>
      </c>
      <c r="D6" s="3">
        <v>150000000000</v>
      </c>
      <c r="E6" s="3">
        <v>150000000000</v>
      </c>
      <c r="F6" s="3"/>
      <c r="G6" s="3">
        <v>1500000000</v>
      </c>
      <c r="H6" s="3">
        <v>15000000</v>
      </c>
      <c r="I6" s="3"/>
      <c r="J6" s="3">
        <v>1500000000</v>
      </c>
      <c r="K6" s="3">
        <v>15000000</v>
      </c>
      <c r="L6" s="3"/>
      <c r="M6" s="3">
        <v>1500000000</v>
      </c>
      <c r="N6" s="3">
        <v>15000000</v>
      </c>
    </row>
    <row r="7" spans="1:14" x14ac:dyDescent="0.2">
      <c r="B7" t="s">
        <v>121</v>
      </c>
      <c r="C7" s="3">
        <f>C5+C6</f>
        <v>150000600000</v>
      </c>
      <c r="D7" s="3">
        <f t="shared" ref="D7:E7" si="0">D5+D6</f>
        <v>150000600000</v>
      </c>
      <c r="E7" s="3">
        <f t="shared" si="0"/>
        <v>150000600000</v>
      </c>
      <c r="F7" s="3"/>
      <c r="G7" s="3">
        <f t="shared" ref="G7:K7" si="1">G5+G6</f>
        <v>1500600000</v>
      </c>
      <c r="H7" s="3">
        <f t="shared" si="1"/>
        <v>15600000</v>
      </c>
      <c r="I7" s="3"/>
      <c r="J7" s="3">
        <f t="shared" si="1"/>
        <v>1500600000</v>
      </c>
      <c r="K7" s="3">
        <f t="shared" si="1"/>
        <v>15600000</v>
      </c>
      <c r="M7" s="3">
        <f t="shared" ref="M7:N7" si="2">M5+M6</f>
        <v>1500600000</v>
      </c>
      <c r="N7" s="3">
        <f t="shared" si="2"/>
        <v>15600000</v>
      </c>
    </row>
    <row r="8" spans="1:14" x14ac:dyDescent="0.2">
      <c r="B8" s="23" t="s">
        <v>122</v>
      </c>
      <c r="C8">
        <v>1000</v>
      </c>
      <c r="D8">
        <v>1000</v>
      </c>
      <c r="E8">
        <v>1000</v>
      </c>
      <c r="G8">
        <v>1000</v>
      </c>
      <c r="H8">
        <v>1000</v>
      </c>
      <c r="J8">
        <v>1000</v>
      </c>
      <c r="K8">
        <v>1000</v>
      </c>
      <c r="M8" s="1">
        <v>5000</v>
      </c>
      <c r="N8" s="1">
        <v>5000</v>
      </c>
    </row>
    <row r="9" spans="1:14" x14ac:dyDescent="0.2">
      <c r="B9" t="s">
        <v>123</v>
      </c>
      <c r="C9">
        <v>618</v>
      </c>
      <c r="D9">
        <v>618</v>
      </c>
      <c r="E9">
        <v>618</v>
      </c>
      <c r="G9">
        <v>618</v>
      </c>
      <c r="H9">
        <v>618</v>
      </c>
      <c r="J9">
        <v>618</v>
      </c>
      <c r="K9">
        <v>618</v>
      </c>
      <c r="M9">
        <v>618</v>
      </c>
      <c r="N9">
        <v>618</v>
      </c>
    </row>
    <row r="10" spans="1:14" x14ac:dyDescent="0.2">
      <c r="B10" t="s">
        <v>124</v>
      </c>
      <c r="C10">
        <f>C9*C8</f>
        <v>618000</v>
      </c>
      <c r="D10">
        <f>D9*D8</f>
        <v>618000</v>
      </c>
      <c r="E10">
        <f t="shared" ref="E10" si="3">E9*E8</f>
        <v>618000</v>
      </c>
      <c r="G10">
        <f t="shared" ref="G10:H10" si="4">G9*G8</f>
        <v>618000</v>
      </c>
      <c r="H10">
        <f t="shared" si="4"/>
        <v>618000</v>
      </c>
      <c r="J10">
        <f t="shared" ref="J10:K10" si="5">J9*J8</f>
        <v>618000</v>
      </c>
      <c r="K10">
        <f t="shared" si="5"/>
        <v>618000</v>
      </c>
      <c r="M10">
        <f t="shared" ref="M10:N10" si="6">M9*M8</f>
        <v>3090000</v>
      </c>
      <c r="N10">
        <f t="shared" si="6"/>
        <v>3090000</v>
      </c>
    </row>
    <row r="11" spans="1:14" x14ac:dyDescent="0.2">
      <c r="B11" t="s">
        <v>125</v>
      </c>
      <c r="C11" s="5">
        <f>C10*C7/(6.02*10^23)*(1*10^9)</f>
        <v>153.987326910299</v>
      </c>
      <c r="D11" s="5">
        <f>D10*D7/(6.02*10^23)*(1*10^9)</f>
        <v>153.987326910299</v>
      </c>
      <c r="E11" s="5">
        <f t="shared" ref="E11" si="7">E10*E7/(6.02*10^23)*(1*10^9)</f>
        <v>153.987326910299</v>
      </c>
      <c r="F11" s="5"/>
      <c r="G11" s="5">
        <f t="shared" ref="G11:H11" si="8">G10*G7/(6.02*10^23)*(1*10^9)</f>
        <v>1.5404830564784056</v>
      </c>
      <c r="H11" s="5">
        <f t="shared" si="8"/>
        <v>1.6014617940199337E-2</v>
      </c>
      <c r="J11" s="5">
        <f t="shared" ref="J11:K11" si="9">J10*J7/(6.02*10^23)*(1*10^9)</f>
        <v>1.5404830564784056</v>
      </c>
      <c r="K11" s="5">
        <f t="shared" si="9"/>
        <v>1.6014617940199337E-2</v>
      </c>
      <c r="M11" s="5">
        <f t="shared" ref="M11:N11" si="10">M10*M7/(6.02*10^23)*(1*10^9)</f>
        <v>7.7024152823920282</v>
      </c>
      <c r="N11" s="5">
        <f t="shared" si="10"/>
        <v>8.0073089700996691E-2</v>
      </c>
    </row>
    <row r="12" spans="1:14" x14ac:dyDescent="0.2">
      <c r="B12" t="s">
        <v>126</v>
      </c>
      <c r="C12">
        <v>3</v>
      </c>
      <c r="D12">
        <v>3</v>
      </c>
      <c r="E12">
        <v>3</v>
      </c>
      <c r="G12">
        <v>3</v>
      </c>
      <c r="H12">
        <v>3</v>
      </c>
      <c r="J12">
        <v>3</v>
      </c>
      <c r="K12">
        <v>3</v>
      </c>
      <c r="M12">
        <v>3</v>
      </c>
      <c r="N12">
        <v>3</v>
      </c>
    </row>
    <row r="13" spans="1:14" x14ac:dyDescent="0.2">
      <c r="B13" t="s">
        <v>127</v>
      </c>
      <c r="C13" s="5">
        <f>C11/C12</f>
        <v>51.329108970099668</v>
      </c>
      <c r="D13" s="5">
        <f>D11/D12</f>
        <v>51.329108970099668</v>
      </c>
      <c r="E13" s="5">
        <f t="shared" ref="E13" si="11">E11/E12</f>
        <v>51.329108970099668</v>
      </c>
      <c r="F13" s="5"/>
      <c r="G13" s="5">
        <f t="shared" ref="G13:H13" si="12">G11/G12</f>
        <v>0.51349435215946848</v>
      </c>
      <c r="H13" s="5">
        <f t="shared" si="12"/>
        <v>5.3382059800664459E-3</v>
      </c>
      <c r="J13" s="5">
        <f t="shared" ref="J13:K13" si="13">J11/J12</f>
        <v>0.51349435215946848</v>
      </c>
      <c r="K13" s="5">
        <f t="shared" si="13"/>
        <v>5.3382059800664459E-3</v>
      </c>
      <c r="M13" s="5">
        <f t="shared" ref="M13:N13" si="14">M11/M12</f>
        <v>2.5674717607973427</v>
      </c>
      <c r="N13" s="5">
        <f t="shared" si="14"/>
        <v>2.669102990033223E-2</v>
      </c>
    </row>
    <row r="15" spans="1:14" x14ac:dyDescent="0.2">
      <c r="B15" t="s">
        <v>128</v>
      </c>
      <c r="C15">
        <v>5</v>
      </c>
      <c r="D15">
        <v>5</v>
      </c>
      <c r="E15">
        <v>5</v>
      </c>
      <c r="G15">
        <v>5</v>
      </c>
      <c r="H15">
        <v>5</v>
      </c>
      <c r="J15" s="1">
        <v>20</v>
      </c>
      <c r="K15" s="1">
        <v>20</v>
      </c>
      <c r="M15" s="1">
        <v>20</v>
      </c>
      <c r="N15" s="1">
        <v>20</v>
      </c>
    </row>
    <row r="16" spans="1:14" x14ac:dyDescent="0.2">
      <c r="B16" t="s">
        <v>129</v>
      </c>
      <c r="C16" s="2">
        <v>0.5</v>
      </c>
      <c r="D16" s="2">
        <v>0.5</v>
      </c>
      <c r="E16" s="2">
        <v>0.5</v>
      </c>
      <c r="F16" s="2"/>
      <c r="G16" s="2">
        <v>0.5</v>
      </c>
      <c r="H16" s="2">
        <v>0.5</v>
      </c>
      <c r="J16" s="2">
        <v>0.5</v>
      </c>
      <c r="K16" s="2">
        <v>0.5</v>
      </c>
      <c r="M16" s="2">
        <v>0.5</v>
      </c>
      <c r="N16" s="2">
        <v>0.5</v>
      </c>
    </row>
    <row r="17" spans="1:14" x14ac:dyDescent="0.2">
      <c r="B17" t="s">
        <v>130</v>
      </c>
      <c r="C17" s="12">
        <f>C13*C15*C16</f>
        <v>128.32277242524918</v>
      </c>
      <c r="D17" s="12">
        <f>D13*D15*D16</f>
        <v>128.32277242524918</v>
      </c>
      <c r="E17" s="12">
        <f t="shared" ref="E17" si="15">E13*E15*E16</f>
        <v>128.32277242524918</v>
      </c>
      <c r="F17" s="12"/>
      <c r="G17" s="12">
        <f t="shared" ref="G17:H17" si="16">G13*G15*G16</f>
        <v>1.2837358803986711</v>
      </c>
      <c r="H17" s="12">
        <f t="shared" si="16"/>
        <v>1.3345514950166115E-2</v>
      </c>
      <c r="I17" s="12"/>
      <c r="J17" s="12">
        <f t="shared" ref="J17:K17" si="17">J13*J15*J16</f>
        <v>5.1349435215946846</v>
      </c>
      <c r="K17" s="12">
        <f t="shared" si="17"/>
        <v>5.3382059800664461E-2</v>
      </c>
      <c r="M17" s="12">
        <f t="shared" ref="M17:N17" si="18">M13*M15*M16</f>
        <v>25.674717607973427</v>
      </c>
      <c r="N17" s="12">
        <f t="shared" si="18"/>
        <v>0.2669102990033223</v>
      </c>
    </row>
    <row r="19" spans="1:14" x14ac:dyDescent="0.2">
      <c r="B19" t="s">
        <v>131</v>
      </c>
      <c r="C19">
        <v>0.05</v>
      </c>
      <c r="D19">
        <v>0.05</v>
      </c>
      <c r="E19">
        <v>0.05</v>
      </c>
      <c r="G19">
        <v>0.05</v>
      </c>
      <c r="H19">
        <v>0.05</v>
      </c>
      <c r="J19">
        <v>0.05</v>
      </c>
      <c r="K19">
        <v>0.05</v>
      </c>
      <c r="M19">
        <v>0.05</v>
      </c>
      <c r="N19">
        <v>0.05</v>
      </c>
    </row>
    <row r="20" spans="1:14" x14ac:dyDescent="0.2">
      <c r="B20" t="s">
        <v>132</v>
      </c>
      <c r="C20" s="3">
        <f>(C19/C12)*(C6+C5)*C15*C16</f>
        <v>6250025000</v>
      </c>
      <c r="D20" s="3">
        <f>(D19/D12)*(D6+D5)*D15*D16</f>
        <v>6250025000</v>
      </c>
      <c r="E20" s="3">
        <f>(E19/E12)*(E6+E5)*E15*E16</f>
        <v>6250025000</v>
      </c>
      <c r="F20" s="3"/>
      <c r="G20" s="3">
        <f t="shared" ref="G20:H20" si="19">(G19/G12)*(G6+G5)*G15*G16</f>
        <v>62525000</v>
      </c>
      <c r="H20" s="3">
        <f t="shared" si="19"/>
        <v>650000</v>
      </c>
      <c r="J20" s="3">
        <f t="shared" ref="J20:K20" si="20">(J19/J12)*(J6+J5)*J15*J16</f>
        <v>250100000</v>
      </c>
      <c r="K20" s="3">
        <f t="shared" si="20"/>
        <v>2600000</v>
      </c>
      <c r="M20" s="3">
        <f t="shared" ref="M20:N20" si="21">(M19/M12)*(M6+M5)*M15*M16</f>
        <v>250100000</v>
      </c>
      <c r="N20" s="3">
        <f t="shared" si="21"/>
        <v>2600000</v>
      </c>
    </row>
    <row r="21" spans="1:14" x14ac:dyDescent="0.2">
      <c r="B21" t="s">
        <v>133</v>
      </c>
      <c r="C21" s="4">
        <f>(C19/C12)*(C5)*C15*C16</f>
        <v>25000</v>
      </c>
      <c r="D21" s="4">
        <f>(D19/D12)*(D5)*D15*D16</f>
        <v>25000</v>
      </c>
      <c r="E21" s="4">
        <f>(E19/E12)*(E5)*E15*E16</f>
        <v>25000</v>
      </c>
      <c r="F21" s="3"/>
      <c r="G21" s="4">
        <f t="shared" ref="G21:H21" si="22">(G19/G12)*(G5)*G15*G16</f>
        <v>25000</v>
      </c>
      <c r="H21" s="4">
        <f t="shared" si="22"/>
        <v>25000</v>
      </c>
      <c r="J21" s="4">
        <f t="shared" ref="J21:K21" si="23">(J19/J12)*(J5)*J15*J16</f>
        <v>100000</v>
      </c>
      <c r="K21" s="4">
        <f t="shared" si="23"/>
        <v>100000</v>
      </c>
      <c r="M21" s="4">
        <f t="shared" ref="M21:N21" si="24">(M19/M12)*(M5)*M15*M16</f>
        <v>100000</v>
      </c>
      <c r="N21" s="4">
        <f t="shared" si="24"/>
        <v>100000</v>
      </c>
    </row>
    <row r="22" spans="1:14" x14ac:dyDescent="0.2">
      <c r="B22" t="s">
        <v>134</v>
      </c>
      <c r="C22" s="3">
        <f>(C19/C12)*(C6)*C15*C16</f>
        <v>6250000000</v>
      </c>
      <c r="D22" s="3">
        <f>(D19/D12)*(D6)*D15*D16</f>
        <v>6250000000</v>
      </c>
      <c r="E22" s="3">
        <f>(E19/E12)*(E6)*E15*E16</f>
        <v>6250000000</v>
      </c>
      <c r="F22" s="3"/>
      <c r="G22" s="3">
        <f t="shared" ref="G22:H22" si="25">(G19/G12)*(G6)*G15*G16</f>
        <v>62500000</v>
      </c>
      <c r="H22" s="3">
        <f t="shared" si="25"/>
        <v>625000</v>
      </c>
      <c r="J22" s="3">
        <f t="shared" ref="J22:K22" si="26">(J19/J12)*(J6)*J15*J16</f>
        <v>250000000</v>
      </c>
      <c r="K22" s="3">
        <f t="shared" si="26"/>
        <v>2500000</v>
      </c>
      <c r="M22" s="3">
        <f t="shared" ref="M22:N22" si="27">(M19/M12)*(M6)*M15*M16</f>
        <v>250000000</v>
      </c>
      <c r="N22" s="3">
        <f t="shared" si="27"/>
        <v>2500000</v>
      </c>
    </row>
    <row r="23" spans="1:14" x14ac:dyDescent="0.2">
      <c r="B23" t="s">
        <v>135</v>
      </c>
      <c r="C23" s="20">
        <f>C10*C20/(6.02*10^23)*(1*10^9)</f>
        <v>6.4161386212624594</v>
      </c>
      <c r="D23" s="20">
        <f t="shared" ref="D23:J23" si="28">D10*D20/(6.02*10^23)*(1*10^9)</f>
        <v>6.4161386212624594</v>
      </c>
      <c r="E23" s="20">
        <f t="shared" si="28"/>
        <v>6.4161386212624594</v>
      </c>
      <c r="F23" s="20"/>
      <c r="G23" s="20">
        <f t="shared" si="28"/>
        <v>6.418679401993356E-2</v>
      </c>
      <c r="H23" s="20">
        <f t="shared" si="28"/>
        <v>6.6727574750830574E-4</v>
      </c>
      <c r="I23" s="20"/>
      <c r="J23" s="20">
        <f t="shared" si="28"/>
        <v>0.25674717607973424</v>
      </c>
      <c r="K23" s="20">
        <f>K10*K20/(6.02*10^23)*(1*10^9)</f>
        <v>2.669102990033223E-3</v>
      </c>
      <c r="M23" s="20">
        <f t="shared" ref="M23" si="29">M10*M20/(6.02*10^23)*(1*10^9)</f>
        <v>1.2837358803986714</v>
      </c>
      <c r="N23" s="20">
        <f>N10*N20/(6.02*10^23)*(1*10^9)</f>
        <v>1.3345514950166115E-2</v>
      </c>
    </row>
    <row r="25" spans="1:14" x14ac:dyDescent="0.2">
      <c r="A25" t="s">
        <v>136</v>
      </c>
      <c r="B25" t="s">
        <v>137</v>
      </c>
      <c r="C25">
        <v>1</v>
      </c>
      <c r="D25">
        <v>1</v>
      </c>
      <c r="E25">
        <v>1</v>
      </c>
      <c r="G25">
        <v>1</v>
      </c>
      <c r="H25">
        <v>1</v>
      </c>
      <c r="J25">
        <v>1</v>
      </c>
      <c r="K25">
        <v>1</v>
      </c>
      <c r="M25">
        <v>1</v>
      </c>
      <c r="N25">
        <v>1</v>
      </c>
    </row>
    <row r="26" spans="1:14" x14ac:dyDescent="0.2">
      <c r="B26" t="s">
        <v>138</v>
      </c>
      <c r="C26">
        <v>0.1</v>
      </c>
      <c r="D26">
        <v>0.1</v>
      </c>
      <c r="E26">
        <v>0.1</v>
      </c>
      <c r="G26">
        <v>0.1</v>
      </c>
      <c r="H26">
        <v>0.1</v>
      </c>
      <c r="J26">
        <v>0.1</v>
      </c>
      <c r="K26">
        <v>0.1</v>
      </c>
      <c r="M26">
        <v>0.1</v>
      </c>
      <c r="N26">
        <v>0.1</v>
      </c>
    </row>
    <row r="27" spans="1:14" ht="93" customHeight="1" x14ac:dyDescent="0.2">
      <c r="B27" s="10" t="s">
        <v>158</v>
      </c>
      <c r="C27" s="6">
        <f>C25/C23*C26</f>
        <v>1.5585698175006652E-2</v>
      </c>
      <c r="D27" s="6">
        <f>D25/D23*D26</f>
        <v>1.5585698175006652E-2</v>
      </c>
      <c r="E27" s="6">
        <f>E25/E23*E26</f>
        <v>1.5585698175006652E-2</v>
      </c>
      <c r="F27" s="6"/>
      <c r="G27" s="6">
        <f>G25/G23*G26</f>
        <v>1.5579528706316825</v>
      </c>
      <c r="H27" s="6">
        <f>H25/H23*H26</f>
        <v>149.86308190191684</v>
      </c>
      <c r="J27" s="6">
        <f>J25/J23*J26</f>
        <v>0.38948821765792063</v>
      </c>
      <c r="K27" s="6">
        <f>K25/K23*K26</f>
        <v>37.465770475479211</v>
      </c>
      <c r="M27" s="6">
        <f>M25/M23*M26</f>
        <v>7.7897643531584126E-2</v>
      </c>
      <c r="N27" s="6">
        <f>N25/N23*N26</f>
        <v>7.4931540950958411</v>
      </c>
    </row>
    <row r="30" spans="1:14" x14ac:dyDescent="0.2">
      <c r="B30" s="23" t="s">
        <v>50</v>
      </c>
      <c r="C30" s="1">
        <v>125</v>
      </c>
      <c r="D30" s="1">
        <v>500</v>
      </c>
      <c r="E30" s="1">
        <v>5000</v>
      </c>
      <c r="G30">
        <v>125</v>
      </c>
      <c r="H30">
        <v>125</v>
      </c>
      <c r="J30">
        <v>125</v>
      </c>
      <c r="K30">
        <v>125</v>
      </c>
      <c r="M30">
        <v>125</v>
      </c>
      <c r="N30">
        <v>125</v>
      </c>
    </row>
    <row r="31" spans="1:14" x14ac:dyDescent="0.2">
      <c r="B31" t="s">
        <v>140</v>
      </c>
      <c r="C31">
        <v>500</v>
      </c>
      <c r="D31">
        <v>500</v>
      </c>
      <c r="E31">
        <v>500</v>
      </c>
      <c r="G31">
        <v>500</v>
      </c>
      <c r="H31">
        <v>500</v>
      </c>
      <c r="J31">
        <v>500</v>
      </c>
      <c r="K31">
        <v>500</v>
      </c>
      <c r="M31">
        <v>500</v>
      </c>
      <c r="N31">
        <v>500</v>
      </c>
    </row>
    <row r="32" spans="1:14" x14ac:dyDescent="0.2">
      <c r="B32" t="s">
        <v>141</v>
      </c>
      <c r="C32">
        <f>C8/C31</f>
        <v>2</v>
      </c>
      <c r="D32">
        <f>D8/D31</f>
        <v>2</v>
      </c>
      <c r="E32">
        <f>E8/E31</f>
        <v>2</v>
      </c>
      <c r="G32">
        <f>G8/G31</f>
        <v>2</v>
      </c>
      <c r="H32">
        <f>H8/H31</f>
        <v>2</v>
      </c>
      <c r="J32">
        <f>J8/J31</f>
        <v>2</v>
      </c>
      <c r="K32">
        <f>K8/K31</f>
        <v>2</v>
      </c>
      <c r="M32">
        <f>M8/M31</f>
        <v>10</v>
      </c>
      <c r="N32">
        <f>N8/N31</f>
        <v>10</v>
      </c>
    </row>
    <row r="33" spans="2:14" x14ac:dyDescent="0.2">
      <c r="B33" t="s">
        <v>142</v>
      </c>
      <c r="C33" s="5">
        <f>C32+C27</f>
        <v>2.0155856981750064</v>
      </c>
      <c r="D33" s="5">
        <f>D32+D27</f>
        <v>2.0155856981750064</v>
      </c>
      <c r="E33" s="5">
        <f>E32+E27</f>
        <v>2.0155856981750064</v>
      </c>
      <c r="F33" s="5"/>
      <c r="G33" s="5">
        <f>G32+G27</f>
        <v>3.5579528706316825</v>
      </c>
      <c r="H33" s="5">
        <f>H32+H27</f>
        <v>151.86308190191684</v>
      </c>
      <c r="J33" s="5">
        <f>J32+J27</f>
        <v>2.3894882176579206</v>
      </c>
      <c r="K33" s="5">
        <f>K32+K27</f>
        <v>39.465770475479211</v>
      </c>
      <c r="M33" s="5">
        <f>M32+M27</f>
        <v>10.077897643531584</v>
      </c>
      <c r="N33" s="5">
        <f>N32+N27</f>
        <v>17.493154095095839</v>
      </c>
    </row>
    <row r="35" spans="2:14" x14ac:dyDescent="0.2">
      <c r="B35" t="s">
        <v>144</v>
      </c>
      <c r="C35" s="7">
        <f>1/C33</f>
        <v>0.49613370491040931</v>
      </c>
      <c r="D35" s="7">
        <f>1/D33</f>
        <v>0.49613370491040931</v>
      </c>
      <c r="E35" s="7">
        <f t="shared" ref="E35" si="30">1/E33</f>
        <v>0.49613370491040931</v>
      </c>
      <c r="F35" s="7"/>
      <c r="G35" s="7">
        <f t="shared" ref="G35:H35" si="31">1/G33</f>
        <v>0.28106049640350039</v>
      </c>
      <c r="H35" s="7">
        <f t="shared" si="31"/>
        <v>6.5848788756036553E-3</v>
      </c>
      <c r="J35" s="7">
        <f t="shared" ref="J35:K35" si="32">1/J33</f>
        <v>0.41849965721118282</v>
      </c>
      <c r="K35" s="7">
        <f t="shared" si="32"/>
        <v>2.5338413211046212E-2</v>
      </c>
      <c r="M35" s="7">
        <f t="shared" ref="M35:N35" si="33">1/M33</f>
        <v>9.9227044704293249E-2</v>
      </c>
      <c r="N35" s="7">
        <f t="shared" si="33"/>
        <v>5.7165219866230264E-2</v>
      </c>
    </row>
    <row r="36" spans="2:14" x14ac:dyDescent="0.2">
      <c r="B36" t="s">
        <v>145</v>
      </c>
      <c r="C36" s="7">
        <f>C35*C30</f>
        <v>62.016713113801167</v>
      </c>
      <c r="D36" s="7">
        <f>D35*D30</f>
        <v>248.06685245520467</v>
      </c>
      <c r="E36" s="7">
        <f t="shared" ref="E36" si="34">E35*E30</f>
        <v>2480.6685245520466</v>
      </c>
      <c r="F36" s="7"/>
      <c r="G36" s="7">
        <f t="shared" ref="G36:H36" si="35">G35*G30</f>
        <v>35.132562050437549</v>
      </c>
      <c r="H36" s="7">
        <f t="shared" si="35"/>
        <v>0.82310985945045689</v>
      </c>
      <c r="J36" s="7">
        <f t="shared" ref="J36:K36" si="36">J35*J30</f>
        <v>52.312457151397851</v>
      </c>
      <c r="K36" s="7">
        <f t="shared" si="36"/>
        <v>3.1673016513807766</v>
      </c>
      <c r="M36" s="7">
        <f t="shared" ref="M36:N36" si="37">M35*M30</f>
        <v>12.403380588036656</v>
      </c>
      <c r="N36" s="7">
        <f t="shared" si="37"/>
        <v>7.1456524832787833</v>
      </c>
    </row>
    <row r="37" spans="2:14" x14ac:dyDescent="0.2">
      <c r="B37" t="s">
        <v>146</v>
      </c>
      <c r="C37" s="8">
        <f>C36*60*60</f>
        <v>223260.16720968421</v>
      </c>
      <c r="D37" s="8">
        <f>D36*60*60</f>
        <v>893040.66883873683</v>
      </c>
      <c r="E37" s="8">
        <f t="shared" ref="E37" si="38">E36*60*60</f>
        <v>8930406.6883873679</v>
      </c>
      <c r="F37" s="8"/>
      <c r="G37" s="8">
        <f t="shared" ref="G37:H37" si="39">G36*60*60</f>
        <v>126477.22338157518</v>
      </c>
      <c r="H37" s="8">
        <f t="shared" si="39"/>
        <v>2963.1954940216451</v>
      </c>
      <c r="J37" s="8">
        <f t="shared" ref="J37:K37" si="40">J36*60*60</f>
        <v>188324.84574503225</v>
      </c>
      <c r="K37" s="8">
        <f t="shared" si="40"/>
        <v>11402.285944970796</v>
      </c>
      <c r="M37" s="8">
        <f t="shared" ref="M37:N37" si="41">M36*60*60</f>
        <v>44652.170116931957</v>
      </c>
      <c r="N37" s="8">
        <f t="shared" si="41"/>
        <v>25724.348939803622</v>
      </c>
    </row>
    <row r="38" spans="2:14" x14ac:dyDescent="0.2">
      <c r="B38" t="s">
        <v>87</v>
      </c>
      <c r="C38" s="8">
        <f>C37*C8/(1*10^9)</f>
        <v>0.22326016720968422</v>
      </c>
      <c r="D38" s="8">
        <f>D37*D8/(1*10^9)</f>
        <v>0.8930406688387369</v>
      </c>
      <c r="E38" s="8">
        <f>E37*E8/(1*10^9)</f>
        <v>8.9304066883873681</v>
      </c>
      <c r="F38" s="8"/>
      <c r="G38" s="8">
        <f>G37*G8/(1*10^9)</f>
        <v>0.12647722338157519</v>
      </c>
      <c r="H38" s="8">
        <f>H37*H8/(1*10^9)</f>
        <v>2.9631954940216453E-3</v>
      </c>
      <c r="J38" s="8">
        <f>J37*J8/(1*10^9)</f>
        <v>0.18832484574503225</v>
      </c>
      <c r="K38" s="8">
        <f>K37*K8/(1*10^9)</f>
        <v>1.1402285944970796E-2</v>
      </c>
      <c r="M38" s="8">
        <f>M37*M8/(1*10^9)</f>
        <v>0.22326085058465978</v>
      </c>
      <c r="N38" s="8">
        <f>N37*N8/(1*10^9)</f>
        <v>0.1286217446990181</v>
      </c>
    </row>
    <row r="39" spans="2:14" x14ac:dyDescent="0.2">
      <c r="B39" s="23" t="s">
        <v>147</v>
      </c>
      <c r="C39" s="5">
        <v>0.75</v>
      </c>
      <c r="D39" s="5">
        <v>0.75</v>
      </c>
      <c r="E39" s="5">
        <v>0.75</v>
      </c>
      <c r="F39" s="5"/>
      <c r="G39" s="5">
        <v>0.75</v>
      </c>
      <c r="H39" s="5">
        <v>0.75</v>
      </c>
      <c r="I39" s="5"/>
      <c r="J39" s="5">
        <v>0.75</v>
      </c>
      <c r="K39" s="5">
        <v>0.75</v>
      </c>
      <c r="M39" s="5">
        <v>0.75</v>
      </c>
      <c r="N39" s="5">
        <v>0.75</v>
      </c>
    </row>
    <row r="40" spans="2:14" x14ac:dyDescent="0.2">
      <c r="B40" t="s">
        <v>148</v>
      </c>
      <c r="C40" s="8">
        <f>C39*C37</f>
        <v>167445.12540726317</v>
      </c>
      <c r="D40" s="8">
        <f>D39*D37</f>
        <v>669780.50162905268</v>
      </c>
      <c r="E40" s="8">
        <f t="shared" ref="E40" si="42">E39*E37</f>
        <v>6697805.0162905259</v>
      </c>
      <c r="F40" s="8"/>
      <c r="G40" s="8">
        <f t="shared" ref="G40:H40" si="43">G39*G37</f>
        <v>94857.917536181383</v>
      </c>
      <c r="H40" s="8">
        <f t="shared" si="43"/>
        <v>2222.3966205162337</v>
      </c>
      <c r="J40" s="8">
        <f t="shared" ref="J40:K40" si="44">J39*J37</f>
        <v>141243.6343087742</v>
      </c>
      <c r="K40" s="8">
        <f t="shared" si="44"/>
        <v>8551.7144587280964</v>
      </c>
      <c r="M40" s="8">
        <f t="shared" ref="M40:N40" si="45">M39*M37</f>
        <v>33489.127587698968</v>
      </c>
      <c r="N40" s="8">
        <f t="shared" si="45"/>
        <v>19293.261704852717</v>
      </c>
    </row>
    <row r="41" spans="2:14" x14ac:dyDescent="0.2">
      <c r="B41" t="s">
        <v>149</v>
      </c>
      <c r="C41" s="16">
        <f t="shared" ref="C41:K41" si="46">C38*C39</f>
        <v>0.16744512540726317</v>
      </c>
      <c r="D41" s="16">
        <f t="shared" si="46"/>
        <v>0.66978050162905267</v>
      </c>
      <c r="E41" s="16">
        <f t="shared" si="46"/>
        <v>6.697805016290526</v>
      </c>
      <c r="F41" s="16"/>
      <c r="G41" s="16">
        <f t="shared" si="46"/>
        <v>9.4857917536181391E-2</v>
      </c>
      <c r="H41" s="16">
        <f t="shared" si="46"/>
        <v>2.2223966205162341E-3</v>
      </c>
      <c r="I41" s="16"/>
      <c r="J41" s="16">
        <f t="shared" si="46"/>
        <v>0.14124363430877418</v>
      </c>
      <c r="K41" s="16">
        <f t="shared" si="46"/>
        <v>8.5517144587280974E-3</v>
      </c>
      <c r="M41" s="16">
        <f t="shared" ref="M41:N41" si="47">M38*M39</f>
        <v>0.16744563793849482</v>
      </c>
      <c r="N41" s="16">
        <f t="shared" si="47"/>
        <v>9.6466308524263578E-2</v>
      </c>
    </row>
    <row r="43" spans="2:14" x14ac:dyDescent="0.2">
      <c r="B43" t="s">
        <v>91</v>
      </c>
      <c r="C43" s="9">
        <f>C40/C20</f>
        <v>2.6791112900710504E-5</v>
      </c>
      <c r="D43" s="9">
        <f>D40/D20</f>
        <v>1.0716445160284202E-4</v>
      </c>
      <c r="E43" s="9">
        <f>E40/E20</f>
        <v>1.0716445160284199E-3</v>
      </c>
      <c r="F43" s="9"/>
      <c r="G43" s="9">
        <f>G40/G20</f>
        <v>1.5171198326458437E-3</v>
      </c>
      <c r="H43" s="9">
        <f>H40/H20</f>
        <v>3.4190717238711289E-3</v>
      </c>
      <c r="J43" s="9">
        <f>J40/J20</f>
        <v>5.6474863777998476E-4</v>
      </c>
      <c r="K43" s="9">
        <f>K40/K20</f>
        <v>3.2891209456646525E-3</v>
      </c>
      <c r="M43" s="9">
        <f>M40/M20</f>
        <v>1.3390294917112742E-4</v>
      </c>
      <c r="N43" s="9">
        <f>N40/N20</f>
        <v>7.4204852710971986E-3</v>
      </c>
    </row>
    <row r="44" spans="2:14" x14ac:dyDescent="0.2">
      <c r="B44" t="s">
        <v>159</v>
      </c>
      <c r="C44" s="11">
        <f>C21*(C40/C20)</f>
        <v>0.66977782251776263</v>
      </c>
      <c r="D44" s="11">
        <f>D21*(D40/D20)</f>
        <v>2.6791112900710505</v>
      </c>
      <c r="E44" s="11">
        <f>E21*(E40/E20)</f>
        <v>26.791112900710498</v>
      </c>
      <c r="G44" s="11">
        <f>G21*(G40/G20)</f>
        <v>37.927995816146094</v>
      </c>
      <c r="H44" s="11">
        <f>H21*(H40/H20)</f>
        <v>85.476793096778223</v>
      </c>
      <c r="J44" s="11">
        <f>J21*(J40/J20)</f>
        <v>56.474863777998479</v>
      </c>
      <c r="K44" s="11">
        <f>K21*(K40/K20)</f>
        <v>328.91209456646527</v>
      </c>
      <c r="M44" s="11">
        <f>M21*(M40/M20)</f>
        <v>13.390294917112742</v>
      </c>
      <c r="N44" s="11">
        <f>N21*(N40/N20)</f>
        <v>742.04852710971988</v>
      </c>
    </row>
  </sheetData>
  <mergeCells count="4">
    <mergeCell ref="A3:D3"/>
    <mergeCell ref="G4:H4"/>
    <mergeCell ref="J4:K4"/>
    <mergeCell ref="M4:N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Master Model Rough Draft</vt:lpstr>
      <vt:lpstr>PCR LOD Comparison, RNA Only</vt:lpstr>
      <vt:lpstr>Monkeypox Sample Ct 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Heron</dc:creator>
  <cp:keywords/>
  <dc:description/>
  <cp:lastModifiedBy>Lenny McCline</cp:lastModifiedBy>
  <cp:revision/>
  <dcterms:created xsi:type="dcterms:W3CDTF">2022-10-07T16:06:17Z</dcterms:created>
  <dcterms:modified xsi:type="dcterms:W3CDTF">2023-07-13T16:10:18Z</dcterms:modified>
  <cp:category/>
  <cp:contentStatus/>
</cp:coreProperties>
</file>