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n\Downloads\"/>
    </mc:Choice>
  </mc:AlternateContent>
  <xr:revisionPtr revIDLastSave="0" documentId="13_ncr:1_{BA8479E7-0FF6-4677-9F2B-F8125EAC211E}" xr6:coauthVersionLast="47" xr6:coauthVersionMax="47" xr10:uidLastSave="{00000000-0000-0000-0000-000000000000}"/>
  <bookViews>
    <workbookView xWindow="-120" yWindow="-120" windowWidth="29040" windowHeight="15720" activeTab="1" xr2:uid="{C74C3F96-AD76-4767-9ABD-0FCFAB6D61B7}"/>
  </bookViews>
  <sheets>
    <sheet name="Costeo" sheetId="1" r:id="rId1"/>
    <sheet name="Flujo de Caja" sheetId="2" r:id="rId2"/>
    <sheet name="Amortiz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3" i="3"/>
  <c r="D11" i="2"/>
  <c r="D13" i="2" s="1"/>
  <c r="D15" i="2" s="1"/>
  <c r="D17" i="2" s="1"/>
  <c r="D22" i="2" s="1"/>
  <c r="R40" i="1"/>
  <c r="Q39" i="1" s="1"/>
  <c r="Q35" i="1"/>
  <c r="R14" i="1"/>
  <c r="Q32" i="1"/>
  <c r="Q34" i="1"/>
  <c r="E28" i="1"/>
  <c r="E27" i="1"/>
  <c r="E19" i="1"/>
  <c r="E38" i="2"/>
  <c r="F38" i="2"/>
  <c r="G38" i="2"/>
  <c r="H38" i="2"/>
  <c r="I38" i="2"/>
  <c r="D38" i="2"/>
  <c r="B68" i="3"/>
  <c r="A66" i="3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D16" i="2"/>
  <c r="J4" i="3" l="1"/>
  <c r="Q14" i="1"/>
  <c r="D4" i="3"/>
  <c r="C3" i="3"/>
  <c r="C4" i="3" s="1"/>
  <c r="C69" i="3" l="1"/>
  <c r="D35" i="2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E4" i="3"/>
  <c r="C50" i="3"/>
  <c r="C49" i="3"/>
  <c r="C63" i="3"/>
  <c r="C62" i="3"/>
  <c r="C14" i="3"/>
  <c r="C13" i="3"/>
  <c r="C47" i="3"/>
  <c r="C23" i="3"/>
  <c r="C58" i="3"/>
  <c r="C56" i="3"/>
  <c r="C44" i="3"/>
  <c r="C32" i="3"/>
  <c r="C20" i="3"/>
  <c r="C8" i="3"/>
  <c r="C39" i="3"/>
  <c r="C27" i="3"/>
  <c r="C26" i="3"/>
  <c r="C61" i="3"/>
  <c r="C25" i="3"/>
  <c r="C60" i="3"/>
  <c r="C36" i="3"/>
  <c r="C12" i="3"/>
  <c r="C59" i="3"/>
  <c r="C11" i="3"/>
  <c r="C46" i="3"/>
  <c r="C10" i="3"/>
  <c r="C55" i="3"/>
  <c r="C43" i="3"/>
  <c r="C31" i="3"/>
  <c r="C19" i="3"/>
  <c r="C7" i="3"/>
  <c r="C24" i="3"/>
  <c r="C34" i="3"/>
  <c r="C45" i="3"/>
  <c r="C18" i="3"/>
  <c r="C51" i="3"/>
  <c r="C15" i="3"/>
  <c r="C38" i="3"/>
  <c r="C37" i="3"/>
  <c r="C48" i="3"/>
  <c r="C35" i="3"/>
  <c r="C22" i="3"/>
  <c r="C57" i="3"/>
  <c r="C33" i="3"/>
  <c r="C21" i="3"/>
  <c r="C9" i="3"/>
  <c r="C54" i="3"/>
  <c r="C42" i="3"/>
  <c r="C30" i="3"/>
  <c r="C6" i="3"/>
  <c r="C53" i="3"/>
  <c r="C41" i="3"/>
  <c r="C29" i="3"/>
  <c r="C17" i="3"/>
  <c r="C5" i="3"/>
  <c r="C64" i="3" s="1"/>
  <c r="C52" i="3"/>
  <c r="C40" i="3"/>
  <c r="C28" i="3"/>
  <c r="C16" i="3"/>
  <c r="BM16" i="2"/>
  <c r="B4" i="3" l="1"/>
  <c r="D5" i="3" s="1"/>
  <c r="C70" i="3"/>
  <c r="C71" i="3"/>
  <c r="C72" i="3"/>
  <c r="C73" i="3"/>
  <c r="D37" i="2"/>
  <c r="D39" i="2" s="1"/>
  <c r="D44" i="2" s="1"/>
  <c r="E5" i="3"/>
  <c r="B5" i="3" s="1"/>
  <c r="D6" i="3" s="1"/>
  <c r="E6" i="3" s="1"/>
  <c r="B6" i="3" s="1"/>
  <c r="D7" i="3" s="1"/>
  <c r="E7" i="3" s="1"/>
  <c r="B7" i="3" s="1"/>
  <c r="D8" i="3" s="1"/>
  <c r="E8" i="3" s="1"/>
  <c r="B8" i="3" s="1"/>
  <c r="J5" i="3"/>
  <c r="C74" i="3" l="1"/>
  <c r="J2" i="3"/>
  <c r="K4" i="3" s="1"/>
  <c r="K5" i="3" s="1"/>
  <c r="E8" i="2"/>
  <c r="D9" i="3"/>
  <c r="E9" i="3" s="1"/>
  <c r="B9" i="3" s="1"/>
  <c r="K2" i="3" l="1"/>
  <c r="F8" i="2"/>
  <c r="D10" i="3"/>
  <c r="E10" i="3" s="1"/>
  <c r="B10" i="3" s="1"/>
  <c r="L4" i="3" l="1"/>
  <c r="L5" i="3" s="1"/>
  <c r="G8" i="2" s="1"/>
  <c r="D11" i="3"/>
  <c r="E11" i="3" s="1"/>
  <c r="B11" i="3" s="1"/>
  <c r="L2" i="3" l="1"/>
  <c r="M4" i="3"/>
  <c r="M5" i="3" s="1"/>
  <c r="H8" i="2" s="1"/>
  <c r="M2" i="3"/>
  <c r="D12" i="3"/>
  <c r="E12" i="3" s="1"/>
  <c r="B12" i="3" s="1"/>
  <c r="N4" i="3" l="1"/>
  <c r="N5" i="3" s="1"/>
  <c r="I8" i="2" s="1"/>
  <c r="D13" i="3"/>
  <c r="E13" i="3" s="1"/>
  <c r="B13" i="3" s="1"/>
  <c r="N2" i="3" l="1"/>
  <c r="O4" i="3" s="1"/>
  <c r="O5" i="3" s="1"/>
  <c r="D14" i="3"/>
  <c r="E14" i="3" s="1"/>
  <c r="B14" i="3" s="1"/>
  <c r="J8" i="2" l="1"/>
  <c r="O2" i="3"/>
  <c r="P4" i="3"/>
  <c r="P5" i="3" s="1"/>
  <c r="K8" i="2" s="1"/>
  <c r="P2" i="3"/>
  <c r="D15" i="3"/>
  <c r="E15" i="3" l="1"/>
  <c r="B15" i="3" s="1"/>
  <c r="D69" i="3"/>
  <c r="Q4" i="3"/>
  <c r="Q5" i="3" s="1"/>
  <c r="L8" i="2" s="1"/>
  <c r="Q2" i="3"/>
  <c r="D16" i="3"/>
  <c r="E16" i="3" l="1"/>
  <c r="B16" i="3" s="1"/>
  <c r="E69" i="3"/>
  <c r="R4" i="3"/>
  <c r="R5" i="3" s="1"/>
  <c r="M8" i="2" s="1"/>
  <c r="R2" i="3"/>
  <c r="D17" i="3"/>
  <c r="E17" i="3" s="1"/>
  <c r="B17" i="3" s="1"/>
  <c r="B69" i="3" l="1"/>
  <c r="S4" i="3"/>
  <c r="S5" i="3" s="1"/>
  <c r="N8" i="2" s="1"/>
  <c r="S2" i="3"/>
  <c r="D18" i="3"/>
  <c r="E18" i="3" s="1"/>
  <c r="B18" i="3" s="1"/>
  <c r="T4" i="3" l="1"/>
  <c r="T5" i="3" s="1"/>
  <c r="O8" i="2" s="1"/>
  <c r="T2" i="3"/>
  <c r="D19" i="3"/>
  <c r="E19" i="3" s="1"/>
  <c r="B19" i="3" s="1"/>
  <c r="U4" i="3" l="1"/>
  <c r="U5" i="3" s="1"/>
  <c r="P8" i="2" s="1"/>
  <c r="E30" i="2" s="1"/>
  <c r="U2" i="3"/>
  <c r="D20" i="3"/>
  <c r="E20" i="3" s="1"/>
  <c r="B20" i="3" s="1"/>
  <c r="V4" i="3" l="1"/>
  <c r="V5" i="3" s="1"/>
  <c r="Q8" i="2" s="1"/>
  <c r="D21" i="3"/>
  <c r="E21" i="3" s="1"/>
  <c r="B21" i="3" s="1"/>
  <c r="V2" i="3" l="1"/>
  <c r="W4" i="3" s="1"/>
  <c r="W5" i="3" s="1"/>
  <c r="R8" i="2" s="1"/>
  <c r="D22" i="3"/>
  <c r="E22" i="3" s="1"/>
  <c r="B22" i="3" s="1"/>
  <c r="W2" i="3" l="1"/>
  <c r="X4" i="3" s="1"/>
  <c r="X5" i="3" s="1"/>
  <c r="S8" i="2" s="1"/>
  <c r="D23" i="3"/>
  <c r="E23" i="3" s="1"/>
  <c r="B23" i="3" s="1"/>
  <c r="X2" i="3" l="1"/>
  <c r="Y4" i="3" s="1"/>
  <c r="Y5" i="3" s="1"/>
  <c r="T8" i="2" s="1"/>
  <c r="D24" i="3"/>
  <c r="E24" i="3" s="1"/>
  <c r="B24" i="3" s="1"/>
  <c r="Y2" i="3" l="1"/>
  <c r="Z4" i="3"/>
  <c r="Z5" i="3" s="1"/>
  <c r="U8" i="2" s="1"/>
  <c r="Z2" i="3"/>
  <c r="D25" i="3"/>
  <c r="E25" i="3" s="1"/>
  <c r="B25" i="3" s="1"/>
  <c r="D62" i="2"/>
  <c r="C62" i="2"/>
  <c r="Q31" i="1"/>
  <c r="O33" i="1" s="1"/>
  <c r="Q23" i="1"/>
  <c r="R22" i="1"/>
  <c r="R21" i="1"/>
  <c r="Q18" i="1"/>
  <c r="R18" i="1"/>
  <c r="R19" i="1"/>
  <c r="R20" i="1"/>
  <c r="R17" i="1"/>
  <c r="R7" i="1"/>
  <c r="R8" i="1"/>
  <c r="R9" i="1"/>
  <c r="R10" i="1"/>
  <c r="R11" i="1"/>
  <c r="R12" i="1"/>
  <c r="R6" i="1"/>
  <c r="E32" i="1"/>
  <c r="D31" i="1"/>
  <c r="E31" i="1" s="1"/>
  <c r="E33" i="1" s="1"/>
  <c r="E26" i="1"/>
  <c r="E25" i="1"/>
  <c r="E24" i="1"/>
  <c r="D23" i="1"/>
  <c r="E23" i="1" s="1"/>
  <c r="D22" i="1"/>
  <c r="E22" i="1" s="1"/>
  <c r="D21" i="1"/>
  <c r="E21" i="1" s="1"/>
  <c r="AA4" i="3" l="1"/>
  <c r="AA5" i="3" s="1"/>
  <c r="V8" i="2" s="1"/>
  <c r="AA2" i="3"/>
  <c r="L6" i="2"/>
  <c r="X6" i="2"/>
  <c r="AJ6" i="2"/>
  <c r="AV6" i="2"/>
  <c r="BH6" i="2"/>
  <c r="AA6" i="2"/>
  <c r="AY6" i="2"/>
  <c r="BK6" i="2"/>
  <c r="P6" i="2"/>
  <c r="AN6" i="2"/>
  <c r="Q6" i="2"/>
  <c r="BA6" i="2"/>
  <c r="AP6" i="2"/>
  <c r="AQ6" i="2"/>
  <c r="AR6" i="2"/>
  <c r="J6" i="2"/>
  <c r="AT6" i="2"/>
  <c r="K6" i="2"/>
  <c r="AU6" i="2"/>
  <c r="M6" i="2"/>
  <c r="Y6" i="2"/>
  <c r="AK6" i="2"/>
  <c r="AW6" i="2"/>
  <c r="BI6" i="2"/>
  <c r="AM6" i="2"/>
  <c r="AB6" i="2"/>
  <c r="BL6" i="2"/>
  <c r="AC6" i="2"/>
  <c r="H6" i="2"/>
  <c r="R6" i="2"/>
  <c r="S6" i="2"/>
  <c r="AG6" i="2"/>
  <c r="N6" i="2"/>
  <c r="Z6" i="2"/>
  <c r="AL6" i="2"/>
  <c r="AX6" i="2"/>
  <c r="BJ6" i="2"/>
  <c r="O6" i="2"/>
  <c r="AZ6" i="2"/>
  <c r="AO6" i="2"/>
  <c r="AD6" i="2"/>
  <c r="BB6" i="2"/>
  <c r="AE6" i="2"/>
  <c r="BC6" i="2"/>
  <c r="T6" i="2"/>
  <c r="BD6" i="2"/>
  <c r="U6" i="2"/>
  <c r="BE6" i="2"/>
  <c r="V6" i="2"/>
  <c r="W6" i="2"/>
  <c r="BG6" i="2"/>
  <c r="AF6" i="2"/>
  <c r="I6" i="2"/>
  <c r="AS6" i="2"/>
  <c r="AH6" i="2"/>
  <c r="BF6" i="2"/>
  <c r="AI6" i="2"/>
  <c r="R13" i="1"/>
  <c r="D26" i="3"/>
  <c r="E26" i="3" s="1"/>
  <c r="B26" i="3" s="1"/>
  <c r="E17" i="1"/>
  <c r="E18" i="1"/>
  <c r="E13" i="1"/>
  <c r="E14" i="1"/>
  <c r="E15" i="1"/>
  <c r="E16" i="1"/>
  <c r="E10" i="1"/>
  <c r="E8" i="1"/>
  <c r="E9" i="1"/>
  <c r="E7" i="1"/>
  <c r="H28" i="2" l="1"/>
  <c r="E28" i="2"/>
  <c r="G28" i="2"/>
  <c r="I28" i="2"/>
  <c r="F28" i="2"/>
  <c r="AB4" i="3"/>
  <c r="AB5" i="3" s="1"/>
  <c r="W8" i="2" s="1"/>
  <c r="E11" i="1"/>
  <c r="T5" i="2"/>
  <c r="AF5" i="2"/>
  <c r="AR5" i="2"/>
  <c r="BD5" i="2"/>
  <c r="AI5" i="2"/>
  <c r="BG5" i="2"/>
  <c r="L5" i="2"/>
  <c r="AJ5" i="2"/>
  <c r="AK5" i="2"/>
  <c r="Z5" i="2"/>
  <c r="BJ5" i="2"/>
  <c r="AA5" i="2"/>
  <c r="AM5" i="2"/>
  <c r="BK5" i="2"/>
  <c r="AB5" i="2"/>
  <c r="BL5" i="2"/>
  <c r="R5" i="2"/>
  <c r="AE5" i="2"/>
  <c r="I5" i="2"/>
  <c r="U5" i="2"/>
  <c r="AG5" i="2"/>
  <c r="AS5" i="2"/>
  <c r="BE5" i="2"/>
  <c r="W5" i="2"/>
  <c r="AU5" i="2"/>
  <c r="X5" i="2"/>
  <c r="BH5" i="2"/>
  <c r="M5" i="2"/>
  <c r="AW5" i="2"/>
  <c r="N5" i="2"/>
  <c r="H5" i="2"/>
  <c r="AC5" i="2"/>
  <c r="J5" i="2"/>
  <c r="V5" i="2"/>
  <c r="AH5" i="2"/>
  <c r="AT5" i="2"/>
  <c r="BF5" i="2"/>
  <c r="K5" i="2"/>
  <c r="AV5" i="2"/>
  <c r="Y5" i="2"/>
  <c r="BI5" i="2"/>
  <c r="AX5" i="2"/>
  <c r="O5" i="2"/>
  <c r="AY5" i="2"/>
  <c r="AN5" i="2"/>
  <c r="AO5" i="2"/>
  <c r="AP5" i="2"/>
  <c r="AQ5" i="2"/>
  <c r="AL5" i="2"/>
  <c r="P5" i="2"/>
  <c r="AZ5" i="2"/>
  <c r="Q5" i="2"/>
  <c r="BA5" i="2"/>
  <c r="AD5" i="2"/>
  <c r="BB5" i="2"/>
  <c r="S5" i="2"/>
  <c r="BC5" i="2"/>
  <c r="D27" i="3"/>
  <c r="AB2" i="3" l="1"/>
  <c r="E27" i="3"/>
  <c r="B27" i="3" s="1"/>
  <c r="D70" i="3"/>
  <c r="I27" i="2"/>
  <c r="F27" i="2"/>
  <c r="H27" i="2"/>
  <c r="G27" i="2"/>
  <c r="E27" i="2"/>
  <c r="AC4" i="3"/>
  <c r="AC5" i="3" s="1"/>
  <c r="X8" i="2" s="1"/>
  <c r="AC2" i="3"/>
  <c r="L4" i="2"/>
  <c r="K4" i="2"/>
  <c r="AM4" i="2"/>
  <c r="BK4" i="2"/>
  <c r="V4" i="2"/>
  <c r="AU4" i="2"/>
  <c r="AA4" i="2"/>
  <c r="AB4" i="2"/>
  <c r="AZ4" i="2"/>
  <c r="BF4" i="2"/>
  <c r="J4" i="2"/>
  <c r="P4" i="2"/>
  <c r="AN4" i="2"/>
  <c r="BL4" i="2"/>
  <c r="U4" i="2"/>
  <c r="Q4" i="2"/>
  <c r="AO4" i="2"/>
  <c r="AS4" i="2"/>
  <c r="AT4" i="2"/>
  <c r="W4" i="2"/>
  <c r="AY4" i="2"/>
  <c r="BA4" i="2"/>
  <c r="BE4" i="2"/>
  <c r="I4" i="2"/>
  <c r="BG4" i="2"/>
  <c r="AC4" i="2"/>
  <c r="AG4" i="2"/>
  <c r="AH4" i="2"/>
  <c r="AI4" i="2"/>
  <c r="BD4" i="2"/>
  <c r="Z4" i="2"/>
  <c r="AV4" i="2"/>
  <c r="BJ4" i="2"/>
  <c r="AX4" i="2"/>
  <c r="AL4" i="2"/>
  <c r="S4" i="2"/>
  <c r="BB4" i="2"/>
  <c r="Y4" i="2"/>
  <c r="AR4" i="2"/>
  <c r="O4" i="2"/>
  <c r="AJ4" i="2"/>
  <c r="X4" i="2"/>
  <c r="T4" i="2"/>
  <c r="BI4" i="2"/>
  <c r="AW4" i="2"/>
  <c r="AD4" i="2"/>
  <c r="R4" i="2"/>
  <c r="AF4" i="2"/>
  <c r="BC4" i="2"/>
  <c r="N4" i="2"/>
  <c r="AE4" i="2"/>
  <c r="AP4" i="2"/>
  <c r="M4" i="2"/>
  <c r="AQ4" i="2"/>
  <c r="AK4" i="2"/>
  <c r="BH4" i="2"/>
  <c r="E35" i="1"/>
  <c r="D28" i="3"/>
  <c r="E28" i="3" l="1"/>
  <c r="B28" i="3" s="1"/>
  <c r="E70" i="3"/>
  <c r="G26" i="2"/>
  <c r="I26" i="2"/>
  <c r="E26" i="2"/>
  <c r="H26" i="2"/>
  <c r="F26" i="2"/>
  <c r="AD4" i="3"/>
  <c r="AD5" i="3" s="1"/>
  <c r="Y8" i="2" s="1"/>
  <c r="AD2" i="3"/>
  <c r="Q26" i="1"/>
  <c r="D50" i="2"/>
  <c r="D29" i="3"/>
  <c r="E29" i="3" s="1"/>
  <c r="B29" i="3" s="1"/>
  <c r="B70" i="3" l="1"/>
  <c r="AE4" i="3"/>
  <c r="AE5" i="3" s="1"/>
  <c r="Z8" i="2" s="1"/>
  <c r="AE2" i="3"/>
  <c r="D52" i="2"/>
  <c r="C65" i="2"/>
  <c r="D30" i="3"/>
  <c r="E30" i="3" s="1"/>
  <c r="B30" i="3" s="1"/>
  <c r="AF4" i="3" l="1"/>
  <c r="AF5" i="3" s="1"/>
  <c r="AA8" i="2" s="1"/>
  <c r="AF2" i="3"/>
  <c r="D66" i="2"/>
  <c r="D68" i="2" s="1"/>
  <c r="E68" i="2" s="1"/>
  <c r="E7" i="2" s="1"/>
  <c r="C66" i="2"/>
  <c r="D31" i="3"/>
  <c r="E31" i="3" s="1"/>
  <c r="B31" i="3" s="1"/>
  <c r="E12" i="2" l="1"/>
  <c r="AG4" i="3"/>
  <c r="AG5" i="3" s="1"/>
  <c r="AB8" i="2" s="1"/>
  <c r="F30" i="2" s="1"/>
  <c r="AG2" i="3"/>
  <c r="AE7" i="2"/>
  <c r="V7" i="2"/>
  <c r="AA7" i="2"/>
  <c r="J7" i="2"/>
  <c r="AM7" i="2"/>
  <c r="AY7" i="2"/>
  <c r="BC7" i="2"/>
  <c r="AN7" i="2"/>
  <c r="BK7" i="2"/>
  <c r="BL7" i="2"/>
  <c r="P7" i="2"/>
  <c r="AI7" i="2"/>
  <c r="L7" i="2"/>
  <c r="F7" i="2"/>
  <c r="X7" i="2"/>
  <c r="BA7" i="2"/>
  <c r="I7" i="2"/>
  <c r="T7" i="2"/>
  <c r="U7" i="2"/>
  <c r="BB7" i="2"/>
  <c r="AR7" i="2"/>
  <c r="AS7" i="2"/>
  <c r="BD7" i="2"/>
  <c r="O7" i="2"/>
  <c r="AQ7" i="2"/>
  <c r="AH7" i="2"/>
  <c r="AB7" i="2"/>
  <c r="AT7" i="2"/>
  <c r="BF7" i="2"/>
  <c r="W7" i="2"/>
  <c r="K7" i="2"/>
  <c r="AU7" i="2"/>
  <c r="AO7" i="2"/>
  <c r="AC7" i="2"/>
  <c r="AV7" i="2"/>
  <c r="AP7" i="2"/>
  <c r="Y7" i="2"/>
  <c r="H7" i="2"/>
  <c r="AK7" i="2"/>
  <c r="BH7" i="2"/>
  <c r="AW7" i="2"/>
  <c r="AF7" i="2"/>
  <c r="AG7" i="2"/>
  <c r="E9" i="2"/>
  <c r="E11" i="2" s="1"/>
  <c r="E13" i="2" s="1"/>
  <c r="E15" i="2" s="1"/>
  <c r="AL7" i="2"/>
  <c r="Z7" i="2"/>
  <c r="BJ7" i="2"/>
  <c r="AZ7" i="2"/>
  <c r="BG7" i="2"/>
  <c r="Q7" i="2"/>
  <c r="R7" i="2"/>
  <c r="AJ7" i="2"/>
  <c r="AD7" i="2"/>
  <c r="M7" i="2"/>
  <c r="N7" i="2"/>
  <c r="G7" i="2"/>
  <c r="BI7" i="2"/>
  <c r="AX7" i="2"/>
  <c r="S7" i="2"/>
  <c r="BE7" i="2"/>
  <c r="D32" i="3"/>
  <c r="E32" i="3" s="1"/>
  <c r="B32" i="3" s="1"/>
  <c r="F29" i="2" l="1"/>
  <c r="G29" i="2"/>
  <c r="H29" i="2"/>
  <c r="I29" i="2"/>
  <c r="E29" i="2"/>
  <c r="AH4" i="3"/>
  <c r="AH5" i="3" s="1"/>
  <c r="AC8" i="2" s="1"/>
  <c r="AC9" i="2" s="1"/>
  <c r="AC10" i="2" s="1"/>
  <c r="AC11" i="2" s="1"/>
  <c r="AH2" i="3"/>
  <c r="BE12" i="2"/>
  <c r="S9" i="2"/>
  <c r="S10" i="2" s="1"/>
  <c r="S11" i="2" s="1"/>
  <c r="S12" i="2"/>
  <c r="AX12" i="2"/>
  <c r="BI12" i="2"/>
  <c r="G9" i="2"/>
  <c r="G11" i="2" s="1"/>
  <c r="G12" i="2"/>
  <c r="N9" i="2"/>
  <c r="N10" i="2" s="1"/>
  <c r="N11" i="2" s="1"/>
  <c r="N12" i="2"/>
  <c r="M9" i="2"/>
  <c r="M10" i="2" s="1"/>
  <c r="M11" i="2" s="1"/>
  <c r="M12" i="2"/>
  <c r="AD12" i="2"/>
  <c r="AJ12" i="2"/>
  <c r="R9" i="2"/>
  <c r="R10" i="2" s="1"/>
  <c r="R11" i="2" s="1"/>
  <c r="R12" i="2"/>
  <c r="Q9" i="2"/>
  <c r="Q10" i="2" s="1"/>
  <c r="Q11" i="2" s="1"/>
  <c r="Q12" i="2"/>
  <c r="BG12" i="2"/>
  <c r="AZ12" i="2"/>
  <c r="BJ12" i="2"/>
  <c r="Z9" i="2"/>
  <c r="Z10" i="2" s="1"/>
  <c r="Z11" i="2" s="1"/>
  <c r="Z12" i="2"/>
  <c r="AL12" i="2"/>
  <c r="AG12" i="2"/>
  <c r="AF12" i="2"/>
  <c r="AW12" i="2"/>
  <c r="BH12" i="2"/>
  <c r="AK12" i="2"/>
  <c r="H9" i="2"/>
  <c r="H10" i="2" s="1"/>
  <c r="H11" i="2" s="1"/>
  <c r="H13" i="2" s="1"/>
  <c r="H15" i="2" s="1"/>
  <c r="H12" i="2"/>
  <c r="Y9" i="2"/>
  <c r="Y10" i="2" s="1"/>
  <c r="Y11" i="2" s="1"/>
  <c r="Y12" i="2"/>
  <c r="AP12" i="2"/>
  <c r="AV12" i="2"/>
  <c r="AC12" i="2"/>
  <c r="AO12" i="2"/>
  <c r="AU12" i="2"/>
  <c r="K9" i="2"/>
  <c r="K10" i="2" s="1"/>
  <c r="K12" i="2"/>
  <c r="W9" i="2"/>
  <c r="W10" i="2" s="1"/>
  <c r="W12" i="2"/>
  <c r="BF12" i="2"/>
  <c r="AT12" i="2"/>
  <c r="AB9" i="2"/>
  <c r="AB10" i="2" s="1"/>
  <c r="AB11" i="2" s="1"/>
  <c r="AB12" i="2"/>
  <c r="AH12" i="2"/>
  <c r="AQ12" i="2"/>
  <c r="O9" i="2"/>
  <c r="O10" i="2" s="1"/>
  <c r="O11" i="2" s="1"/>
  <c r="O12" i="2"/>
  <c r="BD12" i="2"/>
  <c r="AS12" i="2"/>
  <c r="AR12" i="2"/>
  <c r="BB12" i="2"/>
  <c r="U9" i="2"/>
  <c r="U12" i="2"/>
  <c r="T9" i="2"/>
  <c r="T10" i="2" s="1"/>
  <c r="T11" i="2" s="1"/>
  <c r="T12" i="2"/>
  <c r="I9" i="2"/>
  <c r="I10" i="2" s="1"/>
  <c r="I12" i="2"/>
  <c r="BA12" i="2"/>
  <c r="X9" i="2"/>
  <c r="X12" i="2"/>
  <c r="F9" i="2"/>
  <c r="F11" i="2" s="1"/>
  <c r="F12" i="2"/>
  <c r="L9" i="2"/>
  <c r="L10" i="2" s="1"/>
  <c r="L11" i="2" s="1"/>
  <c r="L12" i="2"/>
  <c r="AI12" i="2"/>
  <c r="P9" i="2"/>
  <c r="P10" i="2" s="1"/>
  <c r="P11" i="2" s="1"/>
  <c r="P12" i="2"/>
  <c r="BL12" i="2"/>
  <c r="BK12" i="2"/>
  <c r="AN12" i="2"/>
  <c r="BC12" i="2"/>
  <c r="AY12" i="2"/>
  <c r="AM12" i="2"/>
  <c r="J9" i="2"/>
  <c r="J12" i="2"/>
  <c r="AA9" i="2"/>
  <c r="AA10" i="2" s="1"/>
  <c r="AA11" i="2" s="1"/>
  <c r="AA12" i="2"/>
  <c r="V9" i="2"/>
  <c r="V10" i="2" s="1"/>
  <c r="V12" i="2"/>
  <c r="AE12" i="2"/>
  <c r="E17" i="2"/>
  <c r="U10" i="2"/>
  <c r="U11" i="2"/>
  <c r="D33" i="3"/>
  <c r="E33" i="3" s="1"/>
  <c r="B33" i="3" s="1"/>
  <c r="J10" i="2" l="1"/>
  <c r="J11" i="2" s="1"/>
  <c r="J13" i="2" s="1"/>
  <c r="J15" i="2" s="1"/>
  <c r="J17" i="2" s="1"/>
  <c r="W11" i="2"/>
  <c r="W13" i="2" s="1"/>
  <c r="W15" i="2" s="1"/>
  <c r="W17" i="2" s="1"/>
  <c r="V11" i="2"/>
  <c r="K11" i="2"/>
  <c r="E22" i="2"/>
  <c r="I11" i="2"/>
  <c r="I13" i="2" s="1"/>
  <c r="I15" i="2" s="1"/>
  <c r="I17" i="2" s="1"/>
  <c r="X10" i="2"/>
  <c r="X11" i="2" s="1"/>
  <c r="X13" i="2" s="1"/>
  <c r="X15" i="2" s="1"/>
  <c r="X17" i="2" s="1"/>
  <c r="E34" i="2"/>
  <c r="E31" i="2"/>
  <c r="I34" i="2"/>
  <c r="H34" i="2"/>
  <c r="G34" i="2"/>
  <c r="F34" i="2"/>
  <c r="F31" i="2"/>
  <c r="AI4" i="3"/>
  <c r="AI5" i="3" s="1"/>
  <c r="AD8" i="2" s="1"/>
  <c r="AI2" i="3"/>
  <c r="L13" i="2"/>
  <c r="L15" i="2" s="1"/>
  <c r="L17" i="2" s="1"/>
  <c r="V13" i="2"/>
  <c r="V15" i="2" s="1"/>
  <c r="V17" i="2" s="1"/>
  <c r="U13" i="2"/>
  <c r="U15" i="2" s="1"/>
  <c r="U17" i="2" s="1"/>
  <c r="K13" i="2"/>
  <c r="K15" i="2" s="1"/>
  <c r="K17" i="2" s="1"/>
  <c r="AA13" i="2"/>
  <c r="AA15" i="2" s="1"/>
  <c r="AA17" i="2" s="1"/>
  <c r="P13" i="2"/>
  <c r="P15" i="2" s="1"/>
  <c r="P17" i="2" s="1"/>
  <c r="F13" i="2"/>
  <c r="F15" i="2" s="1"/>
  <c r="T13" i="2"/>
  <c r="T15" i="2" s="1"/>
  <c r="T17" i="2" s="1"/>
  <c r="O13" i="2"/>
  <c r="O15" i="2" s="1"/>
  <c r="O17" i="2" s="1"/>
  <c r="AB13" i="2"/>
  <c r="AB15" i="2" s="1"/>
  <c r="AB17" i="2" s="1"/>
  <c r="AC13" i="2"/>
  <c r="AC15" i="2" s="1"/>
  <c r="AC17" i="2" s="1"/>
  <c r="Y13" i="2"/>
  <c r="Y15" i="2" s="1"/>
  <c r="Y17" i="2" s="1"/>
  <c r="Z13" i="2"/>
  <c r="Z15" i="2" s="1"/>
  <c r="Z17" i="2" s="1"/>
  <c r="Q13" i="2"/>
  <c r="Q15" i="2" s="1"/>
  <c r="Q17" i="2" s="1"/>
  <c r="R13" i="2"/>
  <c r="R15" i="2" s="1"/>
  <c r="R17" i="2" s="1"/>
  <c r="M13" i="2"/>
  <c r="M15" i="2" s="1"/>
  <c r="M17" i="2" s="1"/>
  <c r="N13" i="2"/>
  <c r="N15" i="2" s="1"/>
  <c r="N17" i="2" s="1"/>
  <c r="G13" i="2"/>
  <c r="G15" i="2" s="1"/>
  <c r="G17" i="2" s="1"/>
  <c r="S13" i="2"/>
  <c r="S15" i="2" s="1"/>
  <c r="S17" i="2" s="1"/>
  <c r="H17" i="2"/>
  <c r="D34" i="3"/>
  <c r="E34" i="3" s="1"/>
  <c r="B34" i="3" s="1"/>
  <c r="BM15" i="2" l="1"/>
  <c r="F17" i="2"/>
  <c r="D23" i="2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9" i="2"/>
  <c r="AD10" i="2" s="1"/>
  <c r="AD11" i="2" s="1"/>
  <c r="AD13" i="2" s="1"/>
  <c r="AD15" i="2" s="1"/>
  <c r="AD17" i="2" s="1"/>
  <c r="F32" i="2"/>
  <c r="F33" i="2"/>
  <c r="F35" i="2" s="1"/>
  <c r="F37" i="2" s="1"/>
  <c r="F39" i="2" s="1"/>
  <c r="E32" i="2"/>
  <c r="E33" i="2" s="1"/>
  <c r="E35" i="2" s="1"/>
  <c r="AJ4" i="3"/>
  <c r="AJ5" i="3" s="1"/>
  <c r="AE8" i="2" s="1"/>
  <c r="D35" i="3"/>
  <c r="E35" i="3" s="1"/>
  <c r="B35" i="3" s="1"/>
  <c r="AJ2" i="3" l="1"/>
  <c r="AK4" i="3" s="1"/>
  <c r="AK5" i="3" s="1"/>
  <c r="AF8" i="2" s="1"/>
  <c r="AD22" i="2"/>
  <c r="AE9" i="2"/>
  <c r="AE10" i="2" s="1"/>
  <c r="AE11" i="2" s="1"/>
  <c r="AE13" i="2" s="1"/>
  <c r="AE15" i="2" s="1"/>
  <c r="AE17" i="2" s="1"/>
  <c r="E37" i="2"/>
  <c r="D36" i="3"/>
  <c r="E36" i="3" s="1"/>
  <c r="B36" i="3" s="1"/>
  <c r="AK2" i="3" l="1"/>
  <c r="E39" i="2"/>
  <c r="D45" i="2"/>
  <c r="AE22" i="2"/>
  <c r="AF9" i="2"/>
  <c r="AF10" i="2" s="1"/>
  <c r="AF11" i="2" s="1"/>
  <c r="AF13" i="2" s="1"/>
  <c r="AF15" i="2" s="1"/>
  <c r="AF17" i="2" s="1"/>
  <c r="AL4" i="3"/>
  <c r="AL5" i="3" s="1"/>
  <c r="AG8" i="2" s="1"/>
  <c r="D37" i="3"/>
  <c r="E37" i="3" s="1"/>
  <c r="B37" i="3" s="1"/>
  <c r="AL2" i="3" l="1"/>
  <c r="AF22" i="2"/>
  <c r="E44" i="2"/>
  <c r="F44" i="2" s="1"/>
  <c r="AG9" i="2"/>
  <c r="AG10" i="2" s="1"/>
  <c r="AG11" i="2" s="1"/>
  <c r="AG13" i="2" s="1"/>
  <c r="AG15" i="2" s="1"/>
  <c r="AG17" i="2" s="1"/>
  <c r="AM4" i="3"/>
  <c r="AM5" i="3" s="1"/>
  <c r="AH8" i="2" s="1"/>
  <c r="AM2" i="3"/>
  <c r="D38" i="3"/>
  <c r="E38" i="3" s="1"/>
  <c r="B38" i="3" s="1"/>
  <c r="AG22" i="2" l="1"/>
  <c r="AH9" i="2"/>
  <c r="AH10" i="2" s="1"/>
  <c r="AH11" i="2" s="1"/>
  <c r="AH13" i="2" s="1"/>
  <c r="AH15" i="2" s="1"/>
  <c r="AH17" i="2" s="1"/>
  <c r="AN4" i="3"/>
  <c r="AN5" i="3" s="1"/>
  <c r="AI8" i="2" s="1"/>
  <c r="D39" i="3"/>
  <c r="AN2" i="3" l="1"/>
  <c r="E39" i="3"/>
  <c r="B39" i="3" s="1"/>
  <c r="D71" i="3"/>
  <c r="AH22" i="2"/>
  <c r="AI9" i="2"/>
  <c r="AI10" i="2" s="1"/>
  <c r="AI11" i="2" s="1"/>
  <c r="AI13" i="2" s="1"/>
  <c r="AI15" i="2" s="1"/>
  <c r="AI17" i="2" s="1"/>
  <c r="AI22" i="2" s="1"/>
  <c r="AO4" i="3"/>
  <c r="AO5" i="3" s="1"/>
  <c r="AJ8" i="2" s="1"/>
  <c r="D40" i="3"/>
  <c r="AO2" i="3" l="1"/>
  <c r="E40" i="3"/>
  <c r="B40" i="3" s="1"/>
  <c r="E71" i="3"/>
  <c r="AJ9" i="2"/>
  <c r="AP4" i="3"/>
  <c r="AP5" i="3" s="1"/>
  <c r="AK8" i="2" s="1"/>
  <c r="AP2" i="3"/>
  <c r="AJ10" i="2"/>
  <c r="AJ11" i="2" s="1"/>
  <c r="AJ13" i="2" s="1"/>
  <c r="AJ15" i="2" s="1"/>
  <c r="AJ17" i="2" s="1"/>
  <c r="AJ22" i="2" s="1"/>
  <c r="D41" i="3"/>
  <c r="E41" i="3" s="1"/>
  <c r="B41" i="3" s="1"/>
  <c r="B71" i="3" l="1"/>
  <c r="AK9" i="2"/>
  <c r="AK10" i="2" s="1"/>
  <c r="AK11" i="2" s="1"/>
  <c r="AK13" i="2" s="1"/>
  <c r="AK15" i="2" s="1"/>
  <c r="AK17" i="2" s="1"/>
  <c r="AK22" i="2" s="1"/>
  <c r="AQ4" i="3"/>
  <c r="AQ5" i="3" s="1"/>
  <c r="AL8" i="2" s="1"/>
  <c r="AQ2" i="3"/>
  <c r="D42" i="3"/>
  <c r="E42" i="3" s="1"/>
  <c r="B42" i="3" s="1"/>
  <c r="AL9" i="2" l="1"/>
  <c r="AL10" i="2" s="1"/>
  <c r="AL11" i="2" s="1"/>
  <c r="AL13" i="2" s="1"/>
  <c r="AL15" i="2" s="1"/>
  <c r="AL17" i="2" s="1"/>
  <c r="AL22" i="2" s="1"/>
  <c r="AR4" i="3"/>
  <c r="AR5" i="3" s="1"/>
  <c r="AM8" i="2" s="1"/>
  <c r="AR2" i="3"/>
  <c r="D43" i="3"/>
  <c r="E43" i="3" s="1"/>
  <c r="B43" i="3" s="1"/>
  <c r="AM9" i="2" l="1"/>
  <c r="AM10" i="2" s="1"/>
  <c r="AM11" i="2" s="1"/>
  <c r="AM13" i="2" s="1"/>
  <c r="AM15" i="2" s="1"/>
  <c r="AM17" i="2" s="1"/>
  <c r="AM22" i="2" s="1"/>
  <c r="AS4" i="3"/>
  <c r="AS5" i="3" s="1"/>
  <c r="AN8" i="2" s="1"/>
  <c r="D44" i="3"/>
  <c r="E44" i="3" s="1"/>
  <c r="B44" i="3" s="1"/>
  <c r="AS2" i="3" l="1"/>
  <c r="AN9" i="2"/>
  <c r="AN10" i="2" s="1"/>
  <c r="AN11" i="2" s="1"/>
  <c r="AN13" i="2" s="1"/>
  <c r="AN15" i="2" s="1"/>
  <c r="AN17" i="2" s="1"/>
  <c r="AN22" i="2" s="1"/>
  <c r="G30" i="2"/>
  <c r="G31" i="2" s="1"/>
  <c r="AT4" i="3"/>
  <c r="AT5" i="3" s="1"/>
  <c r="AO8" i="2" s="1"/>
  <c r="AT2" i="3"/>
  <c r="D45" i="3"/>
  <c r="E45" i="3" s="1"/>
  <c r="B45" i="3" s="1"/>
  <c r="AO9" i="2" l="1"/>
  <c r="AO10" i="2" s="1"/>
  <c r="AO11" i="2" s="1"/>
  <c r="AO13" i="2" s="1"/>
  <c r="AO15" i="2" s="1"/>
  <c r="AO17" i="2" s="1"/>
  <c r="AO22" i="2" s="1"/>
  <c r="G32" i="2"/>
  <c r="G33" i="2" s="1"/>
  <c r="G35" i="2" s="1"/>
  <c r="AU4" i="3"/>
  <c r="AU5" i="3" s="1"/>
  <c r="AP8" i="2" s="1"/>
  <c r="AU2" i="3"/>
  <c r="D46" i="3"/>
  <c r="E46" i="3" s="1"/>
  <c r="B46" i="3" s="1"/>
  <c r="AP9" i="2" l="1"/>
  <c r="AP10" i="2" s="1"/>
  <c r="AP11" i="2" s="1"/>
  <c r="AP13" i="2" s="1"/>
  <c r="AP15" i="2" s="1"/>
  <c r="AP17" i="2" s="1"/>
  <c r="AP22" i="2" s="1"/>
  <c r="G37" i="2"/>
  <c r="G39" i="2" s="1"/>
  <c r="AV4" i="3"/>
  <c r="AV5" i="3" s="1"/>
  <c r="AQ8" i="2" s="1"/>
  <c r="D47" i="3"/>
  <c r="E47" i="3" s="1"/>
  <c r="B47" i="3" s="1"/>
  <c r="AV2" i="3" l="1"/>
  <c r="AW4" i="3" s="1"/>
  <c r="AW5" i="3" s="1"/>
  <c r="AR8" i="2" s="1"/>
  <c r="G44" i="2"/>
  <c r="AQ9" i="2"/>
  <c r="AQ10" i="2" s="1"/>
  <c r="AQ11" i="2" s="1"/>
  <c r="AQ13" i="2" s="1"/>
  <c r="AQ15" i="2" s="1"/>
  <c r="AQ17" i="2" s="1"/>
  <c r="AQ22" i="2" s="1"/>
  <c r="D48" i="3"/>
  <c r="E48" i="3" s="1"/>
  <c r="B48" i="3" s="1"/>
  <c r="AW2" i="3" l="1"/>
  <c r="AR9" i="2"/>
  <c r="AR10" i="2" s="1"/>
  <c r="AR11" i="2" s="1"/>
  <c r="AR13" i="2" s="1"/>
  <c r="AR15" i="2" s="1"/>
  <c r="AR17" i="2" s="1"/>
  <c r="AR22" i="2" s="1"/>
  <c r="AX4" i="3"/>
  <c r="AX5" i="3" s="1"/>
  <c r="AS8" i="2" s="1"/>
  <c r="AX2" i="3"/>
  <c r="D49" i="3"/>
  <c r="E49" i="3" s="1"/>
  <c r="B49" i="3" s="1"/>
  <c r="AS9" i="2" l="1"/>
  <c r="AS10" i="2" s="1"/>
  <c r="AY4" i="3"/>
  <c r="AY5" i="3" s="1"/>
  <c r="AT8" i="2" s="1"/>
  <c r="D50" i="3"/>
  <c r="E50" i="3" s="1"/>
  <c r="B50" i="3" s="1"/>
  <c r="AY2" i="3" l="1"/>
  <c r="AS11" i="2"/>
  <c r="AS13" i="2" s="1"/>
  <c r="AS15" i="2" s="1"/>
  <c r="AS17" i="2" s="1"/>
  <c r="AS22" i="2" s="1"/>
  <c r="AT9" i="2"/>
  <c r="AT10" i="2" s="1"/>
  <c r="AT11" i="2" s="1"/>
  <c r="AT13" i="2" s="1"/>
  <c r="AT15" i="2" s="1"/>
  <c r="AT17" i="2" s="1"/>
  <c r="AZ4" i="3"/>
  <c r="AZ5" i="3" s="1"/>
  <c r="AU8" i="2" s="1"/>
  <c r="AZ2" i="3"/>
  <c r="D51" i="3"/>
  <c r="AT22" i="2" l="1"/>
  <c r="E51" i="3"/>
  <c r="B51" i="3" s="1"/>
  <c r="D72" i="3"/>
  <c r="AU9" i="2"/>
  <c r="AU10" i="2" s="1"/>
  <c r="BA4" i="3"/>
  <c r="BA5" i="3" s="1"/>
  <c r="AV8" i="2" s="1"/>
  <c r="BA2" i="3"/>
  <c r="D52" i="3"/>
  <c r="E52" i="3" l="1"/>
  <c r="B52" i="3" s="1"/>
  <c r="E72" i="3"/>
  <c r="AU11" i="2"/>
  <c r="AU13" i="2" s="1"/>
  <c r="AU15" i="2" s="1"/>
  <c r="AU17" i="2" s="1"/>
  <c r="AU22" i="2" s="1"/>
  <c r="AV9" i="2"/>
  <c r="AV10" i="2" s="1"/>
  <c r="AV11" i="2" s="1"/>
  <c r="AV13" i="2" s="1"/>
  <c r="AV15" i="2" s="1"/>
  <c r="AV17" i="2" s="1"/>
  <c r="BB4" i="3"/>
  <c r="BB5" i="3" s="1"/>
  <c r="AW8" i="2" s="1"/>
  <c r="D53" i="3"/>
  <c r="E53" i="3" s="1"/>
  <c r="B53" i="3" s="1"/>
  <c r="BB2" i="3" l="1"/>
  <c r="B72" i="3"/>
  <c r="AV22" i="2"/>
  <c r="AW9" i="2"/>
  <c r="AW10" i="2" s="1"/>
  <c r="AW11" i="2" s="1"/>
  <c r="AW13" i="2" s="1"/>
  <c r="AW15" i="2" s="1"/>
  <c r="AW17" i="2" s="1"/>
  <c r="BC4" i="3"/>
  <c r="BC5" i="3" s="1"/>
  <c r="AX8" i="2" s="1"/>
  <c r="BC2" i="3"/>
  <c r="D54" i="3"/>
  <c r="E54" i="3" s="1"/>
  <c r="B54" i="3" s="1"/>
  <c r="AW22" i="2" l="1"/>
  <c r="AX9" i="2"/>
  <c r="AX10" i="2" s="1"/>
  <c r="AX11" i="2" s="1"/>
  <c r="AX13" i="2" s="1"/>
  <c r="AX15" i="2" s="1"/>
  <c r="AX17" i="2" s="1"/>
  <c r="BD4" i="3"/>
  <c r="BD5" i="3" s="1"/>
  <c r="AY8" i="2" s="1"/>
  <c r="BD2" i="3"/>
  <c r="D55" i="3"/>
  <c r="E55" i="3" s="1"/>
  <c r="B55" i="3" s="1"/>
  <c r="AX22" i="2" l="1"/>
  <c r="AY9" i="2"/>
  <c r="AY10" i="2" s="1"/>
  <c r="AY11" i="2" s="1"/>
  <c r="AY13" i="2" s="1"/>
  <c r="AY15" i="2" s="1"/>
  <c r="AY17" i="2" s="1"/>
  <c r="BE4" i="3"/>
  <c r="BE5" i="3" s="1"/>
  <c r="AZ8" i="2" s="1"/>
  <c r="BE2" i="3"/>
  <c r="D56" i="3"/>
  <c r="E56" i="3" s="1"/>
  <c r="B56" i="3" s="1"/>
  <c r="AY22" i="2" l="1"/>
  <c r="AZ9" i="2"/>
  <c r="AZ10" i="2" s="1"/>
  <c r="AZ11" i="2" s="1"/>
  <c r="AZ13" i="2" s="1"/>
  <c r="AZ15" i="2" s="1"/>
  <c r="AZ17" i="2" s="1"/>
  <c r="AZ22" i="2" s="1"/>
  <c r="H30" i="2"/>
  <c r="H31" i="2" s="1"/>
  <c r="BF4" i="3"/>
  <c r="BF5" i="3" s="1"/>
  <c r="BA8" i="2" s="1"/>
  <c r="BF2" i="3"/>
  <c r="D57" i="3"/>
  <c r="E57" i="3" s="1"/>
  <c r="B57" i="3" s="1"/>
  <c r="BA9" i="2" l="1"/>
  <c r="BA10" i="2" s="1"/>
  <c r="BA11" i="2" s="1"/>
  <c r="BA13" i="2" s="1"/>
  <c r="BA15" i="2" s="1"/>
  <c r="BA17" i="2" s="1"/>
  <c r="BA22" i="2" s="1"/>
  <c r="H32" i="2"/>
  <c r="H33" i="2"/>
  <c r="H35" i="2" s="1"/>
  <c r="BG4" i="3"/>
  <c r="BG5" i="3" s="1"/>
  <c r="BB8" i="2" s="1"/>
  <c r="D58" i="3"/>
  <c r="E58" i="3" s="1"/>
  <c r="B58" i="3" s="1"/>
  <c r="BG2" i="3" l="1"/>
  <c r="BB9" i="2"/>
  <c r="BB10" i="2" s="1"/>
  <c r="BB11" i="2" s="1"/>
  <c r="BB13" i="2" s="1"/>
  <c r="BB15" i="2" s="1"/>
  <c r="BB17" i="2" s="1"/>
  <c r="BB22" i="2" s="1"/>
  <c r="H37" i="2"/>
  <c r="H39" i="2" s="1"/>
  <c r="BH4" i="3"/>
  <c r="BH5" i="3" s="1"/>
  <c r="BC8" i="2" s="1"/>
  <c r="BH2" i="3"/>
  <c r="D59" i="3"/>
  <c r="E59" i="3" s="1"/>
  <c r="B59" i="3" s="1"/>
  <c r="H44" i="2" l="1"/>
  <c r="BC9" i="2"/>
  <c r="BC10" i="2" s="1"/>
  <c r="BC11" i="2" s="1"/>
  <c r="BC13" i="2" s="1"/>
  <c r="BC15" i="2" s="1"/>
  <c r="BC17" i="2" s="1"/>
  <c r="BC22" i="2" s="1"/>
  <c r="BI4" i="3"/>
  <c r="BI5" i="3" s="1"/>
  <c r="BD8" i="2" s="1"/>
  <c r="BI2" i="3"/>
  <c r="D60" i="3"/>
  <c r="E60" i="3" s="1"/>
  <c r="B60" i="3" s="1"/>
  <c r="BD9" i="2" l="1"/>
  <c r="BD10" i="2" s="1"/>
  <c r="BD11" i="2" s="1"/>
  <c r="BD13" i="2" s="1"/>
  <c r="BD15" i="2" s="1"/>
  <c r="BD17" i="2" s="1"/>
  <c r="BD22" i="2" s="1"/>
  <c r="BJ4" i="3"/>
  <c r="BJ5" i="3" s="1"/>
  <c r="BE8" i="2" s="1"/>
  <c r="BJ2" i="3"/>
  <c r="D61" i="3"/>
  <c r="E61" i="3" s="1"/>
  <c r="B61" i="3" s="1"/>
  <c r="BE9" i="2" l="1"/>
  <c r="BE10" i="2" s="1"/>
  <c r="BE11" i="2" s="1"/>
  <c r="BE13" i="2" s="1"/>
  <c r="BE15" i="2" s="1"/>
  <c r="BE17" i="2" s="1"/>
  <c r="BE22" i="2" s="1"/>
  <c r="BK4" i="3"/>
  <c r="BK5" i="3" s="1"/>
  <c r="BF8" i="2" s="1"/>
  <c r="BK2" i="3"/>
  <c r="D62" i="3"/>
  <c r="E62" i="3" s="1"/>
  <c r="B62" i="3" s="1"/>
  <c r="BF9" i="2" l="1"/>
  <c r="BL4" i="3"/>
  <c r="BL5" i="3" s="1"/>
  <c r="BG8" i="2" s="1"/>
  <c r="BL2" i="3"/>
  <c r="BF10" i="2"/>
  <c r="BF11" i="2" s="1"/>
  <c r="BF13" i="2" s="1"/>
  <c r="BF15" i="2" s="1"/>
  <c r="BF17" i="2" s="1"/>
  <c r="BF22" i="2" s="1"/>
  <c r="D63" i="3"/>
  <c r="E63" i="3" l="1"/>
  <c r="D64" i="3"/>
  <c r="D73" i="3"/>
  <c r="BG9" i="2"/>
  <c r="BG10" i="2" s="1"/>
  <c r="BG11" i="2" s="1"/>
  <c r="BG13" i="2" s="1"/>
  <c r="BG15" i="2" s="1"/>
  <c r="BG17" i="2" s="1"/>
  <c r="BG22" i="2" s="1"/>
  <c r="BM4" i="3"/>
  <c r="BM5" i="3" s="1"/>
  <c r="BH8" i="2" s="1"/>
  <c r="BM2" i="3" l="1"/>
  <c r="E73" i="3"/>
  <c r="D74" i="3"/>
  <c r="B63" i="3"/>
  <c r="E64" i="3"/>
  <c r="BH9" i="2"/>
  <c r="BH10" i="2" s="1"/>
  <c r="BN4" i="3"/>
  <c r="BN5" i="3" s="1"/>
  <c r="BI8" i="2" s="1"/>
  <c r="BN2" i="3"/>
  <c r="E74" i="3" l="1"/>
  <c r="B73" i="3"/>
  <c r="BH11" i="2"/>
  <c r="BH13" i="2" s="1"/>
  <c r="BH15" i="2" s="1"/>
  <c r="BH17" i="2" s="1"/>
  <c r="BH22" i="2" s="1"/>
  <c r="BI9" i="2"/>
  <c r="BI10" i="2" s="1"/>
  <c r="BI11" i="2" s="1"/>
  <c r="BI13" i="2" s="1"/>
  <c r="BI15" i="2" s="1"/>
  <c r="BI17" i="2" s="1"/>
  <c r="BO4" i="3"/>
  <c r="BO5" i="3" s="1"/>
  <c r="BJ8" i="2" s="1"/>
  <c r="BO2" i="3"/>
  <c r="BI22" i="2" l="1"/>
  <c r="BJ9" i="2"/>
  <c r="BJ10" i="2" s="1"/>
  <c r="BJ11" i="2" s="1"/>
  <c r="BJ13" i="2" s="1"/>
  <c r="BJ15" i="2" s="1"/>
  <c r="BJ17" i="2" s="1"/>
  <c r="BP4" i="3"/>
  <c r="BP5" i="3" s="1"/>
  <c r="BK8" i="2" s="1"/>
  <c r="BP2" i="3"/>
  <c r="BJ22" i="2" l="1"/>
  <c r="BK9" i="2"/>
  <c r="BK10" i="2" s="1"/>
  <c r="BK11" i="2" s="1"/>
  <c r="BK13" i="2" s="1"/>
  <c r="BK15" i="2" s="1"/>
  <c r="BK17" i="2" s="1"/>
  <c r="BQ4" i="3"/>
  <c r="BQ5" i="3" s="1"/>
  <c r="BL8" i="2" s="1"/>
  <c r="BQ2" i="3"/>
  <c r="BK22" i="2" l="1"/>
  <c r="BL9" i="2"/>
  <c r="BL10" i="2" s="1"/>
  <c r="BL11" i="2" s="1"/>
  <c r="BL13" i="2" s="1"/>
  <c r="BL15" i="2" s="1"/>
  <c r="BL17" i="2" s="1"/>
  <c r="D18" i="2" s="1"/>
  <c r="I30" i="2"/>
  <c r="I31" i="2" s="1"/>
  <c r="D20" i="2"/>
  <c r="BL22" i="2" l="1"/>
  <c r="I32" i="2"/>
  <c r="I33" i="2" s="1"/>
  <c r="I35" i="2" s="1"/>
  <c r="I37" i="2" l="1"/>
  <c r="I39" i="2" s="1"/>
  <c r="D42" i="2" s="1"/>
  <c r="J35" i="2"/>
  <c r="I44" i="2" l="1"/>
  <c r="D40" i="2"/>
</calcChain>
</file>

<file path=xl/sharedStrings.xml><?xml version="1.0" encoding="utf-8"?>
<sst xmlns="http://schemas.openxmlformats.org/spreadsheetml/2006/main" count="132" uniqueCount="93">
  <si>
    <t>Costos de maquinaria</t>
  </si>
  <si>
    <t>Pintado y lacado</t>
  </si>
  <si>
    <t>Ejes de accionamiento</t>
  </si>
  <si>
    <t>Cantidad</t>
  </si>
  <si>
    <t>Precio C/U</t>
  </si>
  <si>
    <t>Total</t>
  </si>
  <si>
    <t>Perfil tubular</t>
  </si>
  <si>
    <t>Pistolas de pintura</t>
  </si>
  <si>
    <t>Sistemas neumaticos</t>
  </si>
  <si>
    <t>Corte de tubos</t>
  </si>
  <si>
    <t xml:space="preserve">Actuador lineal </t>
  </si>
  <si>
    <t>Cilindros neumaticos</t>
  </si>
  <si>
    <t>Electrovalvulas</t>
  </si>
  <si>
    <t>Sensor inducitvo</t>
  </si>
  <si>
    <t>Compresor</t>
  </si>
  <si>
    <t>Unidad de mantenimiento</t>
  </si>
  <si>
    <t xml:space="preserve">Total </t>
  </si>
  <si>
    <t>Celda robotizada</t>
  </si>
  <si>
    <t>Manipulador IRB1600 de 6kg con alcance de 1,45m</t>
  </si>
  <si>
    <t>Riel de avance IRBT2005 STD de 4 metros</t>
  </si>
  <si>
    <t>Controlador IRC5</t>
  </si>
  <si>
    <t>Mesa para taladrado</t>
  </si>
  <si>
    <t>Mandril de 5/8</t>
  </si>
  <si>
    <t>Mandril de 3/8</t>
  </si>
  <si>
    <t>Acondisionamiento del piso</t>
  </si>
  <si>
    <t xml:space="preserve">Montaje mesas de trabajo </t>
  </si>
  <si>
    <t>Bancos de trabajo autatizados</t>
  </si>
  <si>
    <t>Bancos de trabajo manual</t>
  </si>
  <si>
    <t xml:space="preserve">Este componente solo hace referencia a los costos de la fabricacion de las mesas </t>
  </si>
  <si>
    <t>Este puede ser opcional y ser un monofasico de 20 L vale 600, este es trifasico de 260 L xd</t>
  </si>
  <si>
    <t>Materia prima</t>
  </si>
  <si>
    <t xml:space="preserve">Item </t>
  </si>
  <si>
    <t xml:space="preserve">Cantidad </t>
  </si>
  <si>
    <t>Lamina MDF</t>
  </si>
  <si>
    <t>Tubos de aluminio</t>
  </si>
  <si>
    <t xml:space="preserve">Cajas de carton </t>
  </si>
  <si>
    <t xml:space="preserve">Litros de laca </t>
  </si>
  <si>
    <t xml:space="preserve">Litros de pintura </t>
  </si>
  <si>
    <t xml:space="preserve">Tornillos </t>
  </si>
  <si>
    <t xml:space="preserve">Tarugos </t>
  </si>
  <si>
    <t xml:space="preserve"> </t>
  </si>
  <si>
    <t xml:space="preserve">Costos legales y administrativos </t>
  </si>
  <si>
    <t xml:space="preserve">Legalizacion </t>
  </si>
  <si>
    <t>Nomina</t>
  </si>
  <si>
    <t xml:space="preserve">Servicios </t>
  </si>
  <si>
    <t xml:space="preserve">Arriendo </t>
  </si>
  <si>
    <t xml:space="preserve">Valor futuro </t>
  </si>
  <si>
    <t>Asesores</t>
  </si>
  <si>
    <t xml:space="preserve">Cuota mensual del creditp </t>
  </si>
  <si>
    <t xml:space="preserve">Costo mensual luego del tercer mes </t>
  </si>
  <si>
    <t>VF</t>
  </si>
  <si>
    <t xml:space="preserve">Tasa </t>
  </si>
  <si>
    <t xml:space="preserve">Meses </t>
  </si>
  <si>
    <t xml:space="preserve">Inversion fija </t>
  </si>
  <si>
    <t xml:space="preserve">Muebles </t>
  </si>
  <si>
    <t xml:space="preserve">Depreciacion </t>
  </si>
  <si>
    <t xml:space="preserve">Maquinaria </t>
  </si>
  <si>
    <t xml:space="preserve">Sub total </t>
  </si>
  <si>
    <t xml:space="preserve">Financiacion </t>
  </si>
  <si>
    <t xml:space="preserve">Largo plazo </t>
  </si>
  <si>
    <t xml:space="preserve">Creditos </t>
  </si>
  <si>
    <t xml:space="preserve">Capital social </t>
  </si>
  <si>
    <t xml:space="preserve">1st Year </t>
  </si>
  <si>
    <t xml:space="preserve">2nd Year </t>
  </si>
  <si>
    <t xml:space="preserve">3rd Year </t>
  </si>
  <si>
    <t xml:space="preserve">4th Year </t>
  </si>
  <si>
    <t xml:space="preserve">Flujo de efectivo del periodo </t>
  </si>
  <si>
    <t xml:space="preserve">PV Factor </t>
  </si>
  <si>
    <t xml:space="preserve">VPN del proyecto </t>
  </si>
  <si>
    <t xml:space="preserve">5th Year </t>
  </si>
  <si>
    <t xml:space="preserve">+   </t>
  </si>
  <si>
    <t>Ventas o Ingresos</t>
  </si>
  <si>
    <t>-</t>
  </si>
  <si>
    <t xml:space="preserve">Costos de ventas </t>
  </si>
  <si>
    <t xml:space="preserve">Gastos operacionales de Administración </t>
  </si>
  <si>
    <t>Depreciación</t>
  </si>
  <si>
    <t>Amortizaciones</t>
  </si>
  <si>
    <t>=</t>
  </si>
  <si>
    <r>
      <t xml:space="preserve">Utilidad Operacional </t>
    </r>
    <r>
      <rPr>
        <b/>
        <i/>
        <sz val="11"/>
        <color theme="1"/>
        <rFont val="Calibri"/>
        <family val="2"/>
        <scheme val="minor"/>
      </rPr>
      <t>(UAII - EBIT)</t>
    </r>
  </si>
  <si>
    <t>Flujo de caja bruto</t>
  </si>
  <si>
    <t>Sal</t>
  </si>
  <si>
    <t>Int</t>
  </si>
  <si>
    <t>Abono</t>
  </si>
  <si>
    <t>Impuestos (34%)</t>
  </si>
  <si>
    <t>TIR</t>
  </si>
  <si>
    <t xml:space="preserve">VP 1st year </t>
  </si>
  <si>
    <t>Cuota</t>
  </si>
  <si>
    <t>Saldo</t>
  </si>
  <si>
    <t>FCL (annual)</t>
  </si>
  <si>
    <t>Pago acumulado</t>
  </si>
  <si>
    <t>Payback annual</t>
  </si>
  <si>
    <t>Payback monthly</t>
  </si>
  <si>
    <t>FCL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</si>
</sst>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240A]\ * #,##0.00_-;\-[$$-240A]\ * #,##0.00_-;_-[$$-240A]\ * &quot;-&quot;??_-;_-@_-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000_);_(* \(#,##0.0000\);_(* &quot;-&quot;??_);_(@_)"/>
    <numFmt numFmtId="168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0" xfId="0" applyFont="1" applyAlignment="1">
      <alignment horizontal="left"/>
    </xf>
    <xf numFmtId="10" fontId="0" fillId="0" borderId="0" xfId="2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1" xfId="0" applyNumberFormat="1" applyBorder="1"/>
    <xf numFmtId="165" fontId="0" fillId="0" borderId="0" xfId="0" applyNumberFormat="1"/>
    <xf numFmtId="0" fontId="5" fillId="0" borderId="0" xfId="0" applyFont="1"/>
    <xf numFmtId="167" fontId="5" fillId="0" borderId="3" xfId="3" applyNumberFormat="1" applyFont="1" applyBorder="1"/>
    <xf numFmtId="165" fontId="4" fillId="3" borderId="1" xfId="0" applyNumberFormat="1" applyFont="1" applyFill="1" applyBorder="1"/>
    <xf numFmtId="166" fontId="0" fillId="0" borderId="0" xfId="3" applyNumberFormat="1" applyFont="1"/>
    <xf numFmtId="43" fontId="0" fillId="0" borderId="0" xfId="3" applyFont="1"/>
    <xf numFmtId="9" fontId="0" fillId="0" borderId="0" xfId="2" applyFont="1"/>
    <xf numFmtId="0" fontId="0" fillId="2" borderId="0" xfId="0" applyFill="1"/>
    <xf numFmtId="0" fontId="7" fillId="2" borderId="0" xfId="0" applyFont="1" applyFill="1"/>
    <xf numFmtId="0" fontId="4" fillId="0" borderId="0" xfId="0" quotePrefix="1" applyFont="1" applyAlignment="1">
      <alignment horizontal="right"/>
    </xf>
    <xf numFmtId="0" fontId="4" fillId="4" borderId="0" xfId="0" quotePrefix="1" applyFont="1" applyFill="1" applyAlignment="1">
      <alignment horizontal="center"/>
    </xf>
    <xf numFmtId="0" fontId="0" fillId="4" borderId="0" xfId="0" applyFill="1"/>
    <xf numFmtId="0" fontId="0" fillId="0" borderId="6" xfId="0" applyBorder="1" applyAlignment="1">
      <alignment horizontal="center"/>
    </xf>
    <xf numFmtId="9" fontId="0" fillId="0" borderId="1" xfId="2" applyFont="1" applyBorder="1"/>
    <xf numFmtId="44" fontId="0" fillId="0" borderId="0" xfId="1" applyFont="1" applyAlignment="1">
      <alignment wrapText="1"/>
    </xf>
    <xf numFmtId="44" fontId="0" fillId="0" borderId="1" xfId="1" applyFont="1" applyBorder="1" applyAlignment="1">
      <alignment wrapText="1"/>
    </xf>
    <xf numFmtId="43" fontId="0" fillId="0" borderId="1" xfId="0" applyNumberFormat="1" applyBorder="1"/>
    <xf numFmtId="9" fontId="4" fillId="3" borderId="1" xfId="0" applyNumberFormat="1" applyFont="1" applyFill="1" applyBorder="1"/>
    <xf numFmtId="0" fontId="4" fillId="0" borderId="1" xfId="0" applyFont="1" applyBorder="1"/>
    <xf numFmtId="43" fontId="0" fillId="0" borderId="1" xfId="3" applyFont="1" applyBorder="1"/>
    <xf numFmtId="43" fontId="4" fillId="0" borderId="1" xfId="3" applyFont="1" applyBorder="1" applyAlignment="1">
      <alignment horizontal="center"/>
    </xf>
    <xf numFmtId="8" fontId="0" fillId="0" borderId="0" xfId="3" applyNumberFormat="1" applyFont="1"/>
    <xf numFmtId="0" fontId="0" fillId="0" borderId="7" xfId="0" applyBorder="1"/>
    <xf numFmtId="43" fontId="1" fillId="0" borderId="8" xfId="3" applyFont="1" applyBorder="1" applyAlignment="1">
      <alignment horizontal="center"/>
    </xf>
    <xf numFmtId="43" fontId="4" fillId="0" borderId="8" xfId="3" applyFont="1" applyBorder="1" applyAlignment="1">
      <alignment horizontal="center"/>
    </xf>
    <xf numFmtId="43" fontId="4" fillId="0" borderId="9" xfId="3" applyFont="1" applyBorder="1" applyAlignment="1">
      <alignment horizontal="center"/>
    </xf>
    <xf numFmtId="0" fontId="0" fillId="0" borderId="10" xfId="0" applyBorder="1"/>
    <xf numFmtId="43" fontId="0" fillId="0" borderId="0" xfId="3" applyFont="1" applyBorder="1"/>
    <xf numFmtId="43" fontId="0" fillId="0" borderId="6" xfId="3" applyFont="1" applyBorder="1"/>
    <xf numFmtId="0" fontId="0" fillId="0" borderId="11" xfId="0" applyBorder="1"/>
    <xf numFmtId="43" fontId="0" fillId="0" borderId="12" xfId="3" applyFont="1" applyBorder="1"/>
    <xf numFmtId="43" fontId="0" fillId="0" borderId="13" xfId="3" applyFont="1" applyBorder="1"/>
    <xf numFmtId="168" fontId="0" fillId="0" borderId="0" xfId="0" applyNumberFormat="1"/>
    <xf numFmtId="168" fontId="0" fillId="0" borderId="1" xfId="0" applyNumberFormat="1" applyBorder="1"/>
    <xf numFmtId="168" fontId="0" fillId="4" borderId="1" xfId="0" applyNumberFormat="1" applyFill="1" applyBorder="1"/>
    <xf numFmtId="167" fontId="5" fillId="0" borderId="1" xfId="3" applyNumberFormat="1" applyFont="1" applyBorder="1"/>
    <xf numFmtId="168" fontId="4" fillId="3" borderId="1" xfId="0" applyNumberFormat="1" applyFont="1" applyFill="1" applyBorder="1"/>
    <xf numFmtId="0" fontId="8" fillId="4" borderId="0" xfId="0" applyFont="1" applyFill="1"/>
    <xf numFmtId="43" fontId="4" fillId="3" borderId="1" xfId="3" applyFont="1" applyFill="1" applyBorder="1"/>
    <xf numFmtId="9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B2DB-47E8-49F5-B1B6-C8EC5C25132D}">
  <dimension ref="B3:R40"/>
  <sheetViews>
    <sheetView zoomScale="70" zoomScaleNormal="70" workbookViewId="0">
      <selection activeCell="R40" sqref="R40"/>
    </sheetView>
  </sheetViews>
  <sheetFormatPr baseColWidth="10" defaultColWidth="11" defaultRowHeight="15" x14ac:dyDescent="0.25"/>
  <cols>
    <col min="2" max="2" width="45.5703125" customWidth="1"/>
    <col min="3" max="3" width="17.42578125" customWidth="1"/>
    <col min="4" max="4" width="19.140625" bestFit="1" customWidth="1"/>
    <col min="5" max="5" width="21.42578125" customWidth="1"/>
    <col min="13" max="13" width="15.42578125" bestFit="1" customWidth="1"/>
    <col min="15" max="15" width="21.5703125" customWidth="1"/>
    <col min="16" max="16" width="11" customWidth="1"/>
    <col min="17" max="17" width="20.140625" bestFit="1" customWidth="1"/>
    <col min="18" max="18" width="35.42578125" bestFit="1" customWidth="1"/>
  </cols>
  <sheetData>
    <row r="3" spans="2:18" ht="25.9" x14ac:dyDescent="0.45">
      <c r="B3" s="57" t="s">
        <v>0</v>
      </c>
      <c r="C3" s="57"/>
      <c r="D3" s="57"/>
      <c r="E3" s="57"/>
      <c r="O3" s="57" t="s">
        <v>30</v>
      </c>
      <c r="P3" s="57"/>
      <c r="Q3" s="57"/>
      <c r="R3" s="57"/>
    </row>
    <row r="5" spans="2:18" ht="14.25" x14ac:dyDescent="0.25">
      <c r="C5" t="s">
        <v>3</v>
      </c>
      <c r="D5" t="s">
        <v>4</v>
      </c>
      <c r="E5" t="s">
        <v>5</v>
      </c>
      <c r="O5" t="s">
        <v>31</v>
      </c>
      <c r="P5" t="s">
        <v>32</v>
      </c>
      <c r="Q5" t="s">
        <v>4</v>
      </c>
      <c r="R5" t="s">
        <v>16</v>
      </c>
    </row>
    <row r="6" spans="2:18" ht="19.149999999999999" x14ac:dyDescent="0.35">
      <c r="B6" s="7" t="s">
        <v>1</v>
      </c>
      <c r="O6" t="s">
        <v>33</v>
      </c>
      <c r="P6">
        <v>134</v>
      </c>
      <c r="Q6" s="2">
        <v>130000</v>
      </c>
      <c r="R6" s="2">
        <f>P6*Q6</f>
        <v>17420000</v>
      </c>
    </row>
    <row r="7" spans="2:18" ht="14.25" x14ac:dyDescent="0.25">
      <c r="B7" s="9" t="s">
        <v>2</v>
      </c>
      <c r="C7" s="4">
        <v>8</v>
      </c>
      <c r="D7" s="10">
        <v>10000000</v>
      </c>
      <c r="E7" s="11">
        <f>C7*D7</f>
        <v>80000000</v>
      </c>
      <c r="O7" t="s">
        <v>34</v>
      </c>
      <c r="P7">
        <v>400</v>
      </c>
      <c r="Q7" s="2">
        <v>86000</v>
      </c>
      <c r="R7" s="2">
        <f t="shared" ref="R7:R12" si="0">P7*Q7</f>
        <v>34400000</v>
      </c>
    </row>
    <row r="8" spans="2:18" ht="14.25" x14ac:dyDescent="0.25">
      <c r="B8" s="9" t="s">
        <v>6</v>
      </c>
      <c r="C8" s="4">
        <v>27</v>
      </c>
      <c r="D8" s="10">
        <v>70000</v>
      </c>
      <c r="E8" s="11">
        <f>C8*D8</f>
        <v>1890000</v>
      </c>
      <c r="O8" t="s">
        <v>35</v>
      </c>
      <c r="P8">
        <v>1200</v>
      </c>
      <c r="Q8" s="2">
        <v>4000</v>
      </c>
      <c r="R8" s="2">
        <f t="shared" si="0"/>
        <v>4800000</v>
      </c>
    </row>
    <row r="9" spans="2:18" ht="14.25" x14ac:dyDescent="0.25">
      <c r="B9" s="9" t="s">
        <v>7</v>
      </c>
      <c r="C9" s="4">
        <v>8</v>
      </c>
      <c r="D9" s="10">
        <v>700000</v>
      </c>
      <c r="E9" s="11">
        <f>C9*D9</f>
        <v>5600000</v>
      </c>
      <c r="O9" t="s">
        <v>36</v>
      </c>
      <c r="P9">
        <v>120</v>
      </c>
      <c r="Q9" s="2">
        <v>27000</v>
      </c>
      <c r="R9" s="2">
        <f t="shared" si="0"/>
        <v>3240000</v>
      </c>
    </row>
    <row r="10" spans="2:18" ht="14.25" x14ac:dyDescent="0.25">
      <c r="B10" s="9" t="s">
        <v>8</v>
      </c>
      <c r="C10" s="4">
        <v>2</v>
      </c>
      <c r="D10" s="10">
        <v>3000000</v>
      </c>
      <c r="E10" s="11">
        <f>C10*D10</f>
        <v>6000000</v>
      </c>
      <c r="O10" t="s">
        <v>37</v>
      </c>
      <c r="P10">
        <v>80</v>
      </c>
      <c r="Q10" s="2">
        <v>27000</v>
      </c>
      <c r="R10" s="2">
        <f t="shared" si="0"/>
        <v>2160000</v>
      </c>
    </row>
    <row r="11" spans="2:18" ht="14.25" x14ac:dyDescent="0.25">
      <c r="C11" s="1"/>
      <c r="D11" s="2" t="s">
        <v>16</v>
      </c>
      <c r="E11" s="3">
        <f>SUM(E7:E10)</f>
        <v>93490000</v>
      </c>
      <c r="O11" t="s">
        <v>39</v>
      </c>
      <c r="P11">
        <v>19200</v>
      </c>
      <c r="Q11" s="2">
        <v>130</v>
      </c>
      <c r="R11" s="2">
        <f t="shared" si="0"/>
        <v>2496000</v>
      </c>
    </row>
    <row r="12" spans="2:18" ht="19.149999999999999" x14ac:dyDescent="0.35">
      <c r="B12" s="7" t="s">
        <v>9</v>
      </c>
      <c r="C12" s="1"/>
      <c r="D12" s="2"/>
      <c r="O12" t="s">
        <v>38</v>
      </c>
      <c r="P12">
        <v>6400</v>
      </c>
      <c r="Q12" s="2">
        <v>57</v>
      </c>
      <c r="R12" s="2">
        <f t="shared" si="0"/>
        <v>364800</v>
      </c>
    </row>
    <row r="13" spans="2:18" x14ac:dyDescent="0.25">
      <c r="B13" s="9" t="s">
        <v>10</v>
      </c>
      <c r="C13" s="4">
        <v>1</v>
      </c>
      <c r="D13" s="10">
        <v>8000000</v>
      </c>
      <c r="E13" s="11">
        <f t="shared" ref="E13:E15" si="1">C13*D13</f>
        <v>8000000</v>
      </c>
      <c r="Q13" s="2" t="s">
        <v>16</v>
      </c>
      <c r="R13" s="3">
        <f>SUM(R6:R12)*3</f>
        <v>194642400</v>
      </c>
    </row>
    <row r="14" spans="2:18" x14ac:dyDescent="0.25">
      <c r="B14" s="9" t="s">
        <v>11</v>
      </c>
      <c r="C14" s="4">
        <v>3</v>
      </c>
      <c r="D14" s="10">
        <v>230000</v>
      </c>
      <c r="E14" s="11">
        <f t="shared" si="1"/>
        <v>690000</v>
      </c>
      <c r="Q14" s="2">
        <f>SUM(Q6:Q12)</f>
        <v>274187</v>
      </c>
      <c r="R14" s="2">
        <f>SUM(R6:R12)</f>
        <v>64880800</v>
      </c>
    </row>
    <row r="15" spans="2:18" x14ac:dyDescent="0.25">
      <c r="B15" s="9" t="s">
        <v>12</v>
      </c>
      <c r="C15" s="4">
        <v>3</v>
      </c>
      <c r="D15" s="10">
        <v>500000</v>
      </c>
      <c r="E15" s="11">
        <f t="shared" si="1"/>
        <v>1500000</v>
      </c>
      <c r="Q15" s="2"/>
    </row>
    <row r="16" spans="2:18" ht="25.9" x14ac:dyDescent="0.45">
      <c r="B16" s="9" t="s">
        <v>13</v>
      </c>
      <c r="C16" s="4">
        <v>1</v>
      </c>
      <c r="D16" s="10">
        <v>153000</v>
      </c>
      <c r="E16" s="11">
        <f>C16*D16</f>
        <v>153000</v>
      </c>
      <c r="O16" s="57" t="s">
        <v>41</v>
      </c>
      <c r="P16" s="57"/>
      <c r="Q16" s="57"/>
      <c r="R16" s="57"/>
    </row>
    <row r="17" spans="2:18" ht="14.25" x14ac:dyDescent="0.25">
      <c r="B17" s="9" t="s">
        <v>14</v>
      </c>
      <c r="C17" s="4">
        <v>1</v>
      </c>
      <c r="D17" s="10">
        <v>3500000</v>
      </c>
      <c r="E17" s="11">
        <f t="shared" ref="E17:E18" si="2">C17*D17</f>
        <v>3500000</v>
      </c>
      <c r="F17" t="s">
        <v>29</v>
      </c>
      <c r="O17" t="s">
        <v>42</v>
      </c>
      <c r="P17">
        <v>1</v>
      </c>
      <c r="Q17" s="2">
        <v>5000000</v>
      </c>
      <c r="R17" s="2">
        <f>P17*Q17</f>
        <v>5000000</v>
      </c>
    </row>
    <row r="18" spans="2:18" x14ac:dyDescent="0.25">
      <c r="B18" s="9" t="s">
        <v>15</v>
      </c>
      <c r="C18" s="4">
        <v>1</v>
      </c>
      <c r="D18" s="10">
        <v>300000</v>
      </c>
      <c r="E18" s="11">
        <f t="shared" si="2"/>
        <v>300000</v>
      </c>
      <c r="O18" t="s">
        <v>43</v>
      </c>
      <c r="P18">
        <v>3</v>
      </c>
      <c r="Q18" s="2">
        <f>3500000*2+1600000*6+1200000+3000000*2</f>
        <v>23800000</v>
      </c>
      <c r="R18" s="2">
        <f t="shared" ref="R18:R21" si="3">P18*Q18</f>
        <v>71400000</v>
      </c>
    </row>
    <row r="19" spans="2:18" ht="14.25" x14ac:dyDescent="0.25">
      <c r="C19" s="1"/>
      <c r="D19" s="2" t="s">
        <v>16</v>
      </c>
      <c r="E19" s="3">
        <f>SUM(E13:E18)</f>
        <v>14143000</v>
      </c>
      <c r="O19" t="s">
        <v>44</v>
      </c>
      <c r="P19">
        <v>3</v>
      </c>
      <c r="Q19" s="2">
        <v>2500000</v>
      </c>
      <c r="R19" s="2">
        <f t="shared" si="3"/>
        <v>7500000</v>
      </c>
    </row>
    <row r="20" spans="2:18" ht="19.149999999999999" x14ac:dyDescent="0.35">
      <c r="B20" s="7" t="s">
        <v>17</v>
      </c>
      <c r="C20" s="1"/>
      <c r="D20" s="2"/>
      <c r="O20" t="s">
        <v>45</v>
      </c>
      <c r="P20">
        <v>3</v>
      </c>
      <c r="Q20" s="2">
        <v>20000000</v>
      </c>
      <c r="R20" s="2">
        <f t="shared" si="3"/>
        <v>60000000</v>
      </c>
    </row>
    <row r="21" spans="2:18" ht="14.25" x14ac:dyDescent="0.25">
      <c r="B21" s="4" t="s">
        <v>18</v>
      </c>
      <c r="C21" s="4">
        <v>2</v>
      </c>
      <c r="D21" s="5">
        <f>10000*5560.96</f>
        <v>55609600</v>
      </c>
      <c r="E21" s="5">
        <f>D21*C21</f>
        <v>111219200</v>
      </c>
      <c r="O21" t="s">
        <v>47</v>
      </c>
      <c r="P21">
        <v>5</v>
      </c>
      <c r="Q21" s="2">
        <v>3500000</v>
      </c>
      <c r="R21" s="2">
        <f t="shared" si="3"/>
        <v>17500000</v>
      </c>
    </row>
    <row r="22" spans="2:18" ht="14.25" x14ac:dyDescent="0.25">
      <c r="B22" s="4" t="s">
        <v>19</v>
      </c>
      <c r="C22" s="4">
        <v>2</v>
      </c>
      <c r="D22" s="6">
        <f>10000*4503</f>
        <v>45030000</v>
      </c>
      <c r="E22" s="6">
        <f>D22*C22</f>
        <v>90060000</v>
      </c>
      <c r="Q22" s="2" t="s">
        <v>16</v>
      </c>
      <c r="R22" s="3">
        <f>SUM(R17:R21)</f>
        <v>161400000</v>
      </c>
    </row>
    <row r="23" spans="2:18" ht="14.25" x14ac:dyDescent="0.25">
      <c r="B23" s="4" t="s">
        <v>20</v>
      </c>
      <c r="C23" s="4">
        <v>1</v>
      </c>
      <c r="D23" s="6">
        <f>3500*5560.96</f>
        <v>19463360</v>
      </c>
      <c r="E23" s="6">
        <f t="shared" ref="E23:E27" si="4">D23*C23</f>
        <v>19463360</v>
      </c>
      <c r="Q23" s="2">
        <f>SUM(Q18:Q20)</f>
        <v>46300000</v>
      </c>
    </row>
    <row r="24" spans="2:18" ht="14.25" x14ac:dyDescent="0.25">
      <c r="B24" s="4" t="s">
        <v>21</v>
      </c>
      <c r="C24" s="4">
        <v>2</v>
      </c>
      <c r="D24" s="6">
        <v>200000</v>
      </c>
      <c r="E24" s="6">
        <f t="shared" si="4"/>
        <v>400000</v>
      </c>
      <c r="Q24" s="2"/>
    </row>
    <row r="25" spans="2:18" ht="14.25" x14ac:dyDescent="0.25">
      <c r="B25" s="4" t="s">
        <v>22</v>
      </c>
      <c r="C25" s="4">
        <v>2</v>
      </c>
      <c r="D25" s="6">
        <v>50000</v>
      </c>
      <c r="E25" s="6">
        <f t="shared" si="4"/>
        <v>100000</v>
      </c>
      <c r="M25" s="2"/>
      <c r="Q25" s="2"/>
    </row>
    <row r="26" spans="2:18" ht="14.25" x14ac:dyDescent="0.25">
      <c r="B26" s="4" t="s">
        <v>23</v>
      </c>
      <c r="C26" s="4">
        <v>2</v>
      </c>
      <c r="D26" s="6">
        <v>20000</v>
      </c>
      <c r="E26" s="6">
        <f t="shared" si="4"/>
        <v>40000</v>
      </c>
      <c r="Q26" s="3">
        <f>E35+R13+R22</f>
        <v>717317960</v>
      </c>
    </row>
    <row r="27" spans="2:18" ht="14.25" x14ac:dyDescent="0.25">
      <c r="B27" s="4" t="s">
        <v>24</v>
      </c>
      <c r="C27" s="4">
        <v>1</v>
      </c>
      <c r="D27" s="10">
        <v>20000000</v>
      </c>
      <c r="E27" s="9">
        <f t="shared" si="4"/>
        <v>20000000</v>
      </c>
    </row>
    <row r="28" spans="2:18" ht="14.25" x14ac:dyDescent="0.25">
      <c r="C28" s="1"/>
      <c r="D28" s="2" t="s">
        <v>5</v>
      </c>
      <c r="E28" s="8">
        <f>SUM(E21:E27)</f>
        <v>241282560</v>
      </c>
      <c r="O28" t="s">
        <v>46</v>
      </c>
    </row>
    <row r="29" spans="2:18" ht="14.25" x14ac:dyDescent="0.25">
      <c r="C29" s="1"/>
      <c r="D29" s="2"/>
      <c r="O29" s="2">
        <v>420000000</v>
      </c>
    </row>
    <row r="30" spans="2:18" ht="19.149999999999999" x14ac:dyDescent="0.35">
      <c r="B30" s="12" t="s">
        <v>25</v>
      </c>
      <c r="C30" s="1"/>
      <c r="D30" s="2"/>
      <c r="N30" t="s">
        <v>52</v>
      </c>
      <c r="O30">
        <v>60</v>
      </c>
    </row>
    <row r="31" spans="2:18" ht="14.25" x14ac:dyDescent="0.25">
      <c r="B31" s="4" t="s">
        <v>26</v>
      </c>
      <c r="C31" s="4">
        <v>3</v>
      </c>
      <c r="D31" s="10">
        <f>1600000+800000</f>
        <v>2400000</v>
      </c>
      <c r="E31" s="6">
        <f>D31*C31</f>
        <v>7200000</v>
      </c>
      <c r="F31" t="s">
        <v>28</v>
      </c>
      <c r="N31" t="s">
        <v>51</v>
      </c>
      <c r="O31" s="13">
        <v>3.1399999999999997E-2</v>
      </c>
      <c r="Q31">
        <f>+O31/(1-(1+O31)^(-60))</f>
        <v>3.7223587459001013E-2</v>
      </c>
      <c r="R31" t="s">
        <v>40</v>
      </c>
    </row>
    <row r="32" spans="2:18" ht="14.25" x14ac:dyDescent="0.25">
      <c r="B32" s="4" t="s">
        <v>27</v>
      </c>
      <c r="C32" s="4">
        <v>3</v>
      </c>
      <c r="D32" s="10">
        <v>1720000</v>
      </c>
      <c r="E32" s="6">
        <f>D32*C32</f>
        <v>5160000</v>
      </c>
      <c r="Q32" s="2">
        <f>+O29*Q31</f>
        <v>15633906.732780425</v>
      </c>
    </row>
    <row r="33" spans="3:18" ht="14.25" x14ac:dyDescent="0.25">
      <c r="C33" s="1"/>
      <c r="D33" s="2" t="s">
        <v>16</v>
      </c>
      <c r="E33" s="8">
        <f>SUM(E31:E32)</f>
        <v>12360000</v>
      </c>
      <c r="N33" t="s">
        <v>50</v>
      </c>
      <c r="O33" s="2">
        <f>+Q32*60</f>
        <v>938034403.96682549</v>
      </c>
    </row>
    <row r="34" spans="3:18" ht="14.25" x14ac:dyDescent="0.25">
      <c r="D34" s="2"/>
      <c r="O34" s="3"/>
      <c r="Q34" s="2">
        <f>+Q32</f>
        <v>15633906.732780425</v>
      </c>
      <c r="R34" t="s">
        <v>48</v>
      </c>
    </row>
    <row r="35" spans="3:18" ht="14.25" x14ac:dyDescent="0.25">
      <c r="D35" s="2"/>
      <c r="E35" s="3">
        <f>E11+E19+E28+E33</f>
        <v>361275560</v>
      </c>
      <c r="Q35" s="3">
        <f>+Q23+Q34+R14</f>
        <v>126814706.73278043</v>
      </c>
      <c r="R35" t="s">
        <v>49</v>
      </c>
    </row>
    <row r="37" spans="3:18" ht="14.25" x14ac:dyDescent="0.25">
      <c r="E37" s="3"/>
    </row>
    <row r="39" spans="3:18" ht="14.25" x14ac:dyDescent="0.25">
      <c r="P39">
        <v>1200</v>
      </c>
      <c r="Q39" s="2">
        <f>+R40/P39</f>
        <v>140000</v>
      </c>
      <c r="R39" s="3"/>
    </row>
    <row r="40" spans="3:18" ht="14.25" x14ac:dyDescent="0.25">
      <c r="Q40">
        <v>140000</v>
      </c>
      <c r="R40" s="3">
        <f>P39*Q40</f>
        <v>168000000</v>
      </c>
    </row>
  </sheetData>
  <mergeCells count="3">
    <mergeCell ref="B3:E3"/>
    <mergeCell ref="O3:R3"/>
    <mergeCell ref="O16:R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42D4-7B35-45EF-B599-E224CA6E709E}">
  <dimension ref="A1:BN68"/>
  <sheetViews>
    <sheetView tabSelected="1" workbookViewId="0">
      <selection activeCell="G18" sqref="G18"/>
    </sheetView>
  </sheetViews>
  <sheetFormatPr baseColWidth="10" defaultColWidth="11" defaultRowHeight="15" x14ac:dyDescent="0.25"/>
  <cols>
    <col min="1" max="1" width="4.85546875" customWidth="1"/>
    <col min="2" max="2" width="3.42578125" bestFit="1" customWidth="1"/>
    <col min="3" max="3" width="51.7109375" bestFit="1" customWidth="1"/>
    <col min="4" max="4" width="16.28515625" bestFit="1" customWidth="1"/>
    <col min="5" max="5" width="16.140625" customWidth="1"/>
    <col min="6" max="8" width="14.28515625" bestFit="1" customWidth="1"/>
    <col min="9" max="9" width="16.28515625" customWidth="1"/>
    <col min="10" max="10" width="15.5703125" customWidth="1"/>
    <col min="11" max="11" width="14.5703125" customWidth="1"/>
    <col min="12" max="12" width="15" customWidth="1"/>
    <col min="13" max="13" width="14.5703125" customWidth="1"/>
    <col min="14" max="14" width="15" customWidth="1"/>
    <col min="15" max="64" width="14.85546875" bestFit="1" customWidth="1"/>
  </cols>
  <sheetData>
    <row r="1" spans="1:65" ht="14.25" x14ac:dyDescent="0.25">
      <c r="D1" s="23"/>
    </row>
    <row r="2" spans="1:65" ht="14.25" x14ac:dyDescent="0.25">
      <c r="D2" s="58" t="s">
        <v>62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8" t="s">
        <v>63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8" t="s">
        <v>64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8" t="s">
        <v>65</v>
      </c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61" t="s">
        <v>69</v>
      </c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</row>
    <row r="3" spans="1:65" ht="19.149999999999999" x14ac:dyDescent="0.35">
      <c r="B3" s="24"/>
      <c r="C3" s="25" t="s">
        <v>92</v>
      </c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4">
        <v>32</v>
      </c>
      <c r="AK3" s="4">
        <v>33</v>
      </c>
      <c r="AL3" s="4">
        <v>34</v>
      </c>
      <c r="AM3" s="4">
        <v>35</v>
      </c>
      <c r="AN3" s="4">
        <v>36</v>
      </c>
      <c r="AO3" s="4">
        <v>37</v>
      </c>
      <c r="AP3" s="4">
        <v>38</v>
      </c>
      <c r="AQ3" s="4">
        <v>39</v>
      </c>
      <c r="AR3" s="4">
        <v>40</v>
      </c>
      <c r="AS3" s="4">
        <v>41</v>
      </c>
      <c r="AT3" s="4">
        <v>42</v>
      </c>
      <c r="AU3" s="4">
        <v>43</v>
      </c>
      <c r="AV3" s="4">
        <v>44</v>
      </c>
      <c r="AW3" s="4">
        <v>45</v>
      </c>
      <c r="AX3" s="4">
        <v>46</v>
      </c>
      <c r="AY3" s="4">
        <v>47</v>
      </c>
      <c r="AZ3" s="4">
        <v>48</v>
      </c>
      <c r="BA3" s="4">
        <v>49</v>
      </c>
      <c r="BB3" s="4">
        <v>50</v>
      </c>
      <c r="BC3" s="4">
        <v>51</v>
      </c>
      <c r="BD3" s="4">
        <v>52</v>
      </c>
      <c r="BE3" s="4">
        <v>53</v>
      </c>
      <c r="BF3" s="4">
        <v>54</v>
      </c>
      <c r="BG3" s="4">
        <v>55</v>
      </c>
      <c r="BH3" s="4">
        <v>56</v>
      </c>
      <c r="BI3" s="4">
        <v>57</v>
      </c>
      <c r="BJ3" s="4">
        <v>58</v>
      </c>
      <c r="BK3" s="4">
        <v>59</v>
      </c>
      <c r="BL3" s="4">
        <v>60</v>
      </c>
    </row>
    <row r="4" spans="1:65" ht="14.25" x14ac:dyDescent="0.25">
      <c r="B4" s="26" t="s">
        <v>70</v>
      </c>
      <c r="C4" s="14" t="s">
        <v>71</v>
      </c>
      <c r="D4" s="30"/>
      <c r="E4" s="9"/>
      <c r="F4" s="9"/>
      <c r="G4" s="9"/>
      <c r="H4" s="11">
        <f>Costeo!$R$40/1000</f>
        <v>168000</v>
      </c>
      <c r="I4" s="11">
        <f>Costeo!$R$40/1000</f>
        <v>168000</v>
      </c>
      <c r="J4" s="11">
        <f>Costeo!$R$40/1000</f>
        <v>168000</v>
      </c>
      <c r="K4" s="11">
        <f>Costeo!$R$40/1000</f>
        <v>168000</v>
      </c>
      <c r="L4" s="11">
        <f>Costeo!$R$40/1000</f>
        <v>168000</v>
      </c>
      <c r="M4" s="11">
        <f>Costeo!$R$40/1000</f>
        <v>168000</v>
      </c>
      <c r="N4" s="11">
        <f>Costeo!$R$40/1000</f>
        <v>168000</v>
      </c>
      <c r="O4" s="11">
        <f>Costeo!$R$40/1000</f>
        <v>168000</v>
      </c>
      <c r="P4" s="11">
        <f>Costeo!$R$40/1000</f>
        <v>168000</v>
      </c>
      <c r="Q4" s="11">
        <f>Costeo!$R$40/1000</f>
        <v>168000</v>
      </c>
      <c r="R4" s="11">
        <f>Costeo!$R$40/1000</f>
        <v>168000</v>
      </c>
      <c r="S4" s="11">
        <f>Costeo!$R$40/1000</f>
        <v>168000</v>
      </c>
      <c r="T4" s="11">
        <f>Costeo!$R$40/1000</f>
        <v>168000</v>
      </c>
      <c r="U4" s="11">
        <f>Costeo!$R$40/1000</f>
        <v>168000</v>
      </c>
      <c r="V4" s="11">
        <f>Costeo!$R$40/1000</f>
        <v>168000</v>
      </c>
      <c r="W4" s="11">
        <f>Costeo!$R$40/1000</f>
        <v>168000</v>
      </c>
      <c r="X4" s="11">
        <f>Costeo!$R$40/1000</f>
        <v>168000</v>
      </c>
      <c r="Y4" s="11">
        <f>Costeo!$R$40/1000</f>
        <v>168000</v>
      </c>
      <c r="Z4" s="11">
        <f>Costeo!$R$40/1000</f>
        <v>168000</v>
      </c>
      <c r="AA4" s="11">
        <f>Costeo!$R$40/1000</f>
        <v>168000</v>
      </c>
      <c r="AB4" s="11">
        <f>Costeo!$R$40/1000</f>
        <v>168000</v>
      </c>
      <c r="AC4" s="11">
        <f>Costeo!$R$40/1000</f>
        <v>168000</v>
      </c>
      <c r="AD4" s="11">
        <f>Costeo!$R$40/1000</f>
        <v>168000</v>
      </c>
      <c r="AE4" s="11">
        <f>Costeo!$R$40/1000</f>
        <v>168000</v>
      </c>
      <c r="AF4" s="11">
        <f>Costeo!$R$40/1000</f>
        <v>168000</v>
      </c>
      <c r="AG4" s="11">
        <f>Costeo!$R$40/1000</f>
        <v>168000</v>
      </c>
      <c r="AH4" s="11">
        <f>Costeo!$R$40/1000</f>
        <v>168000</v>
      </c>
      <c r="AI4" s="11">
        <f>Costeo!$R$40/1000</f>
        <v>168000</v>
      </c>
      <c r="AJ4" s="11">
        <f>Costeo!$R$40/1000</f>
        <v>168000</v>
      </c>
      <c r="AK4" s="11">
        <f>Costeo!$R$40/1000</f>
        <v>168000</v>
      </c>
      <c r="AL4" s="11">
        <f>Costeo!$R$40/1000</f>
        <v>168000</v>
      </c>
      <c r="AM4" s="11">
        <f>Costeo!$R$40/1000</f>
        <v>168000</v>
      </c>
      <c r="AN4" s="11">
        <f>Costeo!$R$40/1000</f>
        <v>168000</v>
      </c>
      <c r="AO4" s="11">
        <f>Costeo!$R$40/1000</f>
        <v>168000</v>
      </c>
      <c r="AP4" s="11">
        <f>Costeo!$R$40/1000</f>
        <v>168000</v>
      </c>
      <c r="AQ4" s="11">
        <f>Costeo!$R$40/1000</f>
        <v>168000</v>
      </c>
      <c r="AR4" s="11">
        <f>Costeo!$R$40/1000</f>
        <v>168000</v>
      </c>
      <c r="AS4" s="11">
        <f>Costeo!$R$40/1000</f>
        <v>168000</v>
      </c>
      <c r="AT4" s="11">
        <f>Costeo!$R$40/1000</f>
        <v>168000</v>
      </c>
      <c r="AU4" s="11">
        <f>Costeo!$R$40/1000</f>
        <v>168000</v>
      </c>
      <c r="AV4" s="11">
        <f>Costeo!$R$40/1000</f>
        <v>168000</v>
      </c>
      <c r="AW4" s="11">
        <f>Costeo!$R$40/1000</f>
        <v>168000</v>
      </c>
      <c r="AX4" s="11">
        <f>Costeo!$R$40/1000</f>
        <v>168000</v>
      </c>
      <c r="AY4" s="11">
        <f>Costeo!$R$40/1000</f>
        <v>168000</v>
      </c>
      <c r="AZ4" s="11">
        <f>Costeo!$R$40/1000</f>
        <v>168000</v>
      </c>
      <c r="BA4" s="11">
        <f>Costeo!$R$40/1000</f>
        <v>168000</v>
      </c>
      <c r="BB4" s="11">
        <f>Costeo!$R$40/1000</f>
        <v>168000</v>
      </c>
      <c r="BC4" s="11">
        <f>Costeo!$R$40/1000</f>
        <v>168000</v>
      </c>
      <c r="BD4" s="11">
        <f>Costeo!$R$40/1000</f>
        <v>168000</v>
      </c>
      <c r="BE4" s="11">
        <f>Costeo!$R$40/1000</f>
        <v>168000</v>
      </c>
      <c r="BF4" s="11">
        <f>Costeo!$R$40/1000</f>
        <v>168000</v>
      </c>
      <c r="BG4" s="11">
        <f>Costeo!$R$40/1000</f>
        <v>168000</v>
      </c>
      <c r="BH4" s="11">
        <f>Costeo!$R$40/1000</f>
        <v>168000</v>
      </c>
      <c r="BI4" s="11">
        <f>Costeo!$R$40/1000</f>
        <v>168000</v>
      </c>
      <c r="BJ4" s="11">
        <f>Costeo!$R$40/1000</f>
        <v>168000</v>
      </c>
      <c r="BK4" s="11">
        <f>Costeo!$R$40/1000</f>
        <v>168000</v>
      </c>
      <c r="BL4" s="11">
        <f>Costeo!$R$40/1000</f>
        <v>168000</v>
      </c>
    </row>
    <row r="5" spans="1:65" ht="14.25" x14ac:dyDescent="0.25">
      <c r="B5" s="26" t="s">
        <v>72</v>
      </c>
      <c r="C5" t="s">
        <v>73</v>
      </c>
      <c r="D5" s="30"/>
      <c r="E5" s="9"/>
      <c r="F5" s="9"/>
      <c r="G5" s="9"/>
      <c r="H5" s="31">
        <f>Costeo!$R$14/1000</f>
        <v>64880.800000000003</v>
      </c>
      <c r="I5" s="31">
        <f>Costeo!$R$14/1000</f>
        <v>64880.800000000003</v>
      </c>
      <c r="J5" s="31">
        <f>Costeo!$R$14/1000</f>
        <v>64880.800000000003</v>
      </c>
      <c r="K5" s="31">
        <f>Costeo!$R$14/1000</f>
        <v>64880.800000000003</v>
      </c>
      <c r="L5" s="31">
        <f>Costeo!$R$14/1000</f>
        <v>64880.800000000003</v>
      </c>
      <c r="M5" s="31">
        <f>Costeo!$R$14/1000</f>
        <v>64880.800000000003</v>
      </c>
      <c r="N5" s="31">
        <f>Costeo!$R$14/1000</f>
        <v>64880.800000000003</v>
      </c>
      <c r="O5" s="31">
        <f>Costeo!$R$14/1000</f>
        <v>64880.800000000003</v>
      </c>
      <c r="P5" s="31">
        <f>Costeo!$R$14/1000</f>
        <v>64880.800000000003</v>
      </c>
      <c r="Q5" s="31">
        <f>Costeo!$R$14/1000</f>
        <v>64880.800000000003</v>
      </c>
      <c r="R5" s="31">
        <f>Costeo!$R$14/1000</f>
        <v>64880.800000000003</v>
      </c>
      <c r="S5" s="31">
        <f>Costeo!$R$14/1000</f>
        <v>64880.800000000003</v>
      </c>
      <c r="T5" s="31">
        <f>Costeo!$R$14/1000</f>
        <v>64880.800000000003</v>
      </c>
      <c r="U5" s="31">
        <f>Costeo!$R$14/1000</f>
        <v>64880.800000000003</v>
      </c>
      <c r="V5" s="31">
        <f>Costeo!$R$14/1000</f>
        <v>64880.800000000003</v>
      </c>
      <c r="W5" s="31">
        <f>Costeo!$R$14/1000</f>
        <v>64880.800000000003</v>
      </c>
      <c r="X5" s="31">
        <f>Costeo!$R$14/1000</f>
        <v>64880.800000000003</v>
      </c>
      <c r="Y5" s="31">
        <f>Costeo!$R$14/1000</f>
        <v>64880.800000000003</v>
      </c>
      <c r="Z5" s="31">
        <f>Costeo!$R$14/1000</f>
        <v>64880.800000000003</v>
      </c>
      <c r="AA5" s="31">
        <f>Costeo!$R$14/1000</f>
        <v>64880.800000000003</v>
      </c>
      <c r="AB5" s="31">
        <f>Costeo!$R$14/1000</f>
        <v>64880.800000000003</v>
      </c>
      <c r="AC5" s="31">
        <f>Costeo!$R$14/1000</f>
        <v>64880.800000000003</v>
      </c>
      <c r="AD5" s="31">
        <f>Costeo!$R$14/1000</f>
        <v>64880.800000000003</v>
      </c>
      <c r="AE5" s="31">
        <f>Costeo!$R$14/1000</f>
        <v>64880.800000000003</v>
      </c>
      <c r="AF5" s="31">
        <f>Costeo!$R$14/1000</f>
        <v>64880.800000000003</v>
      </c>
      <c r="AG5" s="31">
        <f>Costeo!$R$14/1000</f>
        <v>64880.800000000003</v>
      </c>
      <c r="AH5" s="31">
        <f>Costeo!$R$14/1000</f>
        <v>64880.800000000003</v>
      </c>
      <c r="AI5" s="31">
        <f>Costeo!$R$14/1000</f>
        <v>64880.800000000003</v>
      </c>
      <c r="AJ5" s="31">
        <f>Costeo!$R$14/1000</f>
        <v>64880.800000000003</v>
      </c>
      <c r="AK5" s="31">
        <f>Costeo!$R$14/1000</f>
        <v>64880.800000000003</v>
      </c>
      <c r="AL5" s="31">
        <f>Costeo!$R$14/1000</f>
        <v>64880.800000000003</v>
      </c>
      <c r="AM5" s="31">
        <f>Costeo!$R$14/1000</f>
        <v>64880.800000000003</v>
      </c>
      <c r="AN5" s="31">
        <f>Costeo!$R$14/1000</f>
        <v>64880.800000000003</v>
      </c>
      <c r="AO5" s="31">
        <f>Costeo!$R$14/1000</f>
        <v>64880.800000000003</v>
      </c>
      <c r="AP5" s="31">
        <f>Costeo!$R$14/1000</f>
        <v>64880.800000000003</v>
      </c>
      <c r="AQ5" s="31">
        <f>Costeo!$R$14/1000</f>
        <v>64880.800000000003</v>
      </c>
      <c r="AR5" s="31">
        <f>Costeo!$R$14/1000</f>
        <v>64880.800000000003</v>
      </c>
      <c r="AS5" s="31">
        <f>Costeo!$R$14/1000</f>
        <v>64880.800000000003</v>
      </c>
      <c r="AT5" s="31">
        <f>Costeo!$R$14/1000</f>
        <v>64880.800000000003</v>
      </c>
      <c r="AU5" s="31">
        <f>Costeo!$R$14/1000</f>
        <v>64880.800000000003</v>
      </c>
      <c r="AV5" s="31">
        <f>Costeo!$R$14/1000</f>
        <v>64880.800000000003</v>
      </c>
      <c r="AW5" s="31">
        <f>Costeo!$R$14/1000</f>
        <v>64880.800000000003</v>
      </c>
      <c r="AX5" s="31">
        <f>Costeo!$R$14/1000</f>
        <v>64880.800000000003</v>
      </c>
      <c r="AY5" s="31">
        <f>Costeo!$R$14/1000</f>
        <v>64880.800000000003</v>
      </c>
      <c r="AZ5" s="31">
        <f>Costeo!$R$14/1000</f>
        <v>64880.800000000003</v>
      </c>
      <c r="BA5" s="31">
        <f>Costeo!$R$14/1000</f>
        <v>64880.800000000003</v>
      </c>
      <c r="BB5" s="31">
        <f>Costeo!$R$14/1000</f>
        <v>64880.800000000003</v>
      </c>
      <c r="BC5" s="31">
        <f>Costeo!$R$14/1000</f>
        <v>64880.800000000003</v>
      </c>
      <c r="BD5" s="31">
        <f>Costeo!$R$14/1000</f>
        <v>64880.800000000003</v>
      </c>
      <c r="BE5" s="31">
        <f>Costeo!$R$14/1000</f>
        <v>64880.800000000003</v>
      </c>
      <c r="BF5" s="31">
        <f>Costeo!$R$14/1000</f>
        <v>64880.800000000003</v>
      </c>
      <c r="BG5" s="31">
        <f>Costeo!$R$14/1000</f>
        <v>64880.800000000003</v>
      </c>
      <c r="BH5" s="31">
        <f>Costeo!$R$14/1000</f>
        <v>64880.800000000003</v>
      </c>
      <c r="BI5" s="31">
        <f>Costeo!$R$14/1000</f>
        <v>64880.800000000003</v>
      </c>
      <c r="BJ5" s="31">
        <f>Costeo!$R$14/1000</f>
        <v>64880.800000000003</v>
      </c>
      <c r="BK5" s="31">
        <f>Costeo!$R$14/1000</f>
        <v>64880.800000000003</v>
      </c>
      <c r="BL5" s="31">
        <f>Costeo!$R$14/1000</f>
        <v>64880.800000000003</v>
      </c>
    </row>
    <row r="6" spans="1:65" x14ac:dyDescent="0.25">
      <c r="B6" s="26" t="s">
        <v>72</v>
      </c>
      <c r="C6" t="s">
        <v>74</v>
      </c>
      <c r="D6" s="9"/>
      <c r="E6" s="9"/>
      <c r="F6" s="9"/>
      <c r="G6" s="9"/>
      <c r="H6" s="32">
        <f>Costeo!$Q$23/1000</f>
        <v>46300</v>
      </c>
      <c r="I6" s="32">
        <f>Costeo!$Q$23/1000</f>
        <v>46300</v>
      </c>
      <c r="J6" s="32">
        <f>Costeo!$Q$23/1000</f>
        <v>46300</v>
      </c>
      <c r="K6" s="32">
        <f>Costeo!$Q$23/1000</f>
        <v>46300</v>
      </c>
      <c r="L6" s="32">
        <f>Costeo!$Q$23/1000</f>
        <v>46300</v>
      </c>
      <c r="M6" s="32">
        <f>Costeo!$Q$23/1000</f>
        <v>46300</v>
      </c>
      <c r="N6" s="32">
        <f>Costeo!$Q$23/1000</f>
        <v>46300</v>
      </c>
      <c r="O6" s="32">
        <f>Costeo!$Q$23/1000</f>
        <v>46300</v>
      </c>
      <c r="P6" s="32">
        <f>Costeo!$Q$23/1000</f>
        <v>46300</v>
      </c>
      <c r="Q6" s="32">
        <f>Costeo!$Q$23/1000</f>
        <v>46300</v>
      </c>
      <c r="R6" s="32">
        <f>Costeo!$Q$23/1000</f>
        <v>46300</v>
      </c>
      <c r="S6" s="32">
        <f>Costeo!$Q$23/1000</f>
        <v>46300</v>
      </c>
      <c r="T6" s="32">
        <f>Costeo!$Q$23/1000</f>
        <v>46300</v>
      </c>
      <c r="U6" s="32">
        <f>Costeo!$Q$23/1000</f>
        <v>46300</v>
      </c>
      <c r="V6" s="32">
        <f>Costeo!$Q$23/1000</f>
        <v>46300</v>
      </c>
      <c r="W6" s="32">
        <f>Costeo!$Q$23/1000</f>
        <v>46300</v>
      </c>
      <c r="X6" s="32">
        <f>Costeo!$Q$23/1000</f>
        <v>46300</v>
      </c>
      <c r="Y6" s="32">
        <f>Costeo!$Q$23/1000</f>
        <v>46300</v>
      </c>
      <c r="Z6" s="32">
        <f>Costeo!$Q$23/1000</f>
        <v>46300</v>
      </c>
      <c r="AA6" s="32">
        <f>Costeo!$Q$23/1000</f>
        <v>46300</v>
      </c>
      <c r="AB6" s="32">
        <f>Costeo!$Q$23/1000</f>
        <v>46300</v>
      </c>
      <c r="AC6" s="32">
        <f>Costeo!$Q$23/1000</f>
        <v>46300</v>
      </c>
      <c r="AD6" s="32">
        <f>Costeo!$Q$23/1000</f>
        <v>46300</v>
      </c>
      <c r="AE6" s="32">
        <f>Costeo!$Q$23/1000</f>
        <v>46300</v>
      </c>
      <c r="AF6" s="32">
        <f>Costeo!$Q$23/1000</f>
        <v>46300</v>
      </c>
      <c r="AG6" s="32">
        <f>Costeo!$Q$23/1000</f>
        <v>46300</v>
      </c>
      <c r="AH6" s="32">
        <f>Costeo!$Q$23/1000</f>
        <v>46300</v>
      </c>
      <c r="AI6" s="32">
        <f>Costeo!$Q$23/1000</f>
        <v>46300</v>
      </c>
      <c r="AJ6" s="32">
        <f>Costeo!$Q$23/1000</f>
        <v>46300</v>
      </c>
      <c r="AK6" s="32">
        <f>Costeo!$Q$23/1000</f>
        <v>46300</v>
      </c>
      <c r="AL6" s="32">
        <f>Costeo!$Q$23/1000</f>
        <v>46300</v>
      </c>
      <c r="AM6" s="32">
        <f>Costeo!$Q$23/1000</f>
        <v>46300</v>
      </c>
      <c r="AN6" s="32">
        <f>Costeo!$Q$23/1000</f>
        <v>46300</v>
      </c>
      <c r="AO6" s="32">
        <f>Costeo!$Q$23/1000</f>
        <v>46300</v>
      </c>
      <c r="AP6" s="32">
        <f>Costeo!$Q$23/1000</f>
        <v>46300</v>
      </c>
      <c r="AQ6" s="32">
        <f>Costeo!$Q$23/1000</f>
        <v>46300</v>
      </c>
      <c r="AR6" s="32">
        <f>Costeo!$Q$23/1000</f>
        <v>46300</v>
      </c>
      <c r="AS6" s="32">
        <f>Costeo!$Q$23/1000</f>
        <v>46300</v>
      </c>
      <c r="AT6" s="32">
        <f>Costeo!$Q$23/1000</f>
        <v>46300</v>
      </c>
      <c r="AU6" s="32">
        <f>Costeo!$Q$23/1000</f>
        <v>46300</v>
      </c>
      <c r="AV6" s="32">
        <f>Costeo!$Q$23/1000</f>
        <v>46300</v>
      </c>
      <c r="AW6" s="32">
        <f>Costeo!$Q$23/1000</f>
        <v>46300</v>
      </c>
      <c r="AX6" s="32">
        <f>Costeo!$Q$23/1000</f>
        <v>46300</v>
      </c>
      <c r="AY6" s="32">
        <f>Costeo!$Q$23/1000</f>
        <v>46300</v>
      </c>
      <c r="AZ6" s="32">
        <f>Costeo!$Q$23/1000</f>
        <v>46300</v>
      </c>
      <c r="BA6" s="32">
        <f>Costeo!$Q$23/1000</f>
        <v>46300</v>
      </c>
      <c r="BB6" s="32">
        <f>Costeo!$Q$23/1000</f>
        <v>46300</v>
      </c>
      <c r="BC6" s="32">
        <f>Costeo!$Q$23/1000</f>
        <v>46300</v>
      </c>
      <c r="BD6" s="32">
        <f>Costeo!$Q$23/1000</f>
        <v>46300</v>
      </c>
      <c r="BE6" s="32">
        <f>Costeo!$Q$23/1000</f>
        <v>46300</v>
      </c>
      <c r="BF6" s="32">
        <f>Costeo!$Q$23/1000</f>
        <v>46300</v>
      </c>
      <c r="BG6" s="32">
        <f>Costeo!$Q$23/1000</f>
        <v>46300</v>
      </c>
      <c r="BH6" s="32">
        <f>Costeo!$Q$23/1000</f>
        <v>46300</v>
      </c>
      <c r="BI6" s="32">
        <f>Costeo!$Q$23/1000</f>
        <v>46300</v>
      </c>
      <c r="BJ6" s="32">
        <f>Costeo!$Q$23/1000</f>
        <v>46300</v>
      </c>
      <c r="BK6" s="32">
        <f>Costeo!$Q$23/1000</f>
        <v>46300</v>
      </c>
      <c r="BL6" s="32">
        <f>Costeo!$Q$23/1000</f>
        <v>46300</v>
      </c>
    </row>
    <row r="7" spans="1:65" x14ac:dyDescent="0.25">
      <c r="B7" s="26" t="s">
        <v>72</v>
      </c>
      <c r="C7" t="s">
        <v>75</v>
      </c>
      <c r="D7" s="9"/>
      <c r="E7" s="11">
        <f>E68/1000</f>
        <v>100.49321111111109</v>
      </c>
      <c r="F7" s="11">
        <f>$E$7</f>
        <v>100.49321111111109</v>
      </c>
      <c r="G7" s="11">
        <f t="shared" ref="G7:BL7" si="0">$E$7</f>
        <v>100.49321111111109</v>
      </c>
      <c r="H7" s="11">
        <f t="shared" si="0"/>
        <v>100.49321111111109</v>
      </c>
      <c r="I7" s="11">
        <f t="shared" si="0"/>
        <v>100.49321111111109</v>
      </c>
      <c r="J7" s="11">
        <f t="shared" si="0"/>
        <v>100.49321111111109</v>
      </c>
      <c r="K7" s="11">
        <f t="shared" si="0"/>
        <v>100.49321111111109</v>
      </c>
      <c r="L7" s="11">
        <f t="shared" si="0"/>
        <v>100.49321111111109</v>
      </c>
      <c r="M7" s="11">
        <f t="shared" si="0"/>
        <v>100.49321111111109</v>
      </c>
      <c r="N7" s="11">
        <f t="shared" si="0"/>
        <v>100.49321111111109</v>
      </c>
      <c r="O7" s="11">
        <f t="shared" si="0"/>
        <v>100.49321111111109</v>
      </c>
      <c r="P7" s="11">
        <f t="shared" si="0"/>
        <v>100.49321111111109</v>
      </c>
      <c r="Q7" s="11">
        <f t="shared" si="0"/>
        <v>100.49321111111109</v>
      </c>
      <c r="R7" s="11">
        <f t="shared" si="0"/>
        <v>100.49321111111109</v>
      </c>
      <c r="S7" s="11">
        <f t="shared" si="0"/>
        <v>100.49321111111109</v>
      </c>
      <c r="T7" s="11">
        <f t="shared" si="0"/>
        <v>100.49321111111109</v>
      </c>
      <c r="U7" s="11">
        <f t="shared" si="0"/>
        <v>100.49321111111109</v>
      </c>
      <c r="V7" s="11">
        <f t="shared" si="0"/>
        <v>100.49321111111109</v>
      </c>
      <c r="W7" s="11">
        <f t="shared" si="0"/>
        <v>100.49321111111109</v>
      </c>
      <c r="X7" s="11">
        <f t="shared" si="0"/>
        <v>100.49321111111109</v>
      </c>
      <c r="Y7" s="11">
        <f t="shared" si="0"/>
        <v>100.49321111111109</v>
      </c>
      <c r="Z7" s="11">
        <f t="shared" si="0"/>
        <v>100.49321111111109</v>
      </c>
      <c r="AA7" s="11">
        <f t="shared" si="0"/>
        <v>100.49321111111109</v>
      </c>
      <c r="AB7" s="11">
        <f t="shared" si="0"/>
        <v>100.49321111111109</v>
      </c>
      <c r="AC7" s="11">
        <f t="shared" si="0"/>
        <v>100.49321111111109</v>
      </c>
      <c r="AD7" s="11">
        <f t="shared" si="0"/>
        <v>100.49321111111109</v>
      </c>
      <c r="AE7" s="11">
        <f t="shared" si="0"/>
        <v>100.49321111111109</v>
      </c>
      <c r="AF7" s="11">
        <f t="shared" si="0"/>
        <v>100.49321111111109</v>
      </c>
      <c r="AG7" s="11">
        <f t="shared" si="0"/>
        <v>100.49321111111109</v>
      </c>
      <c r="AH7" s="11">
        <f t="shared" si="0"/>
        <v>100.49321111111109</v>
      </c>
      <c r="AI7" s="11">
        <f t="shared" si="0"/>
        <v>100.49321111111109</v>
      </c>
      <c r="AJ7" s="11">
        <f t="shared" si="0"/>
        <v>100.49321111111109</v>
      </c>
      <c r="AK7" s="11">
        <f t="shared" si="0"/>
        <v>100.49321111111109</v>
      </c>
      <c r="AL7" s="11">
        <f t="shared" si="0"/>
        <v>100.49321111111109</v>
      </c>
      <c r="AM7" s="11">
        <f t="shared" si="0"/>
        <v>100.49321111111109</v>
      </c>
      <c r="AN7" s="11">
        <f t="shared" si="0"/>
        <v>100.49321111111109</v>
      </c>
      <c r="AO7" s="11">
        <f t="shared" si="0"/>
        <v>100.49321111111109</v>
      </c>
      <c r="AP7" s="11">
        <f t="shared" si="0"/>
        <v>100.49321111111109</v>
      </c>
      <c r="AQ7" s="11">
        <f t="shared" si="0"/>
        <v>100.49321111111109</v>
      </c>
      <c r="AR7" s="11">
        <f t="shared" si="0"/>
        <v>100.49321111111109</v>
      </c>
      <c r="AS7" s="11">
        <f t="shared" si="0"/>
        <v>100.49321111111109</v>
      </c>
      <c r="AT7" s="11">
        <f t="shared" si="0"/>
        <v>100.49321111111109</v>
      </c>
      <c r="AU7" s="11">
        <f t="shared" si="0"/>
        <v>100.49321111111109</v>
      </c>
      <c r="AV7" s="11">
        <f t="shared" si="0"/>
        <v>100.49321111111109</v>
      </c>
      <c r="AW7" s="11">
        <f t="shared" si="0"/>
        <v>100.49321111111109</v>
      </c>
      <c r="AX7" s="11">
        <f t="shared" si="0"/>
        <v>100.49321111111109</v>
      </c>
      <c r="AY7" s="11">
        <f t="shared" si="0"/>
        <v>100.49321111111109</v>
      </c>
      <c r="AZ7" s="11">
        <f t="shared" si="0"/>
        <v>100.49321111111109</v>
      </c>
      <c r="BA7" s="11">
        <f t="shared" si="0"/>
        <v>100.49321111111109</v>
      </c>
      <c r="BB7" s="11">
        <f t="shared" si="0"/>
        <v>100.49321111111109</v>
      </c>
      <c r="BC7" s="11">
        <f t="shared" si="0"/>
        <v>100.49321111111109</v>
      </c>
      <c r="BD7" s="11">
        <f t="shared" si="0"/>
        <v>100.49321111111109</v>
      </c>
      <c r="BE7" s="11">
        <f t="shared" si="0"/>
        <v>100.49321111111109</v>
      </c>
      <c r="BF7" s="11">
        <f t="shared" si="0"/>
        <v>100.49321111111109</v>
      </c>
      <c r="BG7" s="11">
        <f t="shared" si="0"/>
        <v>100.49321111111109</v>
      </c>
      <c r="BH7" s="11">
        <f t="shared" si="0"/>
        <v>100.49321111111109</v>
      </c>
      <c r="BI7" s="11">
        <f t="shared" si="0"/>
        <v>100.49321111111109</v>
      </c>
      <c r="BJ7" s="11">
        <f t="shared" si="0"/>
        <v>100.49321111111109</v>
      </c>
      <c r="BK7" s="11">
        <f t="shared" si="0"/>
        <v>100.49321111111109</v>
      </c>
      <c r="BL7" s="11">
        <f t="shared" si="0"/>
        <v>100.49321111111109</v>
      </c>
      <c r="BM7" s="29">
        <v>1</v>
      </c>
    </row>
    <row r="8" spans="1:65" ht="14.25" x14ac:dyDescent="0.25">
      <c r="B8" s="26" t="s">
        <v>72</v>
      </c>
      <c r="C8" t="s">
        <v>76</v>
      </c>
      <c r="D8" s="9"/>
      <c r="E8" s="33">
        <f>Amortizacion!J5</f>
        <v>2445.9067327804405</v>
      </c>
      <c r="F8" s="33">
        <f>Amortizacion!K5</f>
        <v>2522.7082041897465</v>
      </c>
      <c r="G8" s="33">
        <f>Amortizacion!L5</f>
        <v>2601.921241801303</v>
      </c>
      <c r="H8" s="33">
        <f>Amortizacion!M5</f>
        <v>2683.6215687938638</v>
      </c>
      <c r="I8" s="33">
        <f>Amortizacion!N5</f>
        <v>2767.8872860539905</v>
      </c>
      <c r="J8" s="33">
        <f>Amortizacion!O5</f>
        <v>2854.7989468360847</v>
      </c>
      <c r="K8" s="33">
        <f>Amortizacion!P5</f>
        <v>2944.4396337667386</v>
      </c>
      <c r="L8" s="33">
        <f>Amortizacion!Q5</f>
        <v>3036.8950382670137</v>
      </c>
      <c r="M8" s="33">
        <f>Amortizacion!R5</f>
        <v>3132.2535424685975</v>
      </c>
      <c r="N8" s="33">
        <f>Amortizacion!S5</f>
        <v>3230.6063037021104</v>
      </c>
      <c r="O8" s="33">
        <f>Amortizacion!T5</f>
        <v>3332.0473416383575</v>
      </c>
      <c r="P8" s="33">
        <f>Amortizacion!U5</f>
        <v>3436.6736281658013</v>
      </c>
      <c r="Q8" s="33">
        <f>Amortizacion!V5</f>
        <v>3544.5851800902074</v>
      </c>
      <c r="R8" s="33">
        <f>Amortizacion!W5</f>
        <v>3655.8851547450413</v>
      </c>
      <c r="S8" s="33">
        <f>Amortizacion!X5</f>
        <v>3770.6799486040345</v>
      </c>
      <c r="T8" s="33">
        <f>Amortizacion!Y5</f>
        <v>3889.0792989902002</v>
      </c>
      <c r="U8" s="33">
        <f>Amortizacion!Z5</f>
        <v>4011.1963889784929</v>
      </c>
      <c r="V8" s="33">
        <f>Amortizacion!AA5</f>
        <v>4137.1479555924179</v>
      </c>
      <c r="W8" s="33">
        <f>Amortizacion!AB5</f>
        <v>4267.0544013980198</v>
      </c>
      <c r="X8" s="33">
        <f>Amortizacion!AC5</f>
        <v>4401.0399096019173</v>
      </c>
      <c r="Y8" s="33">
        <f>Amortizacion!AD5</f>
        <v>4539.2325627634164</v>
      </c>
      <c r="Z8" s="33">
        <f>Amortizacion!AE5</f>
        <v>4681.7644652341896</v>
      </c>
      <c r="AA8" s="33">
        <f>Amortizacion!AF5</f>
        <v>4828.7718694425421</v>
      </c>
      <c r="AB8" s="33">
        <f>Amortizacion!AG5</f>
        <v>4980.3953061430384</v>
      </c>
      <c r="AC8" s="33">
        <f>Amortizacion!AH5</f>
        <v>5136.7797187559299</v>
      </c>
      <c r="AD8" s="33">
        <f>Amortizacion!AI5</f>
        <v>5298.0746019248654</v>
      </c>
      <c r="AE8" s="33">
        <f>Amortizacion!AJ5</f>
        <v>5464.4341444253059</v>
      </c>
      <c r="AF8" s="33">
        <f>Amortizacion!AK5</f>
        <v>5636.0173765602613</v>
      </c>
      <c r="AG8" s="33">
        <f>Amortizacion!AL5</f>
        <v>5812.9883221842538</v>
      </c>
      <c r="AH8" s="33">
        <f>Amortizacion!AM5</f>
        <v>5995.5161555008381</v>
      </c>
      <c r="AI8" s="33">
        <f>Amortizacion!AN5</f>
        <v>6183.7753627835646</v>
      </c>
      <c r="AJ8" s="33">
        <f>Amortizacion!AO5</f>
        <v>6377.9459091749686</v>
      </c>
      <c r="AK8" s="33">
        <f>Amortizacion!AP5</f>
        <v>6578.2134107230631</v>
      </c>
      <c r="AL8" s="33">
        <f>Amortizacion!AQ5</f>
        <v>6784.7693118197676</v>
      </c>
      <c r="AM8" s="33">
        <f>Amortizacion!AR5</f>
        <v>6997.8110682109091</v>
      </c>
      <c r="AN8" s="33">
        <f>Amortizacion!AS5</f>
        <v>7217.5423357527307</v>
      </c>
      <c r="AO8" s="33">
        <f>Amortizacion!AT5</f>
        <v>7444.1731650953661</v>
      </c>
      <c r="AP8" s="33">
        <f>Amortizacion!AU5</f>
        <v>7677.9202024793603</v>
      </c>
      <c r="AQ8" s="33">
        <f>Amortizacion!AV5</f>
        <v>7919.0068968372125</v>
      </c>
      <c r="AR8" s="33">
        <f>Amortizacion!AW5</f>
        <v>8167.6637133979002</v>
      </c>
      <c r="AS8" s="33">
        <f>Amortizacion!AX5</f>
        <v>8424.1283539985943</v>
      </c>
      <c r="AT8" s="33">
        <f>Amortizacion!AY5</f>
        <v>8688.6459843141492</v>
      </c>
      <c r="AU8" s="33">
        <f>Amortizacion!AZ5</f>
        <v>8961.4694682216141</v>
      </c>
      <c r="AV8" s="33">
        <f>Amortizacion!BA5</f>
        <v>9242.8596095237735</v>
      </c>
      <c r="AW8" s="33">
        <f>Amortizacion!BB5</f>
        <v>9533.0854012628206</v>
      </c>
      <c r="AX8" s="33">
        <f>Amortizacion!BC5</f>
        <v>9832.4242828624738</v>
      </c>
      <c r="AY8" s="33">
        <f>Amortizacion!BD5</f>
        <v>10141.162405344356</v>
      </c>
      <c r="AZ8" s="33">
        <f>Amortizacion!BE5</f>
        <v>10459.594904872167</v>
      </c>
      <c r="BA8" s="33">
        <f>Amortizacion!BF5</f>
        <v>10788.026184885155</v>
      </c>
      <c r="BB8" s="33">
        <f>Amortizacion!BG5</f>
        <v>11126.770207090547</v>
      </c>
      <c r="BC8" s="33">
        <f>Amortizacion!BH5</f>
        <v>11476.150791593191</v>
      </c>
      <c r="BD8" s="33">
        <f>Amortizacion!BI5</f>
        <v>11836.501926449217</v>
      </c>
      <c r="BE8" s="33">
        <f>Amortizacion!BJ5</f>
        <v>12208.168086939722</v>
      </c>
      <c r="BF8" s="33">
        <f>Amortizacion!BK5</f>
        <v>12591.504564869629</v>
      </c>
      <c r="BG8" s="33">
        <f>Amortizacion!BL5</f>
        <v>12986.877808206536</v>
      </c>
      <c r="BH8" s="33">
        <f>Amortizacion!BM5</f>
        <v>13394.665771384221</v>
      </c>
      <c r="BI8" s="33">
        <f>Amortizacion!BN5</f>
        <v>13815.258276605686</v>
      </c>
      <c r="BJ8" s="33">
        <f>Amortizacion!BO5</f>
        <v>14249.057386491104</v>
      </c>
      <c r="BK8" s="33">
        <f>Amortizacion!BP5</f>
        <v>14696.477788426924</v>
      </c>
      <c r="BL8" s="33">
        <f>Amortizacion!BQ5</f>
        <v>15157.94719098353</v>
      </c>
    </row>
    <row r="9" spans="1:65" ht="14.25" x14ac:dyDescent="0.25">
      <c r="B9" s="27" t="s">
        <v>77</v>
      </c>
      <c r="C9" s="28" t="s">
        <v>78</v>
      </c>
      <c r="D9" s="15"/>
      <c r="E9" s="15">
        <f>E4-E5-E6-E7-E8</f>
        <v>-2546.3999438915516</v>
      </c>
      <c r="F9" s="15">
        <f t="shared" ref="F9:BL9" si="1">F4-F5-F6-F7-F8</f>
        <v>-2623.2014153008577</v>
      </c>
      <c r="G9" s="15">
        <f t="shared" si="1"/>
        <v>-2702.4144529124142</v>
      </c>
      <c r="H9" s="15">
        <f t="shared" si="1"/>
        <v>54035.085220095018</v>
      </c>
      <c r="I9" s="15">
        <f t="shared" si="1"/>
        <v>53950.819502834893</v>
      </c>
      <c r="J9" s="15">
        <f t="shared" si="1"/>
        <v>53863.907842052802</v>
      </c>
      <c r="K9" s="15">
        <f t="shared" si="1"/>
        <v>53774.267155122143</v>
      </c>
      <c r="L9" s="15">
        <f t="shared" si="1"/>
        <v>53681.81175062187</v>
      </c>
      <c r="M9" s="15">
        <f t="shared" si="1"/>
        <v>53586.453246420286</v>
      </c>
      <c r="N9" s="15">
        <f t="shared" si="1"/>
        <v>53488.100485186776</v>
      </c>
      <c r="O9" s="15">
        <f t="shared" si="1"/>
        <v>53386.659447250524</v>
      </c>
      <c r="P9" s="15">
        <f t="shared" si="1"/>
        <v>53282.033160723084</v>
      </c>
      <c r="Q9" s="15">
        <f t="shared" si="1"/>
        <v>53174.121608798676</v>
      </c>
      <c r="R9" s="15">
        <f t="shared" si="1"/>
        <v>53062.821634143846</v>
      </c>
      <c r="S9" s="15">
        <f t="shared" si="1"/>
        <v>52948.026840284852</v>
      </c>
      <c r="T9" s="15">
        <f t="shared" si="1"/>
        <v>52829.627489898689</v>
      </c>
      <c r="U9" s="15">
        <f t="shared" si="1"/>
        <v>52707.510399910389</v>
      </c>
      <c r="V9" s="15">
        <f t="shared" si="1"/>
        <v>52581.558833296469</v>
      </c>
      <c r="W9" s="15">
        <f t="shared" si="1"/>
        <v>52451.652387490867</v>
      </c>
      <c r="X9" s="15">
        <f t="shared" si="1"/>
        <v>52317.666879286968</v>
      </c>
      <c r="Y9" s="15">
        <f t="shared" si="1"/>
        <v>52179.474226125472</v>
      </c>
      <c r="Z9" s="15">
        <f t="shared" si="1"/>
        <v>52036.942323654694</v>
      </c>
      <c r="AA9" s="15">
        <f t="shared" si="1"/>
        <v>51889.934919446343</v>
      </c>
      <c r="AB9" s="15">
        <f t="shared" si="1"/>
        <v>51738.311482745848</v>
      </c>
      <c r="AC9" s="15">
        <f t="shared" si="1"/>
        <v>51581.927070132951</v>
      </c>
      <c r="AD9" s="15">
        <f t="shared" si="1"/>
        <v>51420.632186964023</v>
      </c>
      <c r="AE9" s="15">
        <f t="shared" si="1"/>
        <v>51254.272644463577</v>
      </c>
      <c r="AF9" s="15">
        <f t="shared" si="1"/>
        <v>51082.689412328626</v>
      </c>
      <c r="AG9" s="15">
        <f t="shared" si="1"/>
        <v>50905.718466704631</v>
      </c>
      <c r="AH9" s="15">
        <f t="shared" si="1"/>
        <v>50723.190633388047</v>
      </c>
      <c r="AI9" s="15">
        <f t="shared" si="1"/>
        <v>50534.931426105322</v>
      </c>
      <c r="AJ9" s="15">
        <f t="shared" si="1"/>
        <v>50340.760879713918</v>
      </c>
      <c r="AK9" s="15">
        <f t="shared" si="1"/>
        <v>50140.493378165818</v>
      </c>
      <c r="AL9" s="15">
        <f t="shared" si="1"/>
        <v>49933.937477069121</v>
      </c>
      <c r="AM9" s="15">
        <f t="shared" si="1"/>
        <v>49720.895720677974</v>
      </c>
      <c r="AN9" s="15">
        <f t="shared" si="1"/>
        <v>49501.164453136153</v>
      </c>
      <c r="AO9" s="15">
        <f t="shared" si="1"/>
        <v>49274.533623793519</v>
      </c>
      <c r="AP9" s="15">
        <f t="shared" si="1"/>
        <v>49040.786586409522</v>
      </c>
      <c r="AQ9" s="15">
        <f t="shared" si="1"/>
        <v>48799.699892051671</v>
      </c>
      <c r="AR9" s="15">
        <f t="shared" si="1"/>
        <v>48551.043075490983</v>
      </c>
      <c r="AS9" s="15">
        <f t="shared" si="1"/>
        <v>48294.578434890289</v>
      </c>
      <c r="AT9" s="15">
        <f t="shared" si="1"/>
        <v>48030.060804574736</v>
      </c>
      <c r="AU9" s="15">
        <f t="shared" si="1"/>
        <v>47757.237320667271</v>
      </c>
      <c r="AV9" s="15">
        <f t="shared" si="1"/>
        <v>47475.847179365112</v>
      </c>
      <c r="AW9" s="15">
        <f t="shared" si="1"/>
        <v>47185.621387626066</v>
      </c>
      <c r="AX9" s="15">
        <f t="shared" si="1"/>
        <v>46886.282506026415</v>
      </c>
      <c r="AY9" s="15">
        <f t="shared" si="1"/>
        <v>46577.544383544533</v>
      </c>
      <c r="AZ9" s="15">
        <f t="shared" si="1"/>
        <v>46259.111884016718</v>
      </c>
      <c r="BA9" s="15">
        <f t="shared" si="1"/>
        <v>45930.680604003734</v>
      </c>
      <c r="BB9" s="15">
        <f t="shared" si="1"/>
        <v>45591.936581798334</v>
      </c>
      <c r="BC9" s="15">
        <f t="shared" si="1"/>
        <v>45242.555997295698</v>
      </c>
      <c r="BD9" s="15">
        <f t="shared" si="1"/>
        <v>44882.20486243967</v>
      </c>
      <c r="BE9" s="15">
        <f t="shared" si="1"/>
        <v>44510.538701949161</v>
      </c>
      <c r="BF9" s="15">
        <f t="shared" si="1"/>
        <v>44127.20222401926</v>
      </c>
      <c r="BG9" s="15">
        <f t="shared" si="1"/>
        <v>43731.828980682345</v>
      </c>
      <c r="BH9" s="15">
        <f t="shared" si="1"/>
        <v>43324.041017504664</v>
      </c>
      <c r="BI9" s="15">
        <f t="shared" si="1"/>
        <v>42903.448512283197</v>
      </c>
      <c r="BJ9" s="15">
        <f t="shared" si="1"/>
        <v>42469.649402397779</v>
      </c>
      <c r="BK9" s="15">
        <f t="shared" si="1"/>
        <v>42022.229000461957</v>
      </c>
      <c r="BL9" s="15">
        <f t="shared" si="1"/>
        <v>41560.759597905359</v>
      </c>
      <c r="BM9">
        <v>1</v>
      </c>
    </row>
    <row r="10" spans="1:65" ht="14.25" x14ac:dyDescent="0.25">
      <c r="A10">
        <v>0.34</v>
      </c>
      <c r="B10" s="26" t="s">
        <v>72</v>
      </c>
      <c r="C10" t="s">
        <v>83</v>
      </c>
      <c r="D10" s="9"/>
      <c r="E10" s="9"/>
      <c r="F10" s="9"/>
      <c r="G10" s="15"/>
      <c r="H10" s="15">
        <f>H9*$A$10</f>
        <v>18371.928974832306</v>
      </c>
      <c r="I10" s="15">
        <f t="shared" ref="I10:BL10" si="2">I9*$A$10</f>
        <v>18343.278630963865</v>
      </c>
      <c r="J10" s="15">
        <f t="shared" si="2"/>
        <v>18313.728666297953</v>
      </c>
      <c r="K10" s="15">
        <f t="shared" si="2"/>
        <v>18283.250832741531</v>
      </c>
      <c r="L10" s="15">
        <f t="shared" si="2"/>
        <v>18251.815995211437</v>
      </c>
      <c r="M10" s="15">
        <f t="shared" si="2"/>
        <v>18219.394103782899</v>
      </c>
      <c r="N10" s="15">
        <f t="shared" si="2"/>
        <v>18185.954164963507</v>
      </c>
      <c r="O10" s="15">
        <f t="shared" si="2"/>
        <v>18151.464212065181</v>
      </c>
      <c r="P10" s="15">
        <f t="shared" si="2"/>
        <v>18115.891274645848</v>
      </c>
      <c r="Q10" s="15">
        <f t="shared" si="2"/>
        <v>18079.201346991551</v>
      </c>
      <c r="R10" s="15">
        <f t="shared" si="2"/>
        <v>18041.359355608907</v>
      </c>
      <c r="S10" s="15">
        <f t="shared" si="2"/>
        <v>18002.329125696851</v>
      </c>
      <c r="T10" s="15">
        <f t="shared" si="2"/>
        <v>17962.073346565554</v>
      </c>
      <c r="U10" s="15">
        <f t="shared" si="2"/>
        <v>17920.553535969535</v>
      </c>
      <c r="V10" s="15">
        <f t="shared" si="2"/>
        <v>17877.730003320801</v>
      </c>
      <c r="W10" s="15">
        <f t="shared" si="2"/>
        <v>17833.561811746895</v>
      </c>
      <c r="X10" s="15">
        <f t="shared" si="2"/>
        <v>17788.006738957571</v>
      </c>
      <c r="Y10" s="15">
        <f t="shared" si="2"/>
        <v>17741.021236882661</v>
      </c>
      <c r="Z10" s="15">
        <f t="shared" si="2"/>
        <v>17692.560390042596</v>
      </c>
      <c r="AA10" s="15">
        <f t="shared" si="2"/>
        <v>17642.577872611757</v>
      </c>
      <c r="AB10" s="15">
        <f t="shared" si="2"/>
        <v>17591.025904133588</v>
      </c>
      <c r="AC10" s="15">
        <f t="shared" si="2"/>
        <v>17537.855203845204</v>
      </c>
      <c r="AD10" s="15">
        <f t="shared" si="2"/>
        <v>17483.01494356777</v>
      </c>
      <c r="AE10" s="15">
        <f t="shared" si="2"/>
        <v>17426.452699117617</v>
      </c>
      <c r="AF10" s="15">
        <f t="shared" si="2"/>
        <v>17368.114400191735</v>
      </c>
      <c r="AG10" s="15">
        <f t="shared" si="2"/>
        <v>17307.944278679577</v>
      </c>
      <c r="AH10" s="15">
        <f t="shared" si="2"/>
        <v>17245.884815351936</v>
      </c>
      <c r="AI10" s="15">
        <f t="shared" si="2"/>
        <v>17181.87668487581</v>
      </c>
      <c r="AJ10" s="15">
        <f t="shared" si="2"/>
        <v>17115.858699102733</v>
      </c>
      <c r="AK10" s="15">
        <f t="shared" si="2"/>
        <v>17047.767748576378</v>
      </c>
      <c r="AL10" s="15">
        <f t="shared" si="2"/>
        <v>16977.538742203502</v>
      </c>
      <c r="AM10" s="15">
        <f t="shared" si="2"/>
        <v>16905.104545030514</v>
      </c>
      <c r="AN10" s="15">
        <f t="shared" si="2"/>
        <v>16830.395914066292</v>
      </c>
      <c r="AO10" s="15">
        <f t="shared" si="2"/>
        <v>16753.341432089797</v>
      </c>
      <c r="AP10" s="15">
        <f t="shared" si="2"/>
        <v>16673.867439379239</v>
      </c>
      <c r="AQ10" s="15">
        <f t="shared" si="2"/>
        <v>16591.897963297568</v>
      </c>
      <c r="AR10" s="15">
        <f t="shared" si="2"/>
        <v>16507.354645666936</v>
      </c>
      <c r="AS10" s="15">
        <f t="shared" si="2"/>
        <v>16420.156667862699</v>
      </c>
      <c r="AT10" s="15">
        <f t="shared" si="2"/>
        <v>16330.220673555412</v>
      </c>
      <c r="AU10" s="15">
        <f t="shared" si="2"/>
        <v>16237.460689026873</v>
      </c>
      <c r="AV10" s="15">
        <f t="shared" si="2"/>
        <v>16141.788040984138</v>
      </c>
      <c r="AW10" s="15">
        <f t="shared" si="2"/>
        <v>16043.111271792864</v>
      </c>
      <c r="AX10" s="15">
        <f t="shared" si="2"/>
        <v>15941.336052048982</v>
      </c>
      <c r="AY10" s="15">
        <f t="shared" si="2"/>
        <v>15836.365090405143</v>
      </c>
      <c r="AZ10" s="15">
        <f t="shared" si="2"/>
        <v>15728.098040565685</v>
      </c>
      <c r="BA10" s="15">
        <f t="shared" si="2"/>
        <v>15616.431405361271</v>
      </c>
      <c r="BB10" s="15">
        <f t="shared" si="2"/>
        <v>15501.258437811435</v>
      </c>
      <c r="BC10" s="15">
        <f t="shared" si="2"/>
        <v>15382.469039080539</v>
      </c>
      <c r="BD10" s="15">
        <f t="shared" si="2"/>
        <v>15259.949653229489</v>
      </c>
      <c r="BE10" s="15">
        <f t="shared" si="2"/>
        <v>15133.583158662716</v>
      </c>
      <c r="BF10" s="15">
        <f t="shared" si="2"/>
        <v>15003.248756166549</v>
      </c>
      <c r="BG10" s="15">
        <f t="shared" si="2"/>
        <v>14868.821853431999</v>
      </c>
      <c r="BH10" s="15">
        <f t="shared" si="2"/>
        <v>14730.173945951587</v>
      </c>
      <c r="BI10" s="15">
        <f t="shared" si="2"/>
        <v>14587.172494176288</v>
      </c>
      <c r="BJ10" s="15">
        <f t="shared" si="2"/>
        <v>14439.680796815246</v>
      </c>
      <c r="BK10" s="15">
        <f t="shared" si="2"/>
        <v>14287.557860157067</v>
      </c>
      <c r="BL10" s="15">
        <f t="shared" si="2"/>
        <v>14130.658263287824</v>
      </c>
      <c r="BM10">
        <v>1</v>
      </c>
    </row>
    <row r="11" spans="1:65" ht="14.25" x14ac:dyDescent="0.25">
      <c r="B11" s="27" t="s">
        <v>77</v>
      </c>
      <c r="C11" s="28" t="s">
        <v>79</v>
      </c>
      <c r="D11" s="15">
        <f>-Amortizacion!B3</f>
        <v>-420000</v>
      </c>
      <c r="E11" s="15">
        <f t="shared" ref="E11:G11" si="3">E9-E10</f>
        <v>-2546.3999438915516</v>
      </c>
      <c r="F11" s="15">
        <f t="shared" si="3"/>
        <v>-2623.2014153008577</v>
      </c>
      <c r="G11" s="15">
        <f t="shared" si="3"/>
        <v>-2702.4144529124142</v>
      </c>
      <c r="H11" s="15">
        <f>H9-H10</f>
        <v>35663.156245262711</v>
      </c>
      <c r="I11" s="15">
        <f t="shared" ref="I11:BL11" si="4">I9-I10</f>
        <v>35607.540871871024</v>
      </c>
      <c r="J11" s="15">
        <f t="shared" si="4"/>
        <v>35550.179175754849</v>
      </c>
      <c r="K11" s="15">
        <f t="shared" si="4"/>
        <v>35491.016322380616</v>
      </c>
      <c r="L11" s="15">
        <f t="shared" si="4"/>
        <v>35429.995755410433</v>
      </c>
      <c r="M11" s="15">
        <f t="shared" si="4"/>
        <v>35367.059142637387</v>
      </c>
      <c r="N11" s="15">
        <f t="shared" si="4"/>
        <v>35302.14632022327</v>
      </c>
      <c r="O11" s="15">
        <f t="shared" si="4"/>
        <v>35235.19523518534</v>
      </c>
      <c r="P11" s="15">
        <f t="shared" si="4"/>
        <v>35166.141886077239</v>
      </c>
      <c r="Q11" s="15">
        <f t="shared" si="4"/>
        <v>35094.920261807129</v>
      </c>
      <c r="R11" s="15">
        <f t="shared" si="4"/>
        <v>35021.462278534935</v>
      </c>
      <c r="S11" s="15">
        <f t="shared" si="4"/>
        <v>34945.697714588001</v>
      </c>
      <c r="T11" s="15">
        <f t="shared" si="4"/>
        <v>34867.554143333138</v>
      </c>
      <c r="U11" s="15">
        <f t="shared" si="4"/>
        <v>34786.956863940854</v>
      </c>
      <c r="V11" s="15">
        <f t="shared" si="4"/>
        <v>34703.828829975668</v>
      </c>
      <c r="W11" s="15">
        <f t="shared" si="4"/>
        <v>34618.090575743976</v>
      </c>
      <c r="X11" s="15">
        <f t="shared" si="4"/>
        <v>34529.660140329397</v>
      </c>
      <c r="Y11" s="15">
        <f t="shared" si="4"/>
        <v>34438.452989242811</v>
      </c>
      <c r="Z11" s="15">
        <f t="shared" si="4"/>
        <v>34344.381933612094</v>
      </c>
      <c r="AA11" s="15">
        <f t="shared" si="4"/>
        <v>34247.357046834586</v>
      </c>
      <c r="AB11" s="15">
        <f t="shared" si="4"/>
        <v>34147.28557861226</v>
      </c>
      <c r="AC11" s="15">
        <f t="shared" si="4"/>
        <v>34044.071866287748</v>
      </c>
      <c r="AD11" s="15">
        <f t="shared" si="4"/>
        <v>33937.617243396249</v>
      </c>
      <c r="AE11" s="15">
        <f t="shared" si="4"/>
        <v>33827.81994534596</v>
      </c>
      <c r="AF11" s="15">
        <f t="shared" si="4"/>
        <v>33714.575012136891</v>
      </c>
      <c r="AG11" s="15">
        <f t="shared" si="4"/>
        <v>33597.774188025054</v>
      </c>
      <c r="AH11" s="15">
        <f t="shared" si="4"/>
        <v>33477.305818036111</v>
      </c>
      <c r="AI11" s="15">
        <f t="shared" si="4"/>
        <v>33353.054741229513</v>
      </c>
      <c r="AJ11" s="15">
        <f t="shared" si="4"/>
        <v>33224.902180611185</v>
      </c>
      <c r="AK11" s="15">
        <f t="shared" si="4"/>
        <v>33092.72562958944</v>
      </c>
      <c r="AL11" s="15">
        <f t="shared" si="4"/>
        <v>32956.398734865623</v>
      </c>
      <c r="AM11" s="15">
        <f t="shared" si="4"/>
        <v>32815.791175647464</v>
      </c>
      <c r="AN11" s="15">
        <f t="shared" si="4"/>
        <v>32670.768539069861</v>
      </c>
      <c r="AO11" s="15">
        <f t="shared" si="4"/>
        <v>32521.192191703722</v>
      </c>
      <c r="AP11" s="15">
        <f t="shared" si="4"/>
        <v>32366.919147030283</v>
      </c>
      <c r="AQ11" s="15">
        <f t="shared" si="4"/>
        <v>32207.801928754103</v>
      </c>
      <c r="AR11" s="15">
        <f t="shared" si="4"/>
        <v>32043.688429824047</v>
      </c>
      <c r="AS11" s="15">
        <f t="shared" si="4"/>
        <v>31874.42176702759</v>
      </c>
      <c r="AT11" s="15">
        <f t="shared" si="4"/>
        <v>31699.840131019322</v>
      </c>
      <c r="AU11" s="15">
        <f t="shared" si="4"/>
        <v>31519.776631640398</v>
      </c>
      <c r="AV11" s="15">
        <f t="shared" si="4"/>
        <v>31334.059138380973</v>
      </c>
      <c r="AW11" s="15">
        <f t="shared" si="4"/>
        <v>31142.510115833204</v>
      </c>
      <c r="AX11" s="15">
        <f t="shared" si="4"/>
        <v>30944.946453977434</v>
      </c>
      <c r="AY11" s="15">
        <f t="shared" si="4"/>
        <v>30741.17929313939</v>
      </c>
      <c r="AZ11" s="15">
        <f t="shared" si="4"/>
        <v>30531.013843451034</v>
      </c>
      <c r="BA11" s="15">
        <f t="shared" si="4"/>
        <v>30314.249198642465</v>
      </c>
      <c r="BB11" s="15">
        <f t="shared" si="4"/>
        <v>30090.678143986901</v>
      </c>
      <c r="BC11" s="15">
        <f t="shared" si="4"/>
        <v>29860.086958215157</v>
      </c>
      <c r="BD11" s="15">
        <f t="shared" si="4"/>
        <v>29622.255209210183</v>
      </c>
      <c r="BE11" s="15">
        <f t="shared" si="4"/>
        <v>29376.955543286444</v>
      </c>
      <c r="BF11" s="15">
        <f t="shared" si="4"/>
        <v>29123.953467852712</v>
      </c>
      <c r="BG11" s="15">
        <f t="shared" si="4"/>
        <v>28863.007127250348</v>
      </c>
      <c r="BH11" s="15">
        <f t="shared" si="4"/>
        <v>28593.867071553075</v>
      </c>
      <c r="BI11" s="15">
        <f t="shared" si="4"/>
        <v>28316.27601810691</v>
      </c>
      <c r="BJ11" s="15">
        <f t="shared" si="4"/>
        <v>28029.968605582533</v>
      </c>
      <c r="BK11" s="15">
        <f t="shared" si="4"/>
        <v>27734.67114030489</v>
      </c>
      <c r="BL11" s="15">
        <f t="shared" si="4"/>
        <v>27430.101334617535</v>
      </c>
      <c r="BM11">
        <v>1</v>
      </c>
    </row>
    <row r="12" spans="1:65" x14ac:dyDescent="0.25">
      <c r="B12" s="26" t="s">
        <v>70</v>
      </c>
      <c r="C12" t="s">
        <v>75</v>
      </c>
      <c r="D12" s="15"/>
      <c r="E12" s="15">
        <f>E7</f>
        <v>100.49321111111109</v>
      </c>
      <c r="F12" s="15">
        <f t="shared" ref="F12:BL12" si="5">F7</f>
        <v>100.49321111111109</v>
      </c>
      <c r="G12" s="15">
        <f t="shared" si="5"/>
        <v>100.49321111111109</v>
      </c>
      <c r="H12" s="15">
        <f t="shared" si="5"/>
        <v>100.49321111111109</v>
      </c>
      <c r="I12" s="15">
        <f t="shared" si="5"/>
        <v>100.49321111111109</v>
      </c>
      <c r="J12" s="15">
        <f t="shared" si="5"/>
        <v>100.49321111111109</v>
      </c>
      <c r="K12" s="15">
        <f t="shared" si="5"/>
        <v>100.49321111111109</v>
      </c>
      <c r="L12" s="15">
        <f t="shared" si="5"/>
        <v>100.49321111111109</v>
      </c>
      <c r="M12" s="15">
        <f t="shared" si="5"/>
        <v>100.49321111111109</v>
      </c>
      <c r="N12" s="15">
        <f t="shared" si="5"/>
        <v>100.49321111111109</v>
      </c>
      <c r="O12" s="15">
        <f t="shared" si="5"/>
        <v>100.49321111111109</v>
      </c>
      <c r="P12" s="15">
        <f t="shared" si="5"/>
        <v>100.49321111111109</v>
      </c>
      <c r="Q12" s="15">
        <f t="shared" si="5"/>
        <v>100.49321111111109</v>
      </c>
      <c r="R12" s="15">
        <f t="shared" si="5"/>
        <v>100.49321111111109</v>
      </c>
      <c r="S12" s="15">
        <f t="shared" si="5"/>
        <v>100.49321111111109</v>
      </c>
      <c r="T12" s="15">
        <f t="shared" si="5"/>
        <v>100.49321111111109</v>
      </c>
      <c r="U12" s="15">
        <f t="shared" si="5"/>
        <v>100.49321111111109</v>
      </c>
      <c r="V12" s="15">
        <f t="shared" si="5"/>
        <v>100.49321111111109</v>
      </c>
      <c r="W12" s="15">
        <f t="shared" si="5"/>
        <v>100.49321111111109</v>
      </c>
      <c r="X12" s="15">
        <f t="shared" si="5"/>
        <v>100.49321111111109</v>
      </c>
      <c r="Y12" s="15">
        <f t="shared" si="5"/>
        <v>100.49321111111109</v>
      </c>
      <c r="Z12" s="15">
        <f t="shared" si="5"/>
        <v>100.49321111111109</v>
      </c>
      <c r="AA12" s="15">
        <f t="shared" si="5"/>
        <v>100.49321111111109</v>
      </c>
      <c r="AB12" s="15">
        <f t="shared" si="5"/>
        <v>100.49321111111109</v>
      </c>
      <c r="AC12" s="15">
        <f t="shared" si="5"/>
        <v>100.49321111111109</v>
      </c>
      <c r="AD12" s="15">
        <f t="shared" si="5"/>
        <v>100.49321111111109</v>
      </c>
      <c r="AE12" s="15">
        <f t="shared" si="5"/>
        <v>100.49321111111109</v>
      </c>
      <c r="AF12" s="15">
        <f t="shared" si="5"/>
        <v>100.49321111111109</v>
      </c>
      <c r="AG12" s="15">
        <f t="shared" si="5"/>
        <v>100.49321111111109</v>
      </c>
      <c r="AH12" s="15">
        <f t="shared" si="5"/>
        <v>100.49321111111109</v>
      </c>
      <c r="AI12" s="15">
        <f t="shared" si="5"/>
        <v>100.49321111111109</v>
      </c>
      <c r="AJ12" s="15">
        <f t="shared" si="5"/>
        <v>100.49321111111109</v>
      </c>
      <c r="AK12" s="15">
        <f t="shared" si="5"/>
        <v>100.49321111111109</v>
      </c>
      <c r="AL12" s="15">
        <f t="shared" si="5"/>
        <v>100.49321111111109</v>
      </c>
      <c r="AM12" s="15">
        <f t="shared" si="5"/>
        <v>100.49321111111109</v>
      </c>
      <c r="AN12" s="15">
        <f t="shared" si="5"/>
        <v>100.49321111111109</v>
      </c>
      <c r="AO12" s="15">
        <f t="shared" si="5"/>
        <v>100.49321111111109</v>
      </c>
      <c r="AP12" s="15">
        <f t="shared" si="5"/>
        <v>100.49321111111109</v>
      </c>
      <c r="AQ12" s="15">
        <f t="shared" si="5"/>
        <v>100.49321111111109</v>
      </c>
      <c r="AR12" s="15">
        <f t="shared" si="5"/>
        <v>100.49321111111109</v>
      </c>
      <c r="AS12" s="15">
        <f t="shared" si="5"/>
        <v>100.49321111111109</v>
      </c>
      <c r="AT12" s="15">
        <f t="shared" si="5"/>
        <v>100.49321111111109</v>
      </c>
      <c r="AU12" s="15">
        <f t="shared" si="5"/>
        <v>100.49321111111109</v>
      </c>
      <c r="AV12" s="15">
        <f t="shared" si="5"/>
        <v>100.49321111111109</v>
      </c>
      <c r="AW12" s="15">
        <f t="shared" si="5"/>
        <v>100.49321111111109</v>
      </c>
      <c r="AX12" s="15">
        <f t="shared" si="5"/>
        <v>100.49321111111109</v>
      </c>
      <c r="AY12" s="15">
        <f t="shared" si="5"/>
        <v>100.49321111111109</v>
      </c>
      <c r="AZ12" s="15">
        <f t="shared" si="5"/>
        <v>100.49321111111109</v>
      </c>
      <c r="BA12" s="15">
        <f t="shared" si="5"/>
        <v>100.49321111111109</v>
      </c>
      <c r="BB12" s="15">
        <f t="shared" si="5"/>
        <v>100.49321111111109</v>
      </c>
      <c r="BC12" s="15">
        <f t="shared" si="5"/>
        <v>100.49321111111109</v>
      </c>
      <c r="BD12" s="15">
        <f t="shared" si="5"/>
        <v>100.49321111111109</v>
      </c>
      <c r="BE12" s="15">
        <f t="shared" si="5"/>
        <v>100.49321111111109</v>
      </c>
      <c r="BF12" s="15">
        <f t="shared" si="5"/>
        <v>100.49321111111109</v>
      </c>
      <c r="BG12" s="15">
        <f t="shared" si="5"/>
        <v>100.49321111111109</v>
      </c>
      <c r="BH12" s="15">
        <f t="shared" si="5"/>
        <v>100.49321111111109</v>
      </c>
      <c r="BI12" s="15">
        <f t="shared" si="5"/>
        <v>100.49321111111109</v>
      </c>
      <c r="BJ12" s="15">
        <f t="shared" si="5"/>
        <v>100.49321111111109</v>
      </c>
      <c r="BK12" s="15">
        <f t="shared" si="5"/>
        <v>100.49321111111109</v>
      </c>
      <c r="BL12" s="15">
        <f t="shared" si="5"/>
        <v>100.49321111111109</v>
      </c>
      <c r="BM12">
        <v>1</v>
      </c>
    </row>
    <row r="13" spans="1:65" ht="14.25" x14ac:dyDescent="0.25">
      <c r="B13" s="27" t="s">
        <v>77</v>
      </c>
      <c r="C13" s="54" t="s">
        <v>79</v>
      </c>
      <c r="D13" s="15">
        <f>SUM(D11:D12)</f>
        <v>-420000</v>
      </c>
      <c r="E13" s="15">
        <f t="shared" ref="D13:AI13" si="6">SUM(E11:E12)</f>
        <v>-2445.9067327804405</v>
      </c>
      <c r="F13" s="15">
        <f t="shared" si="6"/>
        <v>-2522.7082041897465</v>
      </c>
      <c r="G13" s="15">
        <f t="shared" si="6"/>
        <v>-2601.921241801303</v>
      </c>
      <c r="H13" s="15">
        <f t="shared" si="6"/>
        <v>35763.649456373823</v>
      </c>
      <c r="I13" s="15">
        <f t="shared" si="6"/>
        <v>35708.034082982136</v>
      </c>
      <c r="J13" s="15">
        <f t="shared" si="6"/>
        <v>35650.672386865961</v>
      </c>
      <c r="K13" s="15">
        <f t="shared" si="6"/>
        <v>35591.509533491728</v>
      </c>
      <c r="L13" s="15">
        <f t="shared" si="6"/>
        <v>35530.488966521545</v>
      </c>
      <c r="M13" s="15">
        <f t="shared" si="6"/>
        <v>35467.552353748499</v>
      </c>
      <c r="N13" s="15">
        <f t="shared" si="6"/>
        <v>35402.639531334382</v>
      </c>
      <c r="O13" s="15">
        <f t="shared" si="6"/>
        <v>35335.688446296452</v>
      </c>
      <c r="P13" s="15">
        <f t="shared" si="6"/>
        <v>35266.635097188351</v>
      </c>
      <c r="Q13" s="15">
        <f t="shared" si="6"/>
        <v>35195.413472918241</v>
      </c>
      <c r="R13" s="15">
        <f t="shared" si="6"/>
        <v>35121.955489646047</v>
      </c>
      <c r="S13" s="15">
        <f t="shared" si="6"/>
        <v>35046.190925699113</v>
      </c>
      <c r="T13" s="15">
        <f t="shared" si="6"/>
        <v>34968.04735444425</v>
      </c>
      <c r="U13" s="15">
        <f t="shared" si="6"/>
        <v>34887.450075051966</v>
      </c>
      <c r="V13" s="15">
        <f t="shared" si="6"/>
        <v>34804.32204108678</v>
      </c>
      <c r="W13" s="15">
        <f t="shared" si="6"/>
        <v>34718.583786855088</v>
      </c>
      <c r="X13" s="15">
        <f t="shared" si="6"/>
        <v>34630.153351440509</v>
      </c>
      <c r="Y13" s="15">
        <f t="shared" si="6"/>
        <v>34538.946200353923</v>
      </c>
      <c r="Z13" s="15">
        <f t="shared" si="6"/>
        <v>34444.875144723206</v>
      </c>
      <c r="AA13" s="15">
        <f t="shared" si="6"/>
        <v>34347.850257945698</v>
      </c>
      <c r="AB13" s="15">
        <f t="shared" si="6"/>
        <v>34247.778789723372</v>
      </c>
      <c r="AC13" s="15">
        <f t="shared" si="6"/>
        <v>34144.56507739886</v>
      </c>
      <c r="AD13" s="15">
        <f t="shared" si="6"/>
        <v>34038.110454507361</v>
      </c>
      <c r="AE13" s="15">
        <f t="shared" si="6"/>
        <v>33928.313156457072</v>
      </c>
      <c r="AF13" s="15">
        <f t="shared" si="6"/>
        <v>33815.068223248003</v>
      </c>
      <c r="AG13" s="15">
        <f t="shared" si="6"/>
        <v>33698.267399136166</v>
      </c>
      <c r="AH13" s="15">
        <f t="shared" si="6"/>
        <v>33577.799029147223</v>
      </c>
      <c r="AI13" s="15">
        <f t="shared" si="6"/>
        <v>33453.547952340625</v>
      </c>
      <c r="AJ13" s="15">
        <f t="shared" ref="AJ13:BO13" si="7">SUM(AJ11:AJ12)</f>
        <v>33325.395391722297</v>
      </c>
      <c r="AK13" s="15">
        <f t="shared" si="7"/>
        <v>33193.218840700552</v>
      </c>
      <c r="AL13" s="15">
        <f t="shared" si="7"/>
        <v>33056.891945976735</v>
      </c>
      <c r="AM13" s="15">
        <f t="shared" si="7"/>
        <v>32916.284386758576</v>
      </c>
      <c r="AN13" s="15">
        <f t="shared" si="7"/>
        <v>32771.261750180973</v>
      </c>
      <c r="AO13" s="15">
        <f t="shared" si="7"/>
        <v>32621.685402814834</v>
      </c>
      <c r="AP13" s="15">
        <f t="shared" si="7"/>
        <v>32467.412358141395</v>
      </c>
      <c r="AQ13" s="15">
        <f t="shared" si="7"/>
        <v>32308.295139865215</v>
      </c>
      <c r="AR13" s="15">
        <f t="shared" si="7"/>
        <v>32144.18164093516</v>
      </c>
      <c r="AS13" s="15">
        <f t="shared" si="7"/>
        <v>31974.914978138702</v>
      </c>
      <c r="AT13" s="15">
        <f t="shared" si="7"/>
        <v>31800.333342130434</v>
      </c>
      <c r="AU13" s="15">
        <f t="shared" si="7"/>
        <v>31620.26984275151</v>
      </c>
      <c r="AV13" s="15">
        <f t="shared" si="7"/>
        <v>31434.552349492085</v>
      </c>
      <c r="AW13" s="15">
        <f t="shared" si="7"/>
        <v>31243.003326944316</v>
      </c>
      <c r="AX13" s="15">
        <f t="shared" si="7"/>
        <v>31045.439665088546</v>
      </c>
      <c r="AY13" s="15">
        <f t="shared" si="7"/>
        <v>30841.672504250502</v>
      </c>
      <c r="AZ13" s="15">
        <f t="shared" si="7"/>
        <v>30631.507054562146</v>
      </c>
      <c r="BA13" s="15">
        <f t="shared" si="7"/>
        <v>30414.742409753577</v>
      </c>
      <c r="BB13" s="15">
        <f t="shared" si="7"/>
        <v>30191.171355098013</v>
      </c>
      <c r="BC13" s="15">
        <f t="shared" si="7"/>
        <v>29960.580169326269</v>
      </c>
      <c r="BD13" s="15">
        <f t="shared" si="7"/>
        <v>29722.748420321295</v>
      </c>
      <c r="BE13" s="15">
        <f t="shared" si="7"/>
        <v>29477.448754397556</v>
      </c>
      <c r="BF13" s="15">
        <f t="shared" si="7"/>
        <v>29224.446678963825</v>
      </c>
      <c r="BG13" s="15">
        <f t="shared" si="7"/>
        <v>28963.50033836146</v>
      </c>
      <c r="BH13" s="15">
        <f t="shared" si="7"/>
        <v>28694.360282664187</v>
      </c>
      <c r="BI13" s="15">
        <f t="shared" si="7"/>
        <v>28416.769229218022</v>
      </c>
      <c r="BJ13" s="15">
        <f t="shared" si="7"/>
        <v>28130.461816693645</v>
      </c>
      <c r="BK13" s="15">
        <f t="shared" si="7"/>
        <v>27835.164351416002</v>
      </c>
      <c r="BL13" s="15">
        <f t="shared" si="7"/>
        <v>27530.594545728647</v>
      </c>
      <c r="BM13">
        <v>1</v>
      </c>
    </row>
    <row r="14" spans="1:65" ht="14.25" x14ac:dyDescent="0.25">
      <c r="C14" s="1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>
        <v>1</v>
      </c>
    </row>
    <row r="15" spans="1:65" ht="14.25" x14ac:dyDescent="0.25">
      <c r="C15" t="s">
        <v>66</v>
      </c>
      <c r="D15" s="16">
        <f>D13</f>
        <v>-420000</v>
      </c>
      <c r="E15" s="16">
        <f t="shared" ref="E15:BL15" si="8">E13</f>
        <v>-2445.9067327804405</v>
      </c>
      <c r="F15" s="16">
        <f t="shared" si="8"/>
        <v>-2522.7082041897465</v>
      </c>
      <c r="G15" s="16">
        <f t="shared" si="8"/>
        <v>-2601.921241801303</v>
      </c>
      <c r="H15" s="16">
        <f t="shared" si="8"/>
        <v>35763.649456373823</v>
      </c>
      <c r="I15" s="16">
        <f t="shared" si="8"/>
        <v>35708.034082982136</v>
      </c>
      <c r="J15" s="16">
        <f t="shared" si="8"/>
        <v>35650.672386865961</v>
      </c>
      <c r="K15" s="16">
        <f t="shared" si="8"/>
        <v>35591.509533491728</v>
      </c>
      <c r="L15" s="16">
        <f t="shared" si="8"/>
        <v>35530.488966521545</v>
      </c>
      <c r="M15" s="16">
        <f t="shared" si="8"/>
        <v>35467.552353748499</v>
      </c>
      <c r="N15" s="16">
        <f t="shared" si="8"/>
        <v>35402.639531334382</v>
      </c>
      <c r="O15" s="16">
        <f t="shared" si="8"/>
        <v>35335.688446296452</v>
      </c>
      <c r="P15" s="16">
        <f t="shared" si="8"/>
        <v>35266.635097188351</v>
      </c>
      <c r="Q15" s="16">
        <f t="shared" si="8"/>
        <v>35195.413472918241</v>
      </c>
      <c r="R15" s="16">
        <f t="shared" si="8"/>
        <v>35121.955489646047</v>
      </c>
      <c r="S15" s="16">
        <f t="shared" si="8"/>
        <v>35046.190925699113</v>
      </c>
      <c r="T15" s="16">
        <f t="shared" si="8"/>
        <v>34968.04735444425</v>
      </c>
      <c r="U15" s="16">
        <f t="shared" si="8"/>
        <v>34887.450075051966</v>
      </c>
      <c r="V15" s="16">
        <f t="shared" si="8"/>
        <v>34804.32204108678</v>
      </c>
      <c r="W15" s="16">
        <f t="shared" si="8"/>
        <v>34718.583786855088</v>
      </c>
      <c r="X15" s="16">
        <f t="shared" si="8"/>
        <v>34630.153351440509</v>
      </c>
      <c r="Y15" s="16">
        <f t="shared" si="8"/>
        <v>34538.946200353923</v>
      </c>
      <c r="Z15" s="16">
        <f t="shared" si="8"/>
        <v>34444.875144723206</v>
      </c>
      <c r="AA15" s="16">
        <f t="shared" si="8"/>
        <v>34347.850257945698</v>
      </c>
      <c r="AB15" s="16">
        <f t="shared" si="8"/>
        <v>34247.778789723372</v>
      </c>
      <c r="AC15" s="16">
        <f t="shared" si="8"/>
        <v>34144.56507739886</v>
      </c>
      <c r="AD15" s="16">
        <f t="shared" si="8"/>
        <v>34038.110454507361</v>
      </c>
      <c r="AE15" s="16">
        <f t="shared" si="8"/>
        <v>33928.313156457072</v>
      </c>
      <c r="AF15" s="16">
        <f t="shared" si="8"/>
        <v>33815.068223248003</v>
      </c>
      <c r="AG15" s="16">
        <f t="shared" si="8"/>
        <v>33698.267399136166</v>
      </c>
      <c r="AH15" s="16">
        <f t="shared" si="8"/>
        <v>33577.799029147223</v>
      </c>
      <c r="AI15" s="16">
        <f t="shared" si="8"/>
        <v>33453.547952340625</v>
      </c>
      <c r="AJ15" s="16">
        <f t="shared" si="8"/>
        <v>33325.395391722297</v>
      </c>
      <c r="AK15" s="16">
        <f t="shared" si="8"/>
        <v>33193.218840700552</v>
      </c>
      <c r="AL15" s="16">
        <f t="shared" si="8"/>
        <v>33056.891945976735</v>
      </c>
      <c r="AM15" s="16">
        <f t="shared" si="8"/>
        <v>32916.284386758576</v>
      </c>
      <c r="AN15" s="16">
        <f t="shared" si="8"/>
        <v>32771.261750180973</v>
      </c>
      <c r="AO15" s="16">
        <f t="shared" si="8"/>
        <v>32621.685402814834</v>
      </c>
      <c r="AP15" s="16">
        <f t="shared" si="8"/>
        <v>32467.412358141395</v>
      </c>
      <c r="AQ15" s="16">
        <f t="shared" si="8"/>
        <v>32308.295139865215</v>
      </c>
      <c r="AR15" s="16">
        <f t="shared" si="8"/>
        <v>32144.18164093516</v>
      </c>
      <c r="AS15" s="16">
        <f t="shared" si="8"/>
        <v>31974.914978138702</v>
      </c>
      <c r="AT15" s="16">
        <f t="shared" si="8"/>
        <v>31800.333342130434</v>
      </c>
      <c r="AU15" s="16">
        <f t="shared" si="8"/>
        <v>31620.26984275151</v>
      </c>
      <c r="AV15" s="16">
        <f t="shared" si="8"/>
        <v>31434.552349492085</v>
      </c>
      <c r="AW15" s="16">
        <f t="shared" si="8"/>
        <v>31243.003326944316</v>
      </c>
      <c r="AX15" s="16">
        <f t="shared" si="8"/>
        <v>31045.439665088546</v>
      </c>
      <c r="AY15" s="16">
        <f t="shared" si="8"/>
        <v>30841.672504250502</v>
      </c>
      <c r="AZ15" s="16">
        <f t="shared" si="8"/>
        <v>30631.507054562146</v>
      </c>
      <c r="BA15" s="16">
        <f t="shared" si="8"/>
        <v>30414.742409753577</v>
      </c>
      <c r="BB15" s="16">
        <f t="shared" si="8"/>
        <v>30191.171355098013</v>
      </c>
      <c r="BC15" s="16">
        <f t="shared" si="8"/>
        <v>29960.580169326269</v>
      </c>
      <c r="BD15" s="16">
        <f t="shared" si="8"/>
        <v>29722.748420321295</v>
      </c>
      <c r="BE15" s="16">
        <f t="shared" si="8"/>
        <v>29477.448754397556</v>
      </c>
      <c r="BF15" s="16">
        <f t="shared" si="8"/>
        <v>29224.446678963825</v>
      </c>
      <c r="BG15" s="16">
        <f t="shared" si="8"/>
        <v>28963.50033836146</v>
      </c>
      <c r="BH15" s="16">
        <f t="shared" si="8"/>
        <v>28694.360282664187</v>
      </c>
      <c r="BI15" s="16">
        <f t="shared" si="8"/>
        <v>28416.769229218022</v>
      </c>
      <c r="BJ15" s="16">
        <f t="shared" si="8"/>
        <v>28130.461816693645</v>
      </c>
      <c r="BK15" s="16">
        <f t="shared" si="8"/>
        <v>27835.164351416002</v>
      </c>
      <c r="BL15" s="16">
        <f t="shared" si="8"/>
        <v>27530.594545728647</v>
      </c>
      <c r="BM15" s="17">
        <f>SUM(D15:S15)</f>
        <v>-2490.1064357052164</v>
      </c>
    </row>
    <row r="16" spans="1:65" ht="14.25" x14ac:dyDescent="0.25">
      <c r="C16" s="18" t="s">
        <v>67</v>
      </c>
      <c r="D16" s="19">
        <f>1/((1+Costeo!$O$31)^D3)</f>
        <v>1</v>
      </c>
      <c r="E16" s="19">
        <f>1/((1+Costeo!$O$31)^E3)</f>
        <v>0.96955594337793283</v>
      </c>
      <c r="F16" s="19">
        <f>1/((1+Costeo!$O$31)^F3)</f>
        <v>0.94003872733947336</v>
      </c>
      <c r="G16" s="19">
        <f>1/((1+Costeo!$O$31)^G3)</f>
        <v>0.91142013509741437</v>
      </c>
      <c r="H16" s="19">
        <f>1/((1+Costeo!$O$31)^H3)</f>
        <v>0.88367280889801669</v>
      </c>
      <c r="I16" s="19">
        <f>1/((1+Costeo!$O$31)^I3)</f>
        <v>0.85677022386854429</v>
      </c>
      <c r="J16" s="19">
        <f>1/((1+Costeo!$O$31)^J3)</f>
        <v>0.83068666266098923</v>
      </c>
      <c r="K16" s="19">
        <f>1/((1+Costeo!$O$31)^K3)</f>
        <v>0.80539719086774186</v>
      </c>
      <c r="L16" s="19">
        <f>1/((1+Costeo!$O$31)^L3)</f>
        <v>0.78087763318571057</v>
      </c>
      <c r="M16" s="19">
        <f>1/((1+Costeo!$O$31)^M3)</f>
        <v>0.75710455030609902</v>
      </c>
      <c r="N16" s="19">
        <f>1/((1+Costeo!$O$31)^N3)</f>
        <v>0.73405521650775551</v>
      </c>
      <c r="O16" s="19">
        <f>1/((1+Costeo!$O$31)^O3)</f>
        <v>0.71170759793266947</v>
      </c>
      <c r="P16" s="19">
        <f>1/((1+Costeo!$O$31)^P3)</f>
        <v>0.69004033152285194</v>
      </c>
      <c r="Q16" s="19">
        <f>1/((1+Costeo!$O$31)^Q3)</f>
        <v>0.66903270459846031</v>
      </c>
      <c r="R16" s="19">
        <f>1/((1+Costeo!$O$31)^R3)</f>
        <v>0.64866463505765004</v>
      </c>
      <c r="S16" s="19">
        <f>1/((1+Costeo!$O$31)^S3)</f>
        <v>0.62891665217922232</v>
      </c>
      <c r="T16" s="19">
        <f>1/((1+Costeo!$O$31)^T3)</f>
        <v>0.60976987800971716</v>
      </c>
      <c r="U16" s="19">
        <f>1/((1+Costeo!$O$31)^U3)</f>
        <v>0.59120600931715839</v>
      </c>
      <c r="V16" s="19">
        <f>1/((1+Costeo!$O$31)^V3)</f>
        <v>0.5732073000942004</v>
      </c>
      <c r="W16" s="19">
        <f>1/((1+Costeo!$O$31)^W3)</f>
        <v>0.5557565445939503</v>
      </c>
      <c r="X16" s="19">
        <f>1/((1+Costeo!$O$31)^X3)</f>
        <v>0.53883706088224781</v>
      </c>
      <c r="Y16" s="19">
        <f>1/((1+Costeo!$O$31)^Y3)</f>
        <v>0.52243267489068035</v>
      </c>
      <c r="Z16" s="19">
        <f>1/((1+Costeo!$O$31)^Z3)</f>
        <v>0.50652770495509047</v>
      </c>
      <c r="AA16" s="19">
        <f>1/((1+Costeo!$O$31)^AA3)</f>
        <v>0.49110694682479183</v>
      </c>
      <c r="AB16" s="19">
        <f>1/((1+Costeo!$O$31)^AB3)</f>
        <v>0.47615565912816743</v>
      </c>
      <c r="AC16" s="19">
        <f>1/((1+Costeo!$O$31)^AC3)</f>
        <v>0.46165954928075181</v>
      </c>
      <c r="AD16" s="19">
        <f>1/((1+Costeo!$O$31)^AD3)</f>
        <v>0.44760475982233067</v>
      </c>
      <c r="AE16" s="19">
        <f>1/((1+Costeo!$O$31)^AE3)</f>
        <v>0.43397785516999277</v>
      </c>
      <c r="AF16" s="19">
        <f>1/((1+Costeo!$O$31)^AF3)</f>
        <v>0.42076580877447423</v>
      </c>
      <c r="AG16" s="19">
        <f>1/((1+Costeo!$O$31)^AG3)</f>
        <v>0.40795599066751431</v>
      </c>
      <c r="AH16" s="19">
        <f>1/((1+Costeo!$O$31)^AH3)</f>
        <v>0.39553615538832104</v>
      </c>
      <c r="AI16" s="19">
        <f>1/((1+Costeo!$O$31)^AI3)</f>
        <v>0.38349443027760416</v>
      </c>
      <c r="AJ16" s="19">
        <f>1/((1+Costeo!$O$31)^AJ3)</f>
        <v>0.37181930412798542</v>
      </c>
      <c r="AK16" s="19">
        <f>1/((1+Costeo!$O$31)^AK3)</f>
        <v>0.36049961617993542</v>
      </c>
      <c r="AL16" s="19">
        <f>1/((1+Costeo!$O$31)^AL3)</f>
        <v>0.34952454545271994</v>
      </c>
      <c r="AM16" s="19">
        <f>1/((1+Costeo!$O$31)^AM3)</f>
        <v>0.33888360040015508</v>
      </c>
      <c r="AN16" s="19">
        <f>1/((1+Costeo!$O$31)^AN3)</f>
        <v>0.32856660888128275</v>
      </c>
      <c r="AO16" s="19">
        <f>1/((1+Costeo!$O$31)^AO3)</f>
        <v>0.31856370843638043</v>
      </c>
      <c r="AP16" s="19">
        <f>1/((1+Costeo!$O$31)^AP3)</f>
        <v>0.30886533685900758</v>
      </c>
      <c r="AQ16" s="19">
        <f>1/((1+Costeo!$O$31)^AQ3)</f>
        <v>0.29946222305507803</v>
      </c>
      <c r="AR16" s="19">
        <f>1/((1+Costeo!$O$31)^AR3)</f>
        <v>0.29034537818021916</v>
      </c>
      <c r="AS16" s="19">
        <f>1/((1+Costeo!$O$31)^AS3)</f>
        <v>0.28150608704694507</v>
      </c>
      <c r="AT16" s="19">
        <f>1/((1+Costeo!$O$31)^AT3)</f>
        <v>0.2729358997934313</v>
      </c>
      <c r="AU16" s="19">
        <f>1/((1+Costeo!$O$31)^AU3)</f>
        <v>0.26462662380592522</v>
      </c>
      <c r="AV16" s="19">
        <f>1/((1+Costeo!$O$31)^AV3)</f>
        <v>0.25657031588707119</v>
      </c>
      <c r="AW16" s="19">
        <f>1/((1+Costeo!$O$31)^AW3)</f>
        <v>0.24875927466266351</v>
      </c>
      <c r="AX16" s="19">
        <f>1/((1+Costeo!$O$31)^AX3)</f>
        <v>0.24118603321956905</v>
      </c>
      <c r="AY16" s="19">
        <f>1/((1+Costeo!$O$31)^AY3)</f>
        <v>0.23384335196778067</v>
      </c>
      <c r="AZ16" s="19">
        <f>1/((1+Costeo!$O$31)^AZ3)</f>
        <v>0.22672421171977963</v>
      </c>
      <c r="BA16" s="19">
        <f>1/((1+Costeo!$O$31)^BA3)</f>
        <v>0.21982180698058906</v>
      </c>
      <c r="BB16" s="19">
        <f>1/((1+Costeo!$O$31)^BB3)</f>
        <v>0.21312953944210689</v>
      </c>
      <c r="BC16" s="19">
        <f>1/((1+Costeo!$O$31)^BC3)</f>
        <v>0.20664101167549628</v>
      </c>
      <c r="BD16" s="19">
        <f>1/((1+Costeo!$O$31)^BD3)</f>
        <v>0.20035002101560626</v>
      </c>
      <c r="BE16" s="19">
        <f>1/((1+Costeo!$O$31)^BE3)</f>
        <v>0.19425055363157481</v>
      </c>
      <c r="BF16" s="19">
        <f>1/((1+Costeo!$O$31)^BF3)</f>
        <v>0.18833677877794724</v>
      </c>
      <c r="BG16" s="19">
        <f>1/((1+Costeo!$O$31)^BG3)</f>
        <v>0.18260304322081364</v>
      </c>
      <c r="BH16" s="19">
        <f>1/((1+Costeo!$O$31)^BH3)</f>
        <v>0.17704386583363743</v>
      </c>
      <c r="BI16" s="19">
        <f>1/((1+Costeo!$O$31)^BI3)</f>
        <v>0.17165393235760854</v>
      </c>
      <c r="BJ16" s="19">
        <f>1/((1+Costeo!$O$31)^BJ3)</f>
        <v>0.16642809032151301</v>
      </c>
      <c r="BK16" s="19">
        <f>1/((1+Costeo!$O$31)^BK3)</f>
        <v>0.16136134411626235</v>
      </c>
      <c r="BL16" s="19">
        <f>1/((1+Costeo!$O$31)^BL3)</f>
        <v>0.15644885021937399</v>
      </c>
      <c r="BM16" s="21">
        <f>SUM(D16:BL16)</f>
        <v>27.864686298745983</v>
      </c>
    </row>
    <row r="17" spans="1:66" ht="14.25" x14ac:dyDescent="0.25">
      <c r="C17" t="s">
        <v>85</v>
      </c>
      <c r="D17" s="15">
        <f>+D15*D16</f>
        <v>-420000</v>
      </c>
      <c r="E17" s="15">
        <f t="shared" ref="D17:AI17" si="9">+E15*E16</f>
        <v>-2371.4434097153776</v>
      </c>
      <c r="F17" s="15">
        <f t="shared" si="9"/>
        <v>-2371.4434097153776</v>
      </c>
      <c r="G17" s="15">
        <f t="shared" si="9"/>
        <v>-2371.4434097153758</v>
      </c>
      <c r="H17" s="15">
        <f t="shared" si="9"/>
        <v>31603.364571557886</v>
      </c>
      <c r="I17" s="15">
        <f t="shared" si="9"/>
        <v>30593.580355182214</v>
      </c>
      <c r="J17" s="15">
        <f t="shared" si="9"/>
        <v>29614.538066665969</v>
      </c>
      <c r="K17" s="15">
        <f t="shared" si="9"/>
        <v>28665.301797016691</v>
      </c>
      <c r="L17" s="15">
        <f t="shared" si="9"/>
        <v>27744.964130108347</v>
      </c>
      <c r="M17" s="15">
        <f t="shared" si="9"/>
        <v>26852.645275242779</v>
      </c>
      <c r="N17" s="15">
        <f t="shared" si="9"/>
        <v>25987.492226119684</v>
      </c>
      <c r="O17" s="15">
        <f t="shared" si="9"/>
        <v>25148.677945410829</v>
      </c>
      <c r="P17" s="15">
        <f t="shared" si="9"/>
        <v>24335.400574159296</v>
      </c>
      <c r="Q17" s="15">
        <f t="shared" si="9"/>
        <v>23546.88266524758</v>
      </c>
      <c r="R17" s="15">
        <f t="shared" si="9"/>
        <v>22782.370440202281</v>
      </c>
      <c r="S17" s="15">
        <f t="shared" si="9"/>
        <v>22041.133068624527</v>
      </c>
      <c r="T17" s="15">
        <f t="shared" si="9"/>
        <v>21322.461969557484</v>
      </c>
      <c r="U17" s="15">
        <f t="shared" si="9"/>
        <v>20625.670134123069</v>
      </c>
      <c r="V17" s="15">
        <f t="shared" si="9"/>
        <v>19950.091468780422</v>
      </c>
      <c r="W17" s="15">
        <f t="shared" si="9"/>
        <v>19295.08015857813</v>
      </c>
      <c r="X17" s="15">
        <f t="shared" si="9"/>
        <v>18660.010049791726</v>
      </c>
      <c r="Y17" s="15">
        <f t="shared" si="9"/>
        <v>18044.274051356202</v>
      </c>
      <c r="Z17" s="15">
        <f t="shared" si="9"/>
        <v>17447.283554521284</v>
      </c>
      <c r="AA17" s="15">
        <f t="shared" si="9"/>
        <v>16868.467870174849</v>
      </c>
      <c r="AB17" s="15">
        <f t="shared" si="9"/>
        <v>16307.273683296404</v>
      </c>
      <c r="AC17" s="15">
        <f t="shared" si="9"/>
        <v>15763.164524019256</v>
      </c>
      <c r="AD17" s="15">
        <f t="shared" si="9"/>
        <v>15235.620254795729</v>
      </c>
      <c r="AE17" s="15">
        <f t="shared" si="9"/>
        <v>14724.136573175087</v>
      </c>
      <c r="AF17" s="15">
        <f t="shared" si="9"/>
        <v>14228.224529718969</v>
      </c>
      <c r="AG17" s="15">
        <f t="shared" si="9"/>
        <v>13747.410060593396</v>
      </c>
      <c r="AH17" s="15">
        <f t="shared" si="9"/>
        <v>13281.233534390592</v>
      </c>
      <c r="AI17" s="15">
        <f t="shared" si="9"/>
        <v>12829.249312747379</v>
      </c>
      <c r="AJ17" s="15">
        <f t="shared" ref="AJ17:BL17" si="10">+AJ15*AJ16</f>
        <v>12391.025324340157</v>
      </c>
      <c r="AK17" s="15">
        <f t="shared" si="10"/>
        <v>11966.14265184915</v>
      </c>
      <c r="AL17" s="15">
        <f t="shared" si="10"/>
        <v>11554.195131497198</v>
      </c>
      <c r="AM17" s="15">
        <f t="shared" si="10"/>
        <v>11154.788964780157</v>
      </c>
      <c r="AN17" s="15">
        <f t="shared" si="10"/>
        <v>10767.542342017854</v>
      </c>
      <c r="AO17" s="15">
        <f t="shared" si="10"/>
        <v>10392.085077365633</v>
      </c>
      <c r="AP17" s="15">
        <f t="shared" si="10"/>
        <v>10028.058254937647</v>
      </c>
      <c r="AQ17" s="15">
        <f t="shared" si="10"/>
        <v>9675.1138857036094</v>
      </c>
      <c r="AR17" s="15">
        <f t="shared" si="10"/>
        <v>9332.9145748309766</v>
      </c>
      <c r="AS17" s="15">
        <f t="shared" si="10"/>
        <v>9001.1331991545812</v>
      </c>
      <c r="AT17" s="15">
        <f t="shared" si="10"/>
        <v>8679.4525944654251</v>
      </c>
      <c r="AU17" s="15">
        <f t="shared" si="10"/>
        <v>8367.5652523196459</v>
      </c>
      <c r="AV17" s="15">
        <f t="shared" si="10"/>
        <v>8065.1730260778604</v>
      </c>
      <c r="AW17" s="15">
        <f t="shared" si="10"/>
        <v>7771.9868458938508</v>
      </c>
      <c r="AX17" s="15">
        <f t="shared" si="10"/>
        <v>7487.7264423801726</v>
      </c>
      <c r="AY17" s="15">
        <f t="shared" si="10"/>
        <v>7212.1200786864738</v>
      </c>
      <c r="AZ17" s="15">
        <f t="shared" si="10"/>
        <v>6944.904290734471</v>
      </c>
      <c r="BA17" s="15">
        <f t="shared" si="10"/>
        <v>6685.8236353611874</v>
      </c>
      <c r="BB17" s="15">
        <f t="shared" si="10"/>
        <v>6434.6304461297696</v>
      </c>
      <c r="BC17" s="15">
        <f t="shared" si="10"/>
        <v>6191.084596574392</v>
      </c>
      <c r="BD17" s="15">
        <f t="shared" si="10"/>
        <v>5954.953270652949</v>
      </c>
      <c r="BE17" s="15">
        <f t="shared" si="10"/>
        <v>5726.0107401881005</v>
      </c>
      <c r="BF17" s="15">
        <f t="shared" si="10"/>
        <v>5504.0381490839245</v>
      </c>
      <c r="BG17" s="15">
        <f t="shared" si="10"/>
        <v>5288.8233041118683</v>
      </c>
      <c r="BH17" s="15">
        <f t="shared" si="10"/>
        <v>5080.1604720660534</v>
      </c>
      <c r="BI17" s="15">
        <f t="shared" si="10"/>
        <v>4877.8501830939622</v>
      </c>
      <c r="BJ17" s="15">
        <f t="shared" si="10"/>
        <v>4681.6990400145633</v>
      </c>
      <c r="BK17" s="15">
        <f t="shared" si="10"/>
        <v>4491.5195334415557</v>
      </c>
      <c r="BL17" s="15">
        <f t="shared" si="10"/>
        <v>4307.1298625350155</v>
      </c>
      <c r="BN17">
        <v>1</v>
      </c>
    </row>
    <row r="18" spans="1:66" ht="14.25" x14ac:dyDescent="0.25">
      <c r="C18" t="s">
        <v>68</v>
      </c>
      <c r="D18" s="20">
        <f>SUM(D17:BL17)</f>
        <v>386147.3237863002</v>
      </c>
    </row>
    <row r="20" spans="1:66" ht="14.25" x14ac:dyDescent="0.25">
      <c r="D20" s="34">
        <f>IRR(D17:BL17)</f>
        <v>3.2795439607512744E-2</v>
      </c>
      <c r="E20" s="35" t="s">
        <v>84</v>
      </c>
    </row>
    <row r="21" spans="1:66" ht="14.25" x14ac:dyDescent="0.25">
      <c r="D21" s="56"/>
      <c r="E21" s="14"/>
    </row>
    <row r="22" spans="1:66" ht="14.25" x14ac:dyDescent="0.25">
      <c r="D22" s="16">
        <f>+D17</f>
        <v>-420000</v>
      </c>
      <c r="E22" s="16">
        <f>+D22+E17</f>
        <v>-422371.44340971537</v>
      </c>
      <c r="F22" s="16">
        <f t="shared" ref="F22:BL22" si="11">+E22+F17</f>
        <v>-424742.88681943074</v>
      </c>
      <c r="G22" s="16">
        <f t="shared" si="11"/>
        <v>-427114.33022914612</v>
      </c>
      <c r="H22" s="16">
        <f t="shared" si="11"/>
        <v>-395510.96565758821</v>
      </c>
      <c r="I22" s="16">
        <f t="shared" si="11"/>
        <v>-364917.38530240598</v>
      </c>
      <c r="J22" s="16">
        <f t="shared" si="11"/>
        <v>-335302.84723573999</v>
      </c>
      <c r="K22" s="16">
        <f t="shared" si="11"/>
        <v>-306637.54543872329</v>
      </c>
      <c r="L22" s="16">
        <f t="shared" si="11"/>
        <v>-278892.58130861493</v>
      </c>
      <c r="M22" s="16">
        <f t="shared" si="11"/>
        <v>-252039.93603337216</v>
      </c>
      <c r="N22" s="16">
        <f t="shared" si="11"/>
        <v>-226052.44380725248</v>
      </c>
      <c r="O22" s="16">
        <f t="shared" si="11"/>
        <v>-200903.76586184165</v>
      </c>
      <c r="P22" s="16">
        <f t="shared" si="11"/>
        <v>-176568.36528768236</v>
      </c>
      <c r="Q22" s="16">
        <f>+P22+Q17</f>
        <v>-153021.48262243479</v>
      </c>
      <c r="R22" s="16">
        <f t="shared" si="11"/>
        <v>-130239.11218223251</v>
      </c>
      <c r="S22" s="16">
        <f t="shared" si="11"/>
        <v>-108197.97911360799</v>
      </c>
      <c r="T22" s="16">
        <f t="shared" si="11"/>
        <v>-86875.517144050507</v>
      </c>
      <c r="U22" s="16">
        <f t="shared" si="11"/>
        <v>-66249.847009927442</v>
      </c>
      <c r="V22" s="16">
        <f t="shared" si="11"/>
        <v>-46299.755541147024</v>
      </c>
      <c r="W22" s="16">
        <f t="shared" si="11"/>
        <v>-27004.675382568894</v>
      </c>
      <c r="X22" s="16">
        <f t="shared" si="11"/>
        <v>-8344.6653327771674</v>
      </c>
      <c r="Y22" s="16">
        <f t="shared" si="11"/>
        <v>9699.6087185790348</v>
      </c>
      <c r="Z22" s="16">
        <f t="shared" si="11"/>
        <v>27146.892273100319</v>
      </c>
      <c r="AA22" s="16">
        <f t="shared" si="11"/>
        <v>44015.360143275168</v>
      </c>
      <c r="AB22" s="16">
        <f t="shared" si="11"/>
        <v>60322.633826571575</v>
      </c>
      <c r="AC22" s="16">
        <f t="shared" si="11"/>
        <v>76085.798350590834</v>
      </c>
      <c r="AD22" s="16">
        <f t="shared" si="11"/>
        <v>91321.418605386571</v>
      </c>
      <c r="AE22" s="16">
        <f t="shared" si="11"/>
        <v>106045.55517856166</v>
      </c>
      <c r="AF22" s="16">
        <f t="shared" si="11"/>
        <v>120273.77970828062</v>
      </c>
      <c r="AG22" s="16">
        <f t="shared" si="11"/>
        <v>134021.18976887403</v>
      </c>
      <c r="AH22" s="16">
        <f t="shared" si="11"/>
        <v>147302.42330326463</v>
      </c>
      <c r="AI22" s="16">
        <f t="shared" si="11"/>
        <v>160131.67261601202</v>
      </c>
      <c r="AJ22" s="16">
        <f t="shared" si="11"/>
        <v>172522.69794035217</v>
      </c>
      <c r="AK22" s="16">
        <f t="shared" si="11"/>
        <v>184488.84059220133</v>
      </c>
      <c r="AL22" s="16">
        <f t="shared" si="11"/>
        <v>196043.03572369853</v>
      </c>
      <c r="AM22" s="16">
        <f t="shared" si="11"/>
        <v>207197.82468847869</v>
      </c>
      <c r="AN22" s="16">
        <f t="shared" si="11"/>
        <v>217965.36703049653</v>
      </c>
      <c r="AO22" s="16">
        <f t="shared" si="11"/>
        <v>228357.45210786216</v>
      </c>
      <c r="AP22" s="16">
        <f t="shared" si="11"/>
        <v>238385.5103627998</v>
      </c>
      <c r="AQ22" s="16">
        <f t="shared" si="11"/>
        <v>248060.62424850342</v>
      </c>
      <c r="AR22" s="16">
        <f t="shared" si="11"/>
        <v>257393.53882333438</v>
      </c>
      <c r="AS22" s="16">
        <f t="shared" si="11"/>
        <v>266394.67202248896</v>
      </c>
      <c r="AT22" s="16">
        <f t="shared" si="11"/>
        <v>275074.12461695436</v>
      </c>
      <c r="AU22" s="16">
        <f t="shared" si="11"/>
        <v>283441.68986927398</v>
      </c>
      <c r="AV22" s="16">
        <f t="shared" si="11"/>
        <v>291506.86289535183</v>
      </c>
      <c r="AW22" s="16">
        <f t="shared" si="11"/>
        <v>299278.84974124568</v>
      </c>
      <c r="AX22" s="16">
        <f t="shared" si="11"/>
        <v>306766.57618362585</v>
      </c>
      <c r="AY22" s="16">
        <f t="shared" si="11"/>
        <v>313978.6962623123</v>
      </c>
      <c r="AZ22" s="16">
        <f t="shared" si="11"/>
        <v>320923.6005530468</v>
      </c>
      <c r="BA22" s="16">
        <f t="shared" si="11"/>
        <v>327609.42418840801</v>
      </c>
      <c r="BB22" s="16">
        <f t="shared" si="11"/>
        <v>334044.05463453778</v>
      </c>
      <c r="BC22" s="16">
        <f t="shared" si="11"/>
        <v>340235.13923111215</v>
      </c>
      <c r="BD22" s="16">
        <f t="shared" si="11"/>
        <v>346190.09250176512</v>
      </c>
      <c r="BE22" s="16">
        <f t="shared" si="11"/>
        <v>351916.10324195324</v>
      </c>
      <c r="BF22" s="16">
        <f t="shared" si="11"/>
        <v>357420.14139103715</v>
      </c>
      <c r="BG22" s="16">
        <f t="shared" si="11"/>
        <v>362708.96469514904</v>
      </c>
      <c r="BH22" s="16">
        <f t="shared" si="11"/>
        <v>367789.12516721507</v>
      </c>
      <c r="BI22" s="16">
        <f t="shared" si="11"/>
        <v>372666.97535030905</v>
      </c>
      <c r="BJ22" s="16">
        <f t="shared" si="11"/>
        <v>377348.67439032363</v>
      </c>
      <c r="BK22" s="16">
        <f t="shared" si="11"/>
        <v>381840.19392376521</v>
      </c>
      <c r="BL22" s="16">
        <f t="shared" si="11"/>
        <v>386147.3237863002</v>
      </c>
    </row>
    <row r="23" spans="1:66" ht="14.25" x14ac:dyDescent="0.25">
      <c r="D23" s="55">
        <f>+U3+((-D15-SUM(E15:U15))/V15)</f>
        <v>15.064453290764703</v>
      </c>
      <c r="E23" s="35" t="s">
        <v>91</v>
      </c>
    </row>
    <row r="25" spans="1:66" ht="19.149999999999999" x14ac:dyDescent="0.35">
      <c r="C25" s="25" t="s">
        <v>88</v>
      </c>
      <c r="D25" s="4">
        <v>0</v>
      </c>
      <c r="E25" s="4">
        <v>1</v>
      </c>
      <c r="F25" s="4">
        <v>2</v>
      </c>
      <c r="G25" s="4">
        <v>3</v>
      </c>
      <c r="H25" s="4">
        <v>4</v>
      </c>
      <c r="I25" s="4">
        <v>5</v>
      </c>
    </row>
    <row r="26" spans="1:66" ht="14.25" x14ac:dyDescent="0.25">
      <c r="C26" s="14" t="s">
        <v>71</v>
      </c>
      <c r="D26" s="50"/>
      <c r="E26" s="50">
        <f>+SUM(E4:P4)</f>
        <v>1512000</v>
      </c>
      <c r="F26" s="50">
        <f>+SUM(Q4:AB4)</f>
        <v>2016000</v>
      </c>
      <c r="G26" s="50">
        <f>+SUM(AC4:AN4)</f>
        <v>2016000</v>
      </c>
      <c r="H26" s="50">
        <f>SUM(AO4:AZ4)</f>
        <v>2016000</v>
      </c>
      <c r="I26" s="50">
        <f>+SUM(BA4:BL4)</f>
        <v>2016000</v>
      </c>
    </row>
    <row r="27" spans="1:66" ht="14.25" x14ac:dyDescent="0.25">
      <c r="C27" t="s">
        <v>73</v>
      </c>
      <c r="D27" s="50"/>
      <c r="E27" s="50">
        <f>+SUM(E5:P5)</f>
        <v>583927.19999999995</v>
      </c>
      <c r="F27" s="50">
        <f>+SUM(Q5:AB5)</f>
        <v>778569.60000000009</v>
      </c>
      <c r="G27" s="50">
        <f>+SUM(AC5:AN5)</f>
        <v>778569.60000000009</v>
      </c>
      <c r="H27" s="50">
        <f>SUM(AO5:AZ5)</f>
        <v>778569.60000000009</v>
      </c>
      <c r="I27" s="50">
        <f>+SUM(BA5:BL5)</f>
        <v>778569.60000000009</v>
      </c>
    </row>
    <row r="28" spans="1:66" x14ac:dyDescent="0.25">
      <c r="C28" t="s">
        <v>74</v>
      </c>
      <c r="D28" s="50"/>
      <c r="E28" s="50">
        <f>+SUM(E6:P6)</f>
        <v>416700</v>
      </c>
      <c r="F28" s="50">
        <f>+SUM(Q6:AB6)</f>
        <v>555600</v>
      </c>
      <c r="G28" s="50">
        <f>+SUM(AC6:AN6)</f>
        <v>555600</v>
      </c>
      <c r="H28" s="50">
        <f>SUM(AO6:AZ6)</f>
        <v>555600</v>
      </c>
      <c r="I28" s="50">
        <f>+SUM(BA6:BL6)</f>
        <v>555600</v>
      </c>
    </row>
    <row r="29" spans="1:66" x14ac:dyDescent="0.25">
      <c r="C29" t="s">
        <v>75</v>
      </c>
      <c r="D29" s="50"/>
      <c r="E29" s="50">
        <f>+SUM(E7:P7)</f>
        <v>1205.9185333333332</v>
      </c>
      <c r="F29" s="50">
        <f>+SUM(Q7:AB7)</f>
        <v>1205.9185333333332</v>
      </c>
      <c r="G29" s="50">
        <f>+SUM(AC7:AN7)</f>
        <v>1205.9185333333332</v>
      </c>
      <c r="H29" s="50">
        <f>SUM(AO7:AZ7)</f>
        <v>1205.9185333333332</v>
      </c>
      <c r="I29" s="50">
        <f>+SUM(BA7:BL7)</f>
        <v>1205.9185333333332</v>
      </c>
    </row>
    <row r="30" spans="1:66" ht="14.25" x14ac:dyDescent="0.25">
      <c r="C30" t="s">
        <v>76</v>
      </c>
      <c r="D30" s="50"/>
      <c r="E30" s="50">
        <f>+SUM(E8:P8)</f>
        <v>34989.75946846405</v>
      </c>
      <c r="F30" s="50">
        <f>+SUM(Q8:AB8)</f>
        <v>50706.832441583516</v>
      </c>
      <c r="G30" s="50">
        <f>+SUM(AC8:AN8)</f>
        <v>73483.867717816451</v>
      </c>
      <c r="H30" s="50">
        <f>SUM(AO8:AZ8)</f>
        <v>106492.13438820979</v>
      </c>
      <c r="I30" s="50">
        <f>+SUM(BA8:BL8)</f>
        <v>154327.40598392545</v>
      </c>
    </row>
    <row r="31" spans="1:66" ht="14.25" x14ac:dyDescent="0.25">
      <c r="C31" s="28" t="s">
        <v>78</v>
      </c>
      <c r="D31" s="51"/>
      <c r="E31" s="51">
        <f>+E26-SUM(E27:E30)</f>
        <v>475177.12199820264</v>
      </c>
      <c r="F31" s="51">
        <f t="shared" ref="F31:I31" si="12">+F26-SUM(F27:F30)</f>
        <v>629917.64902508305</v>
      </c>
      <c r="G31" s="51">
        <f t="shared" si="12"/>
        <v>607140.61374885007</v>
      </c>
      <c r="H31" s="51">
        <f t="shared" si="12"/>
        <v>574132.34707845678</v>
      </c>
      <c r="I31" s="51">
        <f t="shared" si="12"/>
        <v>526297.075482741</v>
      </c>
    </row>
    <row r="32" spans="1:66" ht="14.25" x14ac:dyDescent="0.25">
      <c r="A32">
        <v>0.34</v>
      </c>
      <c r="C32" t="s">
        <v>83</v>
      </c>
      <c r="D32" s="50"/>
      <c r="E32" s="50">
        <f>+E31*$A$32</f>
        <v>161560.22147938891</v>
      </c>
      <c r="F32" s="50">
        <f t="shared" ref="F32:I32" si="13">+F31*$A$32</f>
        <v>214172.00066852826</v>
      </c>
      <c r="G32" s="50">
        <f t="shared" si="13"/>
        <v>206427.80867460903</v>
      </c>
      <c r="H32" s="50">
        <f t="shared" si="13"/>
        <v>195204.99800667531</v>
      </c>
      <c r="I32" s="50">
        <f t="shared" si="13"/>
        <v>178941.00566413195</v>
      </c>
    </row>
    <row r="33" spans="3:10" ht="14.25" x14ac:dyDescent="0.25">
      <c r="C33" s="28" t="s">
        <v>79</v>
      </c>
      <c r="D33" s="51"/>
      <c r="E33" s="51">
        <f>+E31-E32</f>
        <v>313616.90051881375</v>
      </c>
      <c r="F33" s="51">
        <f t="shared" ref="F33:I33" si="14">+F31-F32</f>
        <v>415745.6483565548</v>
      </c>
      <c r="G33" s="51">
        <f t="shared" si="14"/>
        <v>400712.80507424101</v>
      </c>
      <c r="H33" s="51">
        <f t="shared" si="14"/>
        <v>378927.3490717815</v>
      </c>
      <c r="I33" s="51">
        <f t="shared" si="14"/>
        <v>347356.06981860904</v>
      </c>
    </row>
    <row r="34" spans="3:10" x14ac:dyDescent="0.25">
      <c r="C34" t="s">
        <v>75</v>
      </c>
      <c r="D34" s="50"/>
      <c r="E34" s="50">
        <f>+E29</f>
        <v>1205.9185333333332</v>
      </c>
      <c r="F34" s="50">
        <f t="shared" ref="F34:I34" si="15">+F29</f>
        <v>1205.9185333333332</v>
      </c>
      <c r="G34" s="50">
        <f t="shared" si="15"/>
        <v>1205.9185333333332</v>
      </c>
      <c r="H34" s="50">
        <f t="shared" si="15"/>
        <v>1205.9185333333332</v>
      </c>
      <c r="I34" s="50">
        <f t="shared" si="15"/>
        <v>1205.9185333333332</v>
      </c>
    </row>
    <row r="35" spans="3:10" ht="14.25" x14ac:dyDescent="0.25">
      <c r="C35" s="54" t="s">
        <v>79</v>
      </c>
      <c r="D35" s="51">
        <f>+D13</f>
        <v>-420000</v>
      </c>
      <c r="E35" s="51">
        <f>+SUM(E33:E34)</f>
        <v>314822.8190521471</v>
      </c>
      <c r="F35" s="51">
        <f>+SUM(F33:F34)</f>
        <v>416951.56688988814</v>
      </c>
      <c r="G35" s="51">
        <f>+SUM(G33:G34)</f>
        <v>401918.72360757436</v>
      </c>
      <c r="H35" s="51">
        <f>+SUM(H33:H34)</f>
        <v>380133.26760511484</v>
      </c>
      <c r="I35" s="51">
        <f>+SUM(I33:I34)</f>
        <v>348561.98835194239</v>
      </c>
      <c r="J35" s="49">
        <f>SUM(D35:I35)</f>
        <v>1442388.3655066667</v>
      </c>
    </row>
    <row r="36" spans="3:10" ht="14.25" x14ac:dyDescent="0.25">
      <c r="C36" s="14"/>
      <c r="D36" s="49"/>
      <c r="E36" s="49"/>
      <c r="F36" s="49"/>
      <c r="G36" s="49"/>
      <c r="H36" s="49"/>
      <c r="I36" s="49"/>
    </row>
    <row r="37" spans="3:10" ht="14.25" x14ac:dyDescent="0.25">
      <c r="C37" t="s">
        <v>66</v>
      </c>
      <c r="D37" s="50">
        <f>+D35</f>
        <v>-420000</v>
      </c>
      <c r="E37" s="50">
        <f t="shared" ref="E37:I37" si="16">+E35</f>
        <v>314822.8190521471</v>
      </c>
      <c r="F37" s="50">
        <f t="shared" si="16"/>
        <v>416951.56688988814</v>
      </c>
      <c r="G37" s="50">
        <f t="shared" si="16"/>
        <v>401918.72360757436</v>
      </c>
      <c r="H37" s="50">
        <f t="shared" si="16"/>
        <v>380133.26760511484</v>
      </c>
      <c r="I37" s="50">
        <f t="shared" si="16"/>
        <v>348561.98835194239</v>
      </c>
    </row>
    <row r="38" spans="3:10" ht="14.25" x14ac:dyDescent="0.25">
      <c r="C38" s="18" t="s">
        <v>67</v>
      </c>
      <c r="D38" s="52">
        <f>1/((1+Amortizacion!$A$66)^D25)</f>
        <v>1</v>
      </c>
      <c r="E38" s="52">
        <f>1/((1+Amortizacion!$A$66)^E25)</f>
        <v>0.69004033152285194</v>
      </c>
      <c r="F38" s="52">
        <f>1/((1+Amortizacion!$A$66)^F25)</f>
        <v>0.47615565912816743</v>
      </c>
      <c r="G38" s="52">
        <f>1/((1+Amortizacion!$A$66)^G25)</f>
        <v>0.32856660888128275</v>
      </c>
      <c r="H38" s="52">
        <f>1/((1+Amortizacion!$A$66)^H25)</f>
        <v>0.22672421171977958</v>
      </c>
      <c r="I38" s="52">
        <f>1/((1+Amortizacion!$A$66)^I25)</f>
        <v>0.15644885021937399</v>
      </c>
    </row>
    <row r="39" spans="3:10" ht="14.25" x14ac:dyDescent="0.25">
      <c r="C39" t="s">
        <v>85</v>
      </c>
      <c r="D39" s="15">
        <f t="shared" ref="D39:I39" si="17">+D37*D38</f>
        <v>-420000</v>
      </c>
      <c r="E39" s="15">
        <f t="shared" si="17"/>
        <v>217240.44242970241</v>
      </c>
      <c r="F39" s="15">
        <f t="shared" si="17"/>
        <v>198533.84815697689</v>
      </c>
      <c r="G39" s="15">
        <f t="shared" si="17"/>
        <v>132057.07206163427</v>
      </c>
      <c r="H39" s="15">
        <f t="shared" si="17"/>
        <v>86185.415446233688</v>
      </c>
      <c r="I39" s="15">
        <f t="shared" si="17"/>
        <v>54532.122307840218</v>
      </c>
    </row>
    <row r="40" spans="3:10" x14ac:dyDescent="0.25">
      <c r="C40" t="s">
        <v>68</v>
      </c>
      <c r="D40" s="53">
        <f>+SUM(D39:I39)</f>
        <v>268548.90040238749</v>
      </c>
      <c r="E40" s="49"/>
      <c r="F40" s="49"/>
      <c r="G40" s="49"/>
      <c r="H40" s="49"/>
      <c r="I40" s="49"/>
    </row>
    <row r="42" spans="3:10" x14ac:dyDescent="0.25">
      <c r="D42" s="34">
        <f>IRR(D39:I39)</f>
        <v>0.25238534420597025</v>
      </c>
      <c r="E42" s="35" t="s">
        <v>84</v>
      </c>
    </row>
    <row r="44" spans="3:10" x14ac:dyDescent="0.25">
      <c r="C44" t="s">
        <v>89</v>
      </c>
      <c r="D44" s="16">
        <f>+D39</f>
        <v>-420000</v>
      </c>
      <c r="E44" s="16">
        <f>+D44+E39</f>
        <v>-202759.55757029759</v>
      </c>
      <c r="F44" s="16">
        <f t="shared" ref="F44:I44" si="18">+E44+F39</f>
        <v>-4225.7094133206992</v>
      </c>
      <c r="G44" s="16">
        <f t="shared" si="18"/>
        <v>127831.36264831357</v>
      </c>
      <c r="H44" s="16">
        <f t="shared" si="18"/>
        <v>214016.77809454728</v>
      </c>
      <c r="I44" s="16">
        <f t="shared" si="18"/>
        <v>268548.90040238749</v>
      </c>
    </row>
    <row r="45" spans="3:10" x14ac:dyDescent="0.25">
      <c r="D45" s="55">
        <f>+E25+(-D37-E37)/F37</f>
        <v>1.2522527537967711</v>
      </c>
      <c r="E45" s="35" t="s">
        <v>90</v>
      </c>
    </row>
    <row r="47" spans="3:10" x14ac:dyDescent="0.25">
      <c r="C47" t="s">
        <v>53</v>
      </c>
    </row>
    <row r="48" spans="3:10" x14ac:dyDescent="0.25">
      <c r="C48" t="s">
        <v>54</v>
      </c>
      <c r="D48" s="2">
        <v>2000000</v>
      </c>
    </row>
    <row r="49" spans="3:4" x14ac:dyDescent="0.25">
      <c r="C49" t="s">
        <v>55</v>
      </c>
      <c r="D49" s="3">
        <v>8333.3333333333339</v>
      </c>
    </row>
    <row r="50" spans="3:4" x14ac:dyDescent="0.25">
      <c r="C50" t="s">
        <v>56</v>
      </c>
      <c r="D50" s="3">
        <f>+Costeo!E35</f>
        <v>361275560</v>
      </c>
    </row>
    <row r="51" spans="3:4" x14ac:dyDescent="0.25">
      <c r="C51" t="s">
        <v>55</v>
      </c>
      <c r="D51" s="2">
        <v>5513092.666666667</v>
      </c>
    </row>
    <row r="52" spans="3:4" x14ac:dyDescent="0.25">
      <c r="C52" t="s">
        <v>57</v>
      </c>
      <c r="D52" s="3">
        <f>+D48-D49+D50-D51</f>
        <v>357754134</v>
      </c>
    </row>
    <row r="55" spans="3:4" x14ac:dyDescent="0.25">
      <c r="C55" t="s">
        <v>58</v>
      </c>
    </row>
    <row r="56" spans="3:4" x14ac:dyDescent="0.25">
      <c r="C56" t="s">
        <v>59</v>
      </c>
    </row>
    <row r="57" spans="3:4" x14ac:dyDescent="0.25">
      <c r="C57" t="s">
        <v>60</v>
      </c>
    </row>
    <row r="59" spans="3:4" x14ac:dyDescent="0.25">
      <c r="C59" t="s">
        <v>61</v>
      </c>
      <c r="D59" s="2">
        <v>5000000</v>
      </c>
    </row>
    <row r="61" spans="3:4" x14ac:dyDescent="0.25">
      <c r="C61">
        <v>2000000</v>
      </c>
      <c r="D61">
        <v>0.2</v>
      </c>
    </row>
    <row r="62" spans="3:4" x14ac:dyDescent="0.25">
      <c r="C62">
        <f>(C61-(C61*D61))/5</f>
        <v>320000</v>
      </c>
      <c r="D62">
        <f>+C61/240</f>
        <v>8333.3333333333339</v>
      </c>
    </row>
    <row r="65" spans="3:5" x14ac:dyDescent="0.25">
      <c r="C65" s="3">
        <f>+D50</f>
        <v>361275560</v>
      </c>
      <c r="D65">
        <v>0.1</v>
      </c>
    </row>
    <row r="66" spans="3:5" x14ac:dyDescent="0.25">
      <c r="C66" s="2">
        <f>(C65-(C65*D65))*(10/55)</f>
        <v>59117818.909090914</v>
      </c>
      <c r="D66" s="2">
        <f>+C65/60</f>
        <v>6021259.333333333</v>
      </c>
    </row>
    <row r="68" spans="3:5" x14ac:dyDescent="0.25">
      <c r="D68" s="3">
        <f>D66+D62</f>
        <v>6029592.666666666</v>
      </c>
      <c r="E68" s="3">
        <f>D68/60</f>
        <v>100493.2111111111</v>
      </c>
    </row>
  </sheetData>
  <mergeCells count="5">
    <mergeCell ref="D2:P2"/>
    <mergeCell ref="Q2:AB2"/>
    <mergeCell ref="AC2:AN2"/>
    <mergeCell ref="AO2:AZ2"/>
    <mergeCell ref="BA2:BL2"/>
  </mergeCells>
  <phoneticPr fontId="6" type="noConversion"/>
  <conditionalFormatting sqref="D22:BL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2387-01A9-419F-B476-38DEB4EBCA2D}">
  <dimension ref="A1:BQ74"/>
  <sheetViews>
    <sheetView workbookViewId="0">
      <selection activeCell="M13" sqref="M13"/>
    </sheetView>
  </sheetViews>
  <sheetFormatPr baseColWidth="10" defaultColWidth="8.85546875" defaultRowHeight="15" x14ac:dyDescent="0.25"/>
  <cols>
    <col min="2" max="2" width="13.42578125" style="22" customWidth="1"/>
    <col min="3" max="4" width="13" style="22" bestFit="1" customWidth="1"/>
    <col min="5" max="5" width="11.5703125" style="22" bestFit="1" customWidth="1"/>
    <col min="7" max="7" width="6.85546875" bestFit="1" customWidth="1"/>
    <col min="8" max="8" width="7.28515625" bestFit="1" customWidth="1"/>
    <col min="9" max="9" width="11.5703125" bestFit="1" customWidth="1"/>
    <col min="10" max="14" width="11.28515625" bestFit="1" customWidth="1"/>
    <col min="15" max="15" width="12.5703125" bestFit="1" customWidth="1"/>
    <col min="16" max="65" width="11.140625" bestFit="1" customWidth="1"/>
    <col min="66" max="69" width="10.140625" bestFit="1" customWidth="1"/>
  </cols>
  <sheetData>
    <row r="1" spans="1:69" x14ac:dyDescent="0.25">
      <c r="A1" s="13">
        <v>3.1399999999999997E-2</v>
      </c>
      <c r="G1">
        <v>3.1399999999999997E-2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</row>
    <row r="2" spans="1:69" x14ac:dyDescent="0.25">
      <c r="A2" s="9"/>
      <c r="B2" s="37" t="s">
        <v>80</v>
      </c>
      <c r="C2" s="37" t="s">
        <v>86</v>
      </c>
      <c r="D2" s="37" t="s">
        <v>81</v>
      </c>
      <c r="E2" s="37" t="s">
        <v>82</v>
      </c>
      <c r="G2" s="22"/>
      <c r="H2" t="s">
        <v>87</v>
      </c>
      <c r="I2" s="22">
        <v>420000</v>
      </c>
      <c r="J2" s="22">
        <f t="shared" ref="J2:AO2" si="0">I2-J5</f>
        <v>417554.09326721955</v>
      </c>
      <c r="K2" s="22">
        <f t="shared" si="0"/>
        <v>415031.38506302983</v>
      </c>
      <c r="L2" s="22">
        <f t="shared" si="0"/>
        <v>412429.46382122854</v>
      </c>
      <c r="M2" s="22">
        <f t="shared" si="0"/>
        <v>409745.8422524347</v>
      </c>
      <c r="N2" s="22">
        <f t="shared" si="0"/>
        <v>406977.95496638073</v>
      </c>
      <c r="O2" s="22">
        <f t="shared" si="0"/>
        <v>404123.15601954464</v>
      </c>
      <c r="P2" s="22">
        <f t="shared" si="0"/>
        <v>401178.71638577792</v>
      </c>
      <c r="Q2" s="22">
        <f t="shared" si="0"/>
        <v>398141.82134751091</v>
      </c>
      <c r="R2" s="22">
        <f t="shared" si="0"/>
        <v>395009.56780504232</v>
      </c>
      <c r="S2" s="22">
        <f t="shared" si="0"/>
        <v>391778.96150134021</v>
      </c>
      <c r="T2" s="22">
        <f t="shared" si="0"/>
        <v>388446.91415970185</v>
      </c>
      <c r="U2" s="22">
        <f t="shared" si="0"/>
        <v>385010.24053153605</v>
      </c>
      <c r="V2" s="22">
        <f t="shared" si="0"/>
        <v>381465.65535144584</v>
      </c>
      <c r="W2" s="22">
        <f t="shared" si="0"/>
        <v>377809.77019670082</v>
      </c>
      <c r="X2" s="22">
        <f t="shared" si="0"/>
        <v>374039.09024809679</v>
      </c>
      <c r="Y2" s="22">
        <f t="shared" si="0"/>
        <v>370150.0109491066</v>
      </c>
      <c r="Z2" s="22">
        <f t="shared" si="0"/>
        <v>366138.81456012808</v>
      </c>
      <c r="AA2" s="22">
        <f t="shared" si="0"/>
        <v>362001.66660453565</v>
      </c>
      <c r="AB2" s="22">
        <f t="shared" si="0"/>
        <v>357734.61220313766</v>
      </c>
      <c r="AC2" s="22">
        <f t="shared" si="0"/>
        <v>353333.57229353575</v>
      </c>
      <c r="AD2" s="22">
        <f t="shared" si="0"/>
        <v>348794.33973077231</v>
      </c>
      <c r="AE2" s="22">
        <f t="shared" si="0"/>
        <v>344112.57526553812</v>
      </c>
      <c r="AF2" s="22">
        <f t="shared" si="0"/>
        <v>339283.80339609558</v>
      </c>
      <c r="AG2" s="22">
        <f t="shared" si="0"/>
        <v>334303.40808995254</v>
      </c>
      <c r="AH2" s="22">
        <f t="shared" si="0"/>
        <v>329166.62837119662</v>
      </c>
      <c r="AI2" s="22">
        <f t="shared" si="0"/>
        <v>323868.55376927176</v>
      </c>
      <c r="AJ2" s="22">
        <f t="shared" si="0"/>
        <v>318404.11962484644</v>
      </c>
      <c r="AK2" s="22">
        <f t="shared" si="0"/>
        <v>312768.10224828619</v>
      </c>
      <c r="AL2" s="22">
        <f t="shared" si="0"/>
        <v>306955.11392610194</v>
      </c>
      <c r="AM2" s="22">
        <f t="shared" si="0"/>
        <v>300959.5977706011</v>
      </c>
      <c r="AN2" s="22">
        <f t="shared" si="0"/>
        <v>294775.82240781753</v>
      </c>
      <c r="AO2" s="22">
        <f t="shared" si="0"/>
        <v>288397.87649864255</v>
      </c>
      <c r="AP2" s="22">
        <f t="shared" ref="AP2:BQ2" si="1">AO2-AP5</f>
        <v>281819.66308791947</v>
      </c>
      <c r="AQ2" s="22">
        <f t="shared" si="1"/>
        <v>275034.89377609972</v>
      </c>
      <c r="AR2" s="22">
        <f t="shared" si="1"/>
        <v>268037.0827078888</v>
      </c>
      <c r="AS2" s="22">
        <f t="shared" si="1"/>
        <v>260819.54037213608</v>
      </c>
      <c r="AT2" s="22">
        <f t="shared" si="1"/>
        <v>253375.36720704072</v>
      </c>
      <c r="AU2" s="22">
        <f t="shared" si="1"/>
        <v>245697.44700456137</v>
      </c>
      <c r="AV2" s="22">
        <f t="shared" si="1"/>
        <v>237778.44010772416</v>
      </c>
      <c r="AW2" s="22">
        <f t="shared" si="1"/>
        <v>229610.77639432627</v>
      </c>
      <c r="AX2" s="22">
        <f t="shared" si="1"/>
        <v>221186.64804032768</v>
      </c>
      <c r="AY2" s="22">
        <f t="shared" si="1"/>
        <v>212498.00205601353</v>
      </c>
      <c r="AZ2" s="22">
        <f t="shared" si="1"/>
        <v>203536.53258779191</v>
      </c>
      <c r="BA2" s="22">
        <f t="shared" si="1"/>
        <v>194293.67297826812</v>
      </c>
      <c r="BB2" s="22">
        <f t="shared" si="1"/>
        <v>184760.5875770053</v>
      </c>
      <c r="BC2" s="22">
        <f t="shared" si="1"/>
        <v>174928.16329414281</v>
      </c>
      <c r="BD2" s="22">
        <f t="shared" si="1"/>
        <v>164787.00088879844</v>
      </c>
      <c r="BE2" s="22">
        <f t="shared" si="1"/>
        <v>154327.40598392626</v>
      </c>
      <c r="BF2" s="22">
        <f t="shared" si="1"/>
        <v>143539.37979904111</v>
      </c>
      <c r="BG2" s="22">
        <f t="shared" si="1"/>
        <v>132412.60959195058</v>
      </c>
      <c r="BH2" s="22">
        <f t="shared" si="1"/>
        <v>120936.45880035739</v>
      </c>
      <c r="BI2" s="22">
        <f t="shared" si="1"/>
        <v>109099.95687390817</v>
      </c>
      <c r="BJ2" s="22">
        <f t="shared" si="1"/>
        <v>96891.788786968449</v>
      </c>
      <c r="BK2" s="22">
        <f t="shared" si="1"/>
        <v>84300.284222098824</v>
      </c>
      <c r="BL2" s="22">
        <f t="shared" si="1"/>
        <v>71313.406413892284</v>
      </c>
      <c r="BM2" s="22">
        <f t="shared" si="1"/>
        <v>57918.740642508063</v>
      </c>
      <c r="BN2" s="22">
        <f t="shared" si="1"/>
        <v>44103.482365902375</v>
      </c>
      <c r="BO2" s="22">
        <f t="shared" si="1"/>
        <v>29854.424979411269</v>
      </c>
      <c r="BP2" s="22">
        <f t="shared" si="1"/>
        <v>15157.947190984345</v>
      </c>
      <c r="BQ2" s="22">
        <f t="shared" si="1"/>
        <v>8.149072527885437E-10</v>
      </c>
    </row>
    <row r="3" spans="1:69" x14ac:dyDescent="0.25">
      <c r="A3" s="9">
        <v>0</v>
      </c>
      <c r="B3" s="36">
        <v>420000</v>
      </c>
      <c r="C3" s="36">
        <f>PMT(A1,MAX(A3:A63),B3)</f>
        <v>-15633.906732780439</v>
      </c>
      <c r="D3" s="36"/>
      <c r="E3" s="36"/>
      <c r="G3" s="22"/>
      <c r="H3" t="s">
        <v>86</v>
      </c>
      <c r="I3" s="38">
        <f>PMT(G1,MAX(I1:BQ1),I2)</f>
        <v>-15633.906732780439</v>
      </c>
      <c r="J3" s="22">
        <f t="shared" ref="J3:AO3" si="2">-$I$3</f>
        <v>15633.906732780439</v>
      </c>
      <c r="K3" s="22">
        <f t="shared" si="2"/>
        <v>15633.906732780439</v>
      </c>
      <c r="L3" s="22">
        <f t="shared" si="2"/>
        <v>15633.906732780439</v>
      </c>
      <c r="M3" s="22">
        <f t="shared" si="2"/>
        <v>15633.906732780439</v>
      </c>
      <c r="N3" s="22">
        <f t="shared" si="2"/>
        <v>15633.906732780439</v>
      </c>
      <c r="O3" s="22">
        <f t="shared" si="2"/>
        <v>15633.906732780439</v>
      </c>
      <c r="P3" s="22">
        <f t="shared" si="2"/>
        <v>15633.906732780439</v>
      </c>
      <c r="Q3" s="22">
        <f t="shared" si="2"/>
        <v>15633.906732780439</v>
      </c>
      <c r="R3" s="22">
        <f t="shared" si="2"/>
        <v>15633.906732780439</v>
      </c>
      <c r="S3" s="22">
        <f t="shared" si="2"/>
        <v>15633.906732780439</v>
      </c>
      <c r="T3" s="22">
        <f t="shared" si="2"/>
        <v>15633.906732780439</v>
      </c>
      <c r="U3" s="22">
        <f t="shared" si="2"/>
        <v>15633.906732780439</v>
      </c>
      <c r="V3" s="22">
        <f t="shared" si="2"/>
        <v>15633.906732780439</v>
      </c>
      <c r="W3" s="22">
        <f t="shared" si="2"/>
        <v>15633.906732780439</v>
      </c>
      <c r="X3" s="22">
        <f t="shared" si="2"/>
        <v>15633.906732780439</v>
      </c>
      <c r="Y3" s="22">
        <f t="shared" si="2"/>
        <v>15633.906732780439</v>
      </c>
      <c r="Z3" s="22">
        <f t="shared" si="2"/>
        <v>15633.906732780439</v>
      </c>
      <c r="AA3" s="22">
        <f t="shared" si="2"/>
        <v>15633.906732780439</v>
      </c>
      <c r="AB3" s="22">
        <f t="shared" si="2"/>
        <v>15633.906732780439</v>
      </c>
      <c r="AC3" s="22">
        <f t="shared" si="2"/>
        <v>15633.906732780439</v>
      </c>
      <c r="AD3" s="22">
        <f t="shared" si="2"/>
        <v>15633.906732780439</v>
      </c>
      <c r="AE3" s="22">
        <f t="shared" si="2"/>
        <v>15633.906732780439</v>
      </c>
      <c r="AF3" s="22">
        <f t="shared" si="2"/>
        <v>15633.906732780439</v>
      </c>
      <c r="AG3" s="22">
        <f t="shared" si="2"/>
        <v>15633.906732780439</v>
      </c>
      <c r="AH3" s="22">
        <f t="shared" si="2"/>
        <v>15633.906732780439</v>
      </c>
      <c r="AI3" s="22">
        <f t="shared" si="2"/>
        <v>15633.906732780439</v>
      </c>
      <c r="AJ3" s="22">
        <f t="shared" si="2"/>
        <v>15633.906732780439</v>
      </c>
      <c r="AK3" s="22">
        <f t="shared" si="2"/>
        <v>15633.906732780439</v>
      </c>
      <c r="AL3" s="22">
        <f t="shared" si="2"/>
        <v>15633.906732780439</v>
      </c>
      <c r="AM3" s="22">
        <f t="shared" si="2"/>
        <v>15633.906732780439</v>
      </c>
      <c r="AN3" s="22">
        <f t="shared" si="2"/>
        <v>15633.906732780439</v>
      </c>
      <c r="AO3" s="22">
        <f t="shared" si="2"/>
        <v>15633.906732780439</v>
      </c>
      <c r="AP3" s="22">
        <f t="shared" ref="AP3:BQ3" si="3">-$I$3</f>
        <v>15633.906732780439</v>
      </c>
      <c r="AQ3" s="22">
        <f t="shared" si="3"/>
        <v>15633.906732780439</v>
      </c>
      <c r="AR3" s="22">
        <f t="shared" si="3"/>
        <v>15633.906732780439</v>
      </c>
      <c r="AS3" s="22">
        <f t="shared" si="3"/>
        <v>15633.906732780439</v>
      </c>
      <c r="AT3" s="22">
        <f t="shared" si="3"/>
        <v>15633.906732780439</v>
      </c>
      <c r="AU3" s="22">
        <f t="shared" si="3"/>
        <v>15633.906732780439</v>
      </c>
      <c r="AV3" s="22">
        <f t="shared" si="3"/>
        <v>15633.906732780439</v>
      </c>
      <c r="AW3" s="22">
        <f t="shared" si="3"/>
        <v>15633.906732780439</v>
      </c>
      <c r="AX3" s="22">
        <f t="shared" si="3"/>
        <v>15633.906732780439</v>
      </c>
      <c r="AY3" s="22">
        <f t="shared" si="3"/>
        <v>15633.906732780439</v>
      </c>
      <c r="AZ3" s="22">
        <f t="shared" si="3"/>
        <v>15633.906732780439</v>
      </c>
      <c r="BA3" s="22">
        <f t="shared" si="3"/>
        <v>15633.906732780439</v>
      </c>
      <c r="BB3" s="22">
        <f t="shared" si="3"/>
        <v>15633.906732780439</v>
      </c>
      <c r="BC3" s="22">
        <f t="shared" si="3"/>
        <v>15633.906732780439</v>
      </c>
      <c r="BD3" s="22">
        <f t="shared" si="3"/>
        <v>15633.906732780439</v>
      </c>
      <c r="BE3" s="22">
        <f t="shared" si="3"/>
        <v>15633.906732780439</v>
      </c>
      <c r="BF3" s="22">
        <f t="shared" si="3"/>
        <v>15633.906732780439</v>
      </c>
      <c r="BG3" s="22">
        <f t="shared" si="3"/>
        <v>15633.906732780439</v>
      </c>
      <c r="BH3" s="22">
        <f t="shared" si="3"/>
        <v>15633.906732780439</v>
      </c>
      <c r="BI3" s="22">
        <f t="shared" si="3"/>
        <v>15633.906732780439</v>
      </c>
      <c r="BJ3" s="22">
        <f t="shared" si="3"/>
        <v>15633.906732780439</v>
      </c>
      <c r="BK3" s="22">
        <f t="shared" si="3"/>
        <v>15633.906732780439</v>
      </c>
      <c r="BL3" s="22">
        <f t="shared" si="3"/>
        <v>15633.906732780439</v>
      </c>
      <c r="BM3" s="22">
        <f t="shared" si="3"/>
        <v>15633.906732780439</v>
      </c>
      <c r="BN3" s="22">
        <f t="shared" si="3"/>
        <v>15633.906732780439</v>
      </c>
      <c r="BO3" s="22">
        <f t="shared" si="3"/>
        <v>15633.906732780439</v>
      </c>
      <c r="BP3" s="22">
        <f t="shared" si="3"/>
        <v>15633.906732780439</v>
      </c>
      <c r="BQ3" s="22">
        <f t="shared" si="3"/>
        <v>15633.906732780439</v>
      </c>
    </row>
    <row r="4" spans="1:69" x14ac:dyDescent="0.25">
      <c r="A4" s="9">
        <v>1</v>
      </c>
      <c r="B4" s="36">
        <f>B3-E4</f>
        <v>417554.09326721955</v>
      </c>
      <c r="C4" s="36">
        <f>-$C$3</f>
        <v>15633.906732780439</v>
      </c>
      <c r="D4" s="36">
        <f>B3*$A$1</f>
        <v>13187.999999999998</v>
      </c>
      <c r="E4" s="36">
        <f>C4-D4</f>
        <v>2445.9067327804405</v>
      </c>
      <c r="G4" s="22"/>
      <c r="H4" t="s">
        <v>81</v>
      </c>
      <c r="I4" s="22"/>
      <c r="J4" s="22">
        <f t="shared" ref="J4:AO4" si="4">I2*$G$1</f>
        <v>13187.999999999998</v>
      </c>
      <c r="K4" s="22">
        <f t="shared" si="4"/>
        <v>13111.198528590692</v>
      </c>
      <c r="L4" s="22">
        <f t="shared" si="4"/>
        <v>13031.985490979136</v>
      </c>
      <c r="M4" s="22">
        <f t="shared" si="4"/>
        <v>12950.285163986575</v>
      </c>
      <c r="N4" s="22">
        <f t="shared" si="4"/>
        <v>12866.019446726448</v>
      </c>
      <c r="O4" s="22">
        <f t="shared" si="4"/>
        <v>12779.107785944354</v>
      </c>
      <c r="P4" s="22">
        <f t="shared" si="4"/>
        <v>12689.4670990137</v>
      </c>
      <c r="Q4" s="22">
        <f t="shared" si="4"/>
        <v>12597.011694513425</v>
      </c>
      <c r="R4" s="22">
        <f t="shared" si="4"/>
        <v>12501.653190311841</v>
      </c>
      <c r="S4" s="22">
        <f t="shared" si="4"/>
        <v>12403.300429078328</v>
      </c>
      <c r="T4" s="22">
        <f t="shared" si="4"/>
        <v>12301.859391142081</v>
      </c>
      <c r="U4" s="22">
        <f t="shared" si="4"/>
        <v>12197.233104614637</v>
      </c>
      <c r="V4" s="22">
        <f t="shared" si="4"/>
        <v>12089.321552690231</v>
      </c>
      <c r="W4" s="22">
        <f t="shared" si="4"/>
        <v>11978.021578035397</v>
      </c>
      <c r="X4" s="22">
        <f t="shared" si="4"/>
        <v>11863.226784176404</v>
      </c>
      <c r="Y4" s="22">
        <f t="shared" si="4"/>
        <v>11744.827433790239</v>
      </c>
      <c r="Z4" s="22">
        <f t="shared" si="4"/>
        <v>11622.710343801946</v>
      </c>
      <c r="AA4" s="22">
        <f t="shared" si="4"/>
        <v>11496.758777188021</v>
      </c>
      <c r="AB4" s="22">
        <f t="shared" si="4"/>
        <v>11366.852331382419</v>
      </c>
      <c r="AC4" s="22">
        <f t="shared" si="4"/>
        <v>11232.866823178521</v>
      </c>
      <c r="AD4" s="22">
        <f t="shared" si="4"/>
        <v>11094.674170017022</v>
      </c>
      <c r="AE4" s="22">
        <f t="shared" si="4"/>
        <v>10952.142267546249</v>
      </c>
      <c r="AF4" s="22">
        <f t="shared" si="4"/>
        <v>10805.134863337897</v>
      </c>
      <c r="AG4" s="22">
        <f t="shared" si="4"/>
        <v>10653.5114266374</v>
      </c>
      <c r="AH4" s="22">
        <f t="shared" si="4"/>
        <v>10497.127014024509</v>
      </c>
      <c r="AI4" s="22">
        <f t="shared" si="4"/>
        <v>10335.832130855573</v>
      </c>
      <c r="AJ4" s="22">
        <f t="shared" si="4"/>
        <v>10169.472588355133</v>
      </c>
      <c r="AK4" s="22">
        <f t="shared" si="4"/>
        <v>9997.8893562201774</v>
      </c>
      <c r="AL4" s="22">
        <f t="shared" si="4"/>
        <v>9820.9184105961849</v>
      </c>
      <c r="AM4" s="22">
        <f t="shared" si="4"/>
        <v>9638.3905772796006</v>
      </c>
      <c r="AN4" s="22">
        <f t="shared" si="4"/>
        <v>9450.1313699968741</v>
      </c>
      <c r="AO4" s="22">
        <f t="shared" si="4"/>
        <v>9255.9608236054701</v>
      </c>
      <c r="AP4" s="22">
        <f t="shared" ref="AP4:BQ4" si="5">AO2*$G$1</f>
        <v>9055.6933220573756</v>
      </c>
      <c r="AQ4" s="22">
        <f t="shared" si="5"/>
        <v>8849.1374209606711</v>
      </c>
      <c r="AR4" s="22">
        <f t="shared" si="5"/>
        <v>8636.0956645695296</v>
      </c>
      <c r="AS4" s="22">
        <f t="shared" si="5"/>
        <v>8416.364397027708</v>
      </c>
      <c r="AT4" s="22">
        <f t="shared" si="5"/>
        <v>8189.7335676850726</v>
      </c>
      <c r="AU4" s="22">
        <f t="shared" si="5"/>
        <v>7955.9865303010783</v>
      </c>
      <c r="AV4" s="22">
        <f t="shared" si="5"/>
        <v>7714.8998359432262</v>
      </c>
      <c r="AW4" s="22">
        <f t="shared" si="5"/>
        <v>7466.2430193825385</v>
      </c>
      <c r="AX4" s="22">
        <f t="shared" si="5"/>
        <v>7209.7783787818444</v>
      </c>
      <c r="AY4" s="22">
        <f t="shared" si="5"/>
        <v>6945.2607484662885</v>
      </c>
      <c r="AZ4" s="22">
        <f t="shared" si="5"/>
        <v>6672.4372645588246</v>
      </c>
      <c r="BA4" s="22">
        <f t="shared" si="5"/>
        <v>6391.0471232566651</v>
      </c>
      <c r="BB4" s="22">
        <f t="shared" si="5"/>
        <v>6100.8213315176181</v>
      </c>
      <c r="BC4" s="22">
        <f t="shared" si="5"/>
        <v>5801.4824499179658</v>
      </c>
      <c r="BD4" s="22">
        <f t="shared" si="5"/>
        <v>5492.7443274360839</v>
      </c>
      <c r="BE4" s="22">
        <f t="shared" si="5"/>
        <v>5174.311827908271</v>
      </c>
      <c r="BF4" s="22">
        <f t="shared" si="5"/>
        <v>4845.8805478952845</v>
      </c>
      <c r="BG4" s="22">
        <f t="shared" si="5"/>
        <v>4507.1365256898907</v>
      </c>
      <c r="BH4" s="22">
        <f t="shared" si="5"/>
        <v>4157.755941187248</v>
      </c>
      <c r="BI4" s="22">
        <f t="shared" si="5"/>
        <v>3797.4048063312216</v>
      </c>
      <c r="BJ4" s="22">
        <f t="shared" si="5"/>
        <v>3425.7386458407163</v>
      </c>
      <c r="BK4" s="22">
        <f t="shared" si="5"/>
        <v>3042.4021679108091</v>
      </c>
      <c r="BL4" s="22">
        <f t="shared" si="5"/>
        <v>2647.0289245739027</v>
      </c>
      <c r="BM4" s="22">
        <f t="shared" si="5"/>
        <v>2239.2409613962177</v>
      </c>
      <c r="BN4" s="22">
        <f t="shared" si="5"/>
        <v>1818.6484561747529</v>
      </c>
      <c r="BO4" s="22">
        <f t="shared" si="5"/>
        <v>1384.8493462893346</v>
      </c>
      <c r="BP4" s="22">
        <f t="shared" si="5"/>
        <v>937.42894435351377</v>
      </c>
      <c r="BQ4" s="22">
        <f t="shared" si="5"/>
        <v>475.95954179690841</v>
      </c>
    </row>
    <row r="5" spans="1:69" x14ac:dyDescent="0.25">
      <c r="A5" s="9">
        <v>2</v>
      </c>
      <c r="B5" s="36">
        <f t="shared" ref="B5:B63" si="6">B4-E5</f>
        <v>415031.38506302983</v>
      </c>
      <c r="C5" s="36">
        <f t="shared" ref="C5:C63" si="7">-$C$3</f>
        <v>15633.906732780439</v>
      </c>
      <c r="D5" s="36">
        <f t="shared" ref="D5:D63" si="8">B4*$A$1</f>
        <v>13111.198528590692</v>
      </c>
      <c r="E5" s="36">
        <f t="shared" ref="E5:E63" si="9">C5-D5</f>
        <v>2522.7082041897465</v>
      </c>
      <c r="G5" s="22"/>
      <c r="H5" t="s">
        <v>82</v>
      </c>
      <c r="I5" s="22"/>
      <c r="J5" s="22">
        <f t="shared" ref="J5:AO5" si="10">J3-J4</f>
        <v>2445.9067327804405</v>
      </c>
      <c r="K5" s="22">
        <f t="shared" si="10"/>
        <v>2522.7082041897465</v>
      </c>
      <c r="L5" s="22">
        <f t="shared" si="10"/>
        <v>2601.921241801303</v>
      </c>
      <c r="M5" s="22">
        <f t="shared" si="10"/>
        <v>2683.6215687938638</v>
      </c>
      <c r="N5" s="22">
        <f t="shared" si="10"/>
        <v>2767.8872860539905</v>
      </c>
      <c r="O5" s="22">
        <f t="shared" si="10"/>
        <v>2854.7989468360847</v>
      </c>
      <c r="P5" s="22">
        <f t="shared" si="10"/>
        <v>2944.4396337667386</v>
      </c>
      <c r="Q5" s="22">
        <f t="shared" si="10"/>
        <v>3036.8950382670137</v>
      </c>
      <c r="R5" s="22">
        <f t="shared" si="10"/>
        <v>3132.2535424685975</v>
      </c>
      <c r="S5" s="22">
        <f t="shared" si="10"/>
        <v>3230.6063037021104</v>
      </c>
      <c r="T5" s="22">
        <f t="shared" si="10"/>
        <v>3332.0473416383575</v>
      </c>
      <c r="U5" s="22">
        <f t="shared" si="10"/>
        <v>3436.6736281658013</v>
      </c>
      <c r="V5" s="22">
        <f t="shared" si="10"/>
        <v>3544.5851800902074</v>
      </c>
      <c r="W5" s="22">
        <f t="shared" si="10"/>
        <v>3655.8851547450413</v>
      </c>
      <c r="X5" s="22">
        <f t="shared" si="10"/>
        <v>3770.6799486040345</v>
      </c>
      <c r="Y5" s="22">
        <f t="shared" si="10"/>
        <v>3889.0792989902002</v>
      </c>
      <c r="Z5" s="22">
        <f t="shared" si="10"/>
        <v>4011.1963889784929</v>
      </c>
      <c r="AA5" s="22">
        <f t="shared" si="10"/>
        <v>4137.1479555924179</v>
      </c>
      <c r="AB5" s="22">
        <f t="shared" si="10"/>
        <v>4267.0544013980198</v>
      </c>
      <c r="AC5" s="22">
        <f t="shared" si="10"/>
        <v>4401.0399096019173</v>
      </c>
      <c r="AD5" s="22">
        <f t="shared" si="10"/>
        <v>4539.2325627634164</v>
      </c>
      <c r="AE5" s="22">
        <f t="shared" si="10"/>
        <v>4681.7644652341896</v>
      </c>
      <c r="AF5" s="22">
        <f t="shared" si="10"/>
        <v>4828.7718694425421</v>
      </c>
      <c r="AG5" s="22">
        <f t="shared" si="10"/>
        <v>4980.3953061430384</v>
      </c>
      <c r="AH5" s="22">
        <f t="shared" si="10"/>
        <v>5136.7797187559299</v>
      </c>
      <c r="AI5" s="22">
        <f t="shared" si="10"/>
        <v>5298.0746019248654</v>
      </c>
      <c r="AJ5" s="22">
        <f t="shared" si="10"/>
        <v>5464.4341444253059</v>
      </c>
      <c r="AK5" s="22">
        <f t="shared" si="10"/>
        <v>5636.0173765602613</v>
      </c>
      <c r="AL5" s="22">
        <f t="shared" si="10"/>
        <v>5812.9883221842538</v>
      </c>
      <c r="AM5" s="22">
        <f t="shared" si="10"/>
        <v>5995.5161555008381</v>
      </c>
      <c r="AN5" s="22">
        <f t="shared" si="10"/>
        <v>6183.7753627835646</v>
      </c>
      <c r="AO5" s="22">
        <f t="shared" si="10"/>
        <v>6377.9459091749686</v>
      </c>
      <c r="AP5" s="22">
        <f t="shared" ref="AP5:BQ5" si="11">AP3-AP4</f>
        <v>6578.2134107230631</v>
      </c>
      <c r="AQ5" s="22">
        <f t="shared" si="11"/>
        <v>6784.7693118197676</v>
      </c>
      <c r="AR5" s="22">
        <f t="shared" si="11"/>
        <v>6997.8110682109091</v>
      </c>
      <c r="AS5" s="22">
        <f t="shared" si="11"/>
        <v>7217.5423357527307</v>
      </c>
      <c r="AT5" s="22">
        <f t="shared" si="11"/>
        <v>7444.1731650953661</v>
      </c>
      <c r="AU5" s="22">
        <f t="shared" si="11"/>
        <v>7677.9202024793603</v>
      </c>
      <c r="AV5" s="22">
        <f t="shared" si="11"/>
        <v>7919.0068968372125</v>
      </c>
      <c r="AW5" s="22">
        <f t="shared" si="11"/>
        <v>8167.6637133979002</v>
      </c>
      <c r="AX5" s="22">
        <f t="shared" si="11"/>
        <v>8424.1283539985943</v>
      </c>
      <c r="AY5" s="22">
        <f t="shared" si="11"/>
        <v>8688.6459843141492</v>
      </c>
      <c r="AZ5" s="22">
        <f t="shared" si="11"/>
        <v>8961.4694682216141</v>
      </c>
      <c r="BA5" s="22">
        <f t="shared" si="11"/>
        <v>9242.8596095237735</v>
      </c>
      <c r="BB5" s="22">
        <f t="shared" si="11"/>
        <v>9533.0854012628206</v>
      </c>
      <c r="BC5" s="22">
        <f t="shared" si="11"/>
        <v>9832.4242828624738</v>
      </c>
      <c r="BD5" s="22">
        <f t="shared" si="11"/>
        <v>10141.162405344356</v>
      </c>
      <c r="BE5" s="22">
        <f t="shared" si="11"/>
        <v>10459.594904872167</v>
      </c>
      <c r="BF5" s="22">
        <f t="shared" si="11"/>
        <v>10788.026184885155</v>
      </c>
      <c r="BG5" s="22">
        <f t="shared" si="11"/>
        <v>11126.770207090547</v>
      </c>
      <c r="BH5" s="22">
        <f t="shared" si="11"/>
        <v>11476.150791593191</v>
      </c>
      <c r="BI5" s="22">
        <f t="shared" si="11"/>
        <v>11836.501926449217</v>
      </c>
      <c r="BJ5" s="22">
        <f t="shared" si="11"/>
        <v>12208.168086939722</v>
      </c>
      <c r="BK5" s="22">
        <f t="shared" si="11"/>
        <v>12591.504564869629</v>
      </c>
      <c r="BL5" s="22">
        <f t="shared" si="11"/>
        <v>12986.877808206536</v>
      </c>
      <c r="BM5" s="22">
        <f t="shared" si="11"/>
        <v>13394.665771384221</v>
      </c>
      <c r="BN5" s="22">
        <f t="shared" si="11"/>
        <v>13815.258276605686</v>
      </c>
      <c r="BO5" s="22">
        <f t="shared" si="11"/>
        <v>14249.057386491104</v>
      </c>
      <c r="BP5" s="22">
        <f t="shared" si="11"/>
        <v>14696.477788426924</v>
      </c>
      <c r="BQ5" s="22">
        <f t="shared" si="11"/>
        <v>15157.94719098353</v>
      </c>
    </row>
    <row r="6" spans="1:69" x14ac:dyDescent="0.25">
      <c r="A6" s="9">
        <v>3</v>
      </c>
      <c r="B6" s="36">
        <f t="shared" si="6"/>
        <v>412429.46382122854</v>
      </c>
      <c r="C6" s="36">
        <f t="shared" si="7"/>
        <v>15633.906732780439</v>
      </c>
      <c r="D6" s="36">
        <f t="shared" si="8"/>
        <v>13031.985490979136</v>
      </c>
      <c r="E6" s="36">
        <f t="shared" si="9"/>
        <v>2601.921241801303</v>
      </c>
    </row>
    <row r="7" spans="1:69" x14ac:dyDescent="0.25">
      <c r="A7" s="9">
        <v>4</v>
      </c>
      <c r="B7" s="36">
        <f t="shared" si="6"/>
        <v>409745.8422524347</v>
      </c>
      <c r="C7" s="36">
        <f t="shared" si="7"/>
        <v>15633.906732780439</v>
      </c>
      <c r="D7" s="36">
        <f t="shared" si="8"/>
        <v>12950.285163986575</v>
      </c>
      <c r="E7" s="36">
        <f t="shared" si="9"/>
        <v>2683.6215687938638</v>
      </c>
    </row>
    <row r="8" spans="1:69" x14ac:dyDescent="0.25">
      <c r="A8" s="9">
        <v>5</v>
      </c>
      <c r="B8" s="36">
        <f t="shared" si="6"/>
        <v>406977.95496638073</v>
      </c>
      <c r="C8" s="36">
        <f t="shared" si="7"/>
        <v>15633.906732780439</v>
      </c>
      <c r="D8" s="36">
        <f t="shared" si="8"/>
        <v>12866.019446726448</v>
      </c>
      <c r="E8" s="36">
        <f t="shared" si="9"/>
        <v>2767.8872860539905</v>
      </c>
      <c r="J8" s="22"/>
      <c r="K8" s="22"/>
      <c r="L8" s="22"/>
      <c r="M8" s="22"/>
      <c r="N8" s="22"/>
      <c r="O8" s="22"/>
    </row>
    <row r="9" spans="1:69" x14ac:dyDescent="0.25">
      <c r="A9" s="9">
        <v>6</v>
      </c>
      <c r="B9" s="36">
        <f t="shared" si="6"/>
        <v>404123.15601954464</v>
      </c>
      <c r="C9" s="36">
        <f t="shared" si="7"/>
        <v>15633.906732780439</v>
      </c>
      <c r="D9" s="36">
        <f t="shared" si="8"/>
        <v>12779.107785944354</v>
      </c>
      <c r="E9" s="36">
        <f t="shared" si="9"/>
        <v>2854.7989468360847</v>
      </c>
      <c r="J9" s="22"/>
      <c r="K9" s="22"/>
      <c r="L9" s="22"/>
      <c r="M9" s="22"/>
      <c r="N9" s="22"/>
      <c r="O9" s="22"/>
    </row>
    <row r="10" spans="1:69" x14ac:dyDescent="0.25">
      <c r="A10" s="9">
        <v>7</v>
      </c>
      <c r="B10" s="36">
        <f t="shared" si="6"/>
        <v>401178.71638577792</v>
      </c>
      <c r="C10" s="36">
        <f t="shared" si="7"/>
        <v>15633.906732780439</v>
      </c>
      <c r="D10" s="36">
        <f t="shared" si="8"/>
        <v>12689.4670990137</v>
      </c>
      <c r="E10" s="36">
        <f t="shared" si="9"/>
        <v>2944.4396337667386</v>
      </c>
      <c r="J10" s="22"/>
      <c r="K10" s="22"/>
      <c r="L10" s="22"/>
      <c r="M10" s="22"/>
      <c r="N10" s="22"/>
      <c r="O10" s="22"/>
    </row>
    <row r="11" spans="1:69" x14ac:dyDescent="0.25">
      <c r="A11" s="9">
        <v>8</v>
      </c>
      <c r="B11" s="36">
        <f t="shared" si="6"/>
        <v>398141.82134751091</v>
      </c>
      <c r="C11" s="36">
        <f t="shared" si="7"/>
        <v>15633.906732780439</v>
      </c>
      <c r="D11" s="36">
        <f t="shared" si="8"/>
        <v>12597.011694513425</v>
      </c>
      <c r="E11" s="36">
        <f t="shared" si="9"/>
        <v>3036.8950382670137</v>
      </c>
      <c r="J11" s="22"/>
      <c r="K11" s="22"/>
      <c r="L11" s="22"/>
      <c r="M11" s="22"/>
      <c r="N11" s="22"/>
      <c r="O11" s="22"/>
    </row>
    <row r="12" spans="1:69" x14ac:dyDescent="0.25">
      <c r="A12" s="9">
        <v>9</v>
      </c>
      <c r="B12" s="36">
        <f t="shared" si="6"/>
        <v>395009.56780504232</v>
      </c>
      <c r="C12" s="36">
        <f t="shared" si="7"/>
        <v>15633.906732780439</v>
      </c>
      <c r="D12" s="36">
        <f t="shared" si="8"/>
        <v>12501.653190311841</v>
      </c>
      <c r="E12" s="36">
        <f t="shared" si="9"/>
        <v>3132.2535424685975</v>
      </c>
    </row>
    <row r="13" spans="1:69" x14ac:dyDescent="0.25">
      <c r="A13" s="9">
        <v>10</v>
      </c>
      <c r="B13" s="36">
        <f t="shared" si="6"/>
        <v>391778.96150134021</v>
      </c>
      <c r="C13" s="36">
        <f t="shared" si="7"/>
        <v>15633.906732780439</v>
      </c>
      <c r="D13" s="36">
        <f t="shared" si="8"/>
        <v>12403.300429078328</v>
      </c>
      <c r="E13" s="36">
        <f t="shared" si="9"/>
        <v>3230.6063037021104</v>
      </c>
    </row>
    <row r="14" spans="1:69" x14ac:dyDescent="0.25">
      <c r="A14" s="9">
        <v>11</v>
      </c>
      <c r="B14" s="36">
        <f t="shared" si="6"/>
        <v>388446.91415970185</v>
      </c>
      <c r="C14" s="36">
        <f t="shared" si="7"/>
        <v>15633.906732780439</v>
      </c>
      <c r="D14" s="36">
        <f t="shared" si="8"/>
        <v>12301.859391142081</v>
      </c>
      <c r="E14" s="36">
        <f t="shared" si="9"/>
        <v>3332.0473416383575</v>
      </c>
    </row>
    <row r="15" spans="1:69" x14ac:dyDescent="0.25">
      <c r="A15" s="9">
        <v>12</v>
      </c>
      <c r="B15" s="36">
        <f t="shared" si="6"/>
        <v>385010.24053153605</v>
      </c>
      <c r="C15" s="36">
        <f t="shared" si="7"/>
        <v>15633.906732780439</v>
      </c>
      <c r="D15" s="36">
        <f t="shared" si="8"/>
        <v>12197.233104614637</v>
      </c>
      <c r="E15" s="36">
        <f t="shared" si="9"/>
        <v>3436.6736281658013</v>
      </c>
    </row>
    <row r="16" spans="1:69" x14ac:dyDescent="0.25">
      <c r="A16" s="9">
        <v>13</v>
      </c>
      <c r="B16" s="36">
        <f t="shared" si="6"/>
        <v>381465.65535144584</v>
      </c>
      <c r="C16" s="36">
        <f t="shared" si="7"/>
        <v>15633.906732780439</v>
      </c>
      <c r="D16" s="36">
        <f t="shared" si="8"/>
        <v>12089.321552690231</v>
      </c>
      <c r="E16" s="36">
        <f t="shared" si="9"/>
        <v>3544.5851800902074</v>
      </c>
    </row>
    <row r="17" spans="1:5" x14ac:dyDescent="0.25">
      <c r="A17" s="9">
        <v>14</v>
      </c>
      <c r="B17" s="36">
        <f t="shared" si="6"/>
        <v>377809.77019670082</v>
      </c>
      <c r="C17" s="36">
        <f t="shared" si="7"/>
        <v>15633.906732780439</v>
      </c>
      <c r="D17" s="36">
        <f t="shared" si="8"/>
        <v>11978.021578035397</v>
      </c>
      <c r="E17" s="36">
        <f t="shared" si="9"/>
        <v>3655.8851547450413</v>
      </c>
    </row>
    <row r="18" spans="1:5" x14ac:dyDescent="0.25">
      <c r="A18" s="9">
        <v>15</v>
      </c>
      <c r="B18" s="36">
        <f t="shared" si="6"/>
        <v>374039.09024809679</v>
      </c>
      <c r="C18" s="36">
        <f t="shared" si="7"/>
        <v>15633.906732780439</v>
      </c>
      <c r="D18" s="36">
        <f t="shared" si="8"/>
        <v>11863.226784176404</v>
      </c>
      <c r="E18" s="36">
        <f t="shared" si="9"/>
        <v>3770.6799486040345</v>
      </c>
    </row>
    <row r="19" spans="1:5" x14ac:dyDescent="0.25">
      <c r="A19" s="9">
        <v>16</v>
      </c>
      <c r="B19" s="36">
        <f t="shared" si="6"/>
        <v>370150.0109491066</v>
      </c>
      <c r="C19" s="36">
        <f t="shared" si="7"/>
        <v>15633.906732780439</v>
      </c>
      <c r="D19" s="36">
        <f t="shared" si="8"/>
        <v>11744.827433790239</v>
      </c>
      <c r="E19" s="36">
        <f t="shared" si="9"/>
        <v>3889.0792989902002</v>
      </c>
    </row>
    <row r="20" spans="1:5" x14ac:dyDescent="0.25">
      <c r="A20" s="9">
        <v>17</v>
      </c>
      <c r="B20" s="36">
        <f t="shared" si="6"/>
        <v>366138.81456012808</v>
      </c>
      <c r="C20" s="36">
        <f t="shared" si="7"/>
        <v>15633.906732780439</v>
      </c>
      <c r="D20" s="36">
        <f t="shared" si="8"/>
        <v>11622.710343801946</v>
      </c>
      <c r="E20" s="36">
        <f t="shared" si="9"/>
        <v>4011.1963889784929</v>
      </c>
    </row>
    <row r="21" spans="1:5" x14ac:dyDescent="0.25">
      <c r="A21" s="9">
        <v>18</v>
      </c>
      <c r="B21" s="36">
        <f t="shared" si="6"/>
        <v>362001.66660453565</v>
      </c>
      <c r="C21" s="36">
        <f t="shared" si="7"/>
        <v>15633.906732780439</v>
      </c>
      <c r="D21" s="36">
        <f t="shared" si="8"/>
        <v>11496.758777188021</v>
      </c>
      <c r="E21" s="36">
        <f t="shared" si="9"/>
        <v>4137.1479555924179</v>
      </c>
    </row>
    <row r="22" spans="1:5" x14ac:dyDescent="0.25">
      <c r="A22" s="9">
        <v>19</v>
      </c>
      <c r="B22" s="36">
        <f t="shared" si="6"/>
        <v>357734.61220313766</v>
      </c>
      <c r="C22" s="36">
        <f t="shared" si="7"/>
        <v>15633.906732780439</v>
      </c>
      <c r="D22" s="36">
        <f t="shared" si="8"/>
        <v>11366.852331382419</v>
      </c>
      <c r="E22" s="36">
        <f t="shared" si="9"/>
        <v>4267.0544013980198</v>
      </c>
    </row>
    <row r="23" spans="1:5" x14ac:dyDescent="0.25">
      <c r="A23" s="9">
        <v>20</v>
      </c>
      <c r="B23" s="36">
        <f t="shared" si="6"/>
        <v>353333.57229353575</v>
      </c>
      <c r="C23" s="36">
        <f t="shared" si="7"/>
        <v>15633.906732780439</v>
      </c>
      <c r="D23" s="36">
        <f t="shared" si="8"/>
        <v>11232.866823178521</v>
      </c>
      <c r="E23" s="36">
        <f t="shared" si="9"/>
        <v>4401.0399096019173</v>
      </c>
    </row>
    <row r="24" spans="1:5" x14ac:dyDescent="0.25">
      <c r="A24" s="9">
        <v>21</v>
      </c>
      <c r="B24" s="36">
        <f t="shared" si="6"/>
        <v>348794.33973077231</v>
      </c>
      <c r="C24" s="36">
        <f t="shared" si="7"/>
        <v>15633.906732780439</v>
      </c>
      <c r="D24" s="36">
        <f t="shared" si="8"/>
        <v>11094.674170017022</v>
      </c>
      <c r="E24" s="36">
        <f t="shared" si="9"/>
        <v>4539.2325627634164</v>
      </c>
    </row>
    <row r="25" spans="1:5" x14ac:dyDescent="0.25">
      <c r="A25" s="9">
        <v>22</v>
      </c>
      <c r="B25" s="36">
        <f t="shared" si="6"/>
        <v>344112.57526553812</v>
      </c>
      <c r="C25" s="36">
        <f t="shared" si="7"/>
        <v>15633.906732780439</v>
      </c>
      <c r="D25" s="36">
        <f t="shared" si="8"/>
        <v>10952.142267546249</v>
      </c>
      <c r="E25" s="36">
        <f t="shared" si="9"/>
        <v>4681.7644652341896</v>
      </c>
    </row>
    <row r="26" spans="1:5" x14ac:dyDescent="0.25">
      <c r="A26" s="9">
        <v>23</v>
      </c>
      <c r="B26" s="36">
        <f t="shared" si="6"/>
        <v>339283.80339609558</v>
      </c>
      <c r="C26" s="36">
        <f t="shared" si="7"/>
        <v>15633.906732780439</v>
      </c>
      <c r="D26" s="36">
        <f t="shared" si="8"/>
        <v>10805.134863337897</v>
      </c>
      <c r="E26" s="36">
        <f t="shared" si="9"/>
        <v>4828.7718694425421</v>
      </c>
    </row>
    <row r="27" spans="1:5" x14ac:dyDescent="0.25">
      <c r="A27" s="9">
        <v>24</v>
      </c>
      <c r="B27" s="36">
        <f t="shared" si="6"/>
        <v>334303.40808995254</v>
      </c>
      <c r="C27" s="36">
        <f t="shared" si="7"/>
        <v>15633.906732780439</v>
      </c>
      <c r="D27" s="36">
        <f t="shared" si="8"/>
        <v>10653.5114266374</v>
      </c>
      <c r="E27" s="36">
        <f t="shared" si="9"/>
        <v>4980.3953061430384</v>
      </c>
    </row>
    <row r="28" spans="1:5" x14ac:dyDescent="0.25">
      <c r="A28" s="9">
        <v>25</v>
      </c>
      <c r="B28" s="36">
        <f t="shared" si="6"/>
        <v>329166.62837119662</v>
      </c>
      <c r="C28" s="36">
        <f t="shared" si="7"/>
        <v>15633.906732780439</v>
      </c>
      <c r="D28" s="36">
        <f t="shared" si="8"/>
        <v>10497.127014024509</v>
      </c>
      <c r="E28" s="36">
        <f t="shared" si="9"/>
        <v>5136.7797187559299</v>
      </c>
    </row>
    <row r="29" spans="1:5" x14ac:dyDescent="0.25">
      <c r="A29" s="9">
        <v>26</v>
      </c>
      <c r="B29" s="36">
        <f t="shared" si="6"/>
        <v>323868.55376927176</v>
      </c>
      <c r="C29" s="36">
        <f t="shared" si="7"/>
        <v>15633.906732780439</v>
      </c>
      <c r="D29" s="36">
        <f t="shared" si="8"/>
        <v>10335.832130855573</v>
      </c>
      <c r="E29" s="36">
        <f t="shared" si="9"/>
        <v>5298.0746019248654</v>
      </c>
    </row>
    <row r="30" spans="1:5" x14ac:dyDescent="0.25">
      <c r="A30" s="9">
        <v>27</v>
      </c>
      <c r="B30" s="36">
        <f t="shared" si="6"/>
        <v>318404.11962484644</v>
      </c>
      <c r="C30" s="36">
        <f t="shared" si="7"/>
        <v>15633.906732780439</v>
      </c>
      <c r="D30" s="36">
        <f t="shared" si="8"/>
        <v>10169.472588355133</v>
      </c>
      <c r="E30" s="36">
        <f t="shared" si="9"/>
        <v>5464.4341444253059</v>
      </c>
    </row>
    <row r="31" spans="1:5" x14ac:dyDescent="0.25">
      <c r="A31" s="9">
        <v>28</v>
      </c>
      <c r="B31" s="36">
        <f t="shared" si="6"/>
        <v>312768.10224828619</v>
      </c>
      <c r="C31" s="36">
        <f t="shared" si="7"/>
        <v>15633.906732780439</v>
      </c>
      <c r="D31" s="36">
        <f t="shared" si="8"/>
        <v>9997.8893562201774</v>
      </c>
      <c r="E31" s="36">
        <f t="shared" si="9"/>
        <v>5636.0173765602613</v>
      </c>
    </row>
    <row r="32" spans="1:5" x14ac:dyDescent="0.25">
      <c r="A32" s="9">
        <v>29</v>
      </c>
      <c r="B32" s="36">
        <f t="shared" si="6"/>
        <v>306955.11392610194</v>
      </c>
      <c r="C32" s="36">
        <f t="shared" si="7"/>
        <v>15633.906732780439</v>
      </c>
      <c r="D32" s="36">
        <f t="shared" si="8"/>
        <v>9820.9184105961849</v>
      </c>
      <c r="E32" s="36">
        <f t="shared" si="9"/>
        <v>5812.9883221842538</v>
      </c>
    </row>
    <row r="33" spans="1:5" x14ac:dyDescent="0.25">
      <c r="A33" s="9">
        <v>30</v>
      </c>
      <c r="B33" s="36">
        <f t="shared" si="6"/>
        <v>300959.5977706011</v>
      </c>
      <c r="C33" s="36">
        <f t="shared" si="7"/>
        <v>15633.906732780439</v>
      </c>
      <c r="D33" s="36">
        <f t="shared" si="8"/>
        <v>9638.3905772796006</v>
      </c>
      <c r="E33" s="36">
        <f t="shared" si="9"/>
        <v>5995.5161555008381</v>
      </c>
    </row>
    <row r="34" spans="1:5" x14ac:dyDescent="0.25">
      <c r="A34" s="9">
        <v>31</v>
      </c>
      <c r="B34" s="36">
        <f t="shared" si="6"/>
        <v>294775.82240781753</v>
      </c>
      <c r="C34" s="36">
        <f t="shared" si="7"/>
        <v>15633.906732780439</v>
      </c>
      <c r="D34" s="36">
        <f t="shared" si="8"/>
        <v>9450.1313699968741</v>
      </c>
      <c r="E34" s="36">
        <f t="shared" si="9"/>
        <v>6183.7753627835646</v>
      </c>
    </row>
    <row r="35" spans="1:5" x14ac:dyDescent="0.25">
      <c r="A35" s="9">
        <v>32</v>
      </c>
      <c r="B35" s="36">
        <f t="shared" si="6"/>
        <v>288397.87649864255</v>
      </c>
      <c r="C35" s="36">
        <f t="shared" si="7"/>
        <v>15633.906732780439</v>
      </c>
      <c r="D35" s="36">
        <f t="shared" si="8"/>
        <v>9255.9608236054701</v>
      </c>
      <c r="E35" s="36">
        <f t="shared" si="9"/>
        <v>6377.9459091749686</v>
      </c>
    </row>
    <row r="36" spans="1:5" x14ac:dyDescent="0.25">
      <c r="A36" s="9">
        <v>33</v>
      </c>
      <c r="B36" s="36">
        <f t="shared" si="6"/>
        <v>281819.66308791947</v>
      </c>
      <c r="C36" s="36">
        <f t="shared" si="7"/>
        <v>15633.906732780439</v>
      </c>
      <c r="D36" s="36">
        <f t="shared" si="8"/>
        <v>9055.6933220573756</v>
      </c>
      <c r="E36" s="36">
        <f t="shared" si="9"/>
        <v>6578.2134107230631</v>
      </c>
    </row>
    <row r="37" spans="1:5" x14ac:dyDescent="0.25">
      <c r="A37" s="9">
        <v>34</v>
      </c>
      <c r="B37" s="36">
        <f t="shared" si="6"/>
        <v>275034.89377609972</v>
      </c>
      <c r="C37" s="36">
        <f t="shared" si="7"/>
        <v>15633.906732780439</v>
      </c>
      <c r="D37" s="36">
        <f t="shared" si="8"/>
        <v>8849.1374209606711</v>
      </c>
      <c r="E37" s="36">
        <f t="shared" si="9"/>
        <v>6784.7693118197676</v>
      </c>
    </row>
    <row r="38" spans="1:5" x14ac:dyDescent="0.25">
      <c r="A38" s="9">
        <v>35</v>
      </c>
      <c r="B38" s="36">
        <f t="shared" si="6"/>
        <v>268037.0827078888</v>
      </c>
      <c r="C38" s="36">
        <f t="shared" si="7"/>
        <v>15633.906732780439</v>
      </c>
      <c r="D38" s="36">
        <f t="shared" si="8"/>
        <v>8636.0956645695296</v>
      </c>
      <c r="E38" s="36">
        <f t="shared" si="9"/>
        <v>6997.8110682109091</v>
      </c>
    </row>
    <row r="39" spans="1:5" x14ac:dyDescent="0.25">
      <c r="A39" s="9">
        <v>36</v>
      </c>
      <c r="B39" s="36">
        <f t="shared" si="6"/>
        <v>260819.54037213608</v>
      </c>
      <c r="C39" s="36">
        <f t="shared" si="7"/>
        <v>15633.906732780439</v>
      </c>
      <c r="D39" s="36">
        <f t="shared" si="8"/>
        <v>8416.364397027708</v>
      </c>
      <c r="E39" s="36">
        <f t="shared" si="9"/>
        <v>7217.5423357527307</v>
      </c>
    </row>
    <row r="40" spans="1:5" x14ac:dyDescent="0.25">
      <c r="A40" s="9">
        <v>37</v>
      </c>
      <c r="B40" s="36">
        <f t="shared" si="6"/>
        <v>253375.36720704072</v>
      </c>
      <c r="C40" s="36">
        <f t="shared" si="7"/>
        <v>15633.906732780439</v>
      </c>
      <c r="D40" s="36">
        <f t="shared" si="8"/>
        <v>8189.7335676850726</v>
      </c>
      <c r="E40" s="36">
        <f t="shared" si="9"/>
        <v>7444.1731650953661</v>
      </c>
    </row>
    <row r="41" spans="1:5" x14ac:dyDescent="0.25">
      <c r="A41" s="9">
        <v>38</v>
      </c>
      <c r="B41" s="36">
        <f t="shared" si="6"/>
        <v>245697.44700456137</v>
      </c>
      <c r="C41" s="36">
        <f t="shared" si="7"/>
        <v>15633.906732780439</v>
      </c>
      <c r="D41" s="36">
        <f t="shared" si="8"/>
        <v>7955.9865303010783</v>
      </c>
      <c r="E41" s="36">
        <f t="shared" si="9"/>
        <v>7677.9202024793603</v>
      </c>
    </row>
    <row r="42" spans="1:5" x14ac:dyDescent="0.25">
      <c r="A42" s="9">
        <v>39</v>
      </c>
      <c r="B42" s="36">
        <f t="shared" si="6"/>
        <v>237778.44010772416</v>
      </c>
      <c r="C42" s="36">
        <f t="shared" si="7"/>
        <v>15633.906732780439</v>
      </c>
      <c r="D42" s="36">
        <f t="shared" si="8"/>
        <v>7714.8998359432262</v>
      </c>
      <c r="E42" s="36">
        <f t="shared" si="9"/>
        <v>7919.0068968372125</v>
      </c>
    </row>
    <row r="43" spans="1:5" x14ac:dyDescent="0.25">
      <c r="A43" s="9">
        <v>40</v>
      </c>
      <c r="B43" s="36">
        <f t="shared" si="6"/>
        <v>229610.77639432627</v>
      </c>
      <c r="C43" s="36">
        <f t="shared" si="7"/>
        <v>15633.906732780439</v>
      </c>
      <c r="D43" s="36">
        <f t="shared" si="8"/>
        <v>7466.2430193825385</v>
      </c>
      <c r="E43" s="36">
        <f t="shared" si="9"/>
        <v>8167.6637133979002</v>
      </c>
    </row>
    <row r="44" spans="1:5" x14ac:dyDescent="0.25">
      <c r="A44" s="9">
        <v>41</v>
      </c>
      <c r="B44" s="36">
        <f t="shared" si="6"/>
        <v>221186.64804032768</v>
      </c>
      <c r="C44" s="36">
        <f t="shared" si="7"/>
        <v>15633.906732780439</v>
      </c>
      <c r="D44" s="36">
        <f t="shared" si="8"/>
        <v>7209.7783787818444</v>
      </c>
      <c r="E44" s="36">
        <f t="shared" si="9"/>
        <v>8424.1283539985943</v>
      </c>
    </row>
    <row r="45" spans="1:5" x14ac:dyDescent="0.25">
      <c r="A45" s="9">
        <v>42</v>
      </c>
      <c r="B45" s="36">
        <f t="shared" si="6"/>
        <v>212498.00205601353</v>
      </c>
      <c r="C45" s="36">
        <f t="shared" si="7"/>
        <v>15633.906732780439</v>
      </c>
      <c r="D45" s="36">
        <f t="shared" si="8"/>
        <v>6945.2607484662885</v>
      </c>
      <c r="E45" s="36">
        <f t="shared" si="9"/>
        <v>8688.6459843141492</v>
      </c>
    </row>
    <row r="46" spans="1:5" x14ac:dyDescent="0.25">
      <c r="A46" s="9">
        <v>43</v>
      </c>
      <c r="B46" s="36">
        <f t="shared" si="6"/>
        <v>203536.53258779191</v>
      </c>
      <c r="C46" s="36">
        <f t="shared" si="7"/>
        <v>15633.906732780439</v>
      </c>
      <c r="D46" s="36">
        <f t="shared" si="8"/>
        <v>6672.4372645588246</v>
      </c>
      <c r="E46" s="36">
        <f t="shared" si="9"/>
        <v>8961.4694682216141</v>
      </c>
    </row>
    <row r="47" spans="1:5" x14ac:dyDescent="0.25">
      <c r="A47" s="9">
        <v>44</v>
      </c>
      <c r="B47" s="36">
        <f t="shared" si="6"/>
        <v>194293.67297826812</v>
      </c>
      <c r="C47" s="36">
        <f t="shared" si="7"/>
        <v>15633.906732780439</v>
      </c>
      <c r="D47" s="36">
        <f t="shared" si="8"/>
        <v>6391.0471232566651</v>
      </c>
      <c r="E47" s="36">
        <f t="shared" si="9"/>
        <v>9242.8596095237735</v>
      </c>
    </row>
    <row r="48" spans="1:5" x14ac:dyDescent="0.25">
      <c r="A48" s="9">
        <v>45</v>
      </c>
      <c r="B48" s="36">
        <f t="shared" si="6"/>
        <v>184760.5875770053</v>
      </c>
      <c r="C48" s="36">
        <f t="shared" si="7"/>
        <v>15633.906732780439</v>
      </c>
      <c r="D48" s="36">
        <f t="shared" si="8"/>
        <v>6100.8213315176181</v>
      </c>
      <c r="E48" s="36">
        <f t="shared" si="9"/>
        <v>9533.0854012628206</v>
      </c>
    </row>
    <row r="49" spans="1:5" x14ac:dyDescent="0.25">
      <c r="A49" s="9">
        <v>46</v>
      </c>
      <c r="B49" s="36">
        <f t="shared" si="6"/>
        <v>174928.16329414281</v>
      </c>
      <c r="C49" s="36">
        <f t="shared" si="7"/>
        <v>15633.906732780439</v>
      </c>
      <c r="D49" s="36">
        <f t="shared" si="8"/>
        <v>5801.4824499179658</v>
      </c>
      <c r="E49" s="36">
        <f t="shared" si="9"/>
        <v>9832.4242828624738</v>
      </c>
    </row>
    <row r="50" spans="1:5" x14ac:dyDescent="0.25">
      <c r="A50" s="9">
        <v>47</v>
      </c>
      <c r="B50" s="36">
        <f t="shared" si="6"/>
        <v>164787.00088879844</v>
      </c>
      <c r="C50" s="36">
        <f t="shared" si="7"/>
        <v>15633.906732780439</v>
      </c>
      <c r="D50" s="36">
        <f t="shared" si="8"/>
        <v>5492.7443274360839</v>
      </c>
      <c r="E50" s="36">
        <f t="shared" si="9"/>
        <v>10141.162405344356</v>
      </c>
    </row>
    <row r="51" spans="1:5" x14ac:dyDescent="0.25">
      <c r="A51" s="9">
        <v>48</v>
      </c>
      <c r="B51" s="36">
        <f t="shared" si="6"/>
        <v>154327.40598392626</v>
      </c>
      <c r="C51" s="36">
        <f t="shared" si="7"/>
        <v>15633.906732780439</v>
      </c>
      <c r="D51" s="36">
        <f t="shared" si="8"/>
        <v>5174.311827908271</v>
      </c>
      <c r="E51" s="36">
        <f t="shared" si="9"/>
        <v>10459.594904872167</v>
      </c>
    </row>
    <row r="52" spans="1:5" x14ac:dyDescent="0.25">
      <c r="A52" s="9">
        <v>49</v>
      </c>
      <c r="B52" s="36">
        <f t="shared" si="6"/>
        <v>143539.37979904111</v>
      </c>
      <c r="C52" s="36">
        <f t="shared" si="7"/>
        <v>15633.906732780439</v>
      </c>
      <c r="D52" s="36">
        <f t="shared" si="8"/>
        <v>4845.8805478952845</v>
      </c>
      <c r="E52" s="36">
        <f t="shared" si="9"/>
        <v>10788.026184885155</v>
      </c>
    </row>
    <row r="53" spans="1:5" x14ac:dyDescent="0.25">
      <c r="A53" s="9">
        <v>50</v>
      </c>
      <c r="B53" s="36">
        <f t="shared" si="6"/>
        <v>132412.60959195058</v>
      </c>
      <c r="C53" s="36">
        <f t="shared" si="7"/>
        <v>15633.906732780439</v>
      </c>
      <c r="D53" s="36">
        <f t="shared" si="8"/>
        <v>4507.1365256898907</v>
      </c>
      <c r="E53" s="36">
        <f t="shared" si="9"/>
        <v>11126.770207090547</v>
      </c>
    </row>
    <row r="54" spans="1:5" x14ac:dyDescent="0.25">
      <c r="A54" s="9">
        <v>51</v>
      </c>
      <c r="B54" s="36">
        <f t="shared" si="6"/>
        <v>120936.45880035739</v>
      </c>
      <c r="C54" s="36">
        <f t="shared" si="7"/>
        <v>15633.906732780439</v>
      </c>
      <c r="D54" s="36">
        <f t="shared" si="8"/>
        <v>4157.755941187248</v>
      </c>
      <c r="E54" s="36">
        <f t="shared" si="9"/>
        <v>11476.150791593191</v>
      </c>
    </row>
    <row r="55" spans="1:5" x14ac:dyDescent="0.25">
      <c r="A55" s="9">
        <v>52</v>
      </c>
      <c r="B55" s="36">
        <f t="shared" si="6"/>
        <v>109099.95687390817</v>
      </c>
      <c r="C55" s="36">
        <f t="shared" si="7"/>
        <v>15633.906732780439</v>
      </c>
      <c r="D55" s="36">
        <f t="shared" si="8"/>
        <v>3797.4048063312216</v>
      </c>
      <c r="E55" s="36">
        <f t="shared" si="9"/>
        <v>11836.501926449217</v>
      </c>
    </row>
    <row r="56" spans="1:5" x14ac:dyDescent="0.25">
      <c r="A56" s="9">
        <v>53</v>
      </c>
      <c r="B56" s="36">
        <f t="shared" si="6"/>
        <v>96891.788786968449</v>
      </c>
      <c r="C56" s="36">
        <f t="shared" si="7"/>
        <v>15633.906732780439</v>
      </c>
      <c r="D56" s="36">
        <f t="shared" si="8"/>
        <v>3425.7386458407163</v>
      </c>
      <c r="E56" s="36">
        <f t="shared" si="9"/>
        <v>12208.168086939722</v>
      </c>
    </row>
    <row r="57" spans="1:5" x14ac:dyDescent="0.25">
      <c r="A57" s="9">
        <v>54</v>
      </c>
      <c r="B57" s="36">
        <f t="shared" si="6"/>
        <v>84300.284222098824</v>
      </c>
      <c r="C57" s="36">
        <f t="shared" si="7"/>
        <v>15633.906732780439</v>
      </c>
      <c r="D57" s="36">
        <f t="shared" si="8"/>
        <v>3042.4021679108091</v>
      </c>
      <c r="E57" s="36">
        <f t="shared" si="9"/>
        <v>12591.504564869629</v>
      </c>
    </row>
    <row r="58" spans="1:5" x14ac:dyDescent="0.25">
      <c r="A58" s="9">
        <v>55</v>
      </c>
      <c r="B58" s="36">
        <f t="shared" si="6"/>
        <v>71313.406413892284</v>
      </c>
      <c r="C58" s="36">
        <f t="shared" si="7"/>
        <v>15633.906732780439</v>
      </c>
      <c r="D58" s="36">
        <f t="shared" si="8"/>
        <v>2647.0289245739027</v>
      </c>
      <c r="E58" s="36">
        <f t="shared" si="9"/>
        <v>12986.877808206536</v>
      </c>
    </row>
    <row r="59" spans="1:5" x14ac:dyDescent="0.25">
      <c r="A59" s="9">
        <v>56</v>
      </c>
      <c r="B59" s="36">
        <f t="shared" si="6"/>
        <v>57918.740642508063</v>
      </c>
      <c r="C59" s="36">
        <f t="shared" si="7"/>
        <v>15633.906732780439</v>
      </c>
      <c r="D59" s="36">
        <f t="shared" si="8"/>
        <v>2239.2409613962177</v>
      </c>
      <c r="E59" s="36">
        <f t="shared" si="9"/>
        <v>13394.665771384221</v>
      </c>
    </row>
    <row r="60" spans="1:5" x14ac:dyDescent="0.25">
      <c r="A60" s="9">
        <v>57</v>
      </c>
      <c r="B60" s="36">
        <f t="shared" si="6"/>
        <v>44103.482365902375</v>
      </c>
      <c r="C60" s="36">
        <f t="shared" si="7"/>
        <v>15633.906732780439</v>
      </c>
      <c r="D60" s="36">
        <f t="shared" si="8"/>
        <v>1818.6484561747529</v>
      </c>
      <c r="E60" s="36">
        <f t="shared" si="9"/>
        <v>13815.258276605686</v>
      </c>
    </row>
    <row r="61" spans="1:5" x14ac:dyDescent="0.25">
      <c r="A61" s="9">
        <v>58</v>
      </c>
      <c r="B61" s="36">
        <f t="shared" si="6"/>
        <v>29854.424979411269</v>
      </c>
      <c r="C61" s="36">
        <f t="shared" si="7"/>
        <v>15633.906732780439</v>
      </c>
      <c r="D61" s="36">
        <f t="shared" si="8"/>
        <v>1384.8493462893346</v>
      </c>
      <c r="E61" s="36">
        <f t="shared" si="9"/>
        <v>14249.057386491104</v>
      </c>
    </row>
    <row r="62" spans="1:5" x14ac:dyDescent="0.25">
      <c r="A62" s="9">
        <v>59</v>
      </c>
      <c r="B62" s="36">
        <f t="shared" si="6"/>
        <v>15157.947190984345</v>
      </c>
      <c r="C62" s="36">
        <f t="shared" si="7"/>
        <v>15633.906732780439</v>
      </c>
      <c r="D62" s="36">
        <f t="shared" si="8"/>
        <v>937.42894435351377</v>
      </c>
      <c r="E62" s="36">
        <f t="shared" si="9"/>
        <v>14696.477788426924</v>
      </c>
    </row>
    <row r="63" spans="1:5" x14ac:dyDescent="0.25">
      <c r="A63" s="9">
        <v>60</v>
      </c>
      <c r="B63" s="36">
        <f t="shared" si="6"/>
        <v>8.149072527885437E-10</v>
      </c>
      <c r="C63" s="36">
        <f t="shared" si="7"/>
        <v>15633.906732780439</v>
      </c>
      <c r="D63" s="36">
        <f t="shared" si="8"/>
        <v>475.95954179690841</v>
      </c>
      <c r="E63" s="36">
        <f t="shared" si="9"/>
        <v>15157.94719098353</v>
      </c>
    </row>
    <row r="64" spans="1:5" x14ac:dyDescent="0.25">
      <c r="C64" s="22">
        <f>+SUM(C4:C63)</f>
        <v>938034.40396682546</v>
      </c>
      <c r="D64" s="22">
        <f t="shared" ref="D64:E64" si="12">+SUM(D4:D63)</f>
        <v>518034.40396682714</v>
      </c>
      <c r="E64" s="22">
        <f t="shared" si="12"/>
        <v>419999.99999999924</v>
      </c>
    </row>
    <row r="66" spans="1:5" x14ac:dyDescent="0.25">
      <c r="A66" s="13">
        <f>+EFFECT(A1*12,12)</f>
        <v>0.44919065497678545</v>
      </c>
    </row>
    <row r="67" spans="1:5" x14ac:dyDescent="0.25">
      <c r="A67" s="9"/>
      <c r="B67" s="37" t="s">
        <v>80</v>
      </c>
      <c r="C67" s="37" t="s">
        <v>86</v>
      </c>
      <c r="D67" s="37" t="s">
        <v>81</v>
      </c>
      <c r="E67" s="37" t="s">
        <v>82</v>
      </c>
    </row>
    <row r="68" spans="1:5" x14ac:dyDescent="0.25">
      <c r="A68" s="39">
        <v>0</v>
      </c>
      <c r="B68" s="40">
        <f>+B3</f>
        <v>420000</v>
      </c>
      <c r="C68" s="41"/>
      <c r="D68" s="41"/>
      <c r="E68" s="42"/>
    </row>
    <row r="69" spans="1:5" x14ac:dyDescent="0.25">
      <c r="A69" s="43">
        <v>1</v>
      </c>
      <c r="B69" s="44">
        <f>+B68-E69</f>
        <v>385010.24053153594</v>
      </c>
      <c r="C69" s="44">
        <f>+C4*12</f>
        <v>187606.88079336527</v>
      </c>
      <c r="D69" s="44">
        <f>+SUM(D4:D15)</f>
        <v>152617.12132490121</v>
      </c>
      <c r="E69" s="45">
        <f>+C69-D69</f>
        <v>34989.759468464064</v>
      </c>
    </row>
    <row r="70" spans="1:5" x14ac:dyDescent="0.25">
      <c r="A70" s="43">
        <v>2</v>
      </c>
      <c r="B70" s="44">
        <f t="shared" ref="B70:B73" si="13">+B69-E70</f>
        <v>334303.40808995243</v>
      </c>
      <c r="C70" s="44">
        <f>+$C$69</f>
        <v>187606.88079336527</v>
      </c>
      <c r="D70" s="44">
        <f>+SUM(D16:D27)</f>
        <v>136900.04835178179</v>
      </c>
      <c r="E70" s="45">
        <f t="shared" ref="E70:E73" si="14">+C70-D70</f>
        <v>50706.83244158348</v>
      </c>
    </row>
    <row r="71" spans="1:5" x14ac:dyDescent="0.25">
      <c r="A71" s="43">
        <v>3</v>
      </c>
      <c r="B71" s="44">
        <f t="shared" si="13"/>
        <v>260819.54037213596</v>
      </c>
      <c r="C71" s="44">
        <f t="shared" ref="C71:C73" si="15">+$C$69</f>
        <v>187606.88079336527</v>
      </c>
      <c r="D71" s="44">
        <f>+SUM(D28:D39)</f>
        <v>114123.01307554881</v>
      </c>
      <c r="E71" s="45">
        <f t="shared" si="14"/>
        <v>73483.867717816465</v>
      </c>
    </row>
    <row r="72" spans="1:5" x14ac:dyDescent="0.25">
      <c r="A72" s="43">
        <v>4</v>
      </c>
      <c r="B72" s="44">
        <f t="shared" si="13"/>
        <v>154327.40598392615</v>
      </c>
      <c r="C72" s="44">
        <f t="shared" si="15"/>
        <v>187606.88079336527</v>
      </c>
      <c r="D72" s="44">
        <f>+SUM(D40:D51)</f>
        <v>81114.746405155471</v>
      </c>
      <c r="E72" s="45">
        <f t="shared" si="14"/>
        <v>106492.1343882098</v>
      </c>
    </row>
    <row r="73" spans="1:5" x14ac:dyDescent="0.25">
      <c r="A73" s="46">
        <v>5</v>
      </c>
      <c r="B73" s="47">
        <f t="shared" si="13"/>
        <v>6.6938810050487518E-10</v>
      </c>
      <c r="C73" s="47">
        <f t="shared" si="15"/>
        <v>187606.88079336527</v>
      </c>
      <c r="D73" s="47">
        <f>+SUM(D52:D63)</f>
        <v>33279.474809439802</v>
      </c>
      <c r="E73" s="48">
        <f t="shared" si="14"/>
        <v>154327.40598392548</v>
      </c>
    </row>
    <row r="74" spans="1:5" x14ac:dyDescent="0.25">
      <c r="C74" s="38">
        <f>+SUM(C69:C73)</f>
        <v>938034.40396682639</v>
      </c>
      <c r="D74" s="38">
        <f t="shared" ref="D74:E74" si="16">+SUM(D69:D73)</f>
        <v>518034.40396682709</v>
      </c>
      <c r="E74" s="38">
        <f t="shared" si="16"/>
        <v>419999.9999999993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Costeo</vt:lpstr>
      <vt:lpstr>Flujo de Caja</vt:lpstr>
      <vt:lpstr>Amortizacion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2023-05-28T21:14:10Z</dcterms:created>
  <dcterms:modified xsi:type="dcterms:W3CDTF">2023-05-31T03:18:33Z</dcterms:modified>
</cp:coreProperties>
</file>