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workbook.xml" ContentType="application/vnd.openxmlformats-officedocument.spreadsheetml.sheet.main+xml"/>
  <Override PartName="/xl/worksheets/sheet1.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worksheets/sheet2.xml" ContentType="application/vnd.openxmlformats-officedocument.spreadsheetml.worksheet+xml"/>
  <Override PartName="/xl/worksheets/sheet3.xml" ContentType="application/vnd.openxmlformats-officedocument.spreadsheetml.worksheet+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officeDocument/2006/relationships/extended-properties" Target="docProps/app.xml"/><Relationship Id="rId3" Type="http://schemas.openxmlformats.org/package/2006/relationships/metadata/core-properties" Target="docProps/core.xml"/><Relationship Id="rId4" Type="http://schemas.openxmlformats.org/officeDocument/2006/relationships/custom-properties" Target="docProps/custom.xml"/></Relationships>
</file>

<file path=xl/workbook.xml><?xml version="1.0" encoding="utf-8"?>
<workbook xmlns:r="http://schemas.openxmlformats.org/officeDocument/2006/relationships" xmlns="http://schemas.openxmlformats.org/spreadsheetml/2006/main">
  <fileVersion appName="xl" lastEdited="7" lowestEdited="7" rupBuild="26227"/>
  <workbookPr defaultThemeVersion="166925"/>
  <workbookProtection lockStructure="1" workbookAlgorithmName="SHA-512" workbookHashValue="3FgHrF5XRSzH7tsth9kQHD851RUkoYb/0gnhWGTa0rG5F+C6+halvIPJeBJaJgQh18+BIXKd91k8TswLT6ZeDg==" workbookSaltValue="Q/yykAtPFY/vWqtosFmexA==" workbookSpinCount="100000"/>
  <bookViews>
    <workbookView xWindow="-120" yWindow="-120" windowWidth="20730" windowHeight="11160" activeTab="1" tabRatio="852"/>
  </bookViews>
  <sheets>
    <sheet name="Break-Even Analysis" sheetId="1" r:id="rId1"/>
    <sheet name="Rubric" sheetId="2" r:id="rId2"/>
    <sheet name="Variables" sheetId="3" r:id="rId3" state="hidden"/>
  </sheets>
  <definedNames>
    <definedName name="_xlnm.Print_Area" localSheetId="0">'Break-Even Analysis'!$A$1:$M$55</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<sst xmlns="http://schemas.openxmlformats.org/spreadsheetml/2006/main" uniqueCount="136" count="136">
  <si>
    <t>Profit Margin</t>
  </si>
  <si>
    <t>Total Units sold</t>
  </si>
  <si>
    <t>% of Demand</t>
  </si>
  <si>
    <t>Price</t>
  </si>
  <si>
    <t>Variable Costs</t>
  </si>
  <si>
    <t>Price Adjusted Demand</t>
  </si>
  <si>
    <t>Monthly Demand</t>
  </si>
  <si>
    <t>Annual Revenue</t>
  </si>
  <si>
    <t>May</t>
  </si>
  <si>
    <t>January</t>
  </si>
  <si>
    <t>February</t>
  </si>
  <si>
    <t>March</t>
  </si>
  <si>
    <t>April</t>
  </si>
  <si>
    <t>June</t>
  </si>
  <si>
    <t>July</t>
  </si>
  <si>
    <t>August</t>
  </si>
  <si>
    <t>September</t>
  </si>
  <si>
    <t>October</t>
  </si>
  <si>
    <t>November</t>
  </si>
  <si>
    <t>December</t>
  </si>
  <si>
    <t>Break Even Point*</t>
  </si>
  <si>
    <r>
      <rPr>
        <b/>
        <u/>
        <sz val="12"/>
        <color rgb="FF000000"/>
        <rFont val="Calibri (Body)"/>
      </rPr>
      <t>Annual</t>
    </r>
    <r>
      <rPr>
        <b/>
        <sz val="12"/>
        <color rgb="FF000000"/>
        <rFont val="Calibri"/>
      </rPr>
      <t xml:space="preserve"> Fixed Costs</t>
    </r>
  </si>
  <si>
    <r>
      <t xml:space="preserve">Fixed Costs per </t>
    </r>
    <r>
      <rPr>
        <b/>
        <u/>
        <sz val="12"/>
        <color rgb="FF000000"/>
        <rFont val="Calibri (Body)"/>
      </rPr>
      <t>Month</t>
    </r>
  </si>
  <si>
    <t>*Using Excel, calculate the break even point to find out how many units you'll need to sell to cover your fixed costs. Make sure you put parentheses around price and variable cost.</t>
  </si>
  <si>
    <t>2.</t>
  </si>
  <si>
    <t>3.</t>
  </si>
  <si>
    <t>Shop Rental</t>
  </si>
  <si>
    <t>Utilities (power, water, trash)</t>
  </si>
  <si>
    <t>End of Year</t>
  </si>
  <si>
    <t>Beginning of Year</t>
  </si>
  <si>
    <t>Annual (Fixed and Variable) Costs</t>
  </si>
  <si>
    <t>Refreshing Drink's name:</t>
  </si>
  <si>
    <t>Neighborhood Market</t>
  </si>
  <si>
    <t>Annual Net Profit</t>
  </si>
  <si>
    <t>Student Name</t>
  </si>
  <si>
    <t>First three characteres</t>
  </si>
  <si>
    <t>ASCII Value</t>
  </si>
  <si>
    <t>Base Monthly Demand</t>
  </si>
  <si>
    <t>"Unique" Student Monthly Demand</t>
  </si>
  <si>
    <t>Percent Increase in the Base Monthly Demand</t>
  </si>
  <si>
    <t>Base Value</t>
  </si>
  <si>
    <t>Unique Value</t>
  </si>
  <si>
    <t>4.</t>
  </si>
  <si>
    <t>6.</t>
  </si>
  <si>
    <t>Min</t>
  </si>
  <si>
    <t>Max</t>
  </si>
  <si>
    <t>Student's Answer</t>
  </si>
  <si>
    <t>Answer's Feedback</t>
  </si>
  <si>
    <t>Acceptable Estimate Range</t>
  </si>
  <si>
    <t>Optimal Price</t>
  </si>
  <si>
    <t>Optimal % Demand</t>
  </si>
  <si>
    <t>Rubric</t>
  </si>
  <si>
    <t>CRITERIA</t>
  </si>
  <si>
    <t>RATING</t>
  </si>
  <si>
    <t>Part 1: Name</t>
  </si>
  <si>
    <t>Part 2: Annual Cost</t>
  </si>
  <si>
    <t>Fair: The student calculated the annual cost but didn't use cell references.</t>
  </si>
  <si>
    <t>Not yet: The student tried to calculate the annual cost but the calculation is wrong.</t>
  </si>
  <si>
    <t>Part 4: Price</t>
  </si>
  <si>
    <t>Part 4: % of Demand</t>
  </si>
  <si>
    <t xml:space="preserve">Part 6: </t>
  </si>
  <si>
    <t>Good: The break-even point is properly calculated using cell references.</t>
  </si>
  <si>
    <t>Fair: The break-even point is correct but doesn't use cell references.</t>
  </si>
  <si>
    <t>Not Yet: There is an equation for the break-even point but the calculation is wrong.</t>
  </si>
  <si>
    <t>Criteria</t>
  </si>
  <si>
    <t>Rating</t>
  </si>
  <si>
    <t>Name at the top</t>
  </si>
  <si>
    <t>Correct Value</t>
  </si>
  <si>
    <t>Use of Cell References</t>
  </si>
  <si>
    <t>Attempt was made</t>
  </si>
  <si>
    <t>Correspond with price</t>
  </si>
  <si>
    <t>Cell References</t>
  </si>
  <si>
    <t>Within the optimal range</t>
  </si>
  <si>
    <t xml:space="preserve">Student's Variables </t>
  </si>
  <si>
    <t xml:space="preserve">Grading Sheet Variables </t>
  </si>
  <si>
    <t>4 = Good | 3 = Fair | 2 = Not Yet | 1 = Zero</t>
  </si>
  <si>
    <t>Part 4: Price and % Demand</t>
  </si>
  <si>
    <t>Correspond to each other</t>
  </si>
  <si>
    <t>Fair: Exclusive OR</t>
  </si>
  <si>
    <t>Not Yet: Not within the range, not correspond, attempt was made</t>
  </si>
  <si>
    <t>Good: The price and % of demand values correspond to each other on the Percent Demand line and are within the optimal range to make a profit and reach the most people.</t>
  </si>
  <si>
    <r>
      <t xml:space="preserve">Not yet: Neither the price and % of demand correspond </t>
    </r>
    <r>
      <rPr>
        <b/>
        <sz val="16"/>
        <color rgb="FF000000"/>
        <rFont val="Calibri (Body)"/>
      </rPr>
      <t>nor</t>
    </r>
    <r>
      <rPr>
        <sz val="14"/>
        <color rgb="FF000000"/>
        <rFont val="Calibri"/>
      </rPr>
      <t xml:space="preserve"> is the price within the optimal range.</t>
    </r>
  </si>
  <si>
    <r>
      <t xml:space="preserve">Fair: Either the price and % of demand do not correspond on the graph </t>
    </r>
    <r>
      <rPr>
        <b/>
        <sz val="16"/>
        <color rgb="FF000000"/>
        <rFont val="Calibri (Body)"/>
      </rPr>
      <t>or</t>
    </r>
    <r>
      <rPr>
        <sz val="14"/>
        <color rgb="FF000000"/>
        <rFont val="Calibri"/>
      </rPr>
      <t xml:space="preserve"> the price is not within the optimal range.</t>
    </r>
  </si>
  <si>
    <t>Zero: No attempt was made.</t>
  </si>
  <si>
    <t>Zero: No attempt was made on the Price or % of Demand.</t>
  </si>
  <si>
    <t>Zero: No attempt on Price or Demand</t>
  </si>
  <si>
    <t>Good: The refreshing drink's name is entered in cell D4.</t>
  </si>
  <si>
    <t>Part 6: Break-Even Point</t>
  </si>
  <si>
    <t>With the 'Percent Increase in the Base' value, we create unique values for students. This also applies for 2.1</t>
  </si>
  <si>
    <t>We have base values. To make unique values to students, we use the "Percent Increase in the Base" value in this column. This value is generated by taking the first three letters of the student's name. From these letters, we get their ASCII values and concatenate them to generate the percent increase value that  will always be larger than 0 and smaller than 10.</t>
  </si>
  <si>
    <r>
      <t xml:space="preserve">Here we organize the student's answers and the correct values or the acceptable values range. The final verification if students answered correctly or not happens in the Grading Sheet Variables section (4)
</t>
    </r>
    <r>
      <rPr>
        <b/>
        <sz val="11"/>
        <color rgb="FF000000"/>
        <rFont val="Calibri"/>
      </rPr>
      <t xml:space="preserve">NOTE: The Answer's Feedback isn't shown to the students. This is just to make the maintenance easier. </t>
    </r>
  </si>
  <si>
    <t>Grading Sheet Conditional Formating</t>
  </si>
  <si>
    <t>This table verifies which rubric's requirements the student got correct and provide the grading score. (4 = Good | 3 = Fair | 2 = Not Yet | 1 = Zero)
Note: The formulas within cells C32:I32 are created based on each rubric description. They are all different.</t>
  </si>
  <si>
    <t>The conditional formating on the 'Grading | Help' tab is tied to the numbers on cells C52:H52 in this tab. Each number represents a different rating where 4 = Good | 3 = Fair | 2 = Not Yet | 1 = Zero.</t>
  </si>
  <si>
    <t>A</t>
  </si>
  <si>
    <t>B</t>
  </si>
  <si>
    <t>C</t>
  </si>
  <si>
    <t>D</t>
  </si>
  <si>
    <t>E</t>
  </si>
  <si>
    <t>F</t>
  </si>
  <si>
    <t>G</t>
  </si>
  <si>
    <t>H</t>
  </si>
  <si>
    <t>I</t>
  </si>
  <si>
    <t>J</t>
  </si>
  <si>
    <t>K</t>
  </si>
  <si>
    <t>L</t>
  </si>
  <si>
    <t>M</t>
  </si>
  <si>
    <t>N</t>
  </si>
  <si>
    <t>O</t>
  </si>
  <si>
    <t>P</t>
  </si>
  <si>
    <t>Q</t>
  </si>
  <si>
    <t>R</t>
  </si>
  <si>
    <t>S</t>
  </si>
  <si>
    <t>T</t>
  </si>
  <si>
    <t>U</t>
  </si>
  <si>
    <t>V</t>
  </si>
  <si>
    <t>W</t>
  </si>
  <si>
    <t>X</t>
  </si>
  <si>
    <t>Y</t>
  </si>
  <si>
    <t>Z</t>
  </si>
  <si>
    <t>Letters</t>
  </si>
  <si>
    <r>
      <rPr>
        <b/>
        <sz val="16"/>
        <color rgb="FF000000"/>
        <rFont val="Calibri"/>
      </rPr>
      <t>Instructions</t>
    </r>
    <r>
      <rPr>
        <sz val="16"/>
        <color rgb="FF000000"/>
        <rFont val="Calibri"/>
      </rPr>
      <t xml:space="preserve">
</t>
    </r>
    <r>
      <rPr>
        <sz val="14"/>
        <color rgb="FF000000"/>
        <rFont val="Calibri"/>
      </rPr>
      <t>Complete the steps below by filling in the yellow cells. If you need additional help, see W05 Prepare: Team Project. The results of this activity will show your team's projected yearly costs and revenue. Cell M54, outlined in red, will show your projected annual net profit.</t>
    </r>
  </si>
  <si>
    <r>
      <rPr>
        <b/>
        <sz val="14"/>
        <color rgb="FF000000"/>
        <rFont val="Calibri"/>
      </rPr>
      <t xml:space="preserve">1.  </t>
    </r>
    <r>
      <rPr>
        <sz val="14"/>
        <color rgb="FF000000"/>
        <rFont val="Calibri"/>
      </rPr>
      <t>Enter the Refreshing Drink's name in cell D4 then press "enter". Be sure everyone in your group types it in exactly the same way inorder to get the same numbers.</t>
    </r>
  </si>
  <si>
    <r>
      <rPr>
        <b/>
        <sz val="14"/>
        <color rgb="FF000000"/>
        <rFont val="Calibri"/>
      </rPr>
      <t xml:space="preserve">3.  </t>
    </r>
    <r>
      <rPr>
        <sz val="14"/>
        <color rgb="FF000000"/>
        <rFont val="Calibri"/>
      </rPr>
      <t xml:space="preserve">Look at the Price Demand Graph below. Choose a price per cup, then find the corresponding percent of demand. </t>
    </r>
  </si>
  <si>
    <r>
      <rPr>
        <b/>
        <sz val="14"/>
        <color rgb="FF000000"/>
        <rFont val="Calibri"/>
      </rPr>
      <t xml:space="preserve">2.  </t>
    </r>
    <r>
      <rPr>
        <sz val="14"/>
        <color rgb="FF000000"/>
        <rFont val="Calibri"/>
      </rPr>
      <t xml:space="preserve">Use an Excel formula to calculate the </t>
    </r>
    <r>
      <rPr>
        <b/>
        <u/>
        <sz val="14"/>
        <color rgb="FF000000"/>
        <rFont val="Calibri"/>
      </rPr>
      <t>annual</t>
    </r>
    <r>
      <rPr>
        <b/>
        <sz val="14"/>
        <color rgb="FF000000"/>
        <rFont val="Calibri"/>
      </rPr>
      <t xml:space="preserve"> fixed costs</t>
    </r>
    <r>
      <rPr>
        <sz val="14"/>
        <color rgb="FF000000"/>
        <rFont val="Calibri"/>
      </rPr>
      <t xml:space="preserve"> using the green table below. Notice that the numbers in the green table are monthly and you need to calculate annual (yearly) fixed costs. Use cell references.</t>
    </r>
  </si>
  <si>
    <r>
      <rPr>
        <b/>
        <sz val="14"/>
        <color rgb="FF000000"/>
        <rFont val="Calibri"/>
      </rPr>
      <t xml:space="preserve">4.  </t>
    </r>
    <r>
      <rPr>
        <sz val="14"/>
        <color rgb="FF000000"/>
        <rFont val="Calibri"/>
      </rPr>
      <t xml:space="preserve">Enter your choice of price per cup into cell E24 and the corresponding </t>
    </r>
    <r>
      <rPr>
        <b/>
        <sz val="14"/>
        <color rgb="FF000000"/>
        <rFont val="Calibri"/>
      </rPr>
      <t>percent of demand</t>
    </r>
    <r>
      <rPr>
        <sz val="14"/>
        <color rgb="FF000000"/>
        <rFont val="Calibri"/>
      </rPr>
      <t xml:space="preserve"> into cell E25.</t>
    </r>
  </si>
  <si>
    <r>
      <rPr>
        <b/>
        <sz val="14"/>
        <color rgb="FF000000"/>
        <rFont val="Calibri"/>
      </rPr>
      <t xml:space="preserve">5.  </t>
    </r>
    <r>
      <rPr>
        <sz val="14"/>
        <color rgb="FF000000"/>
        <rFont val="Calibri"/>
      </rPr>
      <t xml:space="preserve">Try </t>
    </r>
    <r>
      <rPr>
        <b/>
        <sz val="14"/>
        <color rgb="FF000000"/>
        <rFont val="Calibri"/>
      </rPr>
      <t>different combinations</t>
    </r>
    <r>
      <rPr>
        <sz val="14"/>
        <color rgb="FF000000"/>
        <rFont val="Calibri"/>
      </rPr>
      <t xml:space="preserve"> of price and demand (referencing the graph) until you find a combination that allows you to sell to as many neighbors as possible (high demand) while also making as much money as possible (high price). You are not expected to find the precise numbers, but try and get as close as you can by exprerimenting with these values.</t>
    </r>
  </si>
  <si>
    <r>
      <rPr>
        <b/>
        <sz val="14"/>
        <color rgb="FF000000"/>
        <rFont val="Calibri"/>
      </rPr>
      <t xml:space="preserve">7.  </t>
    </r>
    <r>
      <rPr>
        <sz val="14"/>
        <color rgb="FF000000"/>
        <rFont val="Calibri"/>
      </rPr>
      <t>Save and</t>
    </r>
    <r>
      <rPr>
        <b/>
        <sz val="14"/>
        <color rgb="FF000000"/>
        <rFont val="Calibri"/>
      </rPr>
      <t xml:space="preserve"> submit</t>
    </r>
    <r>
      <rPr>
        <sz val="14"/>
        <color rgb="FF000000"/>
        <rFont val="Calibri"/>
      </rPr>
      <t xml:space="preserve"> your file at Application Activity: Break-Even Analysis.</t>
    </r>
  </si>
  <si>
    <r>
      <rPr>
        <b/>
        <sz val="14"/>
        <color rgb="FF000000"/>
        <rFont val="Calibri"/>
      </rPr>
      <t xml:space="preserve">6.  </t>
    </r>
    <r>
      <rPr>
        <sz val="14"/>
        <color rgb="FF000000"/>
        <rFont val="Calibri"/>
      </rPr>
      <t xml:space="preserve">Calculate the </t>
    </r>
    <r>
      <rPr>
        <b/>
        <sz val="14"/>
        <color rgb="FF000000"/>
        <rFont val="Calibri"/>
      </rPr>
      <t>break-even point</t>
    </r>
    <r>
      <rPr>
        <sz val="14"/>
        <color rgb="FF000000"/>
        <rFont val="Calibri"/>
      </rPr>
      <t xml:space="preserve"> using the instructions provided. Use cell references in your equation and remember the order of operations. Hint: you may need to use parentheses.</t>
    </r>
  </si>
  <si>
    <t>Beginning of year</t>
  </si>
  <si>
    <t>End of year</t>
  </si>
  <si>
    <t xml:space="preserve">Annual Costs (Fixed and Variable) </t>
  </si>
  <si>
    <t>This tab automatically generates your partial score. Your instructor will grade the lines in gray.</t>
  </si>
  <si>
    <t>Good: The student properly calculated the annual costs using cell references.</t>
  </si>
  <si>
    <t xml:space="preserve">Application Activity: Break-Even Analysis   </t>
  </si>
  <si>
    <t>MEANA</t>
  </si>
</sst>
</file>

<file path=xl/styles.xml><?xml version="1.0" encoding="utf-8"?>
<styleSheet xmlns="http://schemas.openxmlformats.org/spreadsheetml/2006/main">
  <numFmts count="9">
    <numFmt numFmtId="0" formatCode="General"/>
    <numFmt numFmtId="166" formatCode="&quot;$&quot;#,##0.00"/>
    <numFmt numFmtId="9" formatCode="0%"/>
    <numFmt numFmtId="49" formatCode="@"/>
    <numFmt numFmtId="1" formatCode="0"/>
    <numFmt numFmtId="3" formatCode="#,##0"/>
    <numFmt numFmtId="165" formatCode="&quot;$&quot;#,##0"/>
    <numFmt numFmtId="2" formatCode="0.00"/>
    <numFmt numFmtId="164" formatCode="_(&quot;$&quot;* #,##0.00_);_(&quot;$&quot;* \(#,##0.00\);_(&quot;$&quot;* &quot;-&quot;??_);_(@_)"/>
  </numFmts>
  <fonts count="30">
    <font>
      <name val="Calibri"/>
      <sz val="11"/>
    </font>
    <font>
      <name val="Calibri"/>
      <sz val="11"/>
      <color rgb="FF000000"/>
    </font>
    <font>
      <name val="Calibri"/>
      <sz val="20"/>
      <color rgb="FF000000"/>
    </font>
    <font>
      <name val="Calibri"/>
      <sz val="18"/>
      <color rgb="FF000000"/>
    </font>
    <font>
      <name val="Calibri"/>
      <b/>
      <sz val="12"/>
      <color rgb="FF000000"/>
    </font>
    <font>
      <name val="Calibri"/>
      <sz val="12"/>
      <color rgb="FFFFFFFF"/>
    </font>
    <font>
      <name val="Calibri"/>
      <sz val="14"/>
      <color rgb="FF000000"/>
    </font>
    <font>
      <name val="Calibri"/>
      <sz val="16"/>
      <color rgb="FF000000"/>
    </font>
    <font>
      <name val="Calibri"/>
      <sz val="12"/>
      <color rgb="FF000000"/>
    </font>
    <font>
      <name val="Calibri"/>
      <sz val="12"/>
      <color rgb="FF000000"/>
    </font>
    <font>
      <name val="Calibri"/>
      <b/>
      <sz val="12"/>
      <color rgb="FF000000"/>
    </font>
    <font>
      <name val="Calibri"/>
      <sz val="12"/>
      <color rgb="FF000000"/>
    </font>
    <font>
      <name val="Calibri Light"/>
      <b/>
      <sz val="14"/>
      <color rgb="FF000000"/>
    </font>
    <font>
      <name val="Calibri"/>
      <sz val="12"/>
      <color rgb="FF000000"/>
    </font>
    <font>
      <name val="Calibri"/>
      <b/>
      <sz val="20"/>
      <color rgb="FF000000"/>
    </font>
    <font>
      <name val="Calibri"/>
      <b/>
      <sz val="14"/>
      <color rgb="FF000000"/>
    </font>
    <font>
      <name val="Calibri"/>
      <sz val="11"/>
      <color rgb="FF000000"/>
    </font>
    <font>
      <name val="Arial"/>
      <sz val="16"/>
      <color rgb="FF000000"/>
    </font>
    <font>
      <name val="Calibri"/>
      <sz val="14"/>
      <color rgb="FF000000"/>
    </font>
    <font>
      <name val="Calibri"/>
      <sz val="20"/>
    </font>
    <font>
      <name val="Calibri"/>
      <sz val="10"/>
    </font>
    <font>
      <name val="Calibri"/>
      <b/>
      <sz val="12"/>
      <color rgb="FF000000"/>
    </font>
    <font>
      <name val="Calibri"/>
      <sz val="12"/>
      <color rgb="FF000000"/>
    </font>
    <font>
      <name val="Calibri"/>
      <b/>
      <sz val="11"/>
      <color rgb="FF000000"/>
    </font>
    <font>
      <name val="Calibri"/>
      <sz val="16"/>
    </font>
    <font>
      <name val="Calibri (Body)"/>
      <sz val="10"/>
    </font>
    <font>
      <name val="Arial"/>
      <sz val="10"/>
      <color rgb="FF000000"/>
    </font>
    <font>
      <name val="Arial"/>
      <sz val="12"/>
    </font>
    <font>
      <name val="Calibri"/>
      <b/>
      <sz val="9"/>
      <color rgb="FF000000"/>
    </font>
    <font>
      <name val="Calibri"/>
      <sz val="11"/>
      <color rgb="FF000000"/>
    </font>
  </fonts>
  <fills count="14">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FFE598"/>
        <bgColor indexed="64"/>
      </patternFill>
    </fill>
    <fill>
      <patternFill patternType="solid">
        <fgColor rgb="FFA8D08E"/>
        <bgColor indexed="64"/>
      </patternFill>
    </fill>
    <fill>
      <patternFill patternType="solid">
        <fgColor rgb="FFDAEBD4"/>
        <bgColor indexed="64"/>
      </patternFill>
    </fill>
    <fill>
      <patternFill patternType="solid">
        <fgColor rgb="FFFEE89C"/>
        <bgColor indexed="64"/>
      </patternFill>
    </fill>
    <fill>
      <patternFill patternType="solid">
        <fgColor rgb="FFD8D8D8"/>
        <bgColor indexed="64"/>
      </patternFill>
    </fill>
    <fill>
      <patternFill patternType="solid">
        <fgColor rgb="FFF2F2F2"/>
        <bgColor indexed="64"/>
      </patternFill>
    </fill>
    <fill>
      <patternFill patternType="solid">
        <fgColor rgb="FF000000"/>
        <bgColor indexed="64"/>
      </patternFill>
    </fill>
    <fill>
      <patternFill patternType="solid">
        <fgColor rgb="FFF4B083"/>
        <bgColor indexed="64"/>
      </patternFill>
    </fill>
    <fill>
      <patternFill patternType="solid">
        <fgColor rgb="FFBFBFBF"/>
        <bgColor indexed="64"/>
      </patternFill>
    </fill>
    <fill>
      <patternFill patternType="solid">
        <fgColor rgb="FFFFE598"/>
        <bgColor rgb="FFFFE598"/>
      </patternFill>
    </fill>
  </fills>
  <borders count="26">
    <border>
      <left/>
      <right/>
      <top/>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style="medium">
        <color rgb="FFFF0000"/>
      </right>
      <top/>
      <bottom/>
      <diagonal/>
    </border>
    <border>
      <left style="medium">
        <color rgb="FFFF0000"/>
      </left>
      <right style="medium">
        <color rgb="FFFF0000"/>
      </right>
      <top style="medium">
        <color rgb="FFFF0000"/>
      </top>
      <bottom style="medium">
        <color rgb="FFFF0000"/>
      </bottom>
      <diagonal/>
    </border>
    <border>
      <left/>
      <right/>
      <top/>
      <bottom style="medium">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3">
    <xf numFmtId="0" fontId="0" fillId="0" borderId="0">
      <alignment vertical="center"/>
    </xf>
    <xf numFmtId="9" fontId="29" fillId="0" borderId="0">
      <alignment vertical="top"/>
      <protection locked="0" hidden="0"/>
    </xf>
    <xf numFmtId="164" fontId="29" fillId="0" borderId="0">
      <alignment vertical="top"/>
      <protection locked="0" hidden="0"/>
    </xf>
  </cellStyleXfs>
  <cellXfs count="168">
    <xf numFmtId="0" fontId="0" fillId="0" borderId="0" xfId="0">
      <alignment vertical="center"/>
    </xf>
    <xf numFmtId="0" fontId="1" fillId="2" borderId="0" xfId="0" applyFill="1" applyAlignment="1">
      <alignment vertical="bottom"/>
    </xf>
    <xf numFmtId="0" fontId="2" fillId="0" borderId="1" xfId="0" applyFont="1" applyBorder="1" applyAlignment="1">
      <alignment horizontal="center" vertical="bottom"/>
    </xf>
    <xf numFmtId="0" fontId="3" fillId="0" borderId="0" xfId="0" applyFont="1" applyAlignment="1">
      <alignment horizontal="center" vertical="center"/>
    </xf>
    <xf numFmtId="0" fontId="3" fillId="0" borderId="0" xfId="0" applyFont="1">
      <alignment vertical="center"/>
    </xf>
    <xf numFmtId="0" fontId="4" fillId="0" borderId="0" xfId="0" applyFont="1">
      <alignment vertical="center"/>
    </xf>
    <xf numFmtId="0" fontId="5" fillId="0" borderId="0" xfId="0" applyFont="1" applyAlignment="1">
      <alignment vertical="center" wrapText="1"/>
    </xf>
    <xf numFmtId="0" fontId="4" fillId="3" borderId="2" xfId="0" applyFont="1" applyFill="1" applyBorder="1" applyAlignment="1">
      <alignment horizontal="center" vertical="center"/>
      <protection locked="0" hidden="0"/>
    </xf>
    <xf numFmtId="0" fontId="4" fillId="3" borderId="3" xfId="0" applyFont="1" applyFill="1" applyBorder="1" applyAlignment="1">
      <alignment horizontal="center" vertical="center"/>
      <protection locked="0" hidden="0"/>
    </xf>
    <xf numFmtId="0" fontId="6" fillId="0" borderId="0" xfId="0" applyFont="1">
      <alignment vertical="center"/>
    </xf>
    <xf numFmtId="0" fontId="7" fillId="4" borderId="0" xfId="0" applyFont="1" applyFill="1" applyAlignment="1">
      <alignment vertical="center" wrapText="1"/>
    </xf>
    <xf numFmtId="0" fontId="6" fillId="4" borderId="0" xfId="0" applyFont="1" applyFill="1" applyAlignment="1">
      <alignment vertical="center" wrapText="1"/>
    </xf>
    <xf numFmtId="0" fontId="6" fillId="4" borderId="0" xfId="0" applyFont="1" applyFill="1">
      <alignment vertical="center"/>
    </xf>
    <xf numFmtId="0" fontId="8" fillId="0" borderId="0" xfId="0" applyFont="1">
      <alignment vertical="center"/>
    </xf>
    <xf numFmtId="0" fontId="9" fillId="5" borderId="4" xfId="0" applyFont="1" applyFill="1" applyBorder="1" applyAlignment="1">
      <alignment horizontal="center" vertical="center" wrapText="1"/>
    </xf>
    <xf numFmtId="0" fontId="10" fillId="5" borderId="5" xfId="0" applyFont="1" applyFill="1" applyBorder="1" applyAlignment="1">
      <alignment horizontal="center" vertical="bottom" wrapText="1"/>
    </xf>
    <xf numFmtId="0" fontId="10" fillId="5" borderId="6" xfId="0" applyFont="1" applyFill="1" applyBorder="1" applyAlignment="1">
      <alignment horizontal="center" vertical="bottom" wrapText="1"/>
    </xf>
    <xf numFmtId="0" fontId="10" fillId="5" borderId="7" xfId="0" applyFont="1" applyFill="1" applyBorder="1" applyAlignment="1">
      <alignment horizontal="center" vertical="bottom" wrapText="1"/>
    </xf>
    <xf numFmtId="0" fontId="9" fillId="6" borderId="2" xfId="0" applyFont="1" applyFill="1" applyBorder="1" applyAlignment="1">
      <alignment horizontal="left" vertical="bottom"/>
    </xf>
    <xf numFmtId="0" fontId="9" fillId="6" borderId="3" xfId="0" applyFont="1" applyFill="1" applyBorder="1" applyAlignment="1">
      <alignment horizontal="left" vertical="bottom"/>
    </xf>
    <xf numFmtId="166" fontId="9" fillId="6" borderId="7" xfId="0" applyNumberFormat="1" applyFont="1" applyFill="1" applyBorder="1" applyAlignment="1">
      <alignment vertical="bottom"/>
    </xf>
    <xf numFmtId="0" fontId="9" fillId="6" borderId="2" xfId="0" applyFont="1" applyFill="1" applyBorder="1" applyAlignment="1">
      <alignment horizontal="left" vertical="center"/>
    </xf>
    <xf numFmtId="0" fontId="9" fillId="6" borderId="3" xfId="0" applyFont="1" applyFill="1" applyBorder="1" applyAlignment="1">
      <alignment horizontal="left" vertical="center"/>
    </xf>
    <xf numFmtId="166" fontId="9" fillId="6" borderId="3" xfId="0" applyNumberFormat="1" applyFont="1" applyFill="1" applyBorder="1">
      <alignment vertical="center"/>
    </xf>
    <xf numFmtId="9" fontId="8" fillId="0" borderId="0" xfId="1" applyFont="1" applyFill="1" applyBorder="1">
      <alignment vertical="center"/>
    </xf>
    <xf numFmtId="49" fontId="1" fillId="7" borderId="8" xfId="0" applyNumberFormat="1" applyFill="1" applyBorder="1">
      <alignment vertical="center"/>
    </xf>
    <xf numFmtId="166" fontId="8" fillId="3" borderId="8" xfId="2" applyNumberFormat="1" applyFont="1" applyFill="1" applyBorder="1">
      <alignment vertical="center"/>
      <protection locked="0" hidden="0"/>
    </xf>
    <xf numFmtId="49" fontId="1" fillId="0" borderId="0" xfId="0" applyNumberFormat="1">
      <alignment vertical="center"/>
    </xf>
    <xf numFmtId="166" fontId="8" fillId="2" borderId="8" xfId="2" applyNumberFormat="1" applyFont="1" applyFill="1" applyBorder="1" applyAlignment="1">
      <alignment horizontal="right" vertical="center"/>
    </xf>
    <xf numFmtId="49" fontId="1" fillId="7" borderId="8" xfId="0" applyNumberFormat="1" applyFill="1" applyBorder="1" applyAlignment="1">
      <alignment horizontal="center" vertical="center"/>
    </xf>
    <xf numFmtId="49" fontId="1" fillId="7" borderId="4" xfId="0" applyNumberFormat="1" applyFill="1" applyBorder="1" applyAlignment="1">
      <alignment horizontal="center" vertical="center"/>
    </xf>
    <xf numFmtId="166" fontId="8" fillId="3" borderId="8" xfId="0" applyNumberFormat="1" applyFont="1" applyFill="1" applyBorder="1">
      <alignment vertical="center"/>
      <protection locked="0" hidden="0"/>
    </xf>
    <xf numFmtId="49" fontId="1" fillId="7" borderId="9" xfId="0" applyNumberFormat="1" applyFill="1" applyBorder="1" applyAlignment="1">
      <alignment horizontal="center" vertical="center"/>
    </xf>
    <xf numFmtId="9" fontId="8" fillId="3" borderId="8" xfId="1" applyFont="1" applyFill="1" applyBorder="1">
      <alignment vertical="center"/>
      <protection locked="0" hidden="0"/>
    </xf>
    <xf numFmtId="1" fontId="4" fillId="3" borderId="8" xfId="0" applyNumberFormat="1" applyFont="1" applyFill="1" applyBorder="1">
      <alignment vertical="center"/>
      <protection locked="0" hidden="0"/>
    </xf>
    <xf numFmtId="49" fontId="1" fillId="7" borderId="10" xfId="0" applyNumberFormat="1" applyFill="1" applyBorder="1" applyAlignment="1">
      <alignment horizontal="center" vertical="center"/>
    </xf>
    <xf numFmtId="0" fontId="3" fillId="0" borderId="11" xfId="0" applyFont="1" applyBorder="1">
      <alignment vertical="center"/>
    </xf>
    <xf numFmtId="1" fontId="4" fillId="0" borderId="0" xfId="0" applyNumberFormat="1" applyFont="1">
      <alignment vertical="center"/>
    </xf>
    <xf numFmtId="0" fontId="11" fillId="0" borderId="0" xfId="0" applyFont="1" applyAlignment="1">
      <alignment horizontal="left" vertical="center" wrapText="1"/>
    </xf>
    <xf numFmtId="0" fontId="3" fillId="0" borderId="0" xfId="0" applyFont="1" applyAlignment="1">
      <alignment vertical="top"/>
    </xf>
    <xf numFmtId="0" fontId="8" fillId="0" borderId="0" xfId="0" applyFont="1" applyAlignment="1">
      <alignment vertical="top"/>
    </xf>
    <xf numFmtId="0" fontId="12" fillId="0" borderId="0" xfId="0" applyFont="1" applyAlignment="1">
      <alignment vertical="bottom"/>
    </xf>
    <xf numFmtId="0" fontId="12" fillId="0" borderId="1" xfId="0" applyFont="1" applyBorder="1" applyAlignment="1">
      <alignment horizontal="center" vertical="bottom"/>
    </xf>
    <xf numFmtId="0" fontId="8" fillId="2" borderId="0" xfId="0" applyFont="1" applyFill="1" applyAlignment="1">
      <alignment vertical="bottom"/>
    </xf>
    <xf numFmtId="0" fontId="9" fillId="8" borderId="8" xfId="0" applyFont="1" applyFill="1" applyBorder="1" applyAlignment="1">
      <alignment horizontal="center" vertical="center" wrapText="1"/>
    </xf>
    <xf numFmtId="0" fontId="1" fillId="2" borderId="0" xfId="0" applyFill="1">
      <alignment vertical="center"/>
    </xf>
    <xf numFmtId="0" fontId="1" fillId="0" borderId="0" xfId="0">
      <alignment vertical="center"/>
    </xf>
    <xf numFmtId="0" fontId="8" fillId="2" borderId="0" xfId="0" applyFont="1" applyFill="1">
      <alignment vertical="center"/>
    </xf>
    <xf numFmtId="0" fontId="4" fillId="0" borderId="0" xfId="0" applyFont="1" applyAlignment="1">
      <alignment horizontal="right" vertical="center"/>
    </xf>
    <xf numFmtId="3" fontId="9" fillId="9" borderId="8" xfId="0" applyNumberFormat="1" applyFont="1" applyFill="1" applyBorder="1" applyAlignment="1">
      <alignment vertical="center" wrapText="1"/>
    </xf>
    <xf numFmtId="3" fontId="9" fillId="0" borderId="8" xfId="0" applyNumberFormat="1" applyFont="1" applyBorder="1" applyAlignment="1">
      <alignment vertical="center" wrapText="1"/>
    </xf>
    <xf numFmtId="166" fontId="8" fillId="2" borderId="0" xfId="0" applyNumberFormat="1" applyFont="1" applyFill="1" applyAlignment="1">
      <alignment vertical="bottom"/>
    </xf>
    <xf numFmtId="0" fontId="13" fillId="0" borderId="0" xfId="0" applyFont="1" applyAlignment="1">
      <alignment vertical="bottom"/>
    </xf>
    <xf numFmtId="0" fontId="9" fillId="10" borderId="8" xfId="0" applyFont="1" applyFill="1" applyBorder="1" applyAlignment="1">
      <alignment vertical="center" wrapText="1"/>
    </xf>
    <xf numFmtId="3" fontId="9" fillId="10" borderId="8" xfId="0" applyNumberFormat="1" applyFont="1" applyFill="1" applyBorder="1" applyAlignment="1">
      <alignment vertical="center" wrapText="1"/>
    </xf>
    <xf numFmtId="0" fontId="8" fillId="0" borderId="0" xfId="0" applyFont="1" applyAlignment="1">
      <alignment vertical="bottom"/>
    </xf>
    <xf numFmtId="0" fontId="1" fillId="2" borderId="0" xfId="0" applyFill="1" applyAlignment="1">
      <alignment vertical="bottom" wrapText="1"/>
    </xf>
    <xf numFmtId="0" fontId="10" fillId="0" borderId="0" xfId="0" applyFont="1" applyAlignment="1">
      <alignment horizontal="right" vertical="center" wrapText="1"/>
    </xf>
    <xf numFmtId="0" fontId="10" fillId="0" borderId="12" xfId="0" applyFont="1" applyBorder="1" applyAlignment="1">
      <alignment horizontal="right" vertical="center" wrapText="1"/>
    </xf>
    <xf numFmtId="0" fontId="9" fillId="2" borderId="8" xfId="0" applyFont="1" applyFill="1" applyBorder="1" applyAlignment="1">
      <alignment vertical="center" wrapText="1"/>
    </xf>
    <xf numFmtId="3" fontId="9" fillId="2" borderId="8" xfId="0" applyNumberFormat="1" applyFont="1" applyFill="1" applyBorder="1" applyAlignment="1">
      <alignment vertical="center" wrapText="1"/>
    </xf>
    <xf numFmtId="1" fontId="1" fillId="2" borderId="0" xfId="2" applyNumberFormat="1" applyFont="1" applyFill="1" applyAlignment="1">
      <alignment vertical="bottom"/>
    </xf>
    <xf numFmtId="166" fontId="1" fillId="2" borderId="0" xfId="2" applyNumberFormat="1" applyFont="1" applyFill="1" applyAlignment="1">
      <alignment vertical="bottom"/>
    </xf>
    <xf numFmtId="165" fontId="9" fillId="10" borderId="8" xfId="2" applyNumberFormat="1" applyFont="1" applyFill="1" applyBorder="1" applyAlignment="1">
      <alignment vertical="center" wrapText="1"/>
    </xf>
    <xf numFmtId="165" fontId="9" fillId="2" borderId="8" xfId="2" applyNumberFormat="1" applyFont="1" applyFill="1" applyBorder="1" applyAlignment="1">
      <alignment vertical="center" wrapText="1"/>
    </xf>
    <xf numFmtId="165" fontId="9" fillId="2" borderId="4" xfId="2" applyNumberFormat="1" applyFont="1" applyFill="1" applyBorder="1" applyAlignment="1">
      <alignment vertical="center" wrapText="1"/>
    </xf>
    <xf numFmtId="0" fontId="10" fillId="0" borderId="0" xfId="0" applyFont="1" applyAlignment="1">
      <alignment horizontal="right" vertical="center" wrapText="1"/>
    </xf>
    <xf numFmtId="0" fontId="4" fillId="2" borderId="0" xfId="0" applyFont="1" applyFill="1" applyAlignment="1">
      <alignment horizontal="right" vertical="bottom"/>
    </xf>
    <xf numFmtId="0" fontId="4" fillId="2" borderId="13" xfId="0" applyFont="1" applyFill="1" applyBorder="1" applyAlignment="1">
      <alignment horizontal="right" vertical="bottom"/>
    </xf>
    <xf numFmtId="165" fontId="10" fillId="0" borderId="14" xfId="2" applyNumberFormat="1" applyFont="1" applyFill="1" applyBorder="1" applyAlignment="1">
      <alignment vertical="center" wrapText="1"/>
    </xf>
    <xf numFmtId="0" fontId="4" fillId="2" borderId="12" xfId="0" applyFont="1" applyFill="1" applyBorder="1" applyAlignment="1">
      <alignment horizontal="right" vertical="bottom"/>
    </xf>
    <xf numFmtId="9" fontId="9" fillId="0" borderId="9" xfId="1" applyFont="1" applyFill="1" applyBorder="1" applyAlignment="1">
      <alignment vertical="center" wrapText="1"/>
    </xf>
    <xf numFmtId="0" fontId="14" fillId="0" borderId="15" xfId="0" applyFont="1" applyBorder="1" applyAlignment="1">
      <alignment horizontal="center" vertical="bottom"/>
    </xf>
    <xf numFmtId="0" fontId="15" fillId="0" borderId="0" xfId="0" applyFont="1" applyAlignment="1">
      <alignment horizontal="center" vertical="bottom"/>
    </xf>
    <xf numFmtId="0" fontId="16" fillId="0" borderId="0" xfId="0" applyFont="1" applyAlignment="1">
      <alignment vertical="bottom"/>
    </xf>
    <xf numFmtId="0" fontId="17" fillId="0" borderId="0" xfId="0" applyFont="1" applyAlignment="1">
      <alignment horizontal="center" vertical="center"/>
    </xf>
    <xf numFmtId="0" fontId="17" fillId="0" borderId="16" xfId="0" applyFont="1" applyBorder="1" applyAlignment="1">
      <alignment horizontal="center" vertical="center"/>
    </xf>
    <xf numFmtId="0" fontId="15" fillId="0" borderId="17" xfId="0" applyFont="1" applyBorder="1" applyAlignment="1">
      <alignment vertical="center" wrapText="1"/>
    </xf>
    <xf numFmtId="0" fontId="18" fillId="0" borderId="18" xfId="0" applyFont="1" applyBorder="1" applyAlignment="1">
      <alignment horizontal="center" vertical="center" wrapText="1"/>
    </xf>
    <xf numFmtId="0" fontId="18" fillId="0" borderId="19" xfId="0" applyFont="1" applyBorder="1" applyAlignment="1">
      <alignment horizontal="center" vertical="center" wrapText="1"/>
    </xf>
    <xf numFmtId="0" fontId="18" fillId="0" borderId="20" xfId="0" applyFont="1" applyBorder="1" applyAlignment="1">
      <alignment horizontal="center" vertical="center" wrapText="1"/>
    </xf>
    <xf numFmtId="0" fontId="15" fillId="0" borderId="21" xfId="0" applyFont="1" applyBorder="1" applyAlignment="1">
      <alignment vertical="center" wrapText="1"/>
    </xf>
    <xf numFmtId="0" fontId="15" fillId="0" borderId="8" xfId="0" applyFont="1" applyBorder="1" applyAlignment="1">
      <alignment vertical="center" wrapText="1"/>
    </xf>
    <xf numFmtId="0" fontId="18" fillId="0" borderId="8" xfId="0" applyFont="1" applyBorder="1" applyAlignment="1">
      <alignment horizontal="center" vertical="center" wrapText="1"/>
    </xf>
    <xf numFmtId="0" fontId="15" fillId="0" borderId="8" xfId="0" applyFont="1" applyBorder="1" applyAlignment="1">
      <alignment horizontal="left" vertical="center" wrapText="1"/>
    </xf>
    <xf numFmtId="0" fontId="19" fillId="2" borderId="1" xfId="0" applyFont="1" applyFill="1" applyBorder="1" applyAlignment="1">
      <alignment horizontal="center" vertical="bottom"/>
    </xf>
    <xf numFmtId="0" fontId="19" fillId="11" borderId="0" xfId="0" applyFont="1" applyFill="1" applyAlignment="1">
      <alignment horizontal="center" vertical="bottom"/>
    </xf>
    <xf numFmtId="0" fontId="19" fillId="2" borderId="0" xfId="0" applyFont="1" applyFill="1" applyAlignment="1">
      <alignment horizontal="center" vertical="bottom"/>
    </xf>
    <xf numFmtId="0" fontId="20" fillId="4" borderId="0" xfId="0" applyFont="1" applyFill="1" applyAlignment="1">
      <alignment horizontal="left" vertical="center" wrapText="1"/>
    </xf>
    <xf numFmtId="0" fontId="20" fillId="4" borderId="0" xfId="0" applyFont="1" applyFill="1" applyAlignment="1">
      <alignment horizontal="left" vertical="bottom" wrapText="1"/>
    </xf>
    <xf numFmtId="0" fontId="1" fillId="4" borderId="0" xfId="0" applyFill="1" applyAlignment="1">
      <alignment horizontal="left" vertical="top" wrapText="1"/>
    </xf>
    <xf numFmtId="0" fontId="1" fillId="4" borderId="0" xfId="0" applyFill="1" applyAlignment="1">
      <alignment horizontal="left" vertical="top"/>
    </xf>
    <xf numFmtId="0" fontId="20" fillId="4" borderId="6" xfId="0" applyFont="1" applyFill="1" applyBorder="1" applyAlignment="1">
      <alignment horizontal="left" vertical="bottom" wrapText="1"/>
    </xf>
    <xf numFmtId="0" fontId="9" fillId="8" borderId="4" xfId="0" applyFont="1" applyFill="1" applyBorder="1" applyAlignment="1">
      <alignment horizontal="center" vertical="center" wrapText="1"/>
    </xf>
    <xf numFmtId="0" fontId="21" fillId="8" borderId="8" xfId="0" applyFont="1" applyFill="1" applyBorder="1" applyAlignment="1">
      <alignment horizontal="left" vertical="bottom" wrapText="1"/>
    </xf>
    <xf numFmtId="0" fontId="22" fillId="0" borderId="2" xfId="0" applyFont="1" applyBorder="1" applyAlignment="1">
      <alignment horizontal="center" vertical="center"/>
    </xf>
    <xf numFmtId="0" fontId="22" fillId="0" borderId="22" xfId="0" applyFont="1" applyBorder="1" applyAlignment="1">
      <alignment horizontal="center" vertical="center"/>
    </xf>
    <xf numFmtId="0" fontId="22" fillId="0" borderId="3" xfId="0" applyFont="1" applyBorder="1" applyAlignment="1">
      <alignment horizontal="center" vertical="center"/>
    </xf>
    <xf numFmtId="0" fontId="9" fillId="0" borderId="0" xfId="0" applyFont="1" applyAlignment="1">
      <alignment horizontal="left" vertical="top"/>
    </xf>
    <xf numFmtId="0" fontId="10" fillId="0" borderId="0" xfId="0" applyFont="1" applyAlignment="1">
      <alignment horizontal="center" vertical="top"/>
    </xf>
    <xf numFmtId="166" fontId="10" fillId="0" borderId="6" xfId="0" applyNumberFormat="1" applyFont="1" applyBorder="1" applyAlignment="1">
      <alignment horizontal="center" vertical="top"/>
    </xf>
    <xf numFmtId="0" fontId="23" fillId="0" borderId="0" xfId="0" applyFont="1" applyAlignment="1">
      <alignment horizontal="center" vertical="bottom"/>
    </xf>
    <xf numFmtId="0" fontId="9" fillId="8" borderId="9" xfId="0" applyFont="1" applyFill="1" applyBorder="1" applyAlignment="1">
      <alignment horizontal="center" vertical="center" wrapText="1"/>
    </xf>
    <xf numFmtId="0" fontId="22" fillId="0" borderId="8" xfId="0" applyFont="1" applyBorder="1" applyAlignment="1">
      <alignment horizontal="center" vertical="center"/>
    </xf>
    <xf numFmtId="166" fontId="8" fillId="8" borderId="8" xfId="2" applyNumberFormat="1" applyFont="1" applyFill="1" applyBorder="1">
      <alignment vertical="center"/>
      <protection locked="0" hidden="0"/>
    </xf>
    <xf numFmtId="166" fontId="8" fillId="0" borderId="2" xfId="2" applyNumberFormat="1" applyFont="1" applyFill="1" applyBorder="1" applyAlignment="1">
      <alignment horizontal="center" vertical="center"/>
      <protection locked="0" hidden="0"/>
    </xf>
    <xf numFmtId="166" fontId="8" fillId="0" borderId="3" xfId="2" applyNumberFormat="1" applyFont="1" applyFill="1" applyBorder="1" applyAlignment="1">
      <alignment horizontal="center" vertical="center"/>
      <protection locked="0" hidden="0"/>
    </xf>
    <xf numFmtId="166" fontId="1" fillId="0" borderId="8" xfId="0" applyNumberFormat="1" applyBorder="1" applyAlignment="1">
      <alignment vertical="bottom"/>
    </xf>
    <xf numFmtId="3" fontId="9" fillId="9" borderId="8" xfId="0" applyNumberFormat="1" applyFont="1" applyFill="1" applyBorder="1" applyAlignment="1">
      <alignment horizontal="center" vertical="center" wrapText="1"/>
    </xf>
    <xf numFmtId="0" fontId="13" fillId="0" borderId="0" xfId="0" applyFont="1">
      <alignment vertical="center"/>
    </xf>
    <xf numFmtId="3" fontId="9" fillId="0" borderId="8" xfId="0" applyNumberFormat="1" applyFont="1" applyBorder="1" applyAlignment="1">
      <alignment horizontal="center" vertical="center" wrapText="1"/>
    </xf>
    <xf numFmtId="0" fontId="21" fillId="8" borderId="4" xfId="0" applyFont="1" applyFill="1" applyBorder="1" applyAlignment="1">
      <alignment horizontal="left" vertical="center" wrapText="1"/>
    </xf>
    <xf numFmtId="0" fontId="22" fillId="0" borderId="23" xfId="0" applyFont="1" applyBorder="1" applyAlignment="1">
      <alignment horizontal="center" vertical="center"/>
    </xf>
    <xf numFmtId="0" fontId="22" fillId="0" borderId="24" xfId="0" applyFont="1" applyBorder="1" applyAlignment="1">
      <alignment horizontal="center" vertical="center"/>
    </xf>
    <xf numFmtId="0" fontId="22" fillId="0" borderId="25" xfId="0" applyFont="1" applyBorder="1" applyAlignment="1">
      <alignment horizontal="center" vertical="center"/>
    </xf>
    <xf numFmtId="166" fontId="8" fillId="0" borderId="2" xfId="2" applyNumberFormat="1" applyFont="1" applyFill="1" applyBorder="1" applyAlignment="1">
      <alignment horizontal="center" vertical="center" wrapText="1"/>
      <protection locked="0" hidden="0"/>
    </xf>
    <xf numFmtId="166" fontId="8" fillId="0" borderId="3" xfId="2" applyNumberFormat="1" applyFont="1" applyFill="1" applyBorder="1" applyAlignment="1">
      <alignment horizontal="center" vertical="center" wrapText="1"/>
      <protection locked="0" hidden="0"/>
    </xf>
    <xf numFmtId="0" fontId="21" fillId="8" borderId="9" xfId="0" applyFont="1" applyFill="1" applyBorder="1" applyAlignment="1">
      <alignment horizontal="left" vertical="center" wrapText="1"/>
    </xf>
    <xf numFmtId="0" fontId="22" fillId="0" borderId="5" xfId="0" applyFont="1" applyBorder="1" applyAlignment="1">
      <alignment horizontal="center" vertical="center"/>
    </xf>
    <xf numFmtId="0" fontId="22" fillId="0" borderId="6" xfId="0" applyFont="1" applyBorder="1" applyAlignment="1">
      <alignment horizontal="center" vertical="center"/>
    </xf>
    <xf numFmtId="0" fontId="22" fillId="0" borderId="7" xfId="0" applyFont="1" applyBorder="1" applyAlignment="1">
      <alignment horizontal="center" vertical="center"/>
    </xf>
    <xf numFmtId="9" fontId="8" fillId="8" borderId="8" xfId="1" applyFont="1" applyFill="1" applyBorder="1">
      <alignment vertical="center"/>
      <protection locked="0" hidden="0"/>
    </xf>
    <xf numFmtId="0" fontId="9" fillId="12" borderId="8" xfId="0" applyFont="1" applyFill="1" applyBorder="1" applyAlignment="1">
      <alignment horizontal="left" vertical="center"/>
    </xf>
    <xf numFmtId="1" fontId="4" fillId="8" borderId="8" xfId="0" applyNumberFormat="1" applyFont="1" applyFill="1" applyBorder="1">
      <alignment vertical="center"/>
      <protection locked="0" hidden="0"/>
    </xf>
    <xf numFmtId="1" fontId="1" fillId="0" borderId="8" xfId="0" applyNumberFormat="1" applyBorder="1" applyAlignment="1">
      <alignment vertical="bottom"/>
    </xf>
    <xf numFmtId="0" fontId="9" fillId="8" borderId="8" xfId="0" applyFont="1" applyFill="1" applyBorder="1" applyAlignment="1">
      <alignment horizontal="left" vertical="center"/>
    </xf>
    <xf numFmtId="166" fontId="9" fillId="0" borderId="8" xfId="0" applyNumberFormat="1" applyFont="1" applyBorder="1" applyAlignment="1">
      <alignment horizontal="right" vertical="center"/>
    </xf>
    <xf numFmtId="0" fontId="9" fillId="8" borderId="8" xfId="0" applyFont="1" applyFill="1" applyBorder="1" applyAlignment="1">
      <alignment horizontal="left" vertical="center"/>
    </xf>
    <xf numFmtId="0" fontId="1" fillId="0" borderId="8" xfId="0" applyBorder="1" applyAlignment="1">
      <alignment vertical="top" wrapText="1"/>
    </xf>
    <xf numFmtId="9" fontId="1" fillId="0" borderId="8" xfId="1" applyFont="1" applyBorder="1" applyAlignment="1">
      <alignment vertical="bottom"/>
    </xf>
    <xf numFmtId="0" fontId="23" fillId="0" borderId="23" xfId="0" applyFont="1" applyBorder="1" applyAlignment="1">
      <alignment horizontal="center" vertical="bottom"/>
    </xf>
    <xf numFmtId="0" fontId="23" fillId="0" borderId="25" xfId="0" applyFont="1" applyBorder="1" applyAlignment="1">
      <alignment horizontal="center" vertical="bottom"/>
    </xf>
    <xf numFmtId="0" fontId="1" fillId="0" borderId="0" xfId="0" applyAlignment="1">
      <alignment horizontal="right" vertical="bottom"/>
    </xf>
    <xf numFmtId="0" fontId="23" fillId="0" borderId="9" xfId="0" applyFont="1" applyBorder="1" applyAlignment="1">
      <alignment horizontal="center" vertical="top"/>
    </xf>
    <xf numFmtId="0" fontId="23" fillId="0" borderId="7" xfId="0" applyFont="1" applyBorder="1" applyAlignment="1">
      <alignment horizontal="center" vertical="top"/>
    </xf>
    <xf numFmtId="0" fontId="23" fillId="0" borderId="0" xfId="0" applyFont="1" applyAlignment="1">
      <alignment horizontal="right" vertical="bottom"/>
    </xf>
    <xf numFmtId="166" fontId="1" fillId="0" borderId="8" xfId="0" applyNumberFormat="1" applyBorder="1" applyAlignment="1">
      <alignment horizontal="right" vertical="bottom"/>
    </xf>
    <xf numFmtId="0" fontId="19" fillId="0" borderId="0" xfId="0" applyFont="1" applyAlignment="1">
      <alignment vertical="bottom"/>
    </xf>
    <xf numFmtId="0" fontId="24" fillId="11" borderId="0" xfId="0" applyFont="1" applyFill="1" applyAlignment="1">
      <alignment horizontal="center" vertical="bottom"/>
    </xf>
    <xf numFmtId="0" fontId="25" fillId="4" borderId="0" xfId="0" applyFont="1" applyFill="1" applyAlignment="1">
      <alignment horizontal="center" vertical="top" wrapText="1"/>
    </xf>
    <xf numFmtId="0" fontId="25" fillId="0" borderId="0" xfId="0" applyFont="1" applyAlignment="1">
      <alignment vertical="top" wrapText="1"/>
    </xf>
    <xf numFmtId="0" fontId="26" fillId="4" borderId="0" xfId="0" applyFont="1" applyFill="1" applyAlignment="1">
      <alignment horizontal="left" vertical="bottom" wrapText="1"/>
    </xf>
    <xf numFmtId="0" fontId="1" fillId="0" borderId="8" xfId="0" applyBorder="1" applyAlignment="1">
      <alignment horizontal="center" vertical="center"/>
    </xf>
    <xf numFmtId="0" fontId="9" fillId="0" borderId="8" xfId="0" applyFont="1" applyBorder="1" applyAlignment="1">
      <alignment vertical="center" wrapText="1"/>
    </xf>
    <xf numFmtId="0" fontId="9" fillId="0" borderId="8" xfId="0" applyFont="1" applyBorder="1" applyAlignment="1">
      <alignment horizontal="center" vertical="center" wrapText="1"/>
    </xf>
    <xf numFmtId="0" fontId="9" fillId="0" borderId="8" xfId="0" applyFont="1" applyBorder="1" applyAlignment="1">
      <alignment horizontal="left" vertical="center" wrapText="1"/>
    </xf>
    <xf numFmtId="0" fontId="1" fillId="0" borderId="8" xfId="0" applyBorder="1" applyAlignment="1">
      <alignment horizontal="center" vertical="bottom"/>
    </xf>
    <xf numFmtId="0" fontId="1" fillId="0" borderId="8" xfId="0" applyBorder="1" applyAlignment="1">
      <alignment vertical="bottom"/>
    </xf>
    <xf numFmtId="0" fontId="1" fillId="0" borderId="8" xfId="0" applyBorder="1" applyAlignment="1">
      <alignment horizontal="center" vertical="bottom"/>
    </xf>
    <xf numFmtId="0" fontId="1" fillId="13" borderId="0" xfId="0" applyFill="1" applyAlignment="1">
      <alignment horizontal="left" vertical="center" wrapText="1"/>
    </xf>
    <xf numFmtId="0" fontId="27" fillId="0" borderId="0" xfId="0" applyFont="1" applyAlignment="1">
      <alignment vertical="bottom"/>
    </xf>
    <xf numFmtId="0" fontId="28" fillId="8" borderId="0" xfId="0" applyFont="1" applyFill="1" applyAlignment="1">
      <alignment horizontal="center" vertical="bottom"/>
    </xf>
    <xf numFmtId="0" fontId="28" fillId="8" borderId="24" xfId="0" applyFont="1" applyFill="1" applyBorder="1" applyAlignment="1">
      <alignment horizontal="center" vertical="bottom"/>
    </xf>
    <xf numFmtId="0" fontId="28" fillId="8" borderId="0" xfId="0" applyFont="1" applyFill="1" applyAlignment="1">
      <alignment vertical="bottom"/>
    </xf>
    <xf numFmtId="0" fontId="1" fillId="0" borderId="0" xfId="0" applyAlignment="1">
      <alignment horizontal="center" vertical="center"/>
    </xf>
    <xf numFmtId="0" fontId="1" fillId="0" borderId="0" xfId="0" applyAlignment="1">
      <alignment horizontal="center" vertical="bottom"/>
    </xf>
    <xf numFmtId="0" fontId="1" fillId="0" borderId="0" xfId="0" applyAlignment="1">
      <alignment horizontal="center" vertical="bottom"/>
    </xf>
    <xf numFmtId="0" fontId="1" fillId="0" borderId="0" xfId="0" applyAlignment="1" quotePrefix="1">
      <alignment vertical="bottom"/>
    </xf>
    <xf numFmtId="166" fontId="1" fillId="0" borderId="0" xfId="1" applyNumberFormat="1" applyFont="1" applyBorder="1" applyAlignment="1">
      <alignment horizontal="right" vertical="bottom" wrapText="1"/>
    </xf>
    <xf numFmtId="2" fontId="1" fillId="0" borderId="0" xfId="0" applyNumberFormat="1" applyAlignment="1">
      <alignment horizontal="center" vertical="bottom"/>
    </xf>
    <xf numFmtId="166" fontId="28" fillId="8" borderId="0" xfId="2" applyNumberFormat="1" applyFont="1" applyFill="1" applyBorder="1" applyAlignment="1">
      <alignment horizontal="center" vertical="bottom"/>
    </xf>
    <xf numFmtId="0" fontId="28" fillId="8" borderId="0" xfId="0" applyFont="1" applyFill="1" applyAlignment="1">
      <alignment horizontal="center" vertical="bottom"/>
    </xf>
    <xf numFmtId="9" fontId="1" fillId="0" borderId="0" xfId="0" applyNumberFormat="1" applyAlignment="1">
      <alignment vertical="bottom"/>
    </xf>
    <xf numFmtId="0" fontId="1" fillId="0" borderId="0" xfId="0" applyAlignment="1">
      <alignment horizontal="center" vertical="bottom" wrapText="1"/>
    </xf>
    <xf numFmtId="9" fontId="8" fillId="0" borderId="0" xfId="1" applyFont="1" applyFill="1" applyBorder="1" applyAlignment="1">
      <alignment horizontal="right" vertical="center"/>
    </xf>
    <xf numFmtId="9" fontId="1" fillId="0" borderId="0" xfId="0" applyNumberFormat="1" applyAlignment="1">
      <alignment horizontal="center" vertical="bottom"/>
    </xf>
    <xf numFmtId="9" fontId="1" fillId="0" borderId="0" xfId="1" applyFont="1" applyBorder="1" applyAlignment="1">
      <alignment horizontal="right" vertical="bottom"/>
    </xf>
    <xf numFmtId="0" fontId="28" fillId="8" borderId="0" xfId="0" applyFont="1" applyFill="1" applyAlignment="1">
      <alignment horizontal="center" vertical="bottom" wrapText="1"/>
    </xf>
  </cellXfs>
  <cellStyles count="3">
    <cellStyle name="常规" xfId="0" builtinId="0"/>
    <cellStyle name="百分比" xfId="1" builtinId="5"/>
    <cellStyle name="货币" xfId="2" builtinId="4"/>
  </cellStyles>
  <dxfs count="14">
    <dxf>
      <font>
        <color rgb="FF006100"/>
      </font>
      <fill>
        <patternFill>
          <bgColor rgb="FFC6EFCE"/>
        </patternFill>
      </fill>
    </dxf>
    <dxf>
      <font>
        <color rgb="FFFFFFFF"/>
      </font>
      <fill>
        <patternFill>
          <bgColor rgb="FFC00000"/>
        </patternFill>
      </fill>
    </dxf>
    <dxf>
      <font>
        <color rgb="FF9C0006"/>
      </font>
      <fill>
        <patternFill>
          <bgColor rgb="FFFFC7CE"/>
        </patternFill>
      </fill>
    </dxf>
    <dxf>
      <font>
        <color rgb="FFFFFFFF"/>
      </font>
      <fill>
        <patternFill>
          <bgColor rgb="FFC00000"/>
        </patternFill>
      </fill>
    </dxf>
    <dxf>
      <font>
        <color rgb="FF9C0006"/>
      </font>
      <fill>
        <patternFill>
          <bgColor rgb="FFFFC7CE"/>
        </patternFill>
      </fill>
    </dxf>
    <dxf>
      <font>
        <color rgb="FFFFFFFF"/>
      </font>
      <fill>
        <patternFill>
          <bgColor rgb="FFC00000"/>
        </patternFill>
      </fill>
    </dxf>
    <dxf>
      <font>
        <color rgb="FF9C5700"/>
      </font>
      <fill>
        <patternFill>
          <bgColor rgb="FFFFEB9C"/>
        </patternFill>
      </fill>
    </dxf>
    <dxf>
      <font>
        <color rgb="FF9C0006"/>
      </font>
      <fill>
        <patternFill>
          <bgColor rgb="FFFFC7CE"/>
        </patternFill>
      </fill>
    </dxf>
    <dxf>
      <font>
        <color rgb="FFFFFFFF"/>
      </font>
      <fill>
        <patternFill>
          <bgColor rgb="FFC00000"/>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s>
  <tableStyles defaultTableStyle="TableStyleMedium2" defaultPivotStyle="PivotStyleLight16" count="0"/>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www.wps.cn/officeDocument/2020/cellImage" Target="cellimages.xml"/><Relationship Id="rId5" Type="http://schemas.openxmlformats.org/officeDocument/2006/relationships/sharedStrings" Target="sharedStrings.xml"/><Relationship Id="rId6" Type="http://schemas.openxmlformats.org/officeDocument/2006/relationships/styles" Target="styles.xml"/><Relationship Id="rId7"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'Break-Even Analysis'!$S$50</c:f>
              <c:strCache>
                <c:ptCount val="1"/>
                <c:pt idx="0">
                  <c:v>Annual Costs (Fixed and Variable) </c:v>
                </c:pt>
              </c:strCache>
            </c:strRef>
          </c:tx>
          <c:spPr>
            <a:ln w="28575" cap="rnd">
              <a:solidFill>
                <a:schemeClr val="accent2"/>
              </a:solidFill>
              <a:round/>
            </a:ln>
            <a:effectLst/>
          </c:spPr>
          <c:marker>
            <c:symbol val="none"/>
          </c:marker>
          <c:val>
            <c:numRef>
              <c:f>'Break-Even Analysis'!$S$51:$S$52</c:f>
              <c:numCache>
                <c:formatCode>"$"#,##0.00</c:formatCode>
                <c:ptCount val="2"/>
                <c:pt idx="0">
                  <c:v>5259.36</c:v>
                </c:pt>
                <c:pt idx="1">
                  <c:v>10122.78</c:v>
                </c:pt>
              </c:numCache>
            </c:numRef>
          </c:val>
          <c:smooth val="0"/>
        </c:ser>
        <c:ser>
          <c:idx val="2"/>
          <c:order val="1"/>
          <c:tx>
            <c:strRef>
              <c:f>'Break-Even Analysis'!$T$50</c:f>
              <c:strCache>
                <c:ptCount val="1"/>
                <c:pt idx="0">
                  <c:v>Annual Revenue</c:v>
                </c:pt>
              </c:strCache>
            </c:strRef>
          </c:tx>
          <c:spPr>
            <a:ln w="28575" cap="rnd">
              <a:solidFill>
                <a:schemeClr val="accent3"/>
              </a:solidFill>
              <a:round/>
            </a:ln>
            <a:effectLst/>
          </c:spPr>
          <c:marker>
            <c:symbol val="none"/>
          </c:marker>
          <c:val>
            <c:numRef>
              <c:f>'Break-Even Analysis'!$T$51:$T$52</c:f>
              <c:numCache>
                <c:formatCode>"$"#,##0.00</c:formatCode>
                <c:ptCount val="2"/>
                <c:pt idx="0">
                  <c:v>0.0</c:v>
                </c:pt>
                <c:pt idx="1">
                  <c:v>12969.12</c:v>
                </c:pt>
              </c:numCache>
            </c:numRef>
          </c:val>
          <c:smooth val="0"/>
        </c:ser>
        <c:dLbls>
          <c:showLegendKey val="0"/>
          <c:showVal val="0"/>
          <c:showCatName val="0"/>
          <c:showSerName val="0"/>
          <c:showPercent val="0"/>
          <c:showBubbleSize val="0"/>
        </c:dLbls>
        <c:smooth val="0"/>
        <c:axId val="1409419999"/>
        <c:axId val="1339980287"/>
      </c:lineChart>
      <c:catAx>
        <c:axId val="1409419999"/>
        <c:scaling>
          <c:orientation val="minMax"/>
        </c:scaling>
        <c:delete val="1"/>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Units Sold</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crossAx val="1339980287"/>
        <c:crosses val="autoZero"/>
        <c:auto val="1"/>
        <c:lblAlgn val="ctr"/>
        <c:lblOffset val="100"/>
        <c:tickMarkSkip val="1"/>
        <c:noMultiLvlLbl val="0"/>
      </c:catAx>
      <c:valAx>
        <c:axId val="1339980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Money</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41999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0.png"/><Relationship Id="rId2" Type="http://schemas.openxmlformats.org/officeDocument/2006/relationships/chart" Target="../charts/chart1.xml"/><Relationship Id="rId3"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52187</xdr:colOff>
      <xdr:row>27</xdr:row>
      <xdr:rowOff>126875</xdr:rowOff>
    </xdr:from>
    <xdr:to>
      <xdr:col>4</xdr:col>
      <xdr:colOff>1171570</xdr:colOff>
      <xdr:row>28</xdr:row>
      <xdr:rowOff>228376</xdr:rowOff>
    </xdr:to>
    <xdr:pic>
      <xdr:nvPicPr>
        <xdr:cNvPr id="2" name="Picture 2" descr=" "/>
        <xdr:cNvPicPr/>
      </xdr:nvPicPr>
      <xdr:blipFill>
        <a:blip xmlns:r="http://schemas.openxmlformats.org/officeDocument/2006/relationships" r:embed="rId1"/>
        <a:srcRect l="3255" t="1" b="15849"/>
        <a:stretch>
          <a:fillRect/>
        </a:stretch>
      </xdr:blipFill>
      <xdr:spPr>
        <a:xfrm>
          <a:off x="526397" y="8639457"/>
          <a:ext cx="2550850" cy="394012"/>
        </a:xfrm>
        <a:prstGeom prst="rect">
          <a:avLst/>
        </a:prstGeom>
        <a:noFill/>
        <a:ln>
          <a:noFill/>
        </a:ln>
        <a:effectLst/>
      </xdr:spPr>
    </xdr:pic>
    <xdr:clientData/>
  </xdr:twoCellAnchor>
  <xdr:twoCellAnchor>
    <xdr:from>
      <xdr:col>1</xdr:col>
      <xdr:colOff>167473</xdr:colOff>
      <xdr:row>34</xdr:row>
      <xdr:rowOff>0</xdr:rowOff>
    </xdr:from>
    <xdr:to>
      <xdr:col>9</xdr:col>
      <xdr:colOff>700954</xdr:colOff>
      <xdr:row>48</xdr:row>
      <xdr:rowOff>12501</xdr:rowOff>
    </xdr:to>
    <xdr:graphicFrame macro="">
      <xdr:nvGraphicFramePr>
        <xdr:cNvPr name="图表 2" id="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62075</xdr:colOff>
      <xdr:row>14</xdr:row>
      <xdr:rowOff>151804</xdr:rowOff>
    </xdr:from>
    <xdr:to>
      <xdr:col>15</xdr:col>
      <xdr:colOff>0</xdr:colOff>
      <xdr:row>30</xdr:row>
      <xdr:rowOff>190313</xdr:rowOff>
    </xdr:to>
    <xdr:pic>
      <xdr:nvPicPr>
        <xdr:cNvPr id="4" name="Picture 6" descr=" "/>
        <xdr:cNvPicPr/>
      </xdr:nvPicPr>
      <xdr:blipFill>
        <a:blip xmlns:r="http://schemas.openxmlformats.org/officeDocument/2006/relationships" r:embed="rId3"/>
        <a:srcRect/>
        <a:stretch>
          <a:fillRect/>
        </a:stretch>
      </xdr:blipFill>
      <xdr:spPr>
        <a:xfrm>
          <a:off x="4838700" y="5410200"/>
          <a:ext cx="6994820" cy="4777153"/>
        </a:xfrm>
        <a:prstGeom prst="rect">
          <a:avLst/>
        </a:prstGeom>
        <a:noFill/>
        <a:ln>
          <a:noFill/>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Pr>
    <pageSetUpPr fitToPage="1"/>
  </sheetPr>
  <dimension ref="A1:U58"/>
  <sheetViews>
    <sheetView workbookViewId="0" topLeftCell="C6" showGridLines="0" zoomScale="89">
      <selection activeCell="R34" sqref="R34"/>
    </sheetView>
  </sheetViews>
  <sheetFormatPr defaultRowHeight="15.0" zeroHeight="1"/>
  <cols>
    <col min="1" max="2" customWidth="1" width="2.8554688" style="1"/>
    <col min="3" max="3" customWidth="1" width="0.42578125" style="1"/>
    <col min="4" max="4" customWidth="1" width="18.855469" style="1"/>
    <col min="5" max="5" customWidth="1" width="19.0" style="1"/>
    <col min="6" max="6" customWidth="1" width="8.140625" style="1"/>
    <col min="7" max="7" customWidth="1" width="7.4257812" style="1"/>
    <col min="8" max="8" customWidth="1" width="3.0" style="1"/>
    <col min="9" max="9" customWidth="1" width="22.425781" style="1"/>
    <col min="10" max="10" customWidth="1" width="13.7109375" style="1"/>
    <col min="11" max="11" customWidth="1" width="13.0" style="1"/>
    <col min="12" max="12" customWidth="1" width="13.285156" style="1"/>
    <col min="13" max="13" customWidth="1" width="16.140625" style="1"/>
    <col min="14" max="14" customWidth="1" width="5.140625" style="1"/>
    <col min="15" max="15" customWidth="1" width="9.140625" style="1"/>
    <col min="16" max="16" customWidth="1" width="9.140625" style="0"/>
    <col min="17" max="17" customWidth="1" width="16.0" style="1"/>
    <col min="18" max="18" customWidth="1" width="10.425781" style="1"/>
    <col min="19" max="19" customWidth="1" width="10.7109375" style="1"/>
    <col min="20" max="20" customWidth="1" width="12.140625" style="1"/>
    <col min="21" max="16384" customWidth="0" width="8.855469" style="1"/>
  </cols>
  <sheetData>
    <row r="1" spans="8:8" ht="35.1" customHeight="1">
      <c r="A1"/>
      <c r="B1" s="2" t="s">
        <v>134</v>
      </c>
      <c r="C1" s="2"/>
      <c r="D1" s="2"/>
      <c r="E1" s="2"/>
      <c r="F1" s="2"/>
      <c r="G1" s="2"/>
      <c r="H1" s="2"/>
      <c r="I1" s="2"/>
      <c r="J1" s="2"/>
      <c r="K1" s="2"/>
      <c r="L1" s="2"/>
      <c r="M1" s="2"/>
      <c r="N1" s="2"/>
      <c r="O1" s="2"/>
    </row>
    <row r="2" spans="8:8" ht="11.1" customHeight="1">
      <c r="A2"/>
      <c r="B2"/>
      <c r="C2"/>
      <c r="D2" s="3"/>
      <c r="E2" s="3"/>
      <c r="F2" s="3"/>
      <c r="G2" s="3"/>
      <c r="H2" s="3"/>
      <c r="I2" s="3"/>
      <c r="J2" s="3"/>
      <c r="K2" s="3"/>
      <c r="L2" s="3"/>
      <c r="M2" s="3"/>
      <c r="N2" s="4"/>
    </row>
    <row r="3" spans="8:8" ht="23.25">
      <c r="A3"/>
      <c r="B3"/>
      <c r="C3"/>
      <c r="D3" s="5" t="s">
        <v>31</v>
      </c>
      <c r="E3" s="3"/>
      <c r="F3" s="3"/>
      <c r="G3" s="6"/>
      <c r="H3" s="6"/>
      <c r="I3" s="6"/>
      <c r="J3" s="3"/>
      <c r="K3" s="3"/>
      <c r="L3" s="3"/>
      <c r="M3" s="3"/>
      <c r="N3" s="4"/>
    </row>
    <row r="4" spans="8:8" ht="23.25">
      <c r="A4"/>
      <c r="B4"/>
      <c r="C4"/>
      <c r="D4" s="7" t="s">
        <v>135</v>
      </c>
      <c r="E4" s="8"/>
      <c r="F4" s="3"/>
      <c r="G4" s="6"/>
      <c r="H4" s="6"/>
      <c r="I4" s="6"/>
      <c r="J4" s="3"/>
      <c r="K4" s="3"/>
      <c r="L4" s="3"/>
      <c r="M4" s="3"/>
      <c r="N4" s="4"/>
    </row>
    <row r="5" spans="8:8" ht="13.5" customHeight="1">
      <c r="A5"/>
      <c r="B5"/>
      <c r="C5" s="4"/>
      <c r="D5" s="9"/>
      <c r="E5" s="9"/>
      <c r="F5" s="9"/>
      <c r="G5" s="9"/>
      <c r="H5" s="9"/>
      <c r="I5" s="9"/>
      <c r="J5" s="9"/>
      <c r="K5" s="9"/>
      <c r="L5" s="9"/>
      <c r="M5" s="9"/>
      <c r="N5" s="9"/>
      <c r="O5" s="9"/>
    </row>
    <row r="6" spans="8:8" ht="63.0" customHeight="1">
      <c r="A6"/>
      <c r="B6"/>
      <c r="C6" s="4"/>
      <c r="D6" s="10" t="s">
        <v>121</v>
      </c>
      <c r="E6" s="10"/>
      <c r="F6" s="10"/>
      <c r="G6" s="10"/>
      <c r="H6" s="10"/>
      <c r="I6" s="10"/>
      <c r="J6" s="10"/>
      <c r="K6" s="10"/>
      <c r="L6" s="10"/>
      <c r="M6" s="10"/>
      <c r="N6" s="10"/>
      <c r="O6" s="10"/>
    </row>
    <row r="7" spans="8:8" ht="39.95" customHeight="1">
      <c r="A7"/>
      <c r="B7"/>
      <c r="C7" s="4"/>
      <c r="D7" s="11" t="s">
        <v>122</v>
      </c>
      <c r="E7" s="11"/>
      <c r="F7" s="11"/>
      <c r="G7" s="11"/>
      <c r="H7" s="11"/>
      <c r="I7" s="11"/>
      <c r="J7" s="11"/>
      <c r="K7" s="11"/>
      <c r="L7" s="11"/>
      <c r="M7" s="11"/>
      <c r="N7" s="11"/>
      <c r="O7" s="11"/>
    </row>
    <row r="8" spans="8:8" ht="39.95" customHeight="1">
      <c r="A8"/>
      <c r="B8"/>
      <c r="C8" s="4"/>
      <c r="D8" s="11" t="s">
        <v>124</v>
      </c>
      <c r="E8" s="11"/>
      <c r="F8" s="11"/>
      <c r="G8" s="11"/>
      <c r="H8" s="11"/>
      <c r="I8" s="11"/>
      <c r="J8" s="11"/>
      <c r="K8" s="11"/>
      <c r="L8" s="11"/>
      <c r="M8" s="11"/>
      <c r="N8" s="11"/>
      <c r="O8" s="11"/>
    </row>
    <row r="9" spans="8:8" ht="25.5" customHeight="1">
      <c r="A9"/>
      <c r="B9"/>
      <c r="C9" s="4"/>
      <c r="D9" s="12" t="s">
        <v>123</v>
      </c>
      <c r="E9" s="12"/>
      <c r="F9" s="12"/>
      <c r="G9" s="12"/>
      <c r="H9" s="12"/>
      <c r="I9" s="12"/>
      <c r="J9" s="12"/>
      <c r="K9" s="12"/>
      <c r="L9" s="12"/>
      <c r="M9" s="12"/>
      <c r="N9" s="12"/>
      <c r="O9" s="12"/>
    </row>
    <row r="10" spans="8:8" ht="27.0" customHeight="1">
      <c r="A10"/>
      <c r="B10"/>
      <c r="C10" s="4"/>
      <c r="D10" s="12" t="s">
        <v>125</v>
      </c>
      <c r="E10" s="12"/>
      <c r="F10" s="12"/>
      <c r="G10" s="12"/>
      <c r="H10" s="12"/>
      <c r="I10" s="12"/>
      <c r="J10" s="12"/>
      <c r="K10" s="12"/>
      <c r="L10" s="12"/>
      <c r="M10" s="12"/>
      <c r="N10" s="12"/>
      <c r="O10" s="12"/>
    </row>
    <row r="11" spans="8:8" ht="60.6" customHeight="1">
      <c r="A11"/>
      <c r="B11"/>
      <c r="C11" s="4"/>
      <c r="D11" s="11" t="s">
        <v>126</v>
      </c>
      <c r="E11" s="11"/>
      <c r="F11" s="11"/>
      <c r="G11" s="11"/>
      <c r="H11" s="11"/>
      <c r="I11" s="11"/>
      <c r="J11" s="11"/>
      <c r="K11" s="11"/>
      <c r="L11" s="11"/>
      <c r="M11" s="11"/>
      <c r="N11" s="11"/>
      <c r="O11" s="11"/>
    </row>
    <row r="12" spans="8:8" ht="41.45" customHeight="1">
      <c r="A12"/>
      <c r="B12"/>
      <c r="C12" s="4"/>
      <c r="D12" s="11" t="s">
        <v>128</v>
      </c>
      <c r="E12" s="11"/>
      <c r="F12" s="11"/>
      <c r="G12" s="11"/>
      <c r="H12" s="11"/>
      <c r="I12" s="11"/>
      <c r="J12" s="11"/>
      <c r="K12" s="11"/>
      <c r="L12" s="11"/>
      <c r="M12" s="11"/>
      <c r="N12" s="11"/>
      <c r="O12" s="11"/>
    </row>
    <row r="13" spans="8:8" ht="23.25">
      <c r="A13"/>
      <c r="B13"/>
      <c r="C13" s="4"/>
      <c r="D13" s="12" t="s">
        <v>127</v>
      </c>
      <c r="E13" s="12"/>
      <c r="F13" s="12"/>
      <c r="G13" s="12"/>
      <c r="H13" s="12"/>
      <c r="I13" s="12"/>
      <c r="J13" s="12"/>
      <c r="K13" s="12"/>
      <c r="L13" s="12"/>
      <c r="M13" s="12"/>
      <c r="N13" s="12"/>
      <c r="O13" s="12"/>
    </row>
    <row r="14" spans="8:8" ht="13.5" customHeight="1">
      <c r="A14"/>
      <c r="B14"/>
      <c r="C14" s="4"/>
      <c r="D14" s="4"/>
      <c r="E14" s="4"/>
      <c r="F14" s="4"/>
      <c r="G14" s="4"/>
      <c r="H14" s="4"/>
      <c r="I14" s="4"/>
      <c r="J14" s="4"/>
      <c r="K14" s="4"/>
      <c r="L14" s="4"/>
      <c r="M14" s="13"/>
      <c r="N14" s="4"/>
    </row>
    <row r="15" spans="8:8" ht="18.0" customHeight="1">
      <c r="A15"/>
      <c r="B15"/>
      <c r="C15" s="4"/>
      <c r="D15" s="14" t="s">
        <v>32</v>
      </c>
      <c r="E15" s="14"/>
      <c r="F15" s="14"/>
      <c r="G15" s="13"/>
      <c r="H15" s="13"/>
      <c r="M15" s="13"/>
      <c r="N15" s="13"/>
    </row>
    <row r="16" spans="8:8" ht="14.1" customHeight="1">
      <c r="A16"/>
      <c r="B16"/>
      <c r="C16" s="4"/>
      <c r="D16" s="15" t="s">
        <v>22</v>
      </c>
      <c r="E16" s="16"/>
      <c r="F16" s="17"/>
      <c r="G16" s="13"/>
      <c r="H16" s="13"/>
      <c r="M16" s="13"/>
      <c r="N16" s="13"/>
    </row>
    <row r="17" spans="8:8" ht="23.25">
      <c r="A17"/>
      <c r="B17"/>
      <c r="C17" s="4"/>
      <c r="D17" s="18" t="s">
        <v>26</v>
      </c>
      <c r="E17" s="19"/>
      <c r="F17" s="20">
        <f>Variables!J14</f>
        <v>323.85</v>
      </c>
      <c r="G17" s="13"/>
      <c r="H17" s="13"/>
      <c r="M17" s="13"/>
      <c r="N17" s="13"/>
    </row>
    <row r="18" spans="8:8" ht="23.25">
      <c r="A18"/>
      <c r="B18"/>
      <c r="C18" s="4"/>
      <c r="D18" s="21" t="s">
        <v>27</v>
      </c>
      <c r="E18" s="22"/>
      <c r="F18" s="23">
        <f>Variables!J15</f>
        <v>114.43</v>
      </c>
      <c r="G18" s="13"/>
      <c r="H18" s="13"/>
      <c r="M18" s="13"/>
      <c r="N18" s="13"/>
    </row>
    <row r="19" spans="8:8" ht="23.25">
      <c r="A19"/>
      <c r="B19"/>
      <c r="C19" s="4"/>
      <c r="D19" s="5"/>
      <c r="E19" s="24"/>
      <c r="F19" s="13"/>
      <c r="G19" s="13"/>
      <c r="H19" s="13"/>
      <c r="J19" s="13"/>
      <c r="K19" s="13"/>
      <c r="L19" s="13"/>
      <c r="M19" s="13"/>
      <c r="N19" s="13"/>
    </row>
    <row r="20" spans="8:8" ht="23.25">
      <c r="B20" s="25" t="s">
        <v>24</v>
      </c>
      <c r="C20" s="4"/>
      <c r="D20" s="5" t="s">
        <v>21</v>
      </c>
      <c r="E20" s="26">
        <f>(F17+F18)*12</f>
        <v>5259.360000000001</v>
      </c>
      <c r="F20" s="13"/>
      <c r="G20" s="13"/>
      <c r="H20" s="13"/>
      <c r="I20" s="27"/>
      <c r="J20" s="13"/>
      <c r="K20" s="13"/>
      <c r="L20" s="13"/>
      <c r="M20" s="13"/>
      <c r="N20" s="13"/>
    </row>
    <row r="21" spans="8:8" ht="11.1" customHeight="1">
      <c r="B21" s="5"/>
      <c r="C21" s="5"/>
      <c r="D21" s="5"/>
      <c r="E21" s="5"/>
      <c r="F21" s="13"/>
      <c r="G21" s="13"/>
      <c r="H21" s="13"/>
      <c r="I21" s="27"/>
      <c r="J21" s="13"/>
      <c r="K21" s="13"/>
      <c r="L21" s="13"/>
      <c r="M21" s="13"/>
      <c r="N21" s="13"/>
    </row>
    <row r="22" spans="8:8" ht="23.25">
      <c r="A22"/>
      <c r="B22"/>
      <c r="C22" s="4"/>
      <c r="D22" s="5" t="s">
        <v>4</v>
      </c>
      <c r="E22" s="28">
        <v>0.3</v>
      </c>
      <c r="F22" s="13"/>
      <c r="G22" s="13"/>
      <c r="H22" s="29" t="s">
        <v>25</v>
      </c>
      <c r="J22" s="13"/>
      <c r="K22" s="13"/>
      <c r="L22" s="13"/>
      <c r="M22" s="13"/>
      <c r="N22" s="13"/>
    </row>
    <row r="23" spans="8:8" ht="9.95" customHeight="1">
      <c r="A23"/>
      <c r="B23"/>
      <c r="C23" s="4"/>
      <c r="D23" s="13"/>
      <c r="E23" s="13"/>
      <c r="F23" s="13"/>
      <c r="G23" s="13"/>
      <c r="H23" s="29"/>
      <c r="J23" s="13"/>
      <c r="K23" s="13"/>
      <c r="L23" s="13"/>
      <c r="M23" s="13"/>
      <c r="N23" s="13"/>
    </row>
    <row r="24" spans="8:8" ht="23.25">
      <c r="B24" s="30" t="s">
        <v>42</v>
      </c>
      <c r="C24" s="4"/>
      <c r="D24" s="5" t="s">
        <v>3</v>
      </c>
      <c r="E24" s="31">
        <v>0.8</v>
      </c>
      <c r="F24" s="13"/>
      <c r="G24" s="13"/>
      <c r="H24" s="29"/>
      <c r="J24" s="13"/>
      <c r="K24" s="13"/>
      <c r="L24" s="13"/>
      <c r="M24" s="13"/>
      <c r="N24" s="13"/>
    </row>
    <row r="25" spans="8:8" ht="23.25">
      <c r="B25" s="32"/>
      <c r="C25" s="4"/>
      <c r="D25" s="5" t="s">
        <v>2</v>
      </c>
      <c r="E25" s="33">
        <v>0.6</v>
      </c>
      <c r="F25" s="13"/>
      <c r="G25" s="13"/>
      <c r="H25" s="29"/>
      <c r="M25" s="13"/>
      <c r="N25" s="13"/>
    </row>
    <row r="26" spans="8:8" ht="9.95" customHeight="1">
      <c r="A26"/>
      <c r="B26"/>
      <c r="C26" s="4"/>
      <c r="D26" s="5"/>
      <c r="E26" s="24"/>
      <c r="G26" s="13"/>
      <c r="H26" s="29"/>
      <c r="L26" s="13"/>
      <c r="M26" s="13"/>
      <c r="N26" s="13"/>
    </row>
    <row r="27" spans="8:8" ht="23.25">
      <c r="A27"/>
      <c r="B27" s="30" t="s">
        <v>43</v>
      </c>
      <c r="C27" s="4"/>
      <c r="D27" s="5" t="s">
        <v>20</v>
      </c>
      <c r="E27" s="34">
        <f>E20/(E24-E22)</f>
        <v>10518.720000000001</v>
      </c>
      <c r="F27" s="13"/>
      <c r="G27" s="13"/>
      <c r="H27" s="13"/>
      <c r="L27" s="13"/>
      <c r="M27" s="13"/>
      <c r="N27" s="13"/>
    </row>
    <row r="28" spans="8:8" ht="23.25">
      <c r="A28"/>
      <c r="B28" s="35"/>
      <c r="C28" s="4"/>
      <c r="F28" s="13"/>
      <c r="G28" s="13"/>
      <c r="H28" s="13"/>
      <c r="L28" s="13"/>
      <c r="M28" s="13"/>
      <c r="N28" s="13"/>
    </row>
    <row r="29" spans="8:8" ht="23.25">
      <c r="B29" s="35"/>
      <c r="C29" s="36"/>
      <c r="D29" s="5"/>
      <c r="E29" s="37"/>
      <c r="F29" s="13"/>
      <c r="G29" s="13"/>
      <c r="H29" s="13"/>
      <c r="L29" s="13"/>
      <c r="M29" s="13"/>
      <c r="N29" s="13"/>
    </row>
    <row r="30" spans="8:8" ht="69.6" customHeight="1">
      <c r="B30" s="32"/>
      <c r="C30" s="4"/>
      <c r="D30" s="38" t="s">
        <v>23</v>
      </c>
      <c r="E30" s="38"/>
      <c r="F30" s="38"/>
      <c r="G30" s="38"/>
      <c r="H30" s="13"/>
      <c r="L30" s="13"/>
      <c r="M30" s="13"/>
      <c r="N30" s="13"/>
    </row>
    <row r="31" spans="8:8" ht="23.25">
      <c r="C31" s="4"/>
      <c r="L31" s="13"/>
      <c r="M31" s="13"/>
      <c r="N31" s="13"/>
    </row>
    <row r="32" spans="8:8" ht="23.25" customFormat="1">
      <c r="C32" s="39"/>
      <c r="H32" s="1"/>
      <c r="I32" s="1"/>
      <c r="J32" s="1"/>
      <c r="K32" s="1"/>
      <c r="L32" s="40"/>
      <c r="M32" s="40"/>
      <c r="N32" s="40"/>
      <c r="P32"/>
    </row>
    <row r="33" spans="8:8" s="41" ht="19.5" customFormat="1">
      <c r="A33"/>
      <c r="B33" s="42" t="str">
        <f>CONCATENATE("Neighborhood"," Yearly Cost &amp; Revenue")</f>
        <v>Neighborhood Yearly Cost &amp; Revenue</v>
      </c>
      <c r="C33" s="42"/>
      <c r="D33" s="42"/>
      <c r="E33" s="42"/>
      <c r="F33" s="42"/>
      <c r="G33" s="42"/>
      <c r="H33" s="42"/>
      <c r="I33" s="42"/>
      <c r="J33" s="42"/>
      <c r="K33" s="42"/>
      <c r="L33" s="42"/>
      <c r="M33" s="42"/>
      <c r="N33" s="42"/>
      <c r="O33" s="42"/>
      <c r="P33"/>
    </row>
    <row r="34" spans="8:8" s="41" ht="12.0" customFormat="1" customHeight="1">
      <c r="A34"/>
      <c r="P34"/>
    </row>
    <row r="35" spans="8:8" ht="23.25">
      <c r="A35"/>
      <c r="B35"/>
      <c r="C35" s="4"/>
      <c r="D35" s="43"/>
      <c r="E35" s="43"/>
      <c r="F35" s="43"/>
      <c r="G35" s="43"/>
      <c r="H35" s="43"/>
      <c r="I35" s="43"/>
      <c r="J35" s="43"/>
      <c r="K35" s="43"/>
      <c r="L35" s="44" t="s">
        <v>6</v>
      </c>
      <c r="M35" s="44" t="s">
        <v>5</v>
      </c>
      <c r="N35" s="13"/>
    </row>
    <row r="36" spans="8:8" ht="23.25">
      <c r="A36"/>
      <c r="B36"/>
      <c r="C36" s="4"/>
      <c r="D36" s="43"/>
      <c r="E36" s="43"/>
      <c r="F36" s="43"/>
      <c r="G36" s="43"/>
      <c r="H36" s="43"/>
      <c r="I36" s="43"/>
      <c r="J36" s="43"/>
      <c r="K36" s="43"/>
      <c r="L36" s="44"/>
      <c r="M36" s="44"/>
      <c r="N36" s="13"/>
    </row>
    <row r="37" spans="8:8" s="45" ht="20.1" customFormat="1" customHeight="1">
      <c r="A37" s="46"/>
      <c r="B37" s="46"/>
      <c r="C37" s="4"/>
      <c r="D37" s="47"/>
      <c r="E37" s="47"/>
      <c r="F37" s="47"/>
      <c r="G37" s="47"/>
      <c r="H37" s="47"/>
      <c r="I37" s="47"/>
      <c r="J37" s="47"/>
      <c r="K37" s="48" t="s">
        <v>9</v>
      </c>
      <c r="L37" s="49">
        <f>Variables!D9</f>
        <v>274.0</v>
      </c>
      <c r="M37" s="49">
        <f t="shared" si="0" ref="M37:M48">L37*$E$25</f>
        <v>164.4</v>
      </c>
      <c r="N37" s="13"/>
      <c r="P37"/>
    </row>
    <row r="38" spans="8:8" s="45" ht="20.1" customFormat="1" customHeight="1">
      <c r="A38" s="46"/>
      <c r="B38" s="46"/>
      <c r="C38" s="4"/>
      <c r="D38" s="47"/>
      <c r="E38" s="47"/>
      <c r="F38" s="47"/>
      <c r="G38" s="47"/>
      <c r="H38" s="47"/>
      <c r="I38" s="47"/>
      <c r="J38" s="47"/>
      <c r="K38" s="48" t="s">
        <v>10</v>
      </c>
      <c r="L38" s="50">
        <f>Variables!D10</f>
        <v>613.0</v>
      </c>
      <c r="M38" s="50">
        <f t="shared" si="0"/>
        <v>367.8</v>
      </c>
      <c r="N38" s="13"/>
      <c r="P38"/>
    </row>
    <row r="39" spans="8:8" s="45" ht="20.1" customFormat="1" customHeight="1">
      <c r="A39" s="46"/>
      <c r="B39" s="46"/>
      <c r="C39" s="46"/>
      <c r="D39" s="47"/>
      <c r="E39" s="47"/>
      <c r="F39" s="47"/>
      <c r="G39" s="47"/>
      <c r="H39" s="47"/>
      <c r="I39" s="47"/>
      <c r="J39" s="47"/>
      <c r="K39" s="48" t="s">
        <v>11</v>
      </c>
      <c r="L39" s="49">
        <f>Variables!D11</f>
        <v>1063.0</v>
      </c>
      <c r="M39" s="49">
        <f t="shared" si="0"/>
        <v>637.8</v>
      </c>
      <c r="N39" s="13"/>
      <c r="P39"/>
    </row>
    <row r="40" spans="8:8" s="45" ht="20.1" customFormat="1" customHeight="1">
      <c r="A40" s="46"/>
      <c r="B40" s="46"/>
      <c r="C40" s="46"/>
      <c r="D40" s="47"/>
      <c r="E40" s="47"/>
      <c r="F40" s="47"/>
      <c r="G40" s="47"/>
      <c r="H40" s="47"/>
      <c r="I40" s="47"/>
      <c r="J40" s="47"/>
      <c r="K40" s="48" t="s">
        <v>12</v>
      </c>
      <c r="L40" s="50">
        <f>Variables!D12</f>
        <v>2006.0</v>
      </c>
      <c r="M40" s="50">
        <f>L40*$E$25</f>
        <v>1203.6</v>
      </c>
      <c r="N40" s="13"/>
      <c r="P40"/>
    </row>
    <row r="41" spans="8:8" s="45" ht="20.1" customFormat="1" customHeight="1">
      <c r="A41" s="46"/>
      <c r="B41" s="46"/>
      <c r="C41" s="46"/>
      <c r="D41" s="47"/>
      <c r="E41" s="47"/>
      <c r="F41" s="47"/>
      <c r="G41" s="47"/>
      <c r="H41" s="47"/>
      <c r="I41" s="47"/>
      <c r="J41" s="47"/>
      <c r="K41" s="48" t="s">
        <v>8</v>
      </c>
      <c r="L41" s="49">
        <f>Variables!D13</f>
        <v>3222.0</v>
      </c>
      <c r="M41" s="49">
        <f t="shared" si="0"/>
        <v>1933.1999999999998</v>
      </c>
      <c r="N41" s="13"/>
      <c r="P41"/>
    </row>
    <row r="42" spans="8:8" s="45" ht="20.1" customFormat="1" customHeight="1">
      <c r="A42" s="46"/>
      <c r="B42" s="46"/>
      <c r="C42" s="46"/>
      <c r="D42" s="47"/>
      <c r="E42" s="47"/>
      <c r="F42" s="47"/>
      <c r="G42" s="47"/>
      <c r="H42" s="47"/>
      <c r="I42" s="47"/>
      <c r="J42" s="47"/>
      <c r="K42" s="48" t="s">
        <v>13</v>
      </c>
      <c r="L42" s="50">
        <f>Variables!D14</f>
        <v>4160.0</v>
      </c>
      <c r="M42" s="50">
        <f t="shared" si="0"/>
        <v>2496.0</v>
      </c>
      <c r="N42" s="13"/>
      <c r="P42"/>
    </row>
    <row r="43" spans="8:8" s="45" ht="20.1" customFormat="1" customHeight="1">
      <c r="A43" s="46"/>
      <c r="B43" s="46"/>
      <c r="C43" s="46"/>
      <c r="D43" s="47"/>
      <c r="E43" s="47"/>
      <c r="F43" s="47"/>
      <c r="G43" s="47"/>
      <c r="H43" s="47"/>
      <c r="I43" s="47"/>
      <c r="J43" s="47"/>
      <c r="K43" s="48" t="s">
        <v>14</v>
      </c>
      <c r="L43" s="49">
        <f>Variables!D15</f>
        <v>3085.0</v>
      </c>
      <c r="M43" s="49">
        <f t="shared" si="0"/>
        <v>1851.0</v>
      </c>
      <c r="N43" s="13"/>
      <c r="P43"/>
    </row>
    <row r="44" spans="8:8" s="45" ht="20.1" customFormat="1" customHeight="1">
      <c r="A44" s="46"/>
      <c r="B44" s="46"/>
      <c r="C44" s="46"/>
      <c r="D44" s="47"/>
      <c r="E44" s="47"/>
      <c r="F44" s="47"/>
      <c r="G44" s="47"/>
      <c r="H44" s="47"/>
      <c r="I44" s="47"/>
      <c r="J44" s="47"/>
      <c r="K44" s="48" t="s">
        <v>15</v>
      </c>
      <c r="L44" s="50">
        <f>Variables!D16</f>
        <v>3222.0</v>
      </c>
      <c r="M44" s="50">
        <f t="shared" si="0"/>
        <v>1933.1999999999998</v>
      </c>
      <c r="N44" s="13"/>
      <c r="P44"/>
    </row>
    <row r="45" spans="8:8" s="45" ht="20.1" customFormat="1" customHeight="1">
      <c r="A45" s="46"/>
      <c r="B45" s="46"/>
      <c r="C45" s="46"/>
      <c r="D45" s="47"/>
      <c r="E45" s="47"/>
      <c r="F45" s="47"/>
      <c r="G45" s="47"/>
      <c r="H45" s="47"/>
      <c r="I45" s="47"/>
      <c r="J45" s="47"/>
      <c r="K45" s="48" t="s">
        <v>16</v>
      </c>
      <c r="L45" s="49">
        <f>Variables!D17</f>
        <v>3801.0</v>
      </c>
      <c r="M45" s="49">
        <f t="shared" si="0"/>
        <v>2280.6</v>
      </c>
      <c r="N45" s="13"/>
      <c r="P45"/>
    </row>
    <row r="46" spans="8:8" s="45" ht="20.1" customFormat="1" customHeight="1">
      <c r="A46" s="46"/>
      <c r="B46" s="46"/>
      <c r="C46" s="46"/>
      <c r="D46" s="47"/>
      <c r="E46" s="47"/>
      <c r="F46" s="47"/>
      <c r="G46" s="47"/>
      <c r="H46" s="47"/>
      <c r="I46" s="47"/>
      <c r="J46" s="47"/>
      <c r="K46" s="48" t="s">
        <v>17</v>
      </c>
      <c r="L46" s="50">
        <f>Variables!D18</f>
        <v>2715.0</v>
      </c>
      <c r="M46" s="50">
        <f t="shared" si="0"/>
        <v>1629.0</v>
      </c>
      <c r="N46" s="13"/>
      <c r="P46"/>
    </row>
    <row r="47" spans="8:8" s="45" ht="20.1" customFormat="1" customHeight="1">
      <c r="A47" s="46"/>
      <c r="B47" s="46"/>
      <c r="C47" s="46"/>
      <c r="D47" s="47"/>
      <c r="E47" s="47"/>
      <c r="F47" s="47"/>
      <c r="G47" s="47"/>
      <c r="H47" s="47"/>
      <c r="I47" s="47"/>
      <c r="J47" s="47"/>
      <c r="K47" s="48" t="s">
        <v>18</v>
      </c>
      <c r="L47" s="49">
        <f>Variables!D19</f>
        <v>2114.0</v>
      </c>
      <c r="M47" s="49">
        <f t="shared" si="0"/>
        <v>1268.3999999999999</v>
      </c>
      <c r="N47" s="13"/>
      <c r="P47"/>
    </row>
    <row r="48" spans="8:8" s="45" ht="20.1" customFormat="1" customHeight="1">
      <c r="A48" s="46"/>
      <c r="B48" s="46"/>
      <c r="C48" s="46"/>
      <c r="D48" s="47"/>
      <c r="E48" s="47"/>
      <c r="F48" s="47"/>
      <c r="G48" s="47"/>
      <c r="H48" s="47"/>
      <c r="I48" s="47"/>
      <c r="J48" s="47"/>
      <c r="K48" s="48" t="s">
        <v>19</v>
      </c>
      <c r="L48" s="50">
        <f>Variables!D20</f>
        <v>744.0</v>
      </c>
      <c r="M48" s="50">
        <f t="shared" si="0"/>
        <v>446.4</v>
      </c>
      <c r="N48" s="13"/>
      <c r="P48"/>
    </row>
    <row r="49" spans="8:8" ht="15.75">
      <c r="A49"/>
      <c r="B49"/>
      <c r="C49"/>
      <c r="D49" s="43"/>
      <c r="E49" s="43"/>
      <c r="F49" s="43"/>
      <c r="G49" s="43"/>
      <c r="H49" s="43"/>
      <c r="I49" s="43"/>
      <c r="J49" s="43"/>
      <c r="K49" s="43"/>
      <c r="L49" s="43"/>
      <c r="M49" s="51"/>
      <c r="N49" s="52"/>
    </row>
    <row r="50" spans="8:8" ht="31.35" customHeight="1">
      <c r="A50"/>
      <c r="B50"/>
      <c r="C50"/>
      <c r="D50" s="43"/>
      <c r="E50" s="43"/>
      <c r="F50" s="43"/>
      <c r="G50" s="43"/>
      <c r="H50" s="43"/>
      <c r="I50" s="43"/>
      <c r="J50" s="43"/>
      <c r="K50" s="43"/>
      <c r="L50" s="53" t="s">
        <v>29</v>
      </c>
      <c r="M50" s="54" t="s">
        <v>28</v>
      </c>
      <c r="N50" s="55"/>
      <c r="R50" s="56" t="s">
        <v>1</v>
      </c>
      <c r="S50" s="56" t="s">
        <v>131</v>
      </c>
      <c r="T50" s="56" t="s">
        <v>7</v>
      </c>
    </row>
    <row r="51" spans="8:8" ht="15.95" customHeight="1">
      <c r="A51"/>
      <c r="B51"/>
      <c r="C51"/>
      <c r="D51" s="43"/>
      <c r="E51" s="43"/>
      <c r="F51" s="43"/>
      <c r="G51" s="43"/>
      <c r="H51" s="43"/>
      <c r="J51" s="57" t="s">
        <v>1</v>
      </c>
      <c r="K51" s="58"/>
      <c r="L51" s="59">
        <v>0.0</v>
      </c>
      <c r="M51" s="60">
        <f>SUM(M37:M48)</f>
        <v>16211.4</v>
      </c>
      <c r="N51" s="55"/>
      <c r="Q51" s="1" t="s">
        <v>129</v>
      </c>
      <c r="R51" s="61">
        <v>0.0</v>
      </c>
      <c r="S51" s="62">
        <f>E20</f>
        <v>5259.360000000001</v>
      </c>
      <c r="T51" s="62">
        <v>0.0</v>
      </c>
    </row>
    <row r="52" spans="8:8" ht="15.95" customHeight="1">
      <c r="A52"/>
      <c r="B52"/>
      <c r="C52"/>
      <c r="D52" s="43"/>
      <c r="E52" s="43"/>
      <c r="F52" s="43"/>
      <c r="G52" s="43"/>
      <c r="H52" s="43"/>
      <c r="I52" s="57" t="s">
        <v>30</v>
      </c>
      <c r="J52" s="57"/>
      <c r="K52" s="58"/>
      <c r="L52" s="63">
        <f>E20</f>
        <v>5259.360000000001</v>
      </c>
      <c r="M52" s="63">
        <f>E20+(E22*M51)</f>
        <v>10122.779999999999</v>
      </c>
      <c r="N52" s="55"/>
      <c r="Q52" s="1" t="s">
        <v>130</v>
      </c>
      <c r="R52" s="61">
        <f>SUM(M37:M48)</f>
        <v>16211.4</v>
      </c>
      <c r="S52" s="62">
        <f>E20+(E22*M51)</f>
        <v>10122.779999999999</v>
      </c>
      <c r="T52" s="62">
        <f>M51*E24</f>
        <v>12969.12</v>
      </c>
    </row>
    <row r="53" spans="8:8" ht="17.1" customHeight="1">
      <c r="A53"/>
      <c r="B53"/>
      <c r="C53"/>
      <c r="D53" s="43"/>
      <c r="E53" s="43"/>
      <c r="F53" s="43"/>
      <c r="G53" s="43"/>
      <c r="H53" s="43"/>
      <c r="J53" s="57" t="s">
        <v>7</v>
      </c>
      <c r="K53" s="58"/>
      <c r="L53" s="64">
        <v>0.0</v>
      </c>
      <c r="M53" s="65">
        <f>M51*E24</f>
        <v>12969.12</v>
      </c>
      <c r="N53" s="55"/>
    </row>
    <row r="54" spans="8:8" ht="16.5">
      <c r="A54"/>
      <c r="B54"/>
      <c r="C54"/>
      <c r="D54" s="43"/>
      <c r="E54" s="43"/>
      <c r="F54" s="43"/>
      <c r="G54" s="43"/>
      <c r="H54" s="43"/>
      <c r="I54" s="43"/>
      <c r="J54" s="66"/>
      <c r="K54" s="67" t="s">
        <v>33</v>
      </c>
      <c r="L54" s="68"/>
      <c r="M54" s="69">
        <f>M53-M52</f>
        <v>2846.34</v>
      </c>
      <c r="N54" s="55"/>
    </row>
    <row r="55" spans="8:8" ht="15.75">
      <c r="A55"/>
      <c r="B55"/>
      <c r="C55"/>
      <c r="D55" s="43"/>
      <c r="E55" s="43"/>
      <c r="F55" s="43"/>
      <c r="G55" s="43"/>
      <c r="H55" s="43"/>
      <c r="I55" s="57"/>
      <c r="J55" s="57"/>
      <c r="K55" s="67" t="s">
        <v>0</v>
      </c>
      <c r="L55" s="70"/>
      <c r="M55" s="71">
        <f>M54/M53</f>
        <v>0.21947055775565344</v>
      </c>
      <c r="N55" s="55"/>
    </row>
    <row r="56" spans="8:8" ht="15.0"/>
    <row r="57" spans="8:8" ht="15.0"/>
    <row r="58" spans="8:8" ht="15.0"/>
  </sheetData>
  <sheetProtection algorithmName="SHA-512" hashValue="b+RBWWWzT7PvWzzVwd/9DjJpOnB+9DEg63tvClRP4dcQJm199rbCYbJWaVwQZUrVVS9g0hfljosOI5U7goKnfA==" saltValue="owFZLLBIFJ/NNkMhdreRBw==" spinCount="100000" sheet="1" objects="1" scenarios="1" formatCells="0" formatColumns="0" formatRows="0"/>
  <mergeCells count="27">
    <mergeCell ref="K55:L55"/>
    <mergeCell ref="L35:L36"/>
    <mergeCell ref="I52:K52"/>
    <mergeCell ref="J53:K53"/>
    <mergeCell ref="J51:K51"/>
    <mergeCell ref="B24:B25"/>
    <mergeCell ref="B33:O33"/>
    <mergeCell ref="D6:O6"/>
    <mergeCell ref="D30:G30"/>
    <mergeCell ref="K54:L54"/>
    <mergeCell ref="I55:J55"/>
    <mergeCell ref="M35:M36"/>
    <mergeCell ref="D15:F15"/>
    <mergeCell ref="D16:F16"/>
    <mergeCell ref="B1:O1"/>
    <mergeCell ref="B27:B30"/>
    <mergeCell ref="D7:O7"/>
    <mergeCell ref="H22:H26"/>
    <mergeCell ref="D17:E17"/>
    <mergeCell ref="D4:E4"/>
    <mergeCell ref="D12:O12"/>
    <mergeCell ref="D18:E18"/>
    <mergeCell ref="D11:O11"/>
    <mergeCell ref="D10:O10"/>
    <mergeCell ref="D9:O9"/>
    <mergeCell ref="D8:O8"/>
    <mergeCell ref="D13:O13"/>
  </mergeCells>
  <printOptions horizontalCentered="1"/>
  <pageMargins left="0.25" right="0.25" top="0.75" bottom="0.75" header="0.3" footer="0.3"/>
  <pageSetup paperSize="9" scale="64"/>
  <drawing r:id="rId1"/>
</worksheet>
</file>

<file path=xl/worksheets/sheet2.xml><?xml version="1.0" encoding="utf-8"?>
<worksheet xmlns:r="http://schemas.openxmlformats.org/officeDocument/2006/relationships" xmlns="http://schemas.openxmlformats.org/spreadsheetml/2006/main">
  <dimension ref="A1:H12"/>
  <sheetViews>
    <sheetView tabSelected="1" workbookViewId="0" showGridLines="0">
      <selection activeCell="C7" sqref="C7"/>
    </sheetView>
  </sheetViews>
  <sheetFormatPr defaultRowHeight="15.0" defaultColWidth="0" zeroHeight="1"/>
  <cols>
    <col min="1" max="1" customWidth="1" width="2.140625" style="0"/>
    <col min="2" max="2" customWidth="1" width="23.425781" style="0"/>
    <col min="3" max="3" customWidth="1" width="31.140625" style="0"/>
    <col min="4" max="4" customWidth="1" width="27.425781" style="0"/>
    <col min="5" max="5" customWidth="1" width="38.85547" style="0"/>
    <col min="6" max="6" customWidth="1" width="24.855469" style="0"/>
    <col min="7" max="7" customWidth="1" width="2.7109375" style="0"/>
    <col min="8" max="16384" hidden="1" customWidth="0" width="10.855469" style="0"/>
  </cols>
  <sheetData>
    <row r="1" spans="8:8" ht="30.95" customHeight="1">
      <c r="B1" s="72" t="s">
        <v>51</v>
      </c>
      <c r="C1" s="72"/>
      <c r="D1" s="72"/>
      <c r="E1" s="72"/>
      <c r="F1" s="72"/>
    </row>
    <row r="2" spans="8:8" ht="18.75">
      <c r="B2" s="73" t="s">
        <v>132</v>
      </c>
      <c r="C2" s="73"/>
      <c r="D2" s="73"/>
      <c r="E2" s="73"/>
      <c r="F2" s="73"/>
    </row>
    <row r="3" spans="8:8" ht="15.0">
      <c r="B3" s="74"/>
      <c r="C3" s="74"/>
      <c r="D3" s="74"/>
      <c r="E3" s="74"/>
      <c r="F3" s="74"/>
    </row>
    <row r="4" spans="8:8" ht="20.25">
      <c r="B4" s="75" t="s">
        <v>52</v>
      </c>
      <c r="C4" s="76" t="s">
        <v>53</v>
      </c>
      <c r="D4" s="76"/>
      <c r="E4" s="76"/>
      <c r="F4" s="76"/>
    </row>
    <row r="5" spans="8:8" ht="56.25">
      <c r="B5" s="77" t="s">
        <v>54</v>
      </c>
      <c r="C5" s="78" t="s">
        <v>86</v>
      </c>
      <c r="D5" s="79"/>
      <c r="E5" s="80"/>
      <c r="F5" s="78" t="s">
        <v>83</v>
      </c>
    </row>
    <row r="6" spans="8:8" ht="75.0">
      <c r="B6" s="81" t="s">
        <v>55</v>
      </c>
      <c r="C6" s="78" t="s">
        <v>133</v>
      </c>
      <c r="D6" s="78" t="s">
        <v>56</v>
      </c>
      <c r="E6" s="78" t="s">
        <v>57</v>
      </c>
      <c r="F6" s="78" t="s">
        <v>83</v>
      </c>
    </row>
    <row r="7" spans="8:8" ht="147.0" customHeight="1">
      <c r="B7" s="82" t="s">
        <v>76</v>
      </c>
      <c r="C7" s="83" t="s">
        <v>80</v>
      </c>
      <c r="D7" s="83" t="s">
        <v>82</v>
      </c>
      <c r="E7" s="83" t="s">
        <v>81</v>
      </c>
      <c r="F7" s="78" t="s">
        <v>84</v>
      </c>
    </row>
    <row r="8" spans="8:8" ht="75.0">
      <c r="B8" s="84" t="s">
        <v>87</v>
      </c>
      <c r="C8" s="83" t="s">
        <v>61</v>
      </c>
      <c r="D8" s="83" t="s">
        <v>62</v>
      </c>
      <c r="E8" s="83" t="s">
        <v>63</v>
      </c>
      <c r="F8" s="83" t="s">
        <v>83</v>
      </c>
    </row>
    <row r="9" spans="8:8" ht="15.0"/>
    <row r="10" spans="8:8" ht="15.0"/>
    <row r="11" spans="8:8" ht="15.0"/>
    <row r="12" spans="8:8" ht="15.0"/>
  </sheetData>
  <sheetProtection algorithmName="SHA-512" hashValue="ZqLZ3b3FR8u+Qlu3ImpIIYZ0D6Cs3E63XUqCJzNhCDK+KpDgKgC0lrqJ8r0odfc7EjrUbpNLMQ8x2ZCLQpuVxw==" saltValue="DXWwf7xaPXGlSSY+Xz6wtQ==" spinCount="100000" sheet="1" objects="1" scenarios="1" selectLockedCells="1" selectUnlockedCells="1"/>
  <mergeCells count="4">
    <mergeCell ref="B1:F1"/>
    <mergeCell ref="B2:F2"/>
    <mergeCell ref="C4:F4"/>
    <mergeCell ref="D5:E5"/>
  </mergeCells>
  <conditionalFormatting sqref="B6:C6">
    <cfRule type="expression" priority="29" dxfId="0">
      <formula>Variables!$D$29=4</formula>
    </cfRule>
  </conditionalFormatting>
  <conditionalFormatting sqref="B8 F8">
    <cfRule type="expression" priority="56" dxfId="1">
      <formula>Variables!$I$29=1</formula>
    </cfRule>
  </conditionalFormatting>
  <conditionalFormatting sqref="B8 E8">
    <cfRule type="expression" priority="54" dxfId="2">
      <formula>Variables!$I$29=2</formula>
    </cfRule>
  </conditionalFormatting>
  <conditionalFormatting sqref="B6 F6">
    <cfRule type="expression" priority="40" dxfId="3">
      <formula>Variables!$D$29=1</formula>
    </cfRule>
  </conditionalFormatting>
  <conditionalFormatting sqref="B7 E7">
    <cfRule type="expression" priority="49" dxfId="4">
      <formula>Variables!$H$29=2</formula>
    </cfRule>
  </conditionalFormatting>
  <conditionalFormatting sqref="B5 F5">
    <cfRule type="expression" priority="2" dxfId="5">
      <formula>Variables!$C$29=1</formula>
    </cfRule>
  </conditionalFormatting>
  <conditionalFormatting sqref="B6 D6">
    <cfRule type="expression" priority="36" dxfId="6">
      <formula>Variables!$D$29=3</formula>
    </cfRule>
  </conditionalFormatting>
  <conditionalFormatting sqref="B6 E6">
    <cfRule type="expression" priority="38" dxfId="7">
      <formula>Variables!$D$29=2</formula>
    </cfRule>
  </conditionalFormatting>
  <conditionalFormatting sqref="B7 F7">
    <cfRule type="expression" priority="51" dxfId="8">
      <formula>Variables!$H$29=1</formula>
    </cfRule>
  </conditionalFormatting>
  <conditionalFormatting sqref="B8 D8">
    <cfRule type="expression" priority="52" dxfId="9">
      <formula>Variables!$I$29=3</formula>
    </cfRule>
  </conditionalFormatting>
  <conditionalFormatting sqref="B5:C5">
    <cfRule type="expression" priority="28" dxfId="10">
      <formula>Variables!$C$29=4</formula>
    </cfRule>
  </conditionalFormatting>
  <conditionalFormatting sqref="B7 D7">
    <cfRule type="expression" priority="47" dxfId="11">
      <formula>Variables!$H$29=3</formula>
    </cfRule>
  </conditionalFormatting>
  <conditionalFormatting sqref="B8:C8">
    <cfRule type="expression" priority="30" dxfId="12">
      <formula>Variables!$I$29=4</formula>
    </cfRule>
  </conditionalFormatting>
  <conditionalFormatting sqref="B7:C7">
    <cfRule type="expression" priority="33" dxfId="13">
      <formula>Variables!$H$29=4</formula>
    </cfRule>
  </conditionalFormatting>
  <pageMargins left="0.7" right="0.7" top="0.75" bottom="0.75" header="0.3" footer="0.3"/>
</worksheet>
</file>

<file path=xl/worksheets/sheet3.xml><?xml version="1.0" encoding="utf-8"?>
<worksheet xmlns:r="http://schemas.openxmlformats.org/officeDocument/2006/relationships" xmlns="http://schemas.openxmlformats.org/spreadsheetml/2006/main">
  <dimension ref="B1:T43"/>
  <sheetViews>
    <sheetView workbookViewId="0" topLeftCell="B1" showGridLines="0" zoomScale="99">
      <selection activeCell="N10" sqref="N10:O10"/>
    </sheetView>
  </sheetViews>
  <sheetFormatPr defaultRowHeight="15.0" defaultColWidth="0" zeroHeight="1"/>
  <cols>
    <col min="1" max="1" customWidth="1" width="3.4257812" style="0"/>
    <col min="2" max="13" customWidth="1" width="10.855469" style="0"/>
    <col min="14" max="14" customWidth="1" width="16.425781" style="0"/>
    <col min="15" max="15" customWidth="1" width="16.140625" style="0"/>
    <col min="16" max="16" customWidth="1" width="10.855469" style="0"/>
    <col min="17" max="17" customWidth="1" width="5.140625" style="0"/>
    <col min="18" max="18" customWidth="1" width="6.8554688" style="0"/>
    <col min="19" max="16382" customWidth="1" width="10.855469" style="0"/>
    <col min="16383" max="16383" customWidth="1" width="13.0" style="0"/>
    <col min="16384" max="16384" customWidth="1" width="9.285156" style="0"/>
  </cols>
  <sheetData>
    <row r="1" spans="8:8" ht="27.0">
      <c r="B1" s="85" t="s">
        <v>73</v>
      </c>
      <c r="C1" s="85"/>
      <c r="D1" s="85"/>
      <c r="E1" s="85"/>
      <c r="F1" s="85"/>
      <c r="G1" s="85"/>
      <c r="H1" s="85"/>
      <c r="I1" s="85"/>
      <c r="J1" s="85"/>
      <c r="K1" s="85"/>
      <c r="L1" s="85"/>
      <c r="M1" s="85"/>
      <c r="N1" s="85"/>
      <c r="O1" s="85"/>
    </row>
    <row r="2" spans="8:8" ht="15.0">
      <c r="R2" t="s">
        <v>120</v>
      </c>
      <c r="S2" t="s">
        <v>36</v>
      </c>
    </row>
    <row r="3" spans="8:8" ht="26.25">
      <c r="B3" s="86">
        <v>2.0</v>
      </c>
      <c r="C3" s="86"/>
      <c r="D3" s="86"/>
      <c r="E3" s="87"/>
      <c r="F3" s="87"/>
      <c r="G3" s="86">
        <v>1.0</v>
      </c>
      <c r="H3" s="86"/>
      <c r="I3" s="86"/>
      <c r="J3" s="86"/>
      <c r="K3" s="87"/>
      <c r="L3" s="86">
        <v>3.0</v>
      </c>
      <c r="M3" s="86"/>
      <c r="N3" s="86"/>
      <c r="O3" s="86"/>
      <c r="P3" s="86"/>
      <c r="R3" t="s">
        <v>94</v>
      </c>
      <c r="S3">
        <f>CODE(R3)</f>
        <v>65.0</v>
      </c>
    </row>
    <row r="4" spans="8:8" ht="26.1" customHeight="1">
      <c r="B4" s="88" t="s">
        <v>88</v>
      </c>
      <c r="C4" s="88"/>
      <c r="D4" s="88"/>
      <c r="E4" s="87"/>
      <c r="F4" s="87"/>
      <c r="G4" s="89" t="s">
        <v>89</v>
      </c>
      <c r="H4" s="89"/>
      <c r="I4" s="89"/>
      <c r="J4" s="89"/>
      <c r="K4" s="87"/>
      <c r="L4" s="90" t="s">
        <v>90</v>
      </c>
      <c r="M4" s="91"/>
      <c r="N4" s="91"/>
      <c r="O4" s="91"/>
      <c r="P4" s="91"/>
      <c r="R4" t="s">
        <v>95</v>
      </c>
      <c r="S4">
        <f t="shared" si="0" ref="S4:S28">CODE(R4)</f>
        <v>66.0</v>
      </c>
    </row>
    <row r="5" spans="8:8" ht="26.25">
      <c r="B5" s="88"/>
      <c r="C5" s="88"/>
      <c r="D5" s="88"/>
      <c r="E5" s="87"/>
      <c r="F5" s="87"/>
      <c r="G5" s="89"/>
      <c r="H5" s="89"/>
      <c r="I5" s="89"/>
      <c r="J5" s="89"/>
      <c r="K5" s="87"/>
      <c r="L5" s="91"/>
      <c r="M5" s="91"/>
      <c r="N5" s="91"/>
      <c r="O5" s="91"/>
      <c r="P5" s="91"/>
      <c r="R5" t="s">
        <v>96</v>
      </c>
      <c r="S5">
        <f t="shared" si="0"/>
        <v>67.0</v>
      </c>
    </row>
    <row r="6" spans="8:8" ht="64.5" customHeight="1">
      <c r="B6" s="88"/>
      <c r="C6" s="88"/>
      <c r="D6" s="88"/>
      <c r="G6" s="92"/>
      <c r="H6" s="92"/>
      <c r="I6" s="92"/>
      <c r="J6" s="92"/>
      <c r="L6" s="91"/>
      <c r="M6" s="91"/>
      <c r="N6" s="91"/>
      <c r="O6" s="91"/>
      <c r="P6" s="91"/>
      <c r="R6" t="s">
        <v>97</v>
      </c>
      <c r="S6">
        <f t="shared" si="0"/>
        <v>68.0</v>
      </c>
    </row>
    <row r="7" spans="8:8" ht="31.5">
      <c r="B7" s="43"/>
      <c r="C7" s="93" t="s">
        <v>37</v>
      </c>
      <c r="D7" s="93" t="s">
        <v>38</v>
      </c>
      <c r="G7" s="94" t="s">
        <v>34</v>
      </c>
      <c r="H7" s="95" t="str">
        <f>'Break-Even Analysis'!D4</f>
        <v>MEANA</v>
      </c>
      <c r="I7" s="96"/>
      <c r="J7" s="97"/>
      <c r="L7" s="98"/>
      <c r="M7" s="99" t="s">
        <v>46</v>
      </c>
      <c r="N7" s="100" t="s">
        <v>47</v>
      </c>
      <c r="O7" s="100"/>
      <c r="P7" s="101" t="s">
        <v>67</v>
      </c>
      <c r="R7" t="s">
        <v>98</v>
      </c>
      <c r="S7">
        <f t="shared" si="0"/>
        <v>69.0</v>
      </c>
    </row>
    <row r="8" spans="8:8" ht="63.0">
      <c r="B8" s="43"/>
      <c r="C8" s="102"/>
      <c r="D8" s="102"/>
      <c r="G8" s="94" t="s">
        <v>35</v>
      </c>
      <c r="H8" s="103" t="str">
        <f>UPPER(MID(H7,1,1))</f>
        <v>M</v>
      </c>
      <c r="I8" s="103" t="str">
        <f>UPPER(IF(MID(H7,2,1)="","a",MID(H7,2,1)))</f>
        <v>E</v>
      </c>
      <c r="J8" s="103" t="str">
        <f>UPPER(IF(MID(H7,3,1)="","b",MID(H7,3,1)))</f>
        <v>A</v>
      </c>
      <c r="L8" s="5" t="s">
        <v>21</v>
      </c>
      <c r="M8" s="104">
        <f>ROUND('Break-Even Analysis'!E20,2)</f>
        <v>5259.36</v>
      </c>
      <c r="N8" s="105" t="str">
        <f>IF(M8=P8,"Correct Answer","Wrong Answer")</f>
        <v>Correct Answer</v>
      </c>
      <c r="O8" s="106"/>
      <c r="P8" s="107">
        <f>ROUND(SUM(J14:J15)*12,2)</f>
        <v>5259.36</v>
      </c>
      <c r="R8" t="s">
        <v>99</v>
      </c>
      <c r="S8">
        <f t="shared" si="0"/>
        <v>70.0</v>
      </c>
    </row>
    <row r="9" spans="8:8" ht="31.5">
      <c r="B9" s="48" t="s">
        <v>9</v>
      </c>
      <c r="C9" s="108">
        <v>254.0</v>
      </c>
      <c r="D9" s="108">
        <f t="shared" si="1" ref="D9:D20">ROUND(C9*(($H$10/100)+1),0)</f>
        <v>274.0</v>
      </c>
      <c r="G9" s="94" t="s">
        <v>36</v>
      </c>
      <c r="H9" s="103" t="str">
        <f>(RIGHT(CODE(H8),1))</f>
        <v>7</v>
      </c>
      <c r="I9" s="103" t="str">
        <f>(RIGHT(CODE(I8),1))</f>
        <v>9</v>
      </c>
      <c r="J9" s="103" t="str">
        <f>(RIGHT(CODE(J8),1))</f>
        <v>5</v>
      </c>
      <c r="L9" s="5"/>
      <c r="M9" s="109"/>
      <c r="R9" t="s">
        <v>100</v>
      </c>
      <c r="S9">
        <f t="shared" si="0"/>
        <v>71.0</v>
      </c>
    </row>
    <row r="10" spans="8:8" ht="33.95" customHeight="1">
      <c r="B10" s="48" t="s">
        <v>10</v>
      </c>
      <c r="C10" s="110">
        <v>568.0</v>
      </c>
      <c r="D10" s="110">
        <f t="shared" si="1"/>
        <v>613.0</v>
      </c>
      <c r="G10" s="111" t="s">
        <v>39</v>
      </c>
      <c r="H10" s="112">
        <f>(CONCATENATE(H9,I9,J9)/100)</f>
        <v>7.95</v>
      </c>
      <c r="I10" s="113"/>
      <c r="J10" s="114"/>
      <c r="L10" s="5" t="s">
        <v>3</v>
      </c>
      <c r="M10" s="104">
        <f>'Break-Even Analysis'!E24</f>
        <v>0.8</v>
      </c>
      <c r="N10" s="115" t="str">
        <f>IF(AND(M10&gt;=M20,M10&lt;=N20),"The price estimate is correct and in the optimal price range","The estimate is wrong")</f>
        <v>The price estimate is correct and in the optimal price range</v>
      </c>
      <c r="O10" s="116"/>
      <c r="R10" t="s">
        <v>101</v>
      </c>
      <c r="S10">
        <f t="shared" si="0"/>
        <v>72.0</v>
      </c>
    </row>
    <row r="11" spans="8:8" ht="51.6" customHeight="1">
      <c r="B11" s="48" t="s">
        <v>11</v>
      </c>
      <c r="C11" s="108">
        <v>985.0</v>
      </c>
      <c r="D11" s="108">
        <f t="shared" si="1"/>
        <v>1063.0</v>
      </c>
      <c r="G11" s="117"/>
      <c r="H11" s="118"/>
      <c r="I11" s="119"/>
      <c r="J11" s="120"/>
      <c r="L11" s="5" t="s">
        <v>2</v>
      </c>
      <c r="M11" s="121">
        <f>'Break-Even Analysis'!E25</f>
        <v>0.6</v>
      </c>
      <c r="N11" s="115" t="str">
        <f>IF(AND(M11&gt;=(-110*M10+144)/100,M11&lt;=(-110*M10+154)/100),"The percent of demand corresponds to the price-value on the percent demand line.","The percent of demand does not correspond with the price-value on the percent demand line.")</f>
        <v>The percent of demand corresponds to the price-value on the percent demand line.</v>
      </c>
      <c r="O11" s="116"/>
      <c r="R11" t="s">
        <v>102</v>
      </c>
      <c r="S11">
        <f t="shared" si="0"/>
        <v>73.0</v>
      </c>
    </row>
    <row r="12" spans="8:8" ht="15.75">
      <c r="B12" s="48" t="s">
        <v>12</v>
      </c>
      <c r="C12" s="110">
        <v>1858.0</v>
      </c>
      <c r="D12" s="110">
        <f t="shared" si="1"/>
        <v>2006.0</v>
      </c>
      <c r="L12" s="5"/>
      <c r="M12" s="24"/>
      <c r="R12" t="s">
        <v>103</v>
      </c>
      <c r="S12">
        <f t="shared" si="0"/>
        <v>74.0</v>
      </c>
    </row>
    <row r="13" spans="8:8" ht="15.75">
      <c r="B13" s="48" t="s">
        <v>8</v>
      </c>
      <c r="C13" s="108">
        <v>2985.0</v>
      </c>
      <c r="D13" s="108">
        <f t="shared" si="1"/>
        <v>3222.0</v>
      </c>
      <c r="I13" s="122" t="s">
        <v>40</v>
      </c>
      <c r="J13" s="122" t="s">
        <v>41</v>
      </c>
      <c r="L13" s="5" t="s">
        <v>20</v>
      </c>
      <c r="M13" s="123">
        <f>ROUND('Break-Even Analysis'!E27,0)</f>
        <v>10519.0</v>
      </c>
      <c r="N13" s="105" t="str">
        <f>IF(M13=P13,"Correct Answer","Wrong Answer")</f>
        <v>Correct Answer</v>
      </c>
      <c r="O13" s="106"/>
      <c r="P13" s="124">
        <f>ROUND(P8/(M10-0.3),0)</f>
        <v>10519.0</v>
      </c>
      <c r="R13" t="s">
        <v>104</v>
      </c>
      <c r="S13">
        <f t="shared" si="0"/>
        <v>75.0</v>
      </c>
    </row>
    <row r="14" spans="8:8" ht="15.75">
      <c r="B14" s="48" t="s">
        <v>13</v>
      </c>
      <c r="C14" s="110">
        <v>3854.0</v>
      </c>
      <c r="D14" s="110">
        <f t="shared" si="1"/>
        <v>4160.0</v>
      </c>
      <c r="G14" s="125" t="s">
        <v>26</v>
      </c>
      <c r="H14" s="125"/>
      <c r="I14" s="126">
        <v>300.0</v>
      </c>
      <c r="J14" s="126">
        <f>ROUND(I14*(1+($H$10/100)),2)</f>
        <v>323.85</v>
      </c>
      <c r="R14" t="s">
        <v>105</v>
      </c>
      <c r="S14">
        <f t="shared" si="0"/>
        <v>76.0</v>
      </c>
    </row>
    <row r="15" spans="8:8" ht="15.75">
      <c r="B15" s="48" t="s">
        <v>14</v>
      </c>
      <c r="C15" s="108">
        <v>2858.0</v>
      </c>
      <c r="D15" s="108">
        <f t="shared" si="1"/>
        <v>3085.0</v>
      </c>
      <c r="G15" s="127" t="s">
        <v>27</v>
      </c>
      <c r="H15" s="127"/>
      <c r="I15" s="126">
        <v>106.0</v>
      </c>
      <c r="J15" s="126">
        <f>ROUND(I15*(1+($H$10/100)),2)</f>
        <v>114.43</v>
      </c>
      <c r="M15" s="107" t="s">
        <v>49</v>
      </c>
      <c r="N15" s="107">
        <v>0.83</v>
      </c>
      <c r="R15" t="s">
        <v>106</v>
      </c>
      <c r="S15">
        <f t="shared" si="0"/>
        <v>77.0</v>
      </c>
    </row>
    <row r="16" spans="8:8" ht="30.0">
      <c r="B16" s="48" t="s">
        <v>15</v>
      </c>
      <c r="C16" s="110">
        <v>2985.0</v>
      </c>
      <c r="D16" s="110">
        <f t="shared" si="1"/>
        <v>3222.0</v>
      </c>
      <c r="M16" s="128" t="s">
        <v>50</v>
      </c>
      <c r="N16" s="129">
        <v>0.58</v>
      </c>
      <c r="R16" t="s">
        <v>107</v>
      </c>
      <c r="S16">
        <f t="shared" si="0"/>
        <v>78.0</v>
      </c>
    </row>
    <row r="17" spans="8:8" ht="15.75">
      <c r="B17" s="48" t="s">
        <v>16</v>
      </c>
      <c r="C17" s="108">
        <v>3521.0</v>
      </c>
      <c r="D17" s="108">
        <f t="shared" si="1"/>
        <v>3801.0</v>
      </c>
      <c r="R17" t="s">
        <v>108</v>
      </c>
      <c r="S17">
        <f t="shared" si="0"/>
        <v>79.0</v>
      </c>
    </row>
    <row r="18" spans="8:8" ht="15.75">
      <c r="B18" s="48" t="s">
        <v>17</v>
      </c>
      <c r="C18" s="110">
        <v>2515.0</v>
      </c>
      <c r="D18" s="110">
        <f t="shared" si="1"/>
        <v>2715.0</v>
      </c>
      <c r="L18" s="5"/>
      <c r="M18" s="130" t="s">
        <v>48</v>
      </c>
      <c r="N18" s="131"/>
      <c r="P18" s="132"/>
      <c r="R18" t="s">
        <v>109</v>
      </c>
      <c r="S18">
        <f t="shared" si="0"/>
        <v>80.0</v>
      </c>
    </row>
    <row r="19" spans="8:8" ht="15.75">
      <c r="B19" s="48" t="s">
        <v>18</v>
      </c>
      <c r="C19" s="108">
        <v>1958.0</v>
      </c>
      <c r="D19" s="108">
        <f t="shared" si="1"/>
        <v>2114.0</v>
      </c>
      <c r="L19" s="5"/>
      <c r="M19" s="133" t="s">
        <v>44</v>
      </c>
      <c r="N19" s="134" t="s">
        <v>45</v>
      </c>
      <c r="R19" t="s">
        <v>110</v>
      </c>
      <c r="S19">
        <f t="shared" si="0"/>
        <v>81.0</v>
      </c>
    </row>
    <row r="20" spans="8:8" ht="15.75">
      <c r="B20" s="48" t="s">
        <v>19</v>
      </c>
      <c r="C20" s="110">
        <v>689.0</v>
      </c>
      <c r="D20" s="110">
        <f t="shared" si="1"/>
        <v>744.0</v>
      </c>
      <c r="L20" s="135" t="s">
        <v>3</v>
      </c>
      <c r="M20" s="136">
        <f>N15*0.9</f>
        <v>0.747</v>
      </c>
      <c r="N20" s="136">
        <f>N15*1.1</f>
        <v>0.913</v>
      </c>
      <c r="R20" t="s">
        <v>111</v>
      </c>
      <c r="S20">
        <f t="shared" si="0"/>
        <v>82.0</v>
      </c>
    </row>
    <row r="21" spans="8:8" ht="15.0">
      <c r="R21" t="s">
        <v>112</v>
      </c>
      <c r="S21">
        <f t="shared" si="0"/>
        <v>83.0</v>
      </c>
    </row>
    <row r="22" spans="8:8" ht="15.0">
      <c r="R22" t="s">
        <v>113</v>
      </c>
      <c r="S22">
        <f t="shared" si="0"/>
        <v>84.0</v>
      </c>
    </row>
    <row r="23" spans="8:8" ht="27.0">
      <c r="B23" s="85" t="s">
        <v>74</v>
      </c>
      <c r="C23" s="85"/>
      <c r="D23" s="85"/>
      <c r="E23" s="85"/>
      <c r="F23" s="85"/>
      <c r="G23" s="85"/>
      <c r="H23" s="85"/>
      <c r="I23" s="85"/>
      <c r="J23" s="85"/>
      <c r="K23" s="85"/>
      <c r="L23" s="85"/>
      <c r="M23" s="85"/>
      <c r="N23" s="85"/>
      <c r="O23" s="85"/>
      <c r="R23" t="s">
        <v>114</v>
      </c>
      <c r="S23">
        <f t="shared" si="0"/>
        <v>85.0</v>
      </c>
    </row>
    <row r="24" spans="8:8" ht="26.25">
      <c r="B24" s="87"/>
      <c r="C24" s="87"/>
      <c r="D24" s="87"/>
      <c r="E24" s="87"/>
      <c r="F24" s="87"/>
      <c r="G24" s="87"/>
      <c r="H24" s="87"/>
      <c r="I24" s="87"/>
      <c r="J24" s="87"/>
      <c r="K24" s="87"/>
      <c r="R24" t="s">
        <v>115</v>
      </c>
      <c r="S24">
        <f t="shared" si="0"/>
        <v>86.0</v>
      </c>
    </row>
    <row r="25" spans="8:8" ht="26.25">
      <c r="B25" s="86">
        <v>4.0</v>
      </c>
      <c r="C25" s="86"/>
      <c r="D25" s="86"/>
      <c r="E25" s="86"/>
      <c r="F25" s="86"/>
      <c r="G25" s="86"/>
      <c r="H25" s="86"/>
      <c r="I25" s="86"/>
      <c r="J25" s="86"/>
      <c r="K25" s="137"/>
      <c r="L25" s="138" t="s">
        <v>91</v>
      </c>
      <c r="M25" s="138"/>
      <c r="N25" s="138"/>
      <c r="O25" s="138"/>
      <c r="R25" t="s">
        <v>116</v>
      </c>
      <c r="S25">
        <f t="shared" si="0"/>
        <v>87.0</v>
      </c>
    </row>
    <row r="26" spans="8:8" ht="26.1" customHeight="1">
      <c r="B26" s="139" t="s">
        <v>92</v>
      </c>
      <c r="C26" s="139"/>
      <c r="D26" s="139"/>
      <c r="E26" s="139"/>
      <c r="F26" s="139"/>
      <c r="G26" s="139"/>
      <c r="H26" s="139"/>
      <c r="I26" s="139"/>
      <c r="J26" s="139"/>
      <c r="K26" s="140"/>
      <c r="L26" s="141" t="s">
        <v>93</v>
      </c>
      <c r="M26" s="141"/>
      <c r="N26" s="141"/>
      <c r="O26" s="141"/>
      <c r="R26" t="s">
        <v>117</v>
      </c>
      <c r="S26">
        <f t="shared" si="0"/>
        <v>88.0</v>
      </c>
    </row>
    <row r="27" spans="8:8" ht="26.25">
      <c r="B27" s="87"/>
      <c r="C27" s="87"/>
      <c r="D27" s="87"/>
      <c r="E27" s="87"/>
      <c r="F27" s="87"/>
      <c r="G27" s="87"/>
      <c r="H27" s="87"/>
      <c r="I27" s="87"/>
      <c r="J27" s="87"/>
      <c r="K27" s="87"/>
      <c r="L27" s="141"/>
      <c r="M27" s="141"/>
      <c r="N27" s="141"/>
      <c r="O27" s="141"/>
      <c r="R27" t="s">
        <v>118</v>
      </c>
      <c r="S27">
        <f t="shared" si="0"/>
        <v>89.0</v>
      </c>
    </row>
    <row r="28" spans="8:8" ht="47.25">
      <c r="B28" s="142" t="s">
        <v>64</v>
      </c>
      <c r="C28" s="143" t="s">
        <v>54</v>
      </c>
      <c r="D28" s="143" t="s">
        <v>55</v>
      </c>
      <c r="E28" s="144" t="s">
        <v>58</v>
      </c>
      <c r="F28" s="144"/>
      <c r="G28" s="143" t="s">
        <v>59</v>
      </c>
      <c r="H28" s="143" t="s">
        <v>76</v>
      </c>
      <c r="I28" s="145" t="s">
        <v>60</v>
      </c>
      <c r="R28" t="s">
        <v>119</v>
      </c>
      <c r="S28">
        <f t="shared" si="0"/>
        <v>90.0</v>
      </c>
    </row>
    <row r="29" spans="8:8" ht="15.75">
      <c r="B29" s="146" t="s">
        <v>65</v>
      </c>
      <c r="C29" s="147">
        <f>IF(C31=TRUE,4,1)</f>
        <v>4.0</v>
      </c>
      <c r="D29" s="147">
        <f>IF(AND(D31,D33),4,IF(AND(D31,D33=FALSE),3,IF(AND(D31=FALSE,D35),2,1)))</f>
        <v>4.0</v>
      </c>
      <c r="E29" s="148">
        <f>IF(AND(E31,E33),4,IF(AND(E31=FALSE,E33=TRUE),2,1))</f>
        <v>4.0</v>
      </c>
      <c r="F29" s="148"/>
      <c r="G29" s="147">
        <f>IF(AND(G31,G33),4,IF(AND(G31=FALSE,G33),2,1))</f>
        <v>4.0</v>
      </c>
      <c r="H29" s="147">
        <f>IF(AND(H31,H33),4,IF(H35,3,IF(H37,2,IF(H39,1))))</f>
        <v>4.0</v>
      </c>
      <c r="I29" s="147">
        <f>IF(AND(I31,I33),4,IF(AND(I31,I33=FALSE),3,IF(AND(I31=FALSE,I35),2,1)))</f>
        <v>4.0</v>
      </c>
      <c r="J29" s="149" t="s">
        <v>75</v>
      </c>
      <c r="K29" s="150"/>
      <c r="L29" s="150"/>
      <c r="M29" s="150"/>
    </row>
    <row r="30" spans="8:8" ht="15.0">
      <c r="C30" s="151" t="s">
        <v>66</v>
      </c>
      <c r="D30" s="151" t="s">
        <v>67</v>
      </c>
      <c r="E30" s="152" t="s">
        <v>72</v>
      </c>
      <c r="F30" s="152"/>
      <c r="G30" s="151" t="s">
        <v>70</v>
      </c>
      <c r="H30" s="153" t="s">
        <v>77</v>
      </c>
      <c r="I30" s="151" t="s">
        <v>67</v>
      </c>
    </row>
    <row r="31" spans="8:8" ht="15.0">
      <c r="C31" s="154" t="b">
        <f>IF(OR(ISBLANK('Break-Even Analysis'!D4),'Break-Even Analysis'!D4="Enter the Refreshing Drink's name here"),FALSE,TRUE)</f>
        <v>1</v>
      </c>
      <c r="D31" s="155" t="b">
        <f>IF(AND(Variables!M8&gt;=Variables!P8-0.01,Variables!M8&lt;=Variables!P8+0.01),TRUE,FALSE)</f>
        <v>1</v>
      </c>
      <c r="E31" s="156" t="b">
        <f>IF(AND(Variables!M10&gt;=Variables!M20,Variables!M10&lt;=Variables!N20),TRUE,FALSE)</f>
        <v>1</v>
      </c>
      <c r="F31" s="156"/>
      <c r="G31" t="b">
        <f>IF(AND(Variables!M11&gt;=(-110*Variables!M10+144)/100,Variables!M11&lt;=(-110*Variables!M10+154)/100),TRUE,FALSE)</f>
        <v>1</v>
      </c>
      <c r="H31" t="b">
        <f>G31</f>
        <v>1</v>
      </c>
      <c r="I31" s="155" t="b">
        <f>IF(AND(Variables!M13&gt;=Variables!P13-0.01,Variables!M13&lt;=Variables!P13+0.01),TRUE,FALSE)</f>
        <v>1</v>
      </c>
      <c r="J31" s="157"/>
    </row>
    <row r="32" spans="8:8" ht="15.0">
      <c r="B32" s="158"/>
      <c r="C32" s="159"/>
      <c r="D32" s="160" t="s">
        <v>68</v>
      </c>
      <c r="E32" s="161" t="s">
        <v>69</v>
      </c>
      <c r="F32" s="161"/>
      <c r="G32" s="151" t="s">
        <v>69</v>
      </c>
      <c r="H32" s="153" t="s">
        <v>72</v>
      </c>
      <c r="I32" s="160" t="s">
        <v>71</v>
      </c>
      <c r="J32" s="162"/>
      <c r="K32" s="163"/>
      <c r="L32" s="163"/>
    </row>
    <row r="33" spans="8:8" ht="15.75">
      <c r="B33" s="164"/>
      <c r="C33" s="159"/>
      <c r="D33" s="165" t="b">
        <v>1</v>
      </c>
      <c r="E33" s="156" t="b">
        <f>IF(ISNUMBER('Break-Even Analysis'!$E$24),TRUE,FALSE)</f>
        <v>1</v>
      </c>
      <c r="F33" s="156"/>
      <c r="G33" s="155" t="b">
        <f>IF(ISNUMBER('Break-Even Analysis'!E25),TRUE,FALSE)</f>
        <v>1</v>
      </c>
      <c r="H33" t="b">
        <f>E31</f>
        <v>1</v>
      </c>
      <c r="I33" s="165" t="b">
        <v>1</v>
      </c>
    </row>
    <row r="34" spans="8:8" ht="15.0">
      <c r="B34" s="166"/>
      <c r="C34" s="159"/>
      <c r="D34" s="151" t="s">
        <v>69</v>
      </c>
      <c r="E34" s="156"/>
      <c r="F34" s="156"/>
      <c r="G34" s="101"/>
      <c r="H34" s="151" t="s">
        <v>78</v>
      </c>
      <c r="I34" s="151" t="s">
        <v>69</v>
      </c>
    </row>
    <row r="35" spans="8:8" ht="15.0">
      <c r="B35" s="166"/>
      <c r="C35" s="159"/>
      <c r="D35" s="155" t="b">
        <f>IF(ISNUMBER('Break-Even Analysis'!E20),TRUE,FALSE)</f>
        <v>1</v>
      </c>
      <c r="E35" s="155"/>
      <c r="F35" s="155"/>
      <c r="G35" s="155"/>
      <c r="H35" t="b">
        <v>0</v>
      </c>
      <c r="I35" t="b">
        <f>IF(ISNUMBER('Break-Even Analysis'!E27),TRUE,FALSE)</f>
        <v>1</v>
      </c>
    </row>
    <row r="36" spans="8:8" ht="72.75">
      <c r="B36" s="166"/>
      <c r="C36" s="159"/>
      <c r="D36" s="155"/>
      <c r="E36" s="155"/>
      <c r="F36" s="155"/>
      <c r="G36" s="155"/>
      <c r="H36" s="167" t="s">
        <v>79</v>
      </c>
    </row>
    <row r="37" spans="8:8" ht="15.0">
      <c r="B37" s="166"/>
      <c r="C37" s="159"/>
      <c r="D37" s="155"/>
      <c r="E37" s="155"/>
      <c r="F37" s="155"/>
      <c r="G37" s="155"/>
      <c r="H37" t="b">
        <f>IF(AND(E29=2,G29=2),TRUE,FALSE)</f>
        <v>0</v>
      </c>
    </row>
    <row r="38" spans="8:8" ht="48.75">
      <c r="B38" s="166"/>
      <c r="C38" s="159"/>
      <c r="D38" s="155"/>
      <c r="E38" s="155"/>
      <c r="F38" s="155"/>
      <c r="G38" s="155"/>
      <c r="H38" s="167" t="s">
        <v>85</v>
      </c>
    </row>
    <row r="39" spans="8:8" ht="15.0">
      <c r="H39" t="b">
        <f>IF(OR(E33=FALSE,G33=FALSE),TRUE,FALSE)</f>
        <v>0</v>
      </c>
    </row>
    <row r="40" spans="8:8" ht="15.0"/>
    <row r="41" spans="8:8" ht="15.0"/>
    <row r="42" spans="8:8" ht="15.0"/>
    <row r="43" spans="8:8" ht="15.0"/>
  </sheetData>
  <sheetProtection algorithmName="SHA-512" hashValue="k6EPaVH78xqZiWPwkUHI4lknx324OJy4bJxG2bLMBw5I88rGE8w8IWbRJonoljchqkLHOEBhmBeOzfQCvcWo0A==" saltValue="KWIvd1OK/zv0nvvrQo3I6Q==" spinCount="100000" sheet="1" objects="1" scenarios="1" selectLockedCells="1" selectUnlockedCells="1"/>
  <mergeCells count="32">
    <mergeCell ref="E34:F34"/>
    <mergeCell ref="D7:D8"/>
    <mergeCell ref="G14:H14"/>
    <mergeCell ref="J29:M29"/>
    <mergeCell ref="B1:O1"/>
    <mergeCell ref="H10:J11"/>
    <mergeCell ref="N11:O11"/>
    <mergeCell ref="B4:D6"/>
    <mergeCell ref="L3:P3"/>
    <mergeCell ref="N13:O13"/>
    <mergeCell ref="B23:O23"/>
    <mergeCell ref="B3:D3"/>
    <mergeCell ref="N10:O10"/>
    <mergeCell ref="G4:J6"/>
    <mergeCell ref="N8:O8"/>
    <mergeCell ref="N7:O7"/>
    <mergeCell ref="H7:J7"/>
    <mergeCell ref="C7:C8"/>
    <mergeCell ref="E28:F28"/>
    <mergeCell ref="E32:F32"/>
    <mergeCell ref="E29:F29"/>
    <mergeCell ref="E30:F30"/>
    <mergeCell ref="E31:F31"/>
    <mergeCell ref="M18:N18"/>
    <mergeCell ref="G3:J3"/>
    <mergeCell ref="L4:P6"/>
    <mergeCell ref="L25:O25"/>
    <mergeCell ref="L26:O27"/>
    <mergeCell ref="B25:J25"/>
    <mergeCell ref="G10:G11"/>
    <mergeCell ref="E33:F33"/>
    <mergeCell ref="B26:J26"/>
  </mergeCells>
  <pageMargins left="0.7" right="0.7" top="0.75" bottom="0.75" header="0.3" footer="0.3"/>
</worksheet>
</file>

<file path=docProps/app.xml><?xml version="1.0" encoding="utf-8"?>
<Properties xmlns="http://schemas.openxmlformats.org/officeDocument/2006/extended-properties">
  <Application>Kingsoft Office</Application>
  <DocSecurity>0</DocSecurity>
  <ScaleCrop>0</ScaleCrop>
  <LinksUpToDate>0</LinksUpToDate>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creator>Yago Sampaio</dc:creator>
  <cp:lastModifiedBy>ANIETIE ETIM</cp:lastModifiedBy>
  <dcterms:created xsi:type="dcterms:W3CDTF">2020-02-25T19:58:30Z</dcterms:created>
  <dcterms:modified xsi:type="dcterms:W3CDTF">2023-03-23T18:27:33Z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6e8087d3e18d475195795cfca98bb183</vt:lpwstr>
  </property>
</Properties>
</file>