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Ese Personal\BYU-Pathway\"/>
    </mc:Choice>
  </mc:AlternateContent>
  <xr:revisionPtr revIDLastSave="0" documentId="13_ncr:1_{99AED692-BEE5-4F4E-8280-BFE6AF7270EF}" xr6:coauthVersionLast="47" xr6:coauthVersionMax="47" xr10:uidLastSave="{00000000-0000-0000-0000-000000000000}"/>
  <bookViews>
    <workbookView xWindow="-120" yWindow="-120" windowWidth="20730" windowHeight="11160" xr2:uid="{DD48EB59-D422-440A-B3D8-B7024E933AC0}"/>
  </bookViews>
  <sheets>
    <sheet name="Contract" sheetId="2" r:id="rId1"/>
    <sheet name="Holidays" sheetId="3" r:id="rId2"/>
    <sheet name="Lookup Sheet" sheetId="4" r:id="rId3"/>
  </sheets>
  <definedNames>
    <definedName name="_xlnm._FilterDatabase" localSheetId="0" hidden="1">Contract!$B$2:$I$49</definedName>
    <definedName name="Build_Time">Holidays!$C$3:$C$8</definedName>
    <definedName name="BUS_115_CID" hidden="1">"SPRING_2023"</definedName>
    <definedName name="Contract">Contract!$B$2:$I$49</definedName>
    <definedName name="FA22_BUS_115_CID" hidden="1">"FALL_2022"</definedName>
    <definedName name="Holidays">Holidays!$C$13:$C$26</definedName>
    <definedName name="House_Plan">Contract!$D$3:$D$49</definedName>
    <definedName name="Name">Contract!$B$3:$B$49</definedName>
    <definedName name="Plan">Holidays!$B$2:$C$8</definedName>
    <definedName name="SP22_BUS_115_CID" hidden="1">"SPRING_2022"</definedName>
    <definedName name="SP23_BUS_115_CID" hidden="1">"SPRING_2023"</definedName>
    <definedName name="WI23_BUS_115_CID" hidden="1">"WINTER_2023"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D7" i="4"/>
  <c r="C13" i="3"/>
  <c r="F42" i="2"/>
  <c r="F6" i="2"/>
  <c r="F5" i="2"/>
  <c r="F13" i="2"/>
  <c r="F36" i="2"/>
  <c r="F14" i="2"/>
  <c r="F37" i="2"/>
  <c r="F43" i="2"/>
  <c r="F3" i="2"/>
  <c r="F4" i="2"/>
  <c r="F27" i="2"/>
  <c r="F25" i="2"/>
  <c r="F31" i="2"/>
  <c r="F38" i="2"/>
  <c r="F26" i="2"/>
  <c r="F32" i="2"/>
  <c r="F33" i="2"/>
  <c r="F18" i="2"/>
  <c r="F15" i="2"/>
  <c r="F10" i="2"/>
  <c r="F39" i="2"/>
  <c r="F44" i="2"/>
  <c r="F28" i="2"/>
  <c r="F7" i="2"/>
  <c r="F19" i="2"/>
  <c r="F47" i="2"/>
  <c r="F34" i="2"/>
  <c r="F20" i="2"/>
  <c r="F16" i="2"/>
  <c r="F11" i="2"/>
  <c r="F40" i="2"/>
  <c r="F45" i="2"/>
  <c r="F29" i="2"/>
  <c r="F8" i="2"/>
  <c r="G7" i="4" s="1"/>
  <c r="F21" i="2"/>
  <c r="F48" i="2"/>
  <c r="F35" i="2"/>
  <c r="F22" i="2"/>
  <c r="F17" i="2"/>
  <c r="F12" i="2"/>
  <c r="F41" i="2"/>
  <c r="F46" i="2"/>
  <c r="F30" i="2"/>
  <c r="F9" i="2"/>
  <c r="F23" i="2"/>
  <c r="F49" i="2"/>
  <c r="F24" i="2"/>
  <c r="C30" i="3"/>
  <c r="C32" i="3"/>
  <c r="C33" i="3"/>
  <c r="C29" i="3"/>
  <c r="C28" i="3"/>
  <c r="C27" i="3"/>
  <c r="C26" i="3"/>
  <c r="C25" i="3"/>
  <c r="C23" i="3"/>
  <c r="C22" i="3"/>
  <c r="C21" i="3"/>
  <c r="C20" i="3"/>
  <c r="C19" i="3"/>
  <c r="C18" i="3"/>
  <c r="C16" i="3"/>
  <c r="C15" i="3"/>
  <c r="C14" i="3"/>
  <c r="E49" i="2"/>
  <c r="I49" i="2" s="1"/>
  <c r="E23" i="2"/>
  <c r="I23" i="2" s="1"/>
  <c r="E9" i="2"/>
  <c r="I9" i="2" s="1"/>
  <c r="E30" i="2"/>
  <c r="I30" i="2" s="1"/>
  <c r="E46" i="2"/>
  <c r="I46" i="2" s="1"/>
  <c r="E41" i="2"/>
  <c r="I41" i="2" s="1"/>
  <c r="E12" i="2"/>
  <c r="I12" i="2" s="1"/>
  <c r="E17" i="2"/>
  <c r="I17" i="2" s="1"/>
  <c r="E22" i="2"/>
  <c r="I22" i="2" s="1"/>
  <c r="E35" i="2"/>
  <c r="I35" i="2" s="1"/>
  <c r="E48" i="2"/>
  <c r="I48" i="2" s="1"/>
  <c r="E21" i="2"/>
  <c r="I21" i="2" s="1"/>
  <c r="E8" i="2"/>
  <c r="I8" i="2" s="1"/>
  <c r="E29" i="2"/>
  <c r="I29" i="2" s="1"/>
  <c r="E45" i="2"/>
  <c r="I45" i="2" s="1"/>
  <c r="E40" i="2"/>
  <c r="I40" i="2" s="1"/>
  <c r="E11" i="2"/>
  <c r="I11" i="2" s="1"/>
  <c r="E16" i="2"/>
  <c r="I16" i="2" s="1"/>
  <c r="E20" i="2"/>
  <c r="I20" i="2" s="1"/>
  <c r="E34" i="2"/>
  <c r="I34" i="2" s="1"/>
  <c r="E47" i="2"/>
  <c r="I47" i="2" s="1"/>
  <c r="E19" i="2"/>
  <c r="I19" i="2" s="1"/>
  <c r="E7" i="2"/>
  <c r="I7" i="2" s="1"/>
  <c r="E28" i="2"/>
  <c r="I28" i="2" s="1"/>
  <c r="E44" i="2"/>
  <c r="E39" i="2"/>
  <c r="I39" i="2" s="1"/>
  <c r="E10" i="2"/>
  <c r="I10" i="2" s="1"/>
  <c r="E15" i="2"/>
  <c r="I15" i="2" s="1"/>
  <c r="E18" i="2"/>
  <c r="I18" i="2" s="1"/>
  <c r="E33" i="2"/>
  <c r="I33" i="2" s="1"/>
  <c r="E32" i="2"/>
  <c r="I32" i="2" s="1"/>
  <c r="E26" i="2"/>
  <c r="I26" i="2" s="1"/>
  <c r="E38" i="2"/>
  <c r="I38" i="2" s="1"/>
  <c r="E31" i="2"/>
  <c r="I31" i="2" s="1"/>
  <c r="E25" i="2"/>
  <c r="I25" i="2" s="1"/>
  <c r="E27" i="2"/>
  <c r="I27" i="2" s="1"/>
  <c r="E4" i="2"/>
  <c r="I4" i="2" s="1"/>
  <c r="E3" i="2"/>
  <c r="E43" i="2"/>
  <c r="I43" i="2" s="1"/>
  <c r="E37" i="2"/>
  <c r="I37" i="2" s="1"/>
  <c r="E14" i="2"/>
  <c r="I14" i="2" s="1"/>
  <c r="E36" i="2"/>
  <c r="I36" i="2" s="1"/>
  <c r="E13" i="2"/>
  <c r="I13" i="2" s="1"/>
  <c r="E5" i="2"/>
  <c r="I5" i="2" s="1"/>
  <c r="E6" i="2"/>
  <c r="I6" i="2" s="1"/>
  <c r="E42" i="2"/>
  <c r="I42" i="2" s="1"/>
  <c r="E24" i="2"/>
  <c r="I24" i="2" s="1"/>
  <c r="G3" i="2" l="1"/>
  <c r="H14" i="2"/>
  <c r="H38" i="2"/>
  <c r="H44" i="2"/>
  <c r="H11" i="2"/>
  <c r="H22" i="2"/>
  <c r="H49" i="2"/>
  <c r="I44" i="2"/>
  <c r="H37" i="2"/>
  <c r="H24" i="2"/>
  <c r="H3" i="2"/>
  <c r="H6" i="2"/>
  <c r="H8" i="2"/>
  <c r="H46" i="2"/>
  <c r="I3" i="2"/>
  <c r="H15" i="2"/>
  <c r="H34" i="2"/>
  <c r="H30" i="2"/>
  <c r="H26" i="2"/>
  <c r="H17" i="2"/>
  <c r="H13" i="2"/>
  <c r="H42" i="2"/>
  <c r="H18" i="2"/>
  <c r="H25" i="2"/>
  <c r="H20" i="2"/>
  <c r="H48" i="2"/>
  <c r="H9" i="2"/>
  <c r="H40" i="2"/>
  <c r="H43" i="2"/>
  <c r="H33" i="2"/>
  <c r="H41" i="2"/>
  <c r="H4" i="2"/>
  <c r="H47" i="2"/>
  <c r="H10" i="2"/>
  <c r="H36" i="2"/>
  <c r="H31" i="2"/>
  <c r="H39" i="2"/>
  <c r="H16" i="2"/>
  <c r="H23" i="2"/>
  <c r="H5" i="2"/>
  <c r="G12" i="2"/>
  <c r="H27" i="2"/>
  <c r="G32" i="2"/>
  <c r="G45" i="2"/>
  <c r="H35" i="2"/>
  <c r="H32" i="2"/>
  <c r="G7" i="2"/>
  <c r="H19" i="2"/>
  <c r="G13" i="2"/>
  <c r="H7" i="2"/>
  <c r="G10" i="2"/>
  <c r="H45" i="2"/>
  <c r="H29" i="2"/>
  <c r="H21" i="2"/>
  <c r="G37" i="2"/>
  <c r="G28" i="2"/>
  <c r="G40" i="2"/>
  <c r="G14" i="2"/>
  <c r="H28" i="2"/>
  <c r="H12" i="2"/>
  <c r="G20" i="2"/>
  <c r="G48" i="2"/>
  <c r="G9" i="2"/>
  <c r="G31" i="2"/>
  <c r="G23" i="2"/>
  <c r="G36" i="2"/>
  <c r="G39" i="2"/>
  <c r="G16" i="2"/>
  <c r="G44" i="2"/>
  <c r="G22" i="2"/>
  <c r="G33" i="2"/>
  <c r="G41" i="2"/>
  <c r="G42" i="2"/>
  <c r="G29" i="2"/>
  <c r="G6" i="2"/>
  <c r="G4" i="2"/>
  <c r="G47" i="2"/>
  <c r="G8" i="2"/>
  <c r="G46" i="2"/>
  <c r="G11" i="2"/>
  <c r="G49" i="2"/>
  <c r="G43" i="2"/>
  <c r="G19" i="2"/>
  <c r="G18" i="2"/>
  <c r="G17" i="2"/>
  <c r="G24" i="2"/>
  <c r="G35" i="2"/>
  <c r="G34" i="2"/>
  <c r="G25" i="2"/>
  <c r="G15" i="2"/>
  <c r="G30" i="2"/>
  <c r="G38" i="2"/>
  <c r="G21" i="2"/>
  <c r="G5" i="2"/>
  <c r="G27" i="2"/>
  <c r="G26" i="2"/>
  <c r="F7" i="4"/>
  <c r="E11" i="4" l="1"/>
  <c r="D11" i="4"/>
  <c r="F11" i="4"/>
</calcChain>
</file>

<file path=xl/sharedStrings.xml><?xml version="1.0" encoding="utf-8"?>
<sst xmlns="http://schemas.openxmlformats.org/spreadsheetml/2006/main" count="188" uniqueCount="123">
  <si>
    <t>Name</t>
  </si>
  <si>
    <t>House Address</t>
  </si>
  <si>
    <t>House Plan</t>
  </si>
  <si>
    <t>Contract Date</t>
  </si>
  <si>
    <t>2450 Picadily Lane</t>
  </si>
  <si>
    <t>1985 Coyote Run</t>
  </si>
  <si>
    <t>2455 Snowtop Road</t>
  </si>
  <si>
    <t>2455 Picadily Lane</t>
  </si>
  <si>
    <t>Cheyenne Mountain</t>
  </si>
  <si>
    <t>2460 Picadily Lane</t>
  </si>
  <si>
    <t>1975 Coyote Run</t>
  </si>
  <si>
    <t>2455 Wolfpack Terrace</t>
  </si>
  <si>
    <t>2005 Coyote Run</t>
  </si>
  <si>
    <t>2475 Wolfpack Terrace</t>
  </si>
  <si>
    <t>2445 Snowtop Road</t>
  </si>
  <si>
    <t>Garcia,  Jose</t>
  </si>
  <si>
    <t>2222 Heavenly Road</t>
  </si>
  <si>
    <t>1965 Coyote Run</t>
  </si>
  <si>
    <t>4545 Viking Place</t>
  </si>
  <si>
    <t>2495 Wolfpack Terrace</t>
  </si>
  <si>
    <t>2595 Snowtop Road</t>
  </si>
  <si>
    <t>2795 Picadily Lane</t>
  </si>
  <si>
    <t>7777 Heavenly Road</t>
  </si>
  <si>
    <t>1945 Coyote Run</t>
  </si>
  <si>
    <t>7787 Heavenly Road</t>
  </si>
  <si>
    <t>2395 Snowtop Road</t>
  </si>
  <si>
    <t>3005 Wolfpack Terrace</t>
  </si>
  <si>
    <t>2385 Snowtop Road</t>
  </si>
  <si>
    <t>Keaton,  Michael</t>
  </si>
  <si>
    <t>2234 Heavenly Road</t>
  </si>
  <si>
    <t>1825 Coyote Run</t>
  </si>
  <si>
    <t>4575 Viking Place</t>
  </si>
  <si>
    <t>Hinson,  Nicole</t>
  </si>
  <si>
    <t>2405 Wolfpack Terrace</t>
  </si>
  <si>
    <t>7748 Heavenly Road</t>
  </si>
  <si>
    <t>Parton,  Donald</t>
  </si>
  <si>
    <t>1946 Coyote Run</t>
  </si>
  <si>
    <t>7788 Heavenly Road</t>
  </si>
  <si>
    <t>2396 Snowtop Road</t>
  </si>
  <si>
    <t>Allen, Woody</t>
  </si>
  <si>
    <t>3006 Wolfpack Terrace</t>
  </si>
  <si>
    <t>Potter,  Harry</t>
  </si>
  <si>
    <t>2386 Snowtop Road</t>
  </si>
  <si>
    <t>Barker,  Brian</t>
  </si>
  <si>
    <t>2235 Heavenly Road</t>
  </si>
  <si>
    <t>Hyde,  Tanner</t>
  </si>
  <si>
    <t>1826 Coyote Run</t>
  </si>
  <si>
    <t>Campbell,  Glen</t>
  </si>
  <si>
    <t>4576 Viking Place</t>
  </si>
  <si>
    <t>Miller,  Michelle</t>
  </si>
  <si>
    <t>2406 Wolfpack Terrace</t>
  </si>
  <si>
    <t>Zelker, Diane</t>
  </si>
  <si>
    <t>7749 Heavenly Road</t>
  </si>
  <si>
    <t>Jager, Joe</t>
  </si>
  <si>
    <t>1947 Coyote Run</t>
  </si>
  <si>
    <t>Anderson,  Pete</t>
  </si>
  <si>
    <t>7789 Heavenly Road</t>
  </si>
  <si>
    <t>Love, Michael</t>
  </si>
  <si>
    <t>2397 Snowtop Road</t>
  </si>
  <si>
    <t>Packer,  Bailey</t>
  </si>
  <si>
    <t>3007 Wolfpack Terrace</t>
  </si>
  <si>
    <t>Turner, John</t>
  </si>
  <si>
    <t>2387 Snowtop Road</t>
  </si>
  <si>
    <t>Dorsey,  Brad</t>
  </si>
  <si>
    <t>2236 Heavenly Road</t>
  </si>
  <si>
    <t>Brown,  Joanne</t>
  </si>
  <si>
    <t>1827 Coyote Run</t>
  </si>
  <si>
    <t>Coster,  Kevin</t>
  </si>
  <si>
    <t>4577 Viking Place</t>
  </si>
  <si>
    <t>Snow,  Olaf</t>
  </si>
  <si>
    <t>2407 Wolfpack Terrace</t>
  </si>
  <si>
    <t>Plan</t>
  </si>
  <si>
    <t>Build Time (Days)</t>
  </si>
  <si>
    <t>New Years Day</t>
  </si>
  <si>
    <t>Memorial Day</t>
  </si>
  <si>
    <t>Independence Day</t>
  </si>
  <si>
    <t>Labor Day</t>
  </si>
  <si>
    <t>Thanksgiving</t>
  </si>
  <si>
    <t>Christmas</t>
  </si>
  <si>
    <t>Holiday Date</t>
  </si>
  <si>
    <t>Silva,  Margarida</t>
  </si>
  <si>
    <t>Mount Roraima</t>
  </si>
  <si>
    <t>Santos, Manuel</t>
  </si>
  <si>
    <t>Pico Phelps</t>
  </si>
  <si>
    <t>Sousa,  Andre</t>
  </si>
  <si>
    <t>Neblina Peak</t>
  </si>
  <si>
    <t>Oliverira,  Carlos</t>
  </si>
  <si>
    <t>Pereira,  Sofia</t>
  </si>
  <si>
    <t>Guiana Highlands</t>
  </si>
  <si>
    <t>Lima,  Augusto</t>
  </si>
  <si>
    <t>Mantiqueira Mountains</t>
  </si>
  <si>
    <t>Carvalho, Bruno</t>
  </si>
  <si>
    <t>Ferreira,  Sylvia</t>
  </si>
  <si>
    <t>Rodriques,  Wilson</t>
  </si>
  <si>
    <t>Almeida,  Chauncey</t>
  </si>
  <si>
    <t>Costa,  Angela</t>
  </si>
  <si>
    <t>Gomes,  Quinton</t>
  </si>
  <si>
    <t>Martins, William</t>
  </si>
  <si>
    <t>Melo, Adam</t>
  </si>
  <si>
    <t>Dias,  Donald</t>
  </si>
  <si>
    <t>Montes,  Felix</t>
  </si>
  <si>
    <t>Azevedo,  Susan</t>
  </si>
  <si>
    <t>Montes,  Janet</t>
  </si>
  <si>
    <t>Rocha,  Ana</t>
  </si>
  <si>
    <t>Riberiro,  Millie</t>
  </si>
  <si>
    <t>Cardoso,  Juliana</t>
  </si>
  <si>
    <t>Fernandes,  Kathy</t>
  </si>
  <si>
    <t>Simpson,  Marcia</t>
  </si>
  <si>
    <t>Johanson, Fernanda</t>
  </si>
  <si>
    <t>Greenspan,  Bruna</t>
  </si>
  <si>
    <t>Singleton,  Sandra</t>
  </si>
  <si>
    <t>Gibson,  Vanessa</t>
  </si>
  <si>
    <t>4501 Heavenly Road</t>
  </si>
  <si>
    <t>CEO Birthday</t>
  </si>
  <si>
    <t>Estimated Completion Date(Monday to Friday)</t>
  </si>
  <si>
    <t>Estimated Completion Date(Including Saturday)</t>
  </si>
  <si>
    <t>Estimated Completion Date(Including Saturday and Holiday)</t>
  </si>
  <si>
    <t>Customer Name</t>
  </si>
  <si>
    <t>Address</t>
  </si>
  <si>
    <t>Build Time</t>
  </si>
  <si>
    <t>Estimated Completion date(Monday-Friday and taking holidays off)</t>
  </si>
  <si>
    <t>Estimated Completion Date(Monday-Saturday and taking holidays off)</t>
  </si>
  <si>
    <t>Estimated Completion Date(Monday-Saturday and working the holidays)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</si>
</sst>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 mmm\ yyyy;@" x16r2:formatCode16="[$-en-NG,1]d\ mmm\ yyyy;@"/>
  </numFmts>
  <fonts count="9" x14ac:knownFonts="1"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3"/>
      <name val="Calibri Light"/>
      <family val="2"/>
    </font>
    <font>
      <b/>
      <sz val="18"/>
      <color theme="3"/>
      <name val="Cambria"/>
      <family val="1"/>
    </font>
    <font>
      <b/>
      <sz val="16"/>
      <color theme="3"/>
      <name val="Calibri Light"/>
      <family val="2"/>
    </font>
    <font>
      <b/>
      <sz val="11"/>
      <color theme="1"/>
      <name val="Cambria"/>
      <family val="1"/>
    </font>
    <font>
      <sz val="12"/>
      <color theme="1"/>
      <name val="Calibri Light"/>
      <family val="2"/>
    </font>
    <font>
      <b/>
      <sz val="12"/>
      <color theme="1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6" tint="-0.2499465926084170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64" fontId="0" fillId="6" borderId="3" xfId="0" applyNumberForma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0" fillId="8" borderId="1" xfId="0" applyNumberFormat="1" applyFill="1" applyBorder="1" applyAlignment="1">
      <alignment vertical="center"/>
    </xf>
    <xf numFmtId="164" fontId="0" fillId="9" borderId="1" xfId="0" applyNumberFormat="1" applyFill="1" applyBorder="1" applyAlignment="1">
      <alignment vertical="center"/>
    </xf>
    <xf numFmtId="164" fontId="0" fillId="10" borderId="1" xfId="0" applyNumberForma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8" borderId="0" xfId="0" applyFont="1" applyFill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0</xdr:colOff>
      <xdr:row>21</xdr:row>
      <xdr:rowOff>238125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5C50D4-81DE-5C76-E6F5-0F409E29C8A5}"/>
            </a:ext>
          </a:extLst>
        </xdr:cNvPr>
        <xdr:cNvSpPr/>
      </xdr:nvSpPr>
      <xdr:spPr>
        <a:xfrm>
          <a:off x="4914900" y="2971800"/>
          <a:ext cx="4914900" cy="2219325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/>
            <a:t>Note: Different countries recognize holidays on days other than the actual event. </a:t>
          </a:r>
        </a:p>
        <a:p>
          <a:pPr algn="l"/>
          <a:endParaRPr lang="en-US" sz="1200"/>
        </a:p>
        <a:p>
          <a:pPr algn="l"/>
          <a:r>
            <a:rPr lang="en-US" sz="1200"/>
            <a:t>For example,</a:t>
          </a:r>
          <a:r>
            <a:rPr lang="en-US" sz="1200" baseline="0"/>
            <a:t> in the United States, </a:t>
          </a:r>
          <a:r>
            <a:rPr lang="en-US" sz="1200"/>
            <a:t>federal law directs that if the holiday falls on a Saturday, it is observed on a Friday and if it falls on a Sunday, it is observed on a Monday.</a:t>
          </a:r>
        </a:p>
        <a:p>
          <a:pPr algn="l"/>
          <a:endParaRPr lang="en-US" sz="1200"/>
        </a:p>
        <a:p>
          <a:pPr algn="l"/>
          <a:r>
            <a:rPr lang="en-US" sz="1200" b="1"/>
            <a:t>For the purposes</a:t>
          </a:r>
          <a:r>
            <a:rPr lang="en-US" sz="1200" b="1" baseline="0"/>
            <a:t> of this assignment, use the dates on this sheet</a:t>
          </a:r>
          <a:r>
            <a:rPr lang="en-US" sz="1200" baseline="0"/>
            <a:t> and do not make any such adjustments (except for adding your birthdate).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>
    <tabColor theme="0" tint="-0.499984740745262"/>
  </sheetPr>
  <dimension ref="B1:I49"/>
  <sheetViews>
    <sheetView tabSelected="1" topLeftCell="D1" workbookViewId="0">
      <selection activeCell="I5" sqref="I5"/>
    </sheetView>
  </sheetViews>
  <sheetFormatPr defaultColWidth="10.75" defaultRowHeight="19.899999999999999" customHeight="1" x14ac:dyDescent="0.2"/>
  <cols>
    <col min="1" max="1" width="10.75" style="1"/>
    <col min="2" max="2" width="19.25" style="1" customWidth="1"/>
    <col min="3" max="3" width="23.875" style="1" customWidth="1"/>
    <col min="4" max="4" width="21.125" style="1" customWidth="1"/>
    <col min="5" max="5" width="16.375" style="1" customWidth="1"/>
    <col min="6" max="6" width="21.25" style="1" customWidth="1"/>
    <col min="7" max="7" width="33.625" style="1" customWidth="1"/>
    <col min="8" max="8" width="31.5" style="1" customWidth="1"/>
    <col min="9" max="9" width="28.375" style="1" customWidth="1"/>
    <col min="10" max="16384" width="10.75" style="1"/>
  </cols>
  <sheetData>
    <row r="1" spans="2:9" ht="19.899999999999999" customHeight="1" x14ac:dyDescent="0.2">
      <c r="B1" s="29"/>
      <c r="C1" s="29"/>
      <c r="D1" s="29"/>
      <c r="E1" s="29"/>
      <c r="F1" s="29"/>
      <c r="G1" s="35" t="s">
        <v>114</v>
      </c>
      <c r="H1" s="37" t="s">
        <v>115</v>
      </c>
      <c r="I1" s="39" t="s">
        <v>116</v>
      </c>
    </row>
    <row r="2" spans="2:9" ht="30.75" customHeight="1" x14ac:dyDescent="0.2">
      <c r="B2" s="30" t="s">
        <v>0</v>
      </c>
      <c r="C2" s="31" t="s">
        <v>1</v>
      </c>
      <c r="D2" s="32" t="s">
        <v>2</v>
      </c>
      <c r="E2" s="33" t="s">
        <v>3</v>
      </c>
      <c r="F2" s="34" t="s">
        <v>72</v>
      </c>
      <c r="G2" s="36"/>
      <c r="H2" s="38"/>
      <c r="I2" s="40"/>
    </row>
    <row r="3" spans="2:9" ht="19.899999999999999" customHeight="1" x14ac:dyDescent="0.2">
      <c r="B3" s="9" t="s">
        <v>94</v>
      </c>
      <c r="C3" s="10" t="s">
        <v>14</v>
      </c>
      <c r="D3" s="24" t="s">
        <v>88</v>
      </c>
      <c r="E3" s="25">
        <f ca="1">TODAY()-60</f>
        <v>44992</v>
      </c>
      <c r="F3" s="12">
        <f t="shared" ref="F3:F49" si="0">VLOOKUP(D3,Plan,2,FALSE)</f>
        <v>85</v>
      </c>
      <c r="G3" s="26">
        <f ca="1">WORKDAY.INTL(E3,F3,1,Holidays)</f>
        <v>45113</v>
      </c>
      <c r="H3" s="27">
        <f ca="1">WORKDAY.INTL(E3,F3,11,Holidays)</f>
        <v>45092</v>
      </c>
      <c r="I3" s="28">
        <f ca="1">WORKDAY.INTL(E3,F3,11)</f>
        <v>45091</v>
      </c>
    </row>
    <row r="4" spans="2:9" ht="19.899999999999999" customHeight="1" x14ac:dyDescent="0.2">
      <c r="B4" s="9" t="s">
        <v>15</v>
      </c>
      <c r="C4" s="10" t="s">
        <v>16</v>
      </c>
      <c r="D4" s="24" t="s">
        <v>90</v>
      </c>
      <c r="E4" s="25">
        <f ca="1">TODAY()-56</f>
        <v>44996</v>
      </c>
      <c r="F4" s="12">
        <f t="shared" si="0"/>
        <v>60</v>
      </c>
      <c r="G4" s="26">
        <f ca="1">WORKDAY.INTL(E4,F4,1,Holidays)</f>
        <v>45082</v>
      </c>
      <c r="H4" s="27">
        <f ca="1">WORKDAY.INTL(E4,F4,11,Holidays)</f>
        <v>45066</v>
      </c>
      <c r="I4" s="28">
        <f t="shared" ref="I4:I49" ca="1" si="1">WORKDAY.INTL(E4,F4,11)</f>
        <v>45066</v>
      </c>
    </row>
    <row r="5" spans="2:9" ht="19.899999999999999" customHeight="1" x14ac:dyDescent="0.2">
      <c r="B5" s="9" t="s">
        <v>86</v>
      </c>
      <c r="C5" s="10" t="s">
        <v>7</v>
      </c>
      <c r="D5" s="24" t="s">
        <v>8</v>
      </c>
      <c r="E5" s="25">
        <f ca="1">TODAY()-50</f>
        <v>45002</v>
      </c>
      <c r="F5" s="12">
        <f t="shared" si="0"/>
        <v>75</v>
      </c>
      <c r="G5" s="26">
        <f ca="1">WORKDAY.INTL(E5,F5,1,Holidays)</f>
        <v>45110</v>
      </c>
      <c r="H5" s="27">
        <f ca="1">WORKDAY.INTL(E5,F5,11,Holidays)</f>
        <v>45091</v>
      </c>
      <c r="I5" s="28">
        <f t="shared" ca="1" si="1"/>
        <v>45090</v>
      </c>
    </row>
    <row r="6" spans="2:9" ht="19.899999999999999" customHeight="1" x14ac:dyDescent="0.2">
      <c r="B6" s="9" t="s">
        <v>84</v>
      </c>
      <c r="C6" s="10" t="s">
        <v>6</v>
      </c>
      <c r="D6" s="24" t="s">
        <v>85</v>
      </c>
      <c r="E6" s="25">
        <f ca="1">TODAY()-47</f>
        <v>45005</v>
      </c>
      <c r="F6" s="12">
        <f t="shared" si="0"/>
        <v>80</v>
      </c>
      <c r="G6" s="26">
        <f ca="1">WORKDAY.INTL(E6,F6,1,Holidays)</f>
        <v>45119</v>
      </c>
      <c r="H6" s="27">
        <f ca="1">WORKDAY.INTL(E6,F6,11,Holidays)</f>
        <v>45099</v>
      </c>
      <c r="I6" s="28">
        <f t="shared" ca="1" si="1"/>
        <v>45098</v>
      </c>
    </row>
    <row r="7" spans="2:9" ht="19.899999999999999" customHeight="1" x14ac:dyDescent="0.2">
      <c r="B7" s="9" t="s">
        <v>107</v>
      </c>
      <c r="C7" s="10" t="s">
        <v>30</v>
      </c>
      <c r="D7" s="24" t="s">
        <v>83</v>
      </c>
      <c r="E7" s="25">
        <f ca="1">TODAY()-44</f>
        <v>45008</v>
      </c>
      <c r="F7" s="12">
        <f t="shared" si="0"/>
        <v>65</v>
      </c>
      <c r="G7" s="26">
        <f ca="1">WORKDAY.INTL(E7,F7,1,Holidays)</f>
        <v>45100</v>
      </c>
      <c r="H7" s="27">
        <f ca="1">WORKDAY.INTL(E7,F7,11,Holidays)</f>
        <v>45085</v>
      </c>
      <c r="I7" s="28">
        <f t="shared" ca="1" si="1"/>
        <v>45084</v>
      </c>
    </row>
    <row r="8" spans="2:9" ht="19.899999999999999" customHeight="1" x14ac:dyDescent="0.2">
      <c r="B8" s="9" t="s">
        <v>45</v>
      </c>
      <c r="C8" s="10" t="s">
        <v>46</v>
      </c>
      <c r="D8" s="24" t="s">
        <v>83</v>
      </c>
      <c r="E8" s="25">
        <f ca="1">TODAY()-44</f>
        <v>45008</v>
      </c>
      <c r="F8" s="12">
        <f t="shared" si="0"/>
        <v>65</v>
      </c>
      <c r="G8" s="26">
        <f ca="1">WORKDAY.INTL(E8,F8,1,Holidays)</f>
        <v>45100</v>
      </c>
      <c r="H8" s="27">
        <f ca="1">WORKDAY.INTL(E8,F8,11,Holidays)</f>
        <v>45085</v>
      </c>
      <c r="I8" s="28">
        <f t="shared" ca="1" si="1"/>
        <v>45084</v>
      </c>
    </row>
    <row r="9" spans="2:9" ht="19.899999999999999" customHeight="1" x14ac:dyDescent="0.2">
      <c r="B9" s="9" t="s">
        <v>65</v>
      </c>
      <c r="C9" s="10" t="s">
        <v>66</v>
      </c>
      <c r="D9" s="24" t="s">
        <v>83</v>
      </c>
      <c r="E9" s="25">
        <f ca="1">TODAY()-44</f>
        <v>45008</v>
      </c>
      <c r="F9" s="12">
        <f t="shared" si="0"/>
        <v>65</v>
      </c>
      <c r="G9" s="26">
        <f ca="1">WORKDAY.INTL(E9,F9,1,Holidays)</f>
        <v>45100</v>
      </c>
      <c r="H9" s="27">
        <f ca="1">WORKDAY.INTL(E9,F9,11,Holidays)</f>
        <v>45085</v>
      </c>
      <c r="I9" s="28">
        <f t="shared" ca="1" si="1"/>
        <v>45084</v>
      </c>
    </row>
    <row r="10" spans="2:9" ht="19.899999999999999" customHeight="1" x14ac:dyDescent="0.2">
      <c r="B10" s="9" t="s">
        <v>104</v>
      </c>
      <c r="C10" s="10" t="s">
        <v>25</v>
      </c>
      <c r="D10" s="24" t="s">
        <v>88</v>
      </c>
      <c r="E10" s="25">
        <f ca="1">TODAY()-43</f>
        <v>45009</v>
      </c>
      <c r="F10" s="12">
        <f t="shared" si="0"/>
        <v>85</v>
      </c>
      <c r="G10" s="26">
        <f ca="1">WORKDAY.INTL(E10,F10,1,Holidays)</f>
        <v>45132</v>
      </c>
      <c r="H10" s="27">
        <f ca="1">WORKDAY.INTL(E10,F10,11,Holidays)</f>
        <v>45110</v>
      </c>
      <c r="I10" s="28">
        <f t="shared" ca="1" si="1"/>
        <v>45108</v>
      </c>
    </row>
    <row r="11" spans="2:9" ht="19.899999999999999" customHeight="1" x14ac:dyDescent="0.2">
      <c r="B11" s="9" t="s">
        <v>111</v>
      </c>
      <c r="C11" s="10" t="s">
        <v>38</v>
      </c>
      <c r="D11" s="24" t="s">
        <v>88</v>
      </c>
      <c r="E11" s="25">
        <f ca="1">TODAY()-43</f>
        <v>45009</v>
      </c>
      <c r="F11" s="12">
        <f t="shared" si="0"/>
        <v>85</v>
      </c>
      <c r="G11" s="26">
        <f ca="1">WORKDAY.INTL(E11,F11,1,Holidays)</f>
        <v>45132</v>
      </c>
      <c r="H11" s="27">
        <f ca="1">WORKDAY.INTL(E11,F11,11,Holidays)</f>
        <v>45110</v>
      </c>
      <c r="I11" s="28">
        <f t="shared" ca="1" si="1"/>
        <v>45108</v>
      </c>
    </row>
    <row r="12" spans="2:9" ht="19.899999999999999" customHeight="1" x14ac:dyDescent="0.2">
      <c r="B12" s="9" t="s">
        <v>57</v>
      </c>
      <c r="C12" s="10" t="s">
        <v>58</v>
      </c>
      <c r="D12" s="24" t="s">
        <v>88</v>
      </c>
      <c r="E12" s="25">
        <f ca="1">TODAY()-43</f>
        <v>45009</v>
      </c>
      <c r="F12" s="12">
        <f t="shared" si="0"/>
        <v>85</v>
      </c>
      <c r="G12" s="26">
        <f ca="1">WORKDAY.INTL(E12,F12,1,Holidays)</f>
        <v>45132</v>
      </c>
      <c r="H12" s="27">
        <f ca="1">WORKDAY.INTL(E12,F12,11,Holidays)</f>
        <v>45110</v>
      </c>
      <c r="I12" s="28">
        <f t="shared" ca="1" si="1"/>
        <v>45108</v>
      </c>
    </row>
    <row r="13" spans="2:9" ht="19.899999999999999" customHeight="1" x14ac:dyDescent="0.2">
      <c r="B13" s="9" t="s">
        <v>87</v>
      </c>
      <c r="C13" s="10" t="s">
        <v>9</v>
      </c>
      <c r="D13" s="24" t="s">
        <v>88</v>
      </c>
      <c r="E13" s="25">
        <f ca="1">TODAY()-40</f>
        <v>45012</v>
      </c>
      <c r="F13" s="12">
        <f t="shared" si="0"/>
        <v>85</v>
      </c>
      <c r="G13" s="26">
        <f ca="1">WORKDAY.INTL(E13,F13,1,Holidays)</f>
        <v>45133</v>
      </c>
      <c r="H13" s="27">
        <f ca="1">WORKDAY.INTL(E13,F13,11,Holidays)</f>
        <v>45113</v>
      </c>
      <c r="I13" s="28">
        <f t="shared" ca="1" si="1"/>
        <v>45111</v>
      </c>
    </row>
    <row r="14" spans="2:9" ht="19.899999999999999" customHeight="1" x14ac:dyDescent="0.2">
      <c r="B14" s="9" t="s">
        <v>91</v>
      </c>
      <c r="C14" s="10" t="s">
        <v>11</v>
      </c>
      <c r="D14" s="24" t="s">
        <v>83</v>
      </c>
      <c r="E14" s="25">
        <f ca="1">TODAY()-37</f>
        <v>45015</v>
      </c>
      <c r="F14" s="12">
        <f t="shared" si="0"/>
        <v>65</v>
      </c>
      <c r="G14" s="26">
        <f ca="1">WORKDAY.INTL(E14,F14,1,Holidays)</f>
        <v>45107</v>
      </c>
      <c r="H14" s="27">
        <f ca="1">WORKDAY.INTL(E14,F14,11,Holidays)</f>
        <v>45092</v>
      </c>
      <c r="I14" s="28">
        <f t="shared" ca="1" si="1"/>
        <v>45091</v>
      </c>
    </row>
    <row r="15" spans="2:9" ht="19.899999999999999" customHeight="1" x14ac:dyDescent="0.2">
      <c r="B15" s="9" t="s">
        <v>103</v>
      </c>
      <c r="C15" s="10" t="s">
        <v>24</v>
      </c>
      <c r="D15" s="24" t="s">
        <v>90</v>
      </c>
      <c r="E15" s="25">
        <f ca="1">TODAY()-35</f>
        <v>45017</v>
      </c>
      <c r="F15" s="12">
        <f t="shared" si="0"/>
        <v>60</v>
      </c>
      <c r="G15" s="26">
        <f ca="1">WORKDAY.INTL(E15,F15,1,Holidays)</f>
        <v>45103</v>
      </c>
      <c r="H15" s="27">
        <f ca="1">WORKDAY.INTL(E15,F15,11,Holidays)</f>
        <v>45089</v>
      </c>
      <c r="I15" s="28">
        <f t="shared" ca="1" si="1"/>
        <v>45087</v>
      </c>
    </row>
    <row r="16" spans="2:9" ht="19.899999999999999" customHeight="1" x14ac:dyDescent="0.2">
      <c r="B16" s="9" t="s">
        <v>110</v>
      </c>
      <c r="C16" s="10" t="s">
        <v>37</v>
      </c>
      <c r="D16" s="24" t="s">
        <v>90</v>
      </c>
      <c r="E16" s="25">
        <f ca="1">TODAY()-35</f>
        <v>45017</v>
      </c>
      <c r="F16" s="12">
        <f t="shared" si="0"/>
        <v>60</v>
      </c>
      <c r="G16" s="26">
        <f ca="1">WORKDAY.INTL(E16,F16,1,Holidays)</f>
        <v>45103</v>
      </c>
      <c r="H16" s="27">
        <f ca="1">WORKDAY.INTL(E16,F16,11,Holidays)</f>
        <v>45089</v>
      </c>
      <c r="I16" s="28">
        <f t="shared" ca="1" si="1"/>
        <v>45087</v>
      </c>
    </row>
    <row r="17" spans="2:9" ht="19.899999999999999" customHeight="1" x14ac:dyDescent="0.2">
      <c r="B17" s="9" t="s">
        <v>55</v>
      </c>
      <c r="C17" s="10" t="s">
        <v>56</v>
      </c>
      <c r="D17" s="24" t="s">
        <v>90</v>
      </c>
      <c r="E17" s="25">
        <f ca="1">TODAY()-35</f>
        <v>45017</v>
      </c>
      <c r="F17" s="12">
        <f t="shared" si="0"/>
        <v>60</v>
      </c>
      <c r="G17" s="26">
        <f ca="1">WORKDAY.INTL(E17,F17,1,Holidays)</f>
        <v>45103</v>
      </c>
      <c r="H17" s="27">
        <f ca="1">WORKDAY.INTL(E17,F17,11,Holidays)</f>
        <v>45089</v>
      </c>
      <c r="I17" s="28">
        <f t="shared" ca="1" si="1"/>
        <v>45087</v>
      </c>
    </row>
    <row r="18" spans="2:9" ht="19.899999999999999" customHeight="1" x14ac:dyDescent="0.2">
      <c r="B18" s="9" t="s">
        <v>102</v>
      </c>
      <c r="C18" s="10" t="s">
        <v>23</v>
      </c>
      <c r="D18" s="24" t="s">
        <v>8</v>
      </c>
      <c r="E18" s="25">
        <f t="shared" ref="E18:E23" ca="1" si="2">TODAY()-34</f>
        <v>45018</v>
      </c>
      <c r="F18" s="12">
        <f t="shared" si="0"/>
        <v>75</v>
      </c>
      <c r="G18" s="26">
        <f ca="1">WORKDAY.INTL(E18,F18,1,Holidays)</f>
        <v>45125</v>
      </c>
      <c r="H18" s="27">
        <f ca="1">WORKDAY.INTL(E18,F18,11,Holidays)</f>
        <v>45106</v>
      </c>
      <c r="I18" s="28">
        <f t="shared" ca="1" si="1"/>
        <v>45105</v>
      </c>
    </row>
    <row r="19" spans="2:9" ht="19.899999999999999" customHeight="1" x14ac:dyDescent="0.2">
      <c r="B19" s="9" t="s">
        <v>108</v>
      </c>
      <c r="C19" s="10" t="s">
        <v>31</v>
      </c>
      <c r="D19" s="24" t="s">
        <v>83</v>
      </c>
      <c r="E19" s="25">
        <f t="shared" ca="1" si="2"/>
        <v>45018</v>
      </c>
      <c r="F19" s="12">
        <f t="shared" si="0"/>
        <v>65</v>
      </c>
      <c r="G19" s="26">
        <f ca="1">WORKDAY.INTL(E19,F19,1,Holidays)</f>
        <v>45110</v>
      </c>
      <c r="H19" s="27">
        <f ca="1">WORKDAY.INTL(E19,F19,11,Holidays)</f>
        <v>45094</v>
      </c>
      <c r="I19" s="28">
        <f t="shared" ca="1" si="1"/>
        <v>45093</v>
      </c>
    </row>
    <row r="20" spans="2:9" ht="19.899999999999999" customHeight="1" x14ac:dyDescent="0.2">
      <c r="B20" s="9" t="s">
        <v>35</v>
      </c>
      <c r="C20" s="10" t="s">
        <v>36</v>
      </c>
      <c r="D20" s="24" t="s">
        <v>8</v>
      </c>
      <c r="E20" s="25">
        <f t="shared" ca="1" si="2"/>
        <v>45018</v>
      </c>
      <c r="F20" s="12">
        <f t="shared" si="0"/>
        <v>75</v>
      </c>
      <c r="G20" s="26">
        <f ca="1">WORKDAY.INTL(E20,F20,1,Holidays)</f>
        <v>45125</v>
      </c>
      <c r="H20" s="27">
        <f ca="1">WORKDAY.INTL(E20,F20,11,Holidays)</f>
        <v>45106</v>
      </c>
      <c r="I20" s="28">
        <f t="shared" ca="1" si="1"/>
        <v>45105</v>
      </c>
    </row>
    <row r="21" spans="2:9" ht="19.899999999999999" customHeight="1" x14ac:dyDescent="0.2">
      <c r="B21" s="9" t="s">
        <v>47</v>
      </c>
      <c r="C21" s="10" t="s">
        <v>48</v>
      </c>
      <c r="D21" s="24" t="s">
        <v>83</v>
      </c>
      <c r="E21" s="25">
        <f t="shared" ca="1" si="2"/>
        <v>45018</v>
      </c>
      <c r="F21" s="12">
        <f t="shared" si="0"/>
        <v>65</v>
      </c>
      <c r="G21" s="26">
        <f ca="1">WORKDAY.INTL(E21,F21,1,Holidays)</f>
        <v>45110</v>
      </c>
      <c r="H21" s="27">
        <f ca="1">WORKDAY.INTL(E21,F21,11,Holidays)</f>
        <v>45094</v>
      </c>
      <c r="I21" s="28">
        <f t="shared" ca="1" si="1"/>
        <v>45093</v>
      </c>
    </row>
    <row r="22" spans="2:9" ht="19.899999999999999" customHeight="1" x14ac:dyDescent="0.2">
      <c r="B22" s="9" t="s">
        <v>53</v>
      </c>
      <c r="C22" s="10" t="s">
        <v>54</v>
      </c>
      <c r="D22" s="24" t="s">
        <v>8</v>
      </c>
      <c r="E22" s="25">
        <f t="shared" ca="1" si="2"/>
        <v>45018</v>
      </c>
      <c r="F22" s="12">
        <f t="shared" si="0"/>
        <v>75</v>
      </c>
      <c r="G22" s="26">
        <f ca="1">WORKDAY.INTL(E22,F22,1,Holidays)</f>
        <v>45125</v>
      </c>
      <c r="H22" s="27">
        <f ca="1">WORKDAY.INTL(E22,F22,11,Holidays)</f>
        <v>45106</v>
      </c>
      <c r="I22" s="28">
        <f t="shared" ca="1" si="1"/>
        <v>45105</v>
      </c>
    </row>
    <row r="23" spans="2:9" ht="19.899999999999999" customHeight="1" x14ac:dyDescent="0.2">
      <c r="B23" s="9" t="s">
        <v>67</v>
      </c>
      <c r="C23" s="10" t="s">
        <v>68</v>
      </c>
      <c r="D23" s="24" t="s">
        <v>83</v>
      </c>
      <c r="E23" s="25">
        <f t="shared" ca="1" si="2"/>
        <v>45018</v>
      </c>
      <c r="F23" s="12">
        <f t="shared" si="0"/>
        <v>65</v>
      </c>
      <c r="G23" s="26">
        <f ca="1">WORKDAY.INTL(E23,F23,1,Holidays)</f>
        <v>45110</v>
      </c>
      <c r="H23" s="27">
        <f ca="1">WORKDAY.INTL(E23,F23,11,Holidays)</f>
        <v>45094</v>
      </c>
      <c r="I23" s="28">
        <f t="shared" ca="1" si="1"/>
        <v>45093</v>
      </c>
    </row>
    <row r="24" spans="2:9" ht="19.899999999999999" customHeight="1" x14ac:dyDescent="0.2">
      <c r="B24" s="9" t="s">
        <v>80</v>
      </c>
      <c r="C24" s="10" t="s">
        <v>4</v>
      </c>
      <c r="D24" s="24" t="s">
        <v>81</v>
      </c>
      <c r="E24" s="25">
        <f ca="1">TODAY()-33</f>
        <v>45019</v>
      </c>
      <c r="F24" s="12">
        <f t="shared" si="0"/>
        <v>70</v>
      </c>
      <c r="G24" s="26">
        <f ca="1">WORKDAY.INTL(E24,F24,1,Holidays)</f>
        <v>45119</v>
      </c>
      <c r="H24" s="27">
        <f ca="1">WORKDAY.INTL(E24,F24,11,Holidays)</f>
        <v>45101</v>
      </c>
      <c r="I24" s="28">
        <f t="shared" ca="1" si="1"/>
        <v>45100</v>
      </c>
    </row>
    <row r="25" spans="2:9" ht="19.899999999999999" customHeight="1" x14ac:dyDescent="0.2">
      <c r="B25" s="9" t="s">
        <v>96</v>
      </c>
      <c r="C25" s="10" t="s">
        <v>18</v>
      </c>
      <c r="D25" s="24" t="s">
        <v>83</v>
      </c>
      <c r="E25" s="25">
        <f ca="1">TODAY()-32</f>
        <v>45020</v>
      </c>
      <c r="F25" s="12">
        <f t="shared" si="0"/>
        <v>65</v>
      </c>
      <c r="G25" s="26">
        <f ca="1">WORKDAY.INTL(E25,F25,1,Holidays)</f>
        <v>45113</v>
      </c>
      <c r="H25" s="27">
        <f ca="1">WORKDAY.INTL(E25,F25,11,Holidays)</f>
        <v>45097</v>
      </c>
      <c r="I25" s="28">
        <f t="shared" ca="1" si="1"/>
        <v>45096</v>
      </c>
    </row>
    <row r="26" spans="2:9" ht="19.899999999999999" customHeight="1" x14ac:dyDescent="0.2">
      <c r="B26" s="9" t="s">
        <v>99</v>
      </c>
      <c r="C26" s="10" t="s">
        <v>21</v>
      </c>
      <c r="D26" s="24" t="s">
        <v>83</v>
      </c>
      <c r="E26" s="25">
        <f ca="1">TODAY()-32</f>
        <v>45020</v>
      </c>
      <c r="F26" s="12">
        <f t="shared" si="0"/>
        <v>65</v>
      </c>
      <c r="G26" s="26">
        <f ca="1">WORKDAY.INTL(E26,F26,1,Holidays)</f>
        <v>45113</v>
      </c>
      <c r="H26" s="27">
        <f ca="1">WORKDAY.INTL(E26,F26,11,Holidays)</f>
        <v>45097</v>
      </c>
      <c r="I26" s="28">
        <f t="shared" ca="1" si="1"/>
        <v>45096</v>
      </c>
    </row>
    <row r="27" spans="2:9" ht="19.899999999999999" customHeight="1" x14ac:dyDescent="0.2">
      <c r="B27" s="9" t="s">
        <v>95</v>
      </c>
      <c r="C27" s="10" t="s">
        <v>17</v>
      </c>
      <c r="D27" s="24" t="s">
        <v>83</v>
      </c>
      <c r="E27" s="25">
        <f ca="1">TODAY()-29</f>
        <v>45023</v>
      </c>
      <c r="F27" s="12">
        <f t="shared" si="0"/>
        <v>65</v>
      </c>
      <c r="G27" s="26">
        <f ca="1">WORKDAY.INTL(E27,F27,1,Holidays)</f>
        <v>45118</v>
      </c>
      <c r="H27" s="27">
        <f ca="1">WORKDAY.INTL(E27,F27,11,Holidays)</f>
        <v>45100</v>
      </c>
      <c r="I27" s="28">
        <f t="shared" ca="1" si="1"/>
        <v>45099</v>
      </c>
    </row>
    <row r="28" spans="2:9" ht="19.899999999999999" customHeight="1" x14ac:dyDescent="0.2">
      <c r="B28" s="9" t="s">
        <v>28</v>
      </c>
      <c r="C28" s="10" t="s">
        <v>29</v>
      </c>
      <c r="D28" s="24" t="s">
        <v>90</v>
      </c>
      <c r="E28" s="25">
        <f ca="1">TODAY()-28</f>
        <v>45024</v>
      </c>
      <c r="F28" s="12">
        <f t="shared" si="0"/>
        <v>60</v>
      </c>
      <c r="G28" s="26">
        <f ca="1">WORKDAY.INTL(E28,F28,1,Holidays)</f>
        <v>45110</v>
      </c>
      <c r="H28" s="27">
        <f ca="1">WORKDAY.INTL(E28,F28,11,Holidays)</f>
        <v>45096</v>
      </c>
      <c r="I28" s="28">
        <f t="shared" ca="1" si="1"/>
        <v>45094</v>
      </c>
    </row>
    <row r="29" spans="2:9" ht="19.899999999999999" customHeight="1" x14ac:dyDescent="0.2">
      <c r="B29" s="9" t="s">
        <v>43</v>
      </c>
      <c r="C29" s="10" t="s">
        <v>44</v>
      </c>
      <c r="D29" s="24" t="s">
        <v>90</v>
      </c>
      <c r="E29" s="25">
        <f ca="1">TODAY()-28</f>
        <v>45024</v>
      </c>
      <c r="F29" s="12">
        <f t="shared" si="0"/>
        <v>60</v>
      </c>
      <c r="G29" s="26">
        <f ca="1">WORKDAY.INTL(E29,F29,1,Holidays)</f>
        <v>45110</v>
      </c>
      <c r="H29" s="27">
        <f ca="1">WORKDAY.INTL(E29,F29,11,Holidays)</f>
        <v>45096</v>
      </c>
      <c r="I29" s="28">
        <f t="shared" ca="1" si="1"/>
        <v>45094</v>
      </c>
    </row>
    <row r="30" spans="2:9" ht="19.899999999999999" customHeight="1" x14ac:dyDescent="0.2">
      <c r="B30" s="9" t="s">
        <v>63</v>
      </c>
      <c r="C30" s="10" t="s">
        <v>64</v>
      </c>
      <c r="D30" s="24" t="s">
        <v>90</v>
      </c>
      <c r="E30" s="25">
        <f ca="1">TODAY()-28</f>
        <v>45024</v>
      </c>
      <c r="F30" s="12">
        <f t="shared" si="0"/>
        <v>60</v>
      </c>
      <c r="G30" s="26">
        <f ca="1">WORKDAY.INTL(E30,F30,1,Holidays)</f>
        <v>45110</v>
      </c>
      <c r="H30" s="27">
        <f ca="1">WORKDAY.INTL(E30,F30,11,Holidays)</f>
        <v>45096</v>
      </c>
      <c r="I30" s="28">
        <f t="shared" ca="1" si="1"/>
        <v>45094</v>
      </c>
    </row>
    <row r="31" spans="2:9" ht="19.899999999999999" customHeight="1" x14ac:dyDescent="0.2">
      <c r="B31" s="9" t="s">
        <v>97</v>
      </c>
      <c r="C31" s="10" t="s">
        <v>19</v>
      </c>
      <c r="D31" s="24" t="s">
        <v>90</v>
      </c>
      <c r="E31" s="25">
        <f ca="1">TODAY()-21</f>
        <v>45031</v>
      </c>
      <c r="F31" s="12">
        <f t="shared" si="0"/>
        <v>60</v>
      </c>
      <c r="G31" s="26">
        <f ca="1">WORKDAY.INTL(E31,F31,1,Holidays)</f>
        <v>45118</v>
      </c>
      <c r="H31" s="27">
        <f ca="1">WORKDAY.INTL(E31,F31,11,Holidays)</f>
        <v>45103</v>
      </c>
      <c r="I31" s="28">
        <f t="shared" ca="1" si="1"/>
        <v>45101</v>
      </c>
    </row>
    <row r="32" spans="2:9" ht="19.899999999999999" customHeight="1" x14ac:dyDescent="0.2">
      <c r="B32" s="9" t="s">
        <v>100</v>
      </c>
      <c r="C32" s="10" t="s">
        <v>22</v>
      </c>
      <c r="D32" s="24" t="s">
        <v>81</v>
      </c>
      <c r="E32" s="25">
        <f ca="1">TODAY()-20</f>
        <v>45032</v>
      </c>
      <c r="F32" s="12">
        <f t="shared" si="0"/>
        <v>70</v>
      </c>
      <c r="G32" s="26">
        <f ca="1">WORKDAY.INTL(E32,F32,1,Holidays)</f>
        <v>45132</v>
      </c>
      <c r="H32" s="27">
        <f ca="1">WORKDAY.INTL(E32,F32,11,Holidays)</f>
        <v>45115</v>
      </c>
      <c r="I32" s="28">
        <f t="shared" ca="1" si="1"/>
        <v>45113</v>
      </c>
    </row>
    <row r="33" spans="2:9" ht="19.899999999999999" customHeight="1" x14ac:dyDescent="0.2">
      <c r="B33" s="9" t="s">
        <v>101</v>
      </c>
      <c r="C33" s="10" t="s">
        <v>112</v>
      </c>
      <c r="D33" s="24" t="s">
        <v>8</v>
      </c>
      <c r="E33" s="25">
        <f ca="1">TODAY()-20</f>
        <v>45032</v>
      </c>
      <c r="F33" s="12">
        <f t="shared" si="0"/>
        <v>75</v>
      </c>
      <c r="G33" s="26">
        <f ca="1">WORKDAY.INTL(E33,F33,1,Holidays)</f>
        <v>45139</v>
      </c>
      <c r="H33" s="27">
        <f ca="1">WORKDAY.INTL(E33,F33,11,Holidays)</f>
        <v>45121</v>
      </c>
      <c r="I33" s="28">
        <f t="shared" ca="1" si="1"/>
        <v>45119</v>
      </c>
    </row>
    <row r="34" spans="2:9" ht="19.899999999999999" customHeight="1" x14ac:dyDescent="0.2">
      <c r="B34" s="9" t="s">
        <v>109</v>
      </c>
      <c r="C34" s="10" t="s">
        <v>34</v>
      </c>
      <c r="D34" s="24" t="s">
        <v>8</v>
      </c>
      <c r="E34" s="25">
        <f ca="1">TODAY()-20</f>
        <v>45032</v>
      </c>
      <c r="F34" s="12">
        <f t="shared" si="0"/>
        <v>75</v>
      </c>
      <c r="G34" s="26">
        <f ca="1">WORKDAY.INTL(E34,F34,1,Holidays)</f>
        <v>45139</v>
      </c>
      <c r="H34" s="27">
        <f ca="1">WORKDAY.INTL(E34,F34,11,Holidays)</f>
        <v>45121</v>
      </c>
      <c r="I34" s="28">
        <f t="shared" ca="1" si="1"/>
        <v>45119</v>
      </c>
    </row>
    <row r="35" spans="2:9" ht="19.899999999999999" customHeight="1" x14ac:dyDescent="0.2">
      <c r="B35" s="9" t="s">
        <v>51</v>
      </c>
      <c r="C35" s="10" t="s">
        <v>52</v>
      </c>
      <c r="D35" s="24" t="s">
        <v>8</v>
      </c>
      <c r="E35" s="25">
        <f ca="1">TODAY()-20</f>
        <v>45032</v>
      </c>
      <c r="F35" s="12">
        <f t="shared" si="0"/>
        <v>75</v>
      </c>
      <c r="G35" s="26">
        <f ca="1">WORKDAY.INTL(E35,F35,1,Holidays)</f>
        <v>45139</v>
      </c>
      <c r="H35" s="27">
        <f ca="1">WORKDAY.INTL(E35,F35,11,Holidays)</f>
        <v>45121</v>
      </c>
      <c r="I35" s="28">
        <f t="shared" ca="1" si="1"/>
        <v>45119</v>
      </c>
    </row>
    <row r="36" spans="2:9" ht="19.899999999999999" customHeight="1" x14ac:dyDescent="0.2">
      <c r="B36" s="9" t="s">
        <v>89</v>
      </c>
      <c r="C36" s="10" t="s">
        <v>10</v>
      </c>
      <c r="D36" s="24" t="s">
        <v>90</v>
      </c>
      <c r="E36" s="25">
        <f ca="1">TODAY()-19</f>
        <v>45033</v>
      </c>
      <c r="F36" s="12">
        <f t="shared" si="0"/>
        <v>60</v>
      </c>
      <c r="G36" s="26">
        <f ca="1">WORKDAY.INTL(E36,F36,1,Holidays)</f>
        <v>45119</v>
      </c>
      <c r="H36" s="27">
        <f ca="1">WORKDAY.INTL(E36,F36,11,Holidays)</f>
        <v>45104</v>
      </c>
      <c r="I36" s="28">
        <f t="shared" ca="1" si="1"/>
        <v>45103</v>
      </c>
    </row>
    <row r="37" spans="2:9" ht="19.899999999999999" customHeight="1" x14ac:dyDescent="0.2">
      <c r="B37" s="9" t="s">
        <v>92</v>
      </c>
      <c r="C37" s="10" t="s">
        <v>12</v>
      </c>
      <c r="D37" s="24" t="s">
        <v>85</v>
      </c>
      <c r="E37" s="25">
        <f ca="1">TODAY()-18</f>
        <v>45034</v>
      </c>
      <c r="F37" s="12">
        <f t="shared" si="0"/>
        <v>80</v>
      </c>
      <c r="G37" s="26">
        <f ca="1">WORKDAY.INTL(E37,F37,1,Holidays)</f>
        <v>45148</v>
      </c>
      <c r="H37" s="27">
        <f ca="1">WORKDAY.INTL(E37,F37,11,Holidays)</f>
        <v>45129</v>
      </c>
      <c r="I37" s="28">
        <f t="shared" ca="1" si="1"/>
        <v>45127</v>
      </c>
    </row>
    <row r="38" spans="2:9" ht="19.899999999999999" customHeight="1" x14ac:dyDescent="0.2">
      <c r="B38" s="9" t="s">
        <v>98</v>
      </c>
      <c r="C38" s="10" t="s">
        <v>20</v>
      </c>
      <c r="D38" s="24" t="s">
        <v>85</v>
      </c>
      <c r="E38" s="25">
        <f ca="1">TODAY()-14</f>
        <v>45038</v>
      </c>
      <c r="F38" s="12">
        <f t="shared" si="0"/>
        <v>80</v>
      </c>
      <c r="G38" s="26">
        <f ca="1">WORKDAY.INTL(E38,F38,1,Holidays)</f>
        <v>45153</v>
      </c>
      <c r="H38" s="27">
        <f ca="1">WORKDAY.INTL(E38,F38,11,Holidays)</f>
        <v>45134</v>
      </c>
      <c r="I38" s="28">
        <f t="shared" ca="1" si="1"/>
        <v>45132</v>
      </c>
    </row>
    <row r="39" spans="2:9" ht="19.899999999999999" customHeight="1" x14ac:dyDescent="0.2">
      <c r="B39" s="9" t="s">
        <v>105</v>
      </c>
      <c r="C39" s="10" t="s">
        <v>26</v>
      </c>
      <c r="D39" s="24" t="s">
        <v>90</v>
      </c>
      <c r="E39" s="25">
        <f ca="1">TODAY()-10</f>
        <v>45042</v>
      </c>
      <c r="F39" s="12">
        <f t="shared" si="0"/>
        <v>60</v>
      </c>
      <c r="G39" s="26">
        <f ca="1">WORKDAY.INTL(E39,F39,1,Holidays)</f>
        <v>45128</v>
      </c>
      <c r="H39" s="27">
        <f ca="1">WORKDAY.INTL(E39,F39,11,Holidays)</f>
        <v>45114</v>
      </c>
      <c r="I39" s="28">
        <f t="shared" ca="1" si="1"/>
        <v>45112</v>
      </c>
    </row>
    <row r="40" spans="2:9" ht="19.899999999999999" customHeight="1" x14ac:dyDescent="0.2">
      <c r="B40" s="9" t="s">
        <v>39</v>
      </c>
      <c r="C40" s="10" t="s">
        <v>40</v>
      </c>
      <c r="D40" s="24" t="s">
        <v>90</v>
      </c>
      <c r="E40" s="25">
        <f ca="1">TODAY()-10</f>
        <v>45042</v>
      </c>
      <c r="F40" s="12">
        <f t="shared" si="0"/>
        <v>60</v>
      </c>
      <c r="G40" s="26">
        <f ca="1">WORKDAY.INTL(E40,F40,1,Holidays)</f>
        <v>45128</v>
      </c>
      <c r="H40" s="27">
        <f ca="1">WORKDAY.INTL(E40,F40,11,Holidays)</f>
        <v>45114</v>
      </c>
      <c r="I40" s="28">
        <f t="shared" ca="1" si="1"/>
        <v>45112</v>
      </c>
    </row>
    <row r="41" spans="2:9" ht="19.899999999999999" customHeight="1" x14ac:dyDescent="0.2">
      <c r="B41" s="9" t="s">
        <v>59</v>
      </c>
      <c r="C41" s="10" t="s">
        <v>60</v>
      </c>
      <c r="D41" s="24" t="s">
        <v>90</v>
      </c>
      <c r="E41" s="25">
        <f ca="1">TODAY()-10</f>
        <v>45042</v>
      </c>
      <c r="F41" s="12">
        <f t="shared" si="0"/>
        <v>60</v>
      </c>
      <c r="G41" s="26">
        <f ca="1">WORKDAY.INTL(E41,F41,1,Holidays)</f>
        <v>45128</v>
      </c>
      <c r="H41" s="27">
        <f ca="1">WORKDAY.INTL(E41,F41,11,Holidays)</f>
        <v>45114</v>
      </c>
      <c r="I41" s="28">
        <f t="shared" ca="1" si="1"/>
        <v>45112</v>
      </c>
    </row>
    <row r="42" spans="2:9" ht="19.899999999999999" customHeight="1" x14ac:dyDescent="0.2">
      <c r="B42" s="9" t="s">
        <v>82</v>
      </c>
      <c r="C42" s="10" t="s">
        <v>5</v>
      </c>
      <c r="D42" s="24" t="s">
        <v>83</v>
      </c>
      <c r="E42" s="25">
        <f ca="1">TODAY()-6</f>
        <v>45046</v>
      </c>
      <c r="F42" s="12">
        <f t="shared" si="0"/>
        <v>65</v>
      </c>
      <c r="G42" s="26">
        <f ca="1">WORKDAY.INTL(E42,F42,1,Holidays)</f>
        <v>45139</v>
      </c>
      <c r="H42" s="27">
        <f ca="1">WORKDAY.INTL(E42,F42,11,Holidays)</f>
        <v>45124</v>
      </c>
      <c r="I42" s="28">
        <f t="shared" ca="1" si="1"/>
        <v>45121</v>
      </c>
    </row>
    <row r="43" spans="2:9" ht="19.899999999999999" customHeight="1" x14ac:dyDescent="0.2">
      <c r="B43" s="9" t="s">
        <v>93</v>
      </c>
      <c r="C43" s="10" t="s">
        <v>13</v>
      </c>
      <c r="D43" s="24" t="s">
        <v>8</v>
      </c>
      <c r="E43" s="25">
        <f ca="1">TODAY()-6</f>
        <v>45046</v>
      </c>
      <c r="F43" s="12">
        <f t="shared" si="0"/>
        <v>75</v>
      </c>
      <c r="G43" s="26">
        <f ca="1">WORKDAY.INTL(E43,F43,1,Holidays)</f>
        <v>45153</v>
      </c>
      <c r="H43" s="27">
        <f ca="1">WORKDAY.INTL(E43,F43,11,Holidays)</f>
        <v>45135</v>
      </c>
      <c r="I43" s="28">
        <f t="shared" ca="1" si="1"/>
        <v>45133</v>
      </c>
    </row>
    <row r="44" spans="2:9" ht="19.899999999999999" customHeight="1" x14ac:dyDescent="0.2">
      <c r="B44" s="9" t="s">
        <v>106</v>
      </c>
      <c r="C44" s="10" t="s">
        <v>27</v>
      </c>
      <c r="D44" s="24" t="s">
        <v>81</v>
      </c>
      <c r="E44" s="25">
        <f ca="1">TODAY()-4</f>
        <v>45048</v>
      </c>
      <c r="F44" s="12">
        <f t="shared" si="0"/>
        <v>70</v>
      </c>
      <c r="G44" s="26">
        <f ca="1">WORKDAY.INTL(E44,F44,1,Holidays)</f>
        <v>45148</v>
      </c>
      <c r="H44" s="27">
        <f ca="1">WORKDAY.INTL(E44,F44,11,Holidays)</f>
        <v>45132</v>
      </c>
      <c r="I44" s="28">
        <f t="shared" ca="1" si="1"/>
        <v>45129</v>
      </c>
    </row>
    <row r="45" spans="2:9" ht="19.899999999999999" customHeight="1" x14ac:dyDescent="0.2">
      <c r="B45" s="9" t="s">
        <v>41</v>
      </c>
      <c r="C45" s="10" t="s">
        <v>42</v>
      </c>
      <c r="D45" s="24" t="s">
        <v>81</v>
      </c>
      <c r="E45" s="25">
        <f ca="1">TODAY()-4</f>
        <v>45048</v>
      </c>
      <c r="F45" s="12">
        <f t="shared" si="0"/>
        <v>70</v>
      </c>
      <c r="G45" s="26">
        <f ca="1">WORKDAY.INTL(E45,F45,1,Holidays)</f>
        <v>45148</v>
      </c>
      <c r="H45" s="27">
        <f ca="1">WORKDAY.INTL(E45,F45,11,Holidays)</f>
        <v>45132</v>
      </c>
      <c r="I45" s="28">
        <f t="shared" ca="1" si="1"/>
        <v>45129</v>
      </c>
    </row>
    <row r="46" spans="2:9" ht="19.899999999999999" customHeight="1" x14ac:dyDescent="0.2">
      <c r="B46" s="9" t="s">
        <v>61</v>
      </c>
      <c r="C46" s="10" t="s">
        <v>62</v>
      </c>
      <c r="D46" s="24" t="s">
        <v>81</v>
      </c>
      <c r="E46" s="25">
        <f ca="1">TODAY()-4</f>
        <v>45048</v>
      </c>
      <c r="F46" s="12">
        <f t="shared" si="0"/>
        <v>70</v>
      </c>
      <c r="G46" s="26">
        <f ca="1">WORKDAY.INTL(E46,F46,1,Holidays)</f>
        <v>45148</v>
      </c>
      <c r="H46" s="27">
        <f ca="1">WORKDAY.INTL(E46,F46,11,Holidays)</f>
        <v>45132</v>
      </c>
      <c r="I46" s="28">
        <f t="shared" ca="1" si="1"/>
        <v>45129</v>
      </c>
    </row>
    <row r="47" spans="2:9" ht="19.899999999999999" customHeight="1" x14ac:dyDescent="0.2">
      <c r="B47" s="9" t="s">
        <v>32</v>
      </c>
      <c r="C47" s="10" t="s">
        <v>33</v>
      </c>
      <c r="D47" s="24" t="s">
        <v>90</v>
      </c>
      <c r="E47" s="25">
        <f ca="1">TODAY()-1</f>
        <v>45051</v>
      </c>
      <c r="F47" s="12">
        <f t="shared" si="0"/>
        <v>60</v>
      </c>
      <c r="G47" s="26">
        <f ca="1">WORKDAY.INTL(E47,F47,1,Holidays)</f>
        <v>45139</v>
      </c>
      <c r="H47" s="27">
        <f ca="1">WORKDAY.INTL(E47,F47,11,Holidays)</f>
        <v>45124</v>
      </c>
      <c r="I47" s="28">
        <f t="shared" ca="1" si="1"/>
        <v>45121</v>
      </c>
    </row>
    <row r="48" spans="2:9" ht="19.899999999999999" customHeight="1" x14ac:dyDescent="0.2">
      <c r="B48" s="9" t="s">
        <v>49</v>
      </c>
      <c r="C48" s="10" t="s">
        <v>50</v>
      </c>
      <c r="D48" s="24" t="s">
        <v>90</v>
      </c>
      <c r="E48" s="25">
        <f ca="1">TODAY()-1</f>
        <v>45051</v>
      </c>
      <c r="F48" s="12">
        <f t="shared" si="0"/>
        <v>60</v>
      </c>
      <c r="G48" s="26">
        <f ca="1">WORKDAY.INTL(E48,F48,1,Holidays)</f>
        <v>45139</v>
      </c>
      <c r="H48" s="27">
        <f ca="1">WORKDAY.INTL(E48,F48,11,Holidays)</f>
        <v>45124</v>
      </c>
      <c r="I48" s="28">
        <f t="shared" ca="1" si="1"/>
        <v>45121</v>
      </c>
    </row>
    <row r="49" spans="2:9" ht="19.899999999999999" customHeight="1" x14ac:dyDescent="0.2">
      <c r="B49" s="9" t="s">
        <v>69</v>
      </c>
      <c r="C49" s="10" t="s">
        <v>70</v>
      </c>
      <c r="D49" s="24" t="s">
        <v>90</v>
      </c>
      <c r="E49" s="25">
        <f ca="1">TODAY()-1</f>
        <v>45051</v>
      </c>
      <c r="F49" s="12">
        <f t="shared" si="0"/>
        <v>60</v>
      </c>
      <c r="G49" s="26">
        <f ca="1">WORKDAY.INTL(E49,F49,1,Holidays)</f>
        <v>45139</v>
      </c>
      <c r="H49" s="27">
        <f ca="1">WORKDAY.INTL(E49,F49,11,Holidays)</f>
        <v>45124</v>
      </c>
      <c r="I49" s="28">
        <f t="shared" ca="1" si="1"/>
        <v>45121</v>
      </c>
    </row>
  </sheetData>
  <mergeCells count="3">
    <mergeCell ref="G1:G2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8F22-D3B1-4548-A47A-1FCF324130A8}">
  <sheetPr codeName="Sheet2">
    <tabColor theme="4" tint="-0.499984740745262"/>
  </sheetPr>
  <dimension ref="B2:C33"/>
  <sheetViews>
    <sheetView workbookViewId="0">
      <selection activeCell="D13" sqref="D13"/>
    </sheetView>
  </sheetViews>
  <sheetFormatPr defaultColWidth="10.75" defaultRowHeight="19.899999999999999" customHeight="1" x14ac:dyDescent="0.2"/>
  <cols>
    <col min="1" max="1" width="10.75" style="1"/>
    <col min="2" max="2" width="19.125" style="1" customWidth="1"/>
    <col min="3" max="3" width="16" style="1" customWidth="1"/>
    <col min="4" max="16384" width="10.75" style="1"/>
  </cols>
  <sheetData>
    <row r="2" spans="2:3" ht="19.899999999999999" customHeight="1" thickBot="1" x14ac:dyDescent="0.25">
      <c r="B2" s="17" t="s">
        <v>71</v>
      </c>
      <c r="C2" s="18" t="s">
        <v>72</v>
      </c>
    </row>
    <row r="3" spans="2:3" ht="19.899999999999999" customHeight="1" thickTop="1" x14ac:dyDescent="0.2">
      <c r="B3" s="19" t="s">
        <v>90</v>
      </c>
      <c r="C3" s="20">
        <v>60</v>
      </c>
    </row>
    <row r="4" spans="2:3" ht="19.899999999999999" customHeight="1" x14ac:dyDescent="0.2">
      <c r="B4" s="21" t="s">
        <v>83</v>
      </c>
      <c r="C4" s="22">
        <v>65</v>
      </c>
    </row>
    <row r="5" spans="2:3" ht="19.899999999999999" customHeight="1" x14ac:dyDescent="0.2">
      <c r="B5" s="21" t="s">
        <v>81</v>
      </c>
      <c r="C5" s="22">
        <v>70</v>
      </c>
    </row>
    <row r="6" spans="2:3" ht="19.899999999999999" customHeight="1" x14ac:dyDescent="0.2">
      <c r="B6" s="21" t="s">
        <v>8</v>
      </c>
      <c r="C6" s="22">
        <v>75</v>
      </c>
    </row>
    <row r="7" spans="2:3" ht="19.899999999999999" customHeight="1" x14ac:dyDescent="0.2">
      <c r="B7" s="21" t="s">
        <v>85</v>
      </c>
      <c r="C7" s="22">
        <v>80</v>
      </c>
    </row>
    <row r="8" spans="2:3" ht="19.899999999999999" customHeight="1" x14ac:dyDescent="0.2">
      <c r="B8" s="21" t="s">
        <v>88</v>
      </c>
      <c r="C8" s="22">
        <v>85</v>
      </c>
    </row>
    <row r="12" spans="2:3" ht="19.899999999999999" customHeight="1" thickBot="1" x14ac:dyDescent="0.25">
      <c r="B12" s="16"/>
      <c r="C12" s="23" t="s">
        <v>79</v>
      </c>
    </row>
    <row r="13" spans="2:3" ht="19.899999999999999" customHeight="1" thickTop="1" x14ac:dyDescent="0.2">
      <c r="B13" s="14" t="s">
        <v>73</v>
      </c>
      <c r="C13" s="15">
        <f ca="1">DATE(YEAR(TODAY()),1,1)</f>
        <v>44927</v>
      </c>
    </row>
    <row r="14" spans="2:3" ht="19.899999999999999" customHeight="1" x14ac:dyDescent="0.2">
      <c r="B14" s="11" t="s">
        <v>74</v>
      </c>
      <c r="C14" s="13">
        <f ca="1">IF(WEEKDAY(DATE(YEAR(TODAY()),5,31))&gt;=2,DATE(YEAR(TODAY()),5,31)-WEEKDAY(DATE(YEAR(TODAY()),5,31))+2,DATE(YEAR(TODAY()),5,31)-5-WEEKDAY(DATE(YEAR(TODAY()),5,31)))</f>
        <v>45075</v>
      </c>
    </row>
    <row r="15" spans="2:3" ht="19.899999999999999" customHeight="1" x14ac:dyDescent="0.2">
      <c r="B15" s="11" t="s">
        <v>75</v>
      </c>
      <c r="C15" s="13">
        <f ca="1">DATE(YEAR(TODAY()),7,4)</f>
        <v>45111</v>
      </c>
    </row>
    <row r="16" spans="2:3" ht="19.899999999999999" customHeight="1" x14ac:dyDescent="0.2">
      <c r="B16" s="11" t="s">
        <v>76</v>
      </c>
      <c r="C16" s="13">
        <f ca="1">IF(WEEKDAY(DATE(YEAR(TODAY()),9,1))&gt;2,DATE(YEAR(TODAY()),9,1)-WEEKDAY(DATE(YEAR(TODAY()),9,1))+9,DATE(YEAR(TODAY()),9,1)-WEEKDAY(DATE(YEAR(TODAY()),9,1))+2)</f>
        <v>45173</v>
      </c>
    </row>
    <row r="17" spans="2:3" ht="19.899999999999999" customHeight="1" x14ac:dyDescent="0.2">
      <c r="B17" s="11" t="s">
        <v>113</v>
      </c>
      <c r="C17" s="13">
        <v>44861</v>
      </c>
    </row>
    <row r="18" spans="2:3" ht="19.899999999999999" customHeight="1" x14ac:dyDescent="0.2">
      <c r="B18" s="11" t="s">
        <v>77</v>
      </c>
      <c r="C18" s="13">
        <f ca="1">IF(WEEKDAY(DATE(YEAR(TODAY()),11,1))&lt;6,DATE(YEAR(TODAY()),11,1)-WEEKDAY(DATE(YEAR(TODAY()),11,1))+26,DATE(YEAR(TODAY()),11,1)-WEEKDAY(DATE(YEAR(TODAY()),11,1))+33)</f>
        <v>45253</v>
      </c>
    </row>
    <row r="19" spans="2:3" ht="19.899999999999999" customHeight="1" x14ac:dyDescent="0.2">
      <c r="B19" s="11" t="s">
        <v>78</v>
      </c>
      <c r="C19" s="13">
        <f ca="1">DATE(YEAR(TODAY()),12,25)</f>
        <v>45285</v>
      </c>
    </row>
    <row r="20" spans="2:3" ht="19.899999999999999" customHeight="1" x14ac:dyDescent="0.2">
      <c r="B20" s="11" t="s">
        <v>73</v>
      </c>
      <c r="C20" s="13">
        <f ca="1">DATE(YEAR(TODAY())+1,1,1)</f>
        <v>45292</v>
      </c>
    </row>
    <row r="21" spans="2:3" ht="19.899999999999999" customHeight="1" x14ac:dyDescent="0.2">
      <c r="B21" s="11" t="s">
        <v>74</v>
      </c>
      <c r="C21" s="13">
        <f ca="1">IF(WEEKDAY(DATE(YEAR(TODAY())+1,5,31))&gt;=2,DATE(YEAR(TODAY())+1,5,31)-WEEKDAY(DATE(YEAR(TODAY())+1,5,31))+2,DATE(YEAR(TODAY())+1,5,31)-5-WEEKDAY(DATE(YEAR(TODAY())+1,5,31)))</f>
        <v>45439</v>
      </c>
    </row>
    <row r="22" spans="2:3" ht="19.899999999999999" customHeight="1" x14ac:dyDescent="0.2">
      <c r="B22" s="11" t="s">
        <v>75</v>
      </c>
      <c r="C22" s="13">
        <f ca="1">DATE(YEAR(TODAY())+1,7,4)</f>
        <v>45477</v>
      </c>
    </row>
    <row r="23" spans="2:3" ht="19.899999999999999" customHeight="1" x14ac:dyDescent="0.2">
      <c r="B23" s="11" t="s">
        <v>76</v>
      </c>
      <c r="C23" s="13">
        <f ca="1">IF(WEEKDAY(DATE(YEAR(TODAY())+1,9,1))&gt;2,DATE(YEAR(TODAY())+1,9,1)-WEEKDAY(DATE(YEAR(TODAY())+1,9,1))+9,DATE(YEAR(TODAY())+1,9,1)-WEEKDAY(DATE(YEAR(TODAY())+1,9,1))+2)</f>
        <v>45537</v>
      </c>
    </row>
    <row r="24" spans="2:3" ht="19.899999999999999" customHeight="1" x14ac:dyDescent="0.2">
      <c r="B24" s="11" t="s">
        <v>113</v>
      </c>
      <c r="C24" s="13">
        <v>44861</v>
      </c>
    </row>
    <row r="25" spans="2:3" ht="19.899999999999999" customHeight="1" x14ac:dyDescent="0.2">
      <c r="B25" s="11" t="s">
        <v>77</v>
      </c>
      <c r="C25" s="13">
        <f ca="1">IF(WEEKDAY(DATE(YEAR(TODAY())+1,11,1))&lt;6,DATE(YEAR(TODAY())+1,11,1)-WEEKDAY(DATE(YEAR(TODAY())+1,11,1))+26,DATE(YEAR(TODAY())+1,11,1)-WEEKDAY(DATE(YEAR(TODAY())+1,11,1))+33)</f>
        <v>45624</v>
      </c>
    </row>
    <row r="26" spans="2:3" ht="19.899999999999999" customHeight="1" x14ac:dyDescent="0.2">
      <c r="B26" s="11" t="s">
        <v>78</v>
      </c>
      <c r="C26" s="13">
        <f ca="1">DATE(YEAR(TODAY())+1,12,25)</f>
        <v>45651</v>
      </c>
    </row>
    <row r="27" spans="2:3" ht="19.899999999999999" customHeight="1" x14ac:dyDescent="0.2">
      <c r="B27" s="11" t="s">
        <v>73</v>
      </c>
      <c r="C27" s="13">
        <f ca="1">DATE(YEAR(TODAY())-1,1,1)</f>
        <v>44562</v>
      </c>
    </row>
    <row r="28" spans="2:3" ht="19.899999999999999" customHeight="1" x14ac:dyDescent="0.2">
      <c r="B28" s="11" t="s">
        <v>74</v>
      </c>
      <c r="C28" s="13">
        <f ca="1">IF(WEEKDAY(DATE(YEAR(TODAY())-1,5,31))&gt;=2,DATE(YEAR(TODAY())-1,5,31)-WEEKDAY(DATE(YEAR(TODAY())-1,5,31))+2,DATE(YEAR(TODAY())-1,5,31)-5-WEEKDAY(DATE(YEAR(TODAY())-1,5,31)))</f>
        <v>44711</v>
      </c>
    </row>
    <row r="29" spans="2:3" ht="19.899999999999999" customHeight="1" x14ac:dyDescent="0.2">
      <c r="B29" s="11" t="s">
        <v>75</v>
      </c>
      <c r="C29" s="13">
        <f ca="1">DATE(YEAR(TODAY())-1,7,4)</f>
        <v>44746</v>
      </c>
    </row>
    <row r="30" spans="2:3" ht="19.899999999999999" customHeight="1" x14ac:dyDescent="0.2">
      <c r="B30" s="11" t="s">
        <v>76</v>
      </c>
      <c r="C30" s="13">
        <f ca="1">IF(WEEKDAY(DATE(YEAR(TODAY())-1,9,1))&gt;2,DATE(YEAR(TODAY())-1,9,1)-WEEKDAY(DATE(YEAR(TODAY())-1,9,1))+9,DATE(YEAR(TODAY())-1,9,1)-WEEKDAY(DATE(YEAR(TODAY())-1,9,1))+2)</f>
        <v>44809</v>
      </c>
    </row>
    <row r="31" spans="2:3" ht="19.899999999999999" customHeight="1" x14ac:dyDescent="0.2">
      <c r="B31" s="11" t="s">
        <v>113</v>
      </c>
      <c r="C31" s="13">
        <v>44861</v>
      </c>
    </row>
    <row r="32" spans="2:3" ht="19.899999999999999" customHeight="1" x14ac:dyDescent="0.2">
      <c r="B32" s="11" t="s">
        <v>77</v>
      </c>
      <c r="C32" s="13">
        <f ca="1">IF(WEEKDAY(DATE(YEAR(TODAY())-1,11,1))&lt;6,DATE(YEAR(TODAY())-1,11,1)-WEEKDAY(DATE(YEAR(TODAY())-1,11,1))+26,DATE(YEAR(TODAY())-1,11,1)-WEEKDAY(DATE(YEAR(TODAY())-1,11,1))+33)</f>
        <v>44889</v>
      </c>
    </row>
    <row r="33" spans="2:3" ht="19.899999999999999" customHeight="1" x14ac:dyDescent="0.2">
      <c r="B33" s="11" t="s">
        <v>78</v>
      </c>
      <c r="C33" s="13">
        <f ca="1">DATE(YEAR(TODAY())-1,12,25)</f>
        <v>44920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FB38-DEFE-41D1-B3CA-821CF9E16EC4}">
  <sheetPr>
    <tabColor theme="3" tint="-0.499984740745262"/>
  </sheetPr>
  <dimension ref="D1:G12"/>
  <sheetViews>
    <sheetView showGridLines="0" workbookViewId="0">
      <selection activeCell="G18" sqref="G18"/>
    </sheetView>
  </sheetViews>
  <sheetFormatPr defaultRowHeight="14.25" x14ac:dyDescent="0.2"/>
  <cols>
    <col min="4" max="4" width="29.125" customWidth="1"/>
    <col min="5" max="5" width="25.5" customWidth="1"/>
    <col min="6" max="6" width="25" customWidth="1"/>
    <col min="7" max="7" width="21.125" customWidth="1"/>
  </cols>
  <sheetData>
    <row r="1" spans="4:7" ht="15" x14ac:dyDescent="0.25">
      <c r="D1" s="2"/>
      <c r="E1" s="2"/>
      <c r="F1" s="2"/>
      <c r="G1" s="2"/>
    </row>
    <row r="2" spans="4:7" ht="22.5" x14ac:dyDescent="0.3">
      <c r="D2" s="5" t="s">
        <v>117</v>
      </c>
      <c r="E2" s="2"/>
      <c r="F2" s="2"/>
      <c r="G2" s="2"/>
    </row>
    <row r="3" spans="4:7" ht="21" x14ac:dyDescent="0.35">
      <c r="D3" s="6" t="s">
        <v>45</v>
      </c>
      <c r="E3" s="2"/>
      <c r="F3" s="2"/>
      <c r="G3" s="2"/>
    </row>
    <row r="4" spans="4:7" ht="15" x14ac:dyDescent="0.25">
      <c r="D4" s="2"/>
      <c r="E4" s="2"/>
      <c r="F4" s="2"/>
      <c r="G4" s="2"/>
    </row>
    <row r="5" spans="4:7" ht="15" x14ac:dyDescent="0.25">
      <c r="D5" s="2"/>
      <c r="E5" s="2"/>
      <c r="F5" s="2"/>
      <c r="G5" s="2"/>
    </row>
    <row r="6" spans="4:7" ht="22.5" x14ac:dyDescent="0.3">
      <c r="D6" s="5" t="s">
        <v>118</v>
      </c>
      <c r="E6" s="5" t="s">
        <v>2</v>
      </c>
      <c r="F6" s="5" t="s">
        <v>3</v>
      </c>
      <c r="G6" s="5" t="s">
        <v>119</v>
      </c>
    </row>
    <row r="7" spans="4:7" ht="18.75" x14ac:dyDescent="0.3">
      <c r="D7" s="3" t="str">
        <f>VLOOKUP('Lookup Sheet'!$D$3,Contract,2,FALSE)</f>
        <v>1826 Coyote Run</v>
      </c>
      <c r="E7" s="3" t="str">
        <f>VLOOKUP($D$3,Contract,3,FALSE)</f>
        <v>Pico Phelps</v>
      </c>
      <c r="F7" s="4">
        <f ca="1">VLOOKUP($D$3,Contract,4,FALSE)</f>
        <v>45008</v>
      </c>
      <c r="G7" s="3">
        <f>VLOOKUP($D$3,Contract,5,FALSE)</f>
        <v>65</v>
      </c>
    </row>
    <row r="8" spans="4:7" ht="15" x14ac:dyDescent="0.25">
      <c r="D8" s="2"/>
      <c r="E8" s="2"/>
      <c r="F8" s="2"/>
      <c r="G8" s="2"/>
    </row>
    <row r="9" spans="4:7" ht="15" x14ac:dyDescent="0.25">
      <c r="D9" s="2"/>
      <c r="E9" s="2"/>
      <c r="F9" s="2"/>
      <c r="G9" s="2"/>
    </row>
    <row r="10" spans="4:7" ht="45" customHeight="1" x14ac:dyDescent="0.3">
      <c r="D10" s="7" t="s">
        <v>120</v>
      </c>
      <c r="E10" s="8" t="s">
        <v>121</v>
      </c>
      <c r="F10" s="8" t="s">
        <v>122</v>
      </c>
      <c r="G10" s="2"/>
    </row>
    <row r="11" spans="4:7" ht="18.75" x14ac:dyDescent="0.3">
      <c r="D11" s="4">
        <f ca="1">VLOOKUP($D$3,Contract,6,FALSE)</f>
        <v>45100</v>
      </c>
      <c r="E11" s="4">
        <f ca="1">VLOOKUP($D$3,Contract,7,FALSE)</f>
        <v>45085</v>
      </c>
      <c r="F11" s="4">
        <f ca="1">VLOOKUP($D$3,Contract,8,FALSE)</f>
        <v>45084</v>
      </c>
      <c r="G11" s="2"/>
    </row>
    <row r="12" spans="4:7" ht="15" x14ac:dyDescent="0.25">
      <c r="D12" s="2"/>
      <c r="E12" s="2"/>
      <c r="F12" s="2"/>
      <c r="G12" s="2"/>
    </row>
  </sheetData>
  <dataValidations count="2">
    <dataValidation allowBlank="1" showInputMessage="1" showErrorMessage="1" promptTitle="Customer name" sqref="C3" xr:uid="{58338049-0E72-49F5-84F3-4550D5563369}"/>
    <dataValidation type="list" allowBlank="1" showInputMessage="1" showErrorMessage="1" promptTitle="Customer Name" prompt="Customer Name" sqref="D3" xr:uid="{2E195BDE-C567-4A05-8196-622805E7B44C}">
      <formula1>Name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Contract</vt:lpstr>
      <vt:lpstr>Holidays</vt:lpstr>
      <vt:lpstr>Lookup Sheet</vt:lpstr>
      <vt:lpstr>Build_Time</vt:lpstr>
      <vt:lpstr>Contract</vt:lpstr>
      <vt:lpstr>Holidays</vt:lpstr>
      <vt:lpstr>House_Plan</vt:lpstr>
      <vt:lpstr>Name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HP</cp:lastModifiedBy>
  <dcterms:created xsi:type="dcterms:W3CDTF">2021-09-16T13:34:01Z</dcterms:created>
  <dcterms:modified xsi:type="dcterms:W3CDTF">2023-05-06T21:07:13Z</dcterms:modified>
</cp:coreProperties>
</file>