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E C. UMOEKA\Documents\Ese Personal\BYU-Pathway\"/>
    </mc:Choice>
  </mc:AlternateContent>
  <xr:revisionPtr revIDLastSave="0" documentId="10_ncr:8100000_{48DC82D1-E460-4320-A333-5E5B3462A92F}" xr6:coauthVersionLast="33" xr6:coauthVersionMax="47" xr10:uidLastSave="{00000000-0000-0000-0000-000000000000}"/>
  <bookViews>
    <workbookView xWindow="0" yWindow="0" windowWidth="20490" windowHeight="8130" xr2:uid="{DD48EB59-D422-440A-B3D8-B7024E933AC0}"/>
  </bookViews>
  <sheets>
    <sheet name="Dashboard" sheetId="3" r:id="rId1"/>
    <sheet name="Grades" sheetId="2" r:id="rId2"/>
  </sheets>
  <definedNames>
    <definedName name="BUS_115_CID" hidden="1">"SPRING_2023"</definedName>
    <definedName name="Class_Average_Percent">Grades!$E$4:$AC$4</definedName>
    <definedName name="Class_Average_Points">Grades!$E$3:$AC$3</definedName>
    <definedName name="Class_Points_possible">Grades!$E$2:$AC$2</definedName>
    <definedName name="FA22_BUS_115_CID" hidden="1">"FALL_2022"</definedName>
    <definedName name="first_name" hidden="1">IFERROR(VLOOKUP(Dashboard!$B$3,Grades!$A$7:$D$26,2,0),"")</definedName>
    <definedName name="last_name" hidden="1">IFERROR(VLOOKUP(Dashboard!$B$3,Grades!$A$7:$D$26,3,0),"")</definedName>
    <definedName name="_xlnm.Print_Area" localSheetId="0">Dashboard!$B$2:$L$50</definedName>
    <definedName name="SP22_BUS_115_CID" hidden="1">"SPRING_2022"</definedName>
    <definedName name="SP23_BUS_115_CID" hidden="1">"SPRING_2023"</definedName>
    <definedName name="Student_FullName">Grades!$A$7:$A$26</definedName>
    <definedName name="Student_Grades">Grades!$A$6:$AE$26</definedName>
    <definedName name="Student_Percent">Grades!$A$6:$BD$26</definedName>
    <definedName name="WI23_BUS_115_CID" hidden="1">"WINTER_2023"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L39" i="3" l="1"/>
  <c r="K39" i="3"/>
  <c r="J39" i="3"/>
  <c r="I39" i="3"/>
  <c r="H39" i="3"/>
  <c r="G39" i="3"/>
  <c r="F39" i="3"/>
  <c r="E39" i="3"/>
  <c r="D39" i="3"/>
  <c r="C39" i="3"/>
  <c r="L25" i="3"/>
  <c r="K25" i="3"/>
  <c r="J25" i="3"/>
  <c r="I25" i="3"/>
  <c r="H25" i="3"/>
  <c r="G25" i="3"/>
  <c r="F25" i="3"/>
  <c r="E25" i="3"/>
  <c r="D25" i="3"/>
  <c r="C25" i="3"/>
  <c r="L11" i="3"/>
  <c r="K11" i="3"/>
  <c r="J11" i="3"/>
  <c r="I11" i="3"/>
  <c r="C10" i="3"/>
  <c r="L38" i="3"/>
  <c r="K38" i="3"/>
  <c r="J38" i="3"/>
  <c r="I38" i="3"/>
  <c r="H38" i="3"/>
  <c r="G38" i="3"/>
  <c r="F38" i="3"/>
  <c r="E38" i="3"/>
  <c r="D38" i="3"/>
  <c r="C38" i="3"/>
  <c r="L24" i="3"/>
  <c r="K24" i="3"/>
  <c r="J24" i="3"/>
  <c r="I24" i="3"/>
  <c r="H24" i="3"/>
  <c r="G24" i="3"/>
  <c r="F24" i="3"/>
  <c r="E24" i="3"/>
  <c r="D24" i="3"/>
  <c r="C24" i="3"/>
  <c r="L10" i="3"/>
  <c r="K10" i="3"/>
  <c r="J10" i="3"/>
  <c r="I10" i="3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7" i="2"/>
  <c r="AF21" i="2"/>
  <c r="AF22" i="2"/>
  <c r="AF23" i="2"/>
  <c r="AF24" i="2"/>
  <c r="AF25" i="2"/>
  <c r="AF26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C24" i="2"/>
  <c r="K5" i="3" l="1"/>
  <c r="AD8" i="2" l="1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7" i="2"/>
  <c r="AD2" i="2"/>
  <c r="AE22" i="2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5" i="2"/>
  <c r="C26" i="2"/>
  <c r="C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7" i="2"/>
  <c r="AE7" i="2" l="1"/>
  <c r="AE9" i="2"/>
  <c r="AE11" i="2"/>
  <c r="AE13" i="2"/>
  <c r="AE15" i="2"/>
  <c r="AE17" i="2"/>
  <c r="AE26" i="2"/>
  <c r="AE24" i="2"/>
  <c r="AE20" i="2"/>
  <c r="AE23" i="2"/>
  <c r="AE8" i="2"/>
  <c r="AE10" i="2"/>
  <c r="AE12" i="2"/>
  <c r="AE14" i="2"/>
  <c r="AE16" i="2"/>
  <c r="AE18" i="2"/>
  <c r="AE25" i="2"/>
  <c r="AE19" i="2"/>
  <c r="AE21" i="2"/>
  <c r="F3" i="2"/>
  <c r="G3" i="2"/>
  <c r="H3" i="2"/>
  <c r="I3" i="2"/>
  <c r="I4" i="2" s="1"/>
  <c r="J3" i="2"/>
  <c r="J4" i="2" s="1"/>
  <c r="K3" i="2"/>
  <c r="L3" i="2"/>
  <c r="M3" i="2"/>
  <c r="M4" i="2" s="1"/>
  <c r="N3" i="2"/>
  <c r="O3" i="2"/>
  <c r="P3" i="2"/>
  <c r="Q3" i="2"/>
  <c r="Q4" i="2" s="1"/>
  <c r="R3" i="2"/>
  <c r="R4" i="2" s="1"/>
  <c r="S3" i="2"/>
  <c r="T3" i="2"/>
  <c r="U3" i="2"/>
  <c r="U4" i="2" s="1"/>
  <c r="V3" i="2"/>
  <c r="W3" i="2"/>
  <c r="X3" i="2"/>
  <c r="Y3" i="2"/>
  <c r="Y4" i="2" s="1"/>
  <c r="Z3" i="2"/>
  <c r="Z4" i="2" s="1"/>
  <c r="AA3" i="2"/>
  <c r="AB3" i="2"/>
  <c r="AC3" i="2"/>
  <c r="AC4" i="2" s="1"/>
  <c r="C11" i="3" s="1"/>
  <c r="F4" i="2"/>
  <c r="G4" i="2"/>
  <c r="H4" i="2"/>
  <c r="K4" i="2"/>
  <c r="L4" i="2"/>
  <c r="N4" i="2"/>
  <c r="O4" i="2"/>
  <c r="P4" i="2"/>
  <c r="S4" i="2"/>
  <c r="T4" i="2"/>
  <c r="V4" i="2"/>
  <c r="W4" i="2"/>
  <c r="X4" i="2"/>
  <c r="AA4" i="2"/>
  <c r="AB4" i="2"/>
  <c r="E4" i="2"/>
  <c r="E3" i="2"/>
  <c r="K4" i="3" a="1"/>
  <c r="K4" i="3" s="1"/>
  <c r="K3" i="3" a="1"/>
  <c r="K3" i="3" s="1"/>
  <c r="J5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<sst xmlns="http://schemas.openxmlformats.org/spreadsheetml/2006/main" count="171" uniqueCount="110">
  <si>
    <t>Student name</t>
  </si>
  <si>
    <t>Student ID</t>
  </si>
  <si>
    <t>Test 01</t>
  </si>
  <si>
    <t>Test 02</t>
  </si>
  <si>
    <t>Test 03</t>
  </si>
  <si>
    <t>Test 04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</si>
  <si>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</si>
  <si>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</si>
  <si>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</si>
  <si>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</si>
  <si>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</si>
  <si>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</si>
  <si>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</si>
  <si>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</si>
  <si>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</si>
  <si>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</si>
  <si>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</si>
  <si>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</si>
  <si>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</si>
  <si>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</si>
  <si>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</si>
  <si>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</si>
  <si>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</si>
  <si>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</si>
  <si>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</si>
  <si>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</si>
  <si>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Jameson Parada</t>
  </si>
  <si>
    <t>fbd3e05c5b62</t>
  </si>
  <si>
    <t>Keller Millard</t>
  </si>
  <si>
    <t>0217dc9845bf</t>
  </si>
  <si>
    <t>Amarion Brink</t>
  </si>
  <si>
    <t>b7d482632f06</t>
  </si>
  <si>
    <t>Zoha Mcshane</t>
  </si>
  <si>
    <t>f05c28ad2636</t>
  </si>
  <si>
    <t>Nestor Wren</t>
  </si>
  <si>
    <t>1ff3408e234a</t>
  </si>
  <si>
    <t>Dorothy Givens</t>
  </si>
  <si>
    <t>6e75e997f462</t>
  </si>
  <si>
    <t>Karmelo Headrick</t>
  </si>
  <si>
    <t>5a94dc471ba4</t>
  </si>
  <si>
    <t>Mazzy Ashburn</t>
  </si>
  <si>
    <t>e18c6530b19d</t>
  </si>
  <si>
    <t>Thompson Barham</t>
  </si>
  <si>
    <t>2afb35501045</t>
  </si>
  <si>
    <t>Quetzaly Mendosa</t>
  </si>
  <si>
    <t>dc94e1cfede3</t>
  </si>
  <si>
    <t>Raziel Larry</t>
  </si>
  <si>
    <t>460859dde8d0</t>
  </si>
  <si>
    <t>Corrina Blais</t>
  </si>
  <si>
    <t>565ade045140</t>
  </si>
  <si>
    <t>Britain Sok</t>
  </si>
  <si>
    <t>a3d01b564ea8</t>
  </si>
  <si>
    <t>Kolsen Rupe</t>
  </si>
  <si>
    <t>3071a78f8316</t>
  </si>
  <si>
    <t>Chauncey Tankersley</t>
  </si>
  <si>
    <t>be6453ad2828</t>
  </si>
  <si>
    <t>Pessy Lanza</t>
  </si>
  <si>
    <t>0d812061b94b</t>
  </si>
  <si>
    <t>Kaliah Delvalle</t>
  </si>
  <si>
    <t>272e790615dd</t>
  </si>
  <si>
    <t>Linnea Vanhorn</t>
  </si>
  <si>
    <t>32c8c7cb49b4</t>
  </si>
  <si>
    <t>Meliah Barriga</t>
  </si>
  <si>
    <t>32c46ef6b7a7</t>
  </si>
  <si>
    <t>Wilson Rosenberg</t>
  </si>
  <si>
    <t>fb21f6bad82f</t>
  </si>
  <si>
    <t>First name</t>
  </si>
  <si>
    <t>Last name</t>
  </si>
  <si>
    <t>Final Exam</t>
  </si>
  <si>
    <t>First half</t>
  </si>
  <si>
    <t>Second half</t>
  </si>
  <si>
    <t>Points possible ►</t>
  </si>
  <si>
    <t>Final Score</t>
  </si>
  <si>
    <t>Class average % ►</t>
  </si>
  <si>
    <t>Class average points ►</t>
  </si>
  <si>
    <r>
      <t xml:space="preserve">Part of class </t>
    </r>
    <r>
      <rPr>
        <b/>
        <sz val="10"/>
        <color theme="1"/>
        <rFont val="Arial"/>
        <family val="2"/>
      </rPr>
      <t>►</t>
    </r>
  </si>
  <si>
    <t>Full name</t>
  </si>
  <si>
    <t>Students</t>
  </si>
  <si>
    <t>Tests</t>
  </si>
  <si>
    <t>Student %</t>
  </si>
  <si>
    <t>First half projects</t>
  </si>
  <si>
    <t>Second half projects</t>
  </si>
  <si>
    <t>Information on this page is confidential.</t>
  </si>
  <si>
    <t>Class avg %</t>
  </si>
  <si>
    <t>Test 01 %</t>
  </si>
  <si>
    <t>Test 02 %</t>
  </si>
  <si>
    <t>Test 03 %</t>
  </si>
  <si>
    <t>Test 04 %</t>
  </si>
  <si>
    <t>Project 10 %</t>
  </si>
  <si>
    <t>Project 09 %</t>
  </si>
  <si>
    <t>Project 08 %</t>
  </si>
  <si>
    <t>Project 07 %</t>
  </si>
  <si>
    <t>Project 06 %</t>
  </si>
  <si>
    <t>Project 05 %</t>
  </si>
  <si>
    <t>Project 04 %</t>
  </si>
  <si>
    <t>Project 03 %</t>
  </si>
  <si>
    <t>Project 02 %</t>
  </si>
  <si>
    <t>Project 01 %</t>
  </si>
  <si>
    <t>Project 11 %</t>
  </si>
  <si>
    <t>Project 12 %</t>
  </si>
  <si>
    <t>Project 13 %</t>
  </si>
  <si>
    <t>Project 14 %</t>
  </si>
  <si>
    <t>Project 15 %</t>
  </si>
  <si>
    <t>Project 16 %</t>
  </si>
  <si>
    <t>Project 17 %</t>
  </si>
  <si>
    <t>Project 18 %</t>
  </si>
  <si>
    <t>Project 19 %</t>
  </si>
  <si>
    <t>Project 20 %</t>
  </si>
  <si>
    <t>Final Exams %</t>
  </si>
  <si>
    <t>Final 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</si>
</sst>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,\ d\ mmm\ yyyy"/>
    <numFmt numFmtId="165" formatCode="0.0%"/>
    <numFmt numFmtId="166" formatCode="#,##0.0"/>
  </numFmts>
  <fonts count="13" x14ac:knownFonts="1">
    <font>
      <sz val="11"/>
      <color theme="1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onsolas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32"/>
      <color theme="1"/>
      <name val="Arial"/>
      <family val="2"/>
      <scheme val="minor"/>
    </font>
    <font>
      <sz val="22"/>
      <name val="Arial"/>
      <family val="2"/>
      <scheme val="minor"/>
    </font>
    <font>
      <b/>
      <sz val="14"/>
      <color theme="3"/>
      <name val="Arial"/>
      <family val="2"/>
      <scheme val="minor"/>
    </font>
    <font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medium">
        <color theme="4" tint="0.39994506668294322"/>
      </top>
      <bottom/>
      <diagonal/>
    </border>
  </borders>
  <cellStyleXfs count="5">
    <xf numFmtId="0" fontId="0" fillId="0" borderId="0"/>
    <xf numFmtId="0" fontId="11" fillId="0" borderId="5" applyNumberFormat="0" applyFill="0" applyAlignment="0" applyProtection="0"/>
    <xf numFmtId="0" fontId="6" fillId="5" borderId="1" applyNumberFormat="0" applyAlignment="0" applyProtection="0"/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/>
    <xf numFmtId="0" fontId="11" fillId="0" borderId="5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165" fontId="0" fillId="4" borderId="0" xfId="0" applyNumberFormat="1" applyFill="1" applyAlignment="1">
      <alignment horizontal="right" vertical="center"/>
    </xf>
    <xf numFmtId="166" fontId="0" fillId="4" borderId="0" xfId="0" applyNumberFormat="1" applyFill="1" applyAlignment="1">
      <alignment horizontal="right" vertical="center"/>
    </xf>
    <xf numFmtId="9" fontId="0" fillId="0" borderId="0" xfId="4" applyFont="1" applyAlignment="1">
      <alignment vertical="center"/>
    </xf>
    <xf numFmtId="1" fontId="0" fillId="4" borderId="3" xfId="0" applyNumberFormat="1" applyFill="1" applyBorder="1" applyAlignment="1">
      <alignment horizontal="right" vertical="center"/>
    </xf>
    <xf numFmtId="9" fontId="7" fillId="0" borderId="0" xfId="4" applyFont="1" applyAlignment="1">
      <alignment horizontal="right" vertical="center"/>
    </xf>
    <xf numFmtId="164" fontId="1" fillId="0" borderId="0" xfId="3" applyNumberFormat="1" applyAlignment="1">
      <alignment horizontal="right" vertical="center"/>
    </xf>
    <xf numFmtId="0" fontId="10" fillId="5" borderId="0" xfId="2" applyFont="1" applyBorder="1" applyAlignment="1">
      <alignment horizontal="left" vertical="center" indent="1"/>
    </xf>
    <xf numFmtId="9" fontId="9" fillId="0" borderId="0" xfId="4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0" fillId="9" borderId="3" xfId="0" applyFill="1" applyBorder="1" applyAlignment="1">
      <alignment horizontal="right" vertical="center"/>
    </xf>
    <xf numFmtId="0" fontId="0" fillId="9" borderId="4" xfId="0" applyFill="1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1" borderId="4" xfId="0" applyFill="1" applyBorder="1" applyAlignment="1">
      <alignment horizontal="right" vertical="center"/>
    </xf>
    <xf numFmtId="0" fontId="0" fillId="12" borderId="3" xfId="0" applyFill="1" applyBorder="1" applyAlignment="1">
      <alignment horizontal="right" vertical="center"/>
    </xf>
    <xf numFmtId="0" fontId="0" fillId="12" borderId="4" xfId="0" applyFill="1" applyBorder="1" applyAlignment="1">
      <alignment horizontal="right" vertical="center"/>
    </xf>
    <xf numFmtId="0" fontId="0" fillId="13" borderId="3" xfId="0" applyFill="1" applyBorder="1" applyAlignment="1">
      <alignment horizontal="right" vertical="center"/>
    </xf>
    <xf numFmtId="0" fontId="0" fillId="13" borderId="4" xfId="0" applyFill="1" applyBorder="1" applyAlignment="1">
      <alignment horizontal="right" vertical="center"/>
    </xf>
    <xf numFmtId="9" fontId="0" fillId="13" borderId="0" xfId="4" applyFont="1" applyFill="1" applyAlignment="1">
      <alignment vertical="center"/>
    </xf>
    <xf numFmtId="9" fontId="0" fillId="7" borderId="0" xfId="4" applyFont="1" applyFill="1" applyAlignment="1">
      <alignment vertical="center"/>
    </xf>
    <xf numFmtId="9" fontId="0" fillId="12" borderId="0" xfId="4" applyFont="1" applyFill="1" applyAlignment="1">
      <alignment vertical="center"/>
    </xf>
    <xf numFmtId="9" fontId="0" fillId="11" borderId="0" xfId="4" applyFont="1" applyFill="1" applyAlignment="1">
      <alignment vertical="center"/>
    </xf>
    <xf numFmtId="9" fontId="0" fillId="10" borderId="0" xfId="4" applyFont="1" applyFill="1" applyAlignment="1">
      <alignment vertical="center"/>
    </xf>
    <xf numFmtId="9" fontId="0" fillId="2" borderId="0" xfId="4" applyFont="1" applyFill="1" applyAlignment="1">
      <alignment vertical="center"/>
    </xf>
    <xf numFmtId="0" fontId="2" fillId="9" borderId="2" xfId="0" applyFont="1" applyFill="1" applyBorder="1" applyAlignment="1">
      <alignment horizontal="right" vertical="center"/>
    </xf>
    <xf numFmtId="0" fontId="2" fillId="12" borderId="2" xfId="0" applyFont="1" applyFill="1" applyBorder="1" applyAlignment="1">
      <alignment horizontal="right" vertical="center"/>
    </xf>
    <xf numFmtId="0" fontId="2" fillId="11" borderId="2" xfId="0" applyFont="1" applyFill="1" applyBorder="1" applyAlignment="1">
      <alignment horizontal="right" vertical="center"/>
    </xf>
    <xf numFmtId="0" fontId="2" fillId="13" borderId="2" xfId="0" applyFont="1" applyFill="1" applyBorder="1" applyAlignment="1">
      <alignment horizontal="right" vertical="center"/>
    </xf>
    <xf numFmtId="0" fontId="0" fillId="13" borderId="0" xfId="0" applyFill="1" applyAlignment="1">
      <alignment horizontal="right" vertical="center"/>
    </xf>
    <xf numFmtId="166" fontId="0" fillId="13" borderId="0" xfId="0" applyNumberFormat="1" applyFill="1" applyAlignment="1">
      <alignment horizontal="right" vertical="center"/>
    </xf>
    <xf numFmtId="165" fontId="0" fillId="13" borderId="0" xfId="0" applyNumberFormat="1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166" fontId="0" fillId="12" borderId="0" xfId="0" applyNumberFormat="1" applyFill="1" applyAlignment="1">
      <alignment horizontal="right" vertical="center"/>
    </xf>
    <xf numFmtId="165" fontId="0" fillId="12" borderId="0" xfId="0" applyNumberFormat="1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166" fontId="0" fillId="11" borderId="0" xfId="0" applyNumberFormat="1" applyFill="1" applyAlignment="1">
      <alignment horizontal="right" vertical="center"/>
    </xf>
    <xf numFmtId="165" fontId="0" fillId="11" borderId="0" xfId="0" applyNumberForma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166" fontId="0" fillId="9" borderId="0" xfId="0" applyNumberFormat="1" applyFill="1" applyAlignment="1">
      <alignment horizontal="right" vertical="center"/>
    </xf>
    <xf numFmtId="165" fontId="0" fillId="9" borderId="0" xfId="0" applyNumberForma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2" fillId="1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</cellXfs>
  <cellStyles count="5">
    <cellStyle name="Explanatory Text" xfId="3" builtinId="53"/>
    <cellStyle name="Heading 3" xfId="1" builtinId="18" customBuiltin="1"/>
    <cellStyle name="Input" xfId="2" builtinId="20" customBuiltin="1"/>
    <cellStyle name="Normal" xfId="0" builtinId="0"/>
    <cellStyle name="Percent" xfId="4" builtinId="5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Half Projects</a:t>
            </a:r>
          </a:p>
        </c:rich>
      </c:tx>
      <c:layout>
        <c:manualLayout>
          <c:xMode val="edge"/>
          <c:yMode val="edge"/>
          <c:x val="0.47524954305499917"/>
          <c:y val="6.1900025034727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Dashboard!$B$38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Dashboard!$C$37:$L$37</c:f>
              <c:strCache>
                <c:ptCount val="10"/>
                <c:pt idx="0">
                  <c:v>Project 11</c:v>
                </c:pt>
                <c:pt idx="1">
                  <c:v>Project 12</c:v>
                </c:pt>
                <c:pt idx="2">
                  <c:v>Project 13</c:v>
                </c:pt>
                <c:pt idx="3">
                  <c:v>Project 14</c:v>
                </c:pt>
                <c:pt idx="4">
                  <c:v>Project 15</c:v>
                </c:pt>
                <c:pt idx="5">
                  <c:v>Project 16</c:v>
                </c:pt>
                <c:pt idx="6">
                  <c:v>Project 17</c:v>
                </c:pt>
                <c:pt idx="7">
                  <c:v>Project 18</c:v>
                </c:pt>
                <c:pt idx="8">
                  <c:v>Project 19</c:v>
                </c:pt>
                <c:pt idx="9">
                  <c:v>Project 20</c:v>
                </c:pt>
              </c:strCache>
            </c:strRef>
          </c:cat>
          <c:val>
            <c:numRef>
              <c:f>Dashboard!$C$38:$L$38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0.45</c:v>
                </c:pt>
                <c:pt idx="5">
                  <c:v>0.97499999999999998</c:v>
                </c:pt>
                <c:pt idx="6">
                  <c:v>0</c:v>
                </c:pt>
                <c:pt idx="7">
                  <c:v>0.8</c:v>
                </c:pt>
                <c:pt idx="8">
                  <c:v>1</c:v>
                </c:pt>
                <c:pt idx="9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B-4F41-ABB6-002F3579B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023864"/>
        <c:axId val="439027144"/>
      </c:barChart>
      <c:scatterChart>
        <c:scatterStyle val="lineMarker"/>
        <c:varyColors val="0"/>
        <c:ser>
          <c:idx val="1"/>
          <c:order val="1"/>
          <c:tx>
            <c:strRef>
              <c:f>Dashboard!$B$39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Dashboard!$C$37:$L$37</c:f>
              <c:strCache>
                <c:ptCount val="10"/>
                <c:pt idx="0">
                  <c:v>Project 11</c:v>
                </c:pt>
                <c:pt idx="1">
                  <c:v>Project 12</c:v>
                </c:pt>
                <c:pt idx="2">
                  <c:v>Project 13</c:v>
                </c:pt>
                <c:pt idx="3">
                  <c:v>Project 14</c:v>
                </c:pt>
                <c:pt idx="4">
                  <c:v>Project 15</c:v>
                </c:pt>
                <c:pt idx="5">
                  <c:v>Project 16</c:v>
                </c:pt>
                <c:pt idx="6">
                  <c:v>Project 17</c:v>
                </c:pt>
                <c:pt idx="7">
                  <c:v>Project 18</c:v>
                </c:pt>
                <c:pt idx="8">
                  <c:v>Project 19</c:v>
                </c:pt>
                <c:pt idx="9">
                  <c:v>Project 20</c:v>
                </c:pt>
              </c:strCache>
            </c:strRef>
          </c:xVal>
          <c:yVal>
            <c:numRef>
              <c:f>Dashboard!$C$39:$L$39</c:f>
              <c:numCache>
                <c:formatCode>0%</c:formatCode>
                <c:ptCount val="10"/>
                <c:pt idx="0">
                  <c:v>0.55999999999999994</c:v>
                </c:pt>
                <c:pt idx="1">
                  <c:v>0.76287500000000008</c:v>
                </c:pt>
                <c:pt idx="2">
                  <c:v>0.458125</c:v>
                </c:pt>
                <c:pt idx="3">
                  <c:v>0.86699999999999999</c:v>
                </c:pt>
                <c:pt idx="4">
                  <c:v>0.78749999999999998</c:v>
                </c:pt>
                <c:pt idx="5">
                  <c:v>0.67769999999999997</c:v>
                </c:pt>
                <c:pt idx="6">
                  <c:v>0.739375</c:v>
                </c:pt>
                <c:pt idx="7">
                  <c:v>0.66874999999999996</c:v>
                </c:pt>
                <c:pt idx="8">
                  <c:v>0.51500000000000001</c:v>
                </c:pt>
                <c:pt idx="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B-4F41-ABB6-002F3579B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24848"/>
        <c:axId val="439013696"/>
      </c:scatterChart>
      <c:catAx>
        <c:axId val="43902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27144"/>
        <c:crosses val="autoZero"/>
        <c:auto val="1"/>
        <c:lblAlgn val="ctr"/>
        <c:lblOffset val="100"/>
        <c:noMultiLvlLbl val="0"/>
      </c:catAx>
      <c:valAx>
        <c:axId val="43902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23864"/>
        <c:crosses val="autoZero"/>
        <c:crossBetween val="between"/>
      </c:valAx>
      <c:valAx>
        <c:axId val="43901369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439024848"/>
        <c:crosses val="max"/>
        <c:crossBetween val="midCat"/>
      </c:valAx>
      <c:valAx>
        <c:axId val="439024848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13696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Half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Dashboard!$B$24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Dashboard!$C$23:$L$23</c:f>
              <c:strCache>
                <c:ptCount val="10"/>
                <c:pt idx="0">
                  <c:v>Project 01</c:v>
                </c:pt>
                <c:pt idx="1">
                  <c:v>Project 02</c:v>
                </c:pt>
                <c:pt idx="2">
                  <c:v>Project 03</c:v>
                </c:pt>
                <c:pt idx="3">
                  <c:v>Project 04</c:v>
                </c:pt>
                <c:pt idx="4">
                  <c:v>Project 05</c:v>
                </c:pt>
                <c:pt idx="5">
                  <c:v>Project 06</c:v>
                </c:pt>
                <c:pt idx="6">
                  <c:v>Project 07</c:v>
                </c:pt>
                <c:pt idx="7">
                  <c:v>Project 08</c:v>
                </c:pt>
                <c:pt idx="8">
                  <c:v>Project 09</c:v>
                </c:pt>
                <c:pt idx="9">
                  <c:v>Project 10</c:v>
                </c:pt>
              </c:strCache>
            </c:strRef>
          </c:cat>
          <c:val>
            <c:numRef>
              <c:f>Dashboard!$C$24:$L$24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0.7</c:v>
                </c:pt>
                <c:pt idx="3">
                  <c:v>0.78349999999999997</c:v>
                </c:pt>
                <c:pt idx="4">
                  <c:v>0.66249999999999998</c:v>
                </c:pt>
                <c:pt idx="5">
                  <c:v>0.05</c:v>
                </c:pt>
                <c:pt idx="6">
                  <c:v>0.97499999999999998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C-4D9E-A187-621BCDFB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960968"/>
        <c:axId val="427961296"/>
      </c:barChart>
      <c:scatterChart>
        <c:scatterStyle val="lineMarker"/>
        <c:varyColors val="0"/>
        <c:ser>
          <c:idx val="1"/>
          <c:order val="1"/>
          <c:tx>
            <c:strRef>
              <c:f>Dashboard!$B$25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Dashboard!$C$23:$L$23</c:f>
              <c:strCache>
                <c:ptCount val="10"/>
                <c:pt idx="0">
                  <c:v>Project 01</c:v>
                </c:pt>
                <c:pt idx="1">
                  <c:v>Project 02</c:v>
                </c:pt>
                <c:pt idx="2">
                  <c:v>Project 03</c:v>
                </c:pt>
                <c:pt idx="3">
                  <c:v>Project 04</c:v>
                </c:pt>
                <c:pt idx="4">
                  <c:v>Project 05</c:v>
                </c:pt>
                <c:pt idx="5">
                  <c:v>Project 06</c:v>
                </c:pt>
                <c:pt idx="6">
                  <c:v>Project 07</c:v>
                </c:pt>
                <c:pt idx="7">
                  <c:v>Project 08</c:v>
                </c:pt>
                <c:pt idx="8">
                  <c:v>Project 09</c:v>
                </c:pt>
                <c:pt idx="9">
                  <c:v>Project 10</c:v>
                </c:pt>
              </c:strCache>
            </c:strRef>
          </c:xVal>
          <c:yVal>
            <c:numRef>
              <c:f>Dashboard!$C$25:$L$25</c:f>
              <c:numCache>
                <c:formatCode>0%</c:formatCode>
                <c:ptCount val="10"/>
                <c:pt idx="0">
                  <c:v>0.71699999999999986</c:v>
                </c:pt>
                <c:pt idx="1">
                  <c:v>0.65374999999999994</c:v>
                </c:pt>
                <c:pt idx="2">
                  <c:v>0.57000000000000006</c:v>
                </c:pt>
                <c:pt idx="3">
                  <c:v>0.72650000000000026</c:v>
                </c:pt>
                <c:pt idx="4">
                  <c:v>0.51749999999999996</c:v>
                </c:pt>
                <c:pt idx="5">
                  <c:v>0.708125</c:v>
                </c:pt>
                <c:pt idx="6">
                  <c:v>0.70499999999999996</c:v>
                </c:pt>
                <c:pt idx="7">
                  <c:v>0.45</c:v>
                </c:pt>
                <c:pt idx="8">
                  <c:v>0.64624999999999999</c:v>
                </c:pt>
                <c:pt idx="9">
                  <c:v>0.61875000000000002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3C-4D9E-A187-621BCDFB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93800"/>
        <c:axId val="450899704"/>
      </c:scatterChart>
      <c:catAx>
        <c:axId val="42796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61296"/>
        <c:crosses val="autoZero"/>
        <c:auto val="1"/>
        <c:lblAlgn val="ctr"/>
        <c:lblOffset val="100"/>
        <c:noMultiLvlLbl val="0"/>
      </c:catAx>
      <c:valAx>
        <c:axId val="4279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60968"/>
        <c:crosses val="autoZero"/>
        <c:crossBetween val="between"/>
      </c:valAx>
      <c:valAx>
        <c:axId val="450899704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450893800"/>
        <c:crosses val="max"/>
        <c:crossBetween val="midCat"/>
      </c:valAx>
      <c:valAx>
        <c:axId val="450893800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9970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9005166241769"/>
          <c:y val="0.29612182315842989"/>
          <c:w val="0.87470994833758231"/>
          <c:h val="0.545134556481857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Dashboard!$H$10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Dashboard!$I$9:$L$9</c:f>
              <c:strCache>
                <c:ptCount val="4"/>
                <c:pt idx="0">
                  <c:v>Test 01</c:v>
                </c:pt>
                <c:pt idx="1">
                  <c:v>Test 02</c:v>
                </c:pt>
                <c:pt idx="2">
                  <c:v>Test 03</c:v>
                </c:pt>
                <c:pt idx="3">
                  <c:v>Test 04</c:v>
                </c:pt>
              </c:strCache>
            </c:strRef>
          </c:cat>
          <c:val>
            <c:numRef>
              <c:f>Dashboard!$I$10:$L$10</c:f>
              <c:numCache>
                <c:formatCode>0%</c:formatCode>
                <c:ptCount val="4"/>
                <c:pt idx="0">
                  <c:v>0</c:v>
                </c:pt>
                <c:pt idx="1">
                  <c:v>0.80500000000000005</c:v>
                </c:pt>
                <c:pt idx="2">
                  <c:v>0</c:v>
                </c:pt>
                <c:pt idx="3">
                  <c:v>0.56499999999999995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E-4D36-B10D-540FE660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563256"/>
        <c:axId val="336560960"/>
      </c:barChart>
      <c:scatterChart>
        <c:scatterStyle val="lineMarker"/>
        <c:varyColors val="0"/>
        <c:ser>
          <c:idx val="1"/>
          <c:order val="1"/>
          <c:tx>
            <c:strRef>
              <c:f>Dashboard!$H$11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Dashboard!$I$9:$L$9</c:f>
              <c:strCache>
                <c:ptCount val="4"/>
                <c:pt idx="0">
                  <c:v>Test 01</c:v>
                </c:pt>
                <c:pt idx="1">
                  <c:v>Test 02</c:v>
                </c:pt>
                <c:pt idx="2">
                  <c:v>Test 03</c:v>
                </c:pt>
                <c:pt idx="3">
                  <c:v>Test 04</c:v>
                </c:pt>
              </c:strCache>
            </c:strRef>
          </c:xVal>
          <c:yVal>
            <c:numRef>
              <c:f>Dashboard!$I$11:$L$11</c:f>
              <c:numCache>
                <c:formatCode>0%</c:formatCode>
                <c:ptCount val="4"/>
                <c:pt idx="0">
                  <c:v>0.6878749999999999</c:v>
                </c:pt>
                <c:pt idx="1">
                  <c:v>0.65400000000000003</c:v>
                </c:pt>
                <c:pt idx="2">
                  <c:v>0.64500000000000002</c:v>
                </c:pt>
                <c:pt idx="3">
                  <c:v>0.63475000000000004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E-4D36-B10D-540FE660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563256"/>
        <c:axId val="336560960"/>
      </c:scatterChart>
      <c:catAx>
        <c:axId val="33656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0960"/>
        <c:crosses val="autoZero"/>
        <c:auto val="1"/>
        <c:lblAlgn val="ctr"/>
        <c:lblOffset val="100"/>
        <c:noMultiLvlLbl val="0"/>
      </c:catAx>
      <c:valAx>
        <c:axId val="3365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Exams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Dashboard!$B$10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Dashboard!$C$9</c:f>
              <c:strCache>
                <c:ptCount val="1"/>
                <c:pt idx="0">
                  <c:v>Final Exam</c:v>
                </c:pt>
              </c:strCache>
            </c:strRef>
          </c:cat>
          <c:val>
            <c:numRef>
              <c:f>Dashboard!$C$10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E-4CBC-B34C-BADAF115C3E7}"/>
            </c:ext>
          </c:extLst>
        </c:ser>
        <c:ser>
          <c:idx val="1"/>
          <c:order val="1"/>
          <c:tx>
            <c:strRef>
              <c:f>Dashboard!$B$11</c:f>
              <c:strCache>
                <c:ptCount val="1"/>
                <c:pt idx="0">
                  <c:v>Class avg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Dashboard!$C$9</c:f>
              <c:strCache>
                <c:ptCount val="1"/>
                <c:pt idx="0">
                  <c:v>Final Exam</c:v>
                </c:pt>
              </c:strCache>
            </c:strRef>
          </c:cat>
          <c:val>
            <c:numRef>
              <c:f>Dashboard!$C$11</c:f>
              <c:numCache>
                <c:formatCode>0%</c:formatCode>
                <c:ptCount val="1"/>
                <c:pt idx="0">
                  <c:v>0.57374999999999998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E-4CBC-B34C-BADAF115C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169168"/>
        <c:axId val="423171792"/>
      </c:barChart>
      <c:catAx>
        <c:axId val="4231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71792"/>
        <c:crosses val="autoZero"/>
        <c:auto val="1"/>
        <c:lblAlgn val="ctr"/>
        <c:lblOffset val="100"/>
        <c:noMultiLvlLbl val="0"/>
      </c:catAx>
      <c:valAx>
        <c:axId val="4231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885264</xdr:colOff>
      <xdr:row>19</xdr:row>
      <xdr:rowOff>246528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D0582C-9AA9-4E39-AFFB-1C7A7C0B69B6}"/>
            </a:ext>
          </a:extLst>
        </xdr:cNvPr>
        <xdr:cNvSpPr/>
      </xdr:nvSpPr>
      <xdr:spPr>
        <a:xfrm>
          <a:off x="347382" y="2711824"/>
          <a:ext cx="4426323" cy="22187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7</xdr:col>
      <xdr:colOff>22412</xdr:colOff>
      <xdr:row>11</xdr:row>
      <xdr:rowOff>0</xdr:rowOff>
    </xdr:from>
    <xdr:to>
      <xdr:col>12</xdr:col>
      <xdr:colOff>22413</xdr:colOff>
      <xdr:row>19</xdr:row>
      <xdr:rowOff>246528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DB93434-592B-48FE-A625-8436DA8FC07E}"/>
            </a:ext>
          </a:extLst>
        </xdr:cNvPr>
        <xdr:cNvSpPr/>
      </xdr:nvSpPr>
      <xdr:spPr>
        <a:xfrm>
          <a:off x="5681383" y="2711824"/>
          <a:ext cx="4874559" cy="22187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12</xdr:col>
      <xdr:colOff>0</xdr:colOff>
      <xdr:row>34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98BC287-621E-4B94-99ED-A21EDCFA6F0F}"/>
            </a:ext>
          </a:extLst>
        </xdr:cNvPr>
        <xdr:cNvSpPr/>
      </xdr:nvSpPr>
      <xdr:spPr>
        <a:xfrm>
          <a:off x="347382" y="6163235"/>
          <a:ext cx="9737912" cy="221876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12</xdr:col>
      <xdr:colOff>0</xdr:colOff>
      <xdr:row>48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D9FE38-D88D-4EF5-B15D-3EFF61BD70BC}"/>
            </a:ext>
          </a:extLst>
        </xdr:cNvPr>
        <xdr:cNvSpPr/>
      </xdr:nvSpPr>
      <xdr:spPr>
        <a:xfrm>
          <a:off x="347382" y="9614647"/>
          <a:ext cx="9737912" cy="221876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1</xdr:col>
      <xdr:colOff>0</xdr:colOff>
      <xdr:row>38</xdr:row>
      <xdr:rowOff>242046</xdr:rowOff>
    </xdr:from>
    <xdr:to>
      <xdr:col>12</xdr:col>
      <xdr:colOff>22412</xdr:colOff>
      <xdr:row>48</xdr:row>
      <xdr:rowOff>33617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422F850-D083-4BB3-AE2D-F49240BCA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24</xdr:row>
      <xdr:rowOff>242047</xdr:rowOff>
    </xdr:from>
    <xdr:to>
      <xdr:col>12</xdr:col>
      <xdr:colOff>0</xdr:colOff>
      <xdr:row>33</xdr:row>
      <xdr:rowOff>235323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E7BF6B6-1A23-4E5C-9496-B4EFA7183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28012</xdr:colOff>
      <xdr:row>10</xdr:row>
      <xdr:rowOff>230842</xdr:rowOff>
    </xdr:from>
    <xdr:to>
      <xdr:col>12</xdr:col>
      <xdr:colOff>44824</xdr:colOff>
      <xdr:row>20</xdr:row>
      <xdr:rowOff>33618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45CEE42-4DDC-4123-AED8-D7223B87B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5602</xdr:colOff>
      <xdr:row>10</xdr:row>
      <xdr:rowOff>242047</xdr:rowOff>
    </xdr:from>
    <xdr:to>
      <xdr:col>6</xdr:col>
      <xdr:colOff>22412</xdr:colOff>
      <xdr:row>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D9D0B50-BB02-4824-8210-21E5F24A1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A6F-0C8D-4A98-8240-EC46F5436B0F}">
  <sheetPr codeName="Sheet2">
    <pageSetUpPr fitToPage="1"/>
  </sheetPr>
  <dimension ref="A1:M70"/>
  <sheetViews>
    <sheetView showGridLines="0" tabSelected="1" zoomScale="85" zoomScaleNormal="85" workbookViewId="0">
      <selection activeCell="G3" sqref="G3:H5"/>
    </sheetView>
  </sheetViews>
  <sheetFormatPr defaultColWidth="0" defaultRowHeight="19.899999999999999" customHeight="1" zeroHeight="1" x14ac:dyDescent="0.2"/>
  <cols>
    <col min="1" max="1" width="4.625" style="1" customWidth="1"/>
    <col min="2" max="7" width="11.625" style="1" customWidth="1"/>
    <col min="8" max="8" width="17.5" style="1" customWidth="1"/>
    <col min="9" max="12" width="11.625" style="1" customWidth="1"/>
    <col min="13" max="13" width="4.625" style="1" customWidth="1"/>
    <col min="14" max="16384" width="10.75" style="1" hidden="1"/>
  </cols>
  <sheetData>
    <row r="1" spans="2:12" ht="19.899999999999999" customHeight="1" x14ac:dyDescent="0.2"/>
    <row r="2" spans="2:12" ht="19.899999999999999" customHeight="1" x14ac:dyDescent="0.2">
      <c r="B2" s="14" t="s">
        <v>0</v>
      </c>
      <c r="G2" s="14" t="s">
        <v>72</v>
      </c>
    </row>
    <row r="3" spans="2:12" ht="19.899999999999999" customHeight="1" x14ac:dyDescent="0.2">
      <c r="B3" s="28" t="s">
        <v>62</v>
      </c>
      <c r="C3" s="28"/>
      <c r="D3" s="28"/>
      <c r="E3" s="28"/>
      <c r="G3" s="29">
        <f>VLOOKUP($B$3,Student_Grades,31,FALSE)</f>
        <v>0.29841999999999996</v>
      </c>
      <c r="H3" s="29"/>
      <c r="J3" s="14" t="s">
        <v>66</v>
      </c>
      <c r="K3" s="30" t="str" cm="1">
        <f t="array" ref="K3">first_name</f>
        <v>Meliah</v>
      </c>
      <c r="L3" s="30"/>
    </row>
    <row r="4" spans="2:12" ht="19.899999999999999" customHeight="1" x14ac:dyDescent="0.2">
      <c r="B4" s="28"/>
      <c r="C4" s="28"/>
      <c r="D4" s="28"/>
      <c r="E4" s="28"/>
      <c r="G4" s="29"/>
      <c r="H4" s="29"/>
      <c r="J4" s="14" t="s">
        <v>67</v>
      </c>
      <c r="K4" s="30" t="str" cm="1">
        <f t="array" ref="K4">last_name</f>
        <v>Barriga</v>
      </c>
      <c r="L4" s="30"/>
    </row>
    <row r="5" spans="2:12" ht="19.899999999999999" customHeight="1" x14ac:dyDescent="0.2">
      <c r="B5" s="28"/>
      <c r="C5" s="28"/>
      <c r="D5" s="28"/>
      <c r="E5" s="28"/>
      <c r="G5" s="29"/>
      <c r="H5" s="29"/>
      <c r="J5" s="14" t="s">
        <v>1</v>
      </c>
      <c r="K5" s="30" t="str">
        <f>VLOOKUP($B$3,Student_Grades,4,FALSE)</f>
        <v>32c46ef6b7a7</v>
      </c>
      <c r="L5" s="30"/>
    </row>
    <row r="6" spans="2:12" ht="19.899999999999999" customHeight="1" x14ac:dyDescent="0.2"/>
    <row r="7" spans="2:12" ht="19.899999999999999" customHeight="1" thickBot="1" x14ac:dyDescent="0.25"/>
    <row r="8" spans="2:12" ht="19.899999999999999" customHeight="1" x14ac:dyDescent="0.2">
      <c r="B8" s="16" t="s">
        <v>68</v>
      </c>
      <c r="C8" s="16"/>
      <c r="D8" s="16"/>
      <c r="E8" s="16"/>
      <c r="F8" s="16"/>
      <c r="G8" s="16"/>
      <c r="H8" s="16" t="s">
        <v>78</v>
      </c>
      <c r="I8" s="16"/>
      <c r="J8" s="16"/>
      <c r="K8" s="16"/>
      <c r="L8" s="16"/>
    </row>
    <row r="9" spans="2:12" ht="19.899999999999999" customHeight="1" x14ac:dyDescent="0.2">
      <c r="B9" s="17"/>
      <c r="C9" s="19" t="s">
        <v>68</v>
      </c>
      <c r="D9" s="17"/>
      <c r="E9" s="17"/>
      <c r="F9" s="17"/>
      <c r="G9" s="17"/>
      <c r="H9" s="17"/>
      <c r="I9" s="19" t="s">
        <v>2</v>
      </c>
      <c r="J9" s="19" t="s">
        <v>3</v>
      </c>
      <c r="K9" s="19" t="s">
        <v>4</v>
      </c>
      <c r="L9" s="19" t="s">
        <v>5</v>
      </c>
    </row>
    <row r="10" spans="2:12" ht="19.899999999999999" customHeight="1" x14ac:dyDescent="0.2">
      <c r="B10" s="17" t="s">
        <v>79</v>
      </c>
      <c r="C10" s="26">
        <f>VLOOKUP($B$3,Student_Percent,56,FALSE)</f>
        <v>0</v>
      </c>
      <c r="D10" s="17"/>
      <c r="E10" s="17"/>
      <c r="F10" s="17"/>
      <c r="G10" s="17"/>
      <c r="H10" s="17" t="s">
        <v>79</v>
      </c>
      <c r="I10" s="26">
        <f>VLOOKUP($B$3,Student_Percent,32,FALSE)</f>
        <v>0</v>
      </c>
      <c r="J10" s="26">
        <f>VLOOKUP($B$3,Student_Percent,33,FALSE)</f>
        <v>0.80500000000000005</v>
      </c>
      <c r="K10" s="26">
        <f>VLOOKUP($B$3,Student_Percent,34,FALSE)</f>
        <v>0</v>
      </c>
      <c r="L10" s="26">
        <f>VLOOKUP($B$3,Student_Percent,35,FALSE)</f>
        <v>0.56499999999999995</v>
      </c>
    </row>
    <row r="11" spans="2:12" ht="19.899999999999999" customHeight="1" x14ac:dyDescent="0.2">
      <c r="B11" s="17" t="s">
        <v>83</v>
      </c>
      <c r="C11" s="26">
        <f>Grades!AC4</f>
        <v>0.57374999999999998</v>
      </c>
      <c r="D11" s="17"/>
      <c r="E11" s="17"/>
      <c r="F11" s="17"/>
      <c r="G11" s="17"/>
      <c r="H11" s="17" t="s">
        <v>83</v>
      </c>
      <c r="I11" s="26">
        <f>Grades!E4</f>
        <v>0.6878749999999999</v>
      </c>
      <c r="J11" s="26">
        <f>Grades!F4</f>
        <v>0.65400000000000003</v>
      </c>
      <c r="K11" s="26">
        <f>Grades!G4</f>
        <v>0.64500000000000002</v>
      </c>
      <c r="L11" s="26">
        <f>Grades!H4</f>
        <v>0.63475000000000004</v>
      </c>
    </row>
    <row r="12" spans="2:12" ht="19.899999999999999" customHeight="1" x14ac:dyDescent="0.2">
      <c r="B12" s="18"/>
      <c r="H12" s="18"/>
    </row>
    <row r="13" spans="2:12" ht="19.899999999999999" customHeight="1" x14ac:dyDescent="0.2">
      <c r="B13" s="18"/>
      <c r="H13" s="18"/>
    </row>
    <row r="14" spans="2:12" ht="19.899999999999999" customHeight="1" x14ac:dyDescent="0.2">
      <c r="B14" s="18"/>
      <c r="H14" s="18"/>
    </row>
    <row r="15" spans="2:12" ht="19.899999999999999" customHeight="1" x14ac:dyDescent="0.2"/>
    <row r="16" spans="2:12" ht="19.899999999999999" customHeight="1" x14ac:dyDescent="0.2"/>
    <row r="17" spans="2:12" ht="19.899999999999999" customHeight="1" x14ac:dyDescent="0.2"/>
    <row r="18" spans="2:12" ht="19.899999999999999" customHeight="1" x14ac:dyDescent="0.2"/>
    <row r="19" spans="2:12" ht="19.899999999999999" customHeight="1" x14ac:dyDescent="0.2"/>
    <row r="20" spans="2:12" ht="19.899999999999999" customHeight="1" x14ac:dyDescent="0.2"/>
    <row r="21" spans="2:12" ht="19.899999999999999" customHeight="1" thickBot="1" x14ac:dyDescent="0.25"/>
    <row r="22" spans="2:12" ht="19.899999999999999" customHeight="1" x14ac:dyDescent="0.2">
      <c r="B22" s="16" t="s">
        <v>80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2:12" ht="19.899999999999999" customHeight="1" x14ac:dyDescent="0.2">
      <c r="B23" s="17"/>
      <c r="C23" s="19" t="s">
        <v>6</v>
      </c>
      <c r="D23" s="19" t="s">
        <v>7</v>
      </c>
      <c r="E23" s="19" t="s">
        <v>8</v>
      </c>
      <c r="F23" s="19" t="s">
        <v>9</v>
      </c>
      <c r="G23" s="19" t="s">
        <v>10</v>
      </c>
      <c r="H23" s="19" t="s">
        <v>11</v>
      </c>
      <c r="I23" s="19" t="s">
        <v>12</v>
      </c>
      <c r="J23" s="19" t="s">
        <v>13</v>
      </c>
      <c r="K23" s="19" t="s">
        <v>14</v>
      </c>
      <c r="L23" s="19" t="s">
        <v>15</v>
      </c>
    </row>
    <row r="24" spans="2:12" ht="19.899999999999999" customHeight="1" x14ac:dyDescent="0.2">
      <c r="B24" s="17" t="s">
        <v>79</v>
      </c>
      <c r="C24" s="26">
        <f>VLOOKUP($B$3,Student_Percent,36,FALSE)</f>
        <v>0</v>
      </c>
      <c r="D24" s="26">
        <f>VLOOKUP($B$3,Student_Percent,37,FALSE)</f>
        <v>0</v>
      </c>
      <c r="E24" s="26">
        <f>VLOOKUP($B$3,Student_Percent,38,FALSE)</f>
        <v>0.7</v>
      </c>
      <c r="F24" s="26">
        <f>VLOOKUP($B$3,Student_Percent,39,FALSE)</f>
        <v>0.78349999999999997</v>
      </c>
      <c r="G24" s="26">
        <f>VLOOKUP($B$3,Student_Percent,40,FALSE)</f>
        <v>0.66249999999999998</v>
      </c>
      <c r="H24" s="26">
        <f>VLOOKUP($B$3,Student_Percent,41,FALSE)</f>
        <v>0.05</v>
      </c>
      <c r="I24" s="26">
        <f>VLOOKUP($B$3,Student_Percent,42,FALSE)</f>
        <v>0.97499999999999998</v>
      </c>
      <c r="J24" s="26">
        <f>VLOOKUP($B$3,Student_Percent,43,FALSE)</f>
        <v>0</v>
      </c>
      <c r="K24" s="26">
        <f>VLOOKUP($B$3,Student_Percent,44,FALSE)</f>
        <v>0</v>
      </c>
      <c r="L24" s="26">
        <f>VLOOKUP($B$3,Student_Percent,45,FALSE)</f>
        <v>0</v>
      </c>
    </row>
    <row r="25" spans="2:12" ht="19.899999999999999" customHeight="1" x14ac:dyDescent="0.2">
      <c r="B25" s="17" t="s">
        <v>83</v>
      </c>
      <c r="C25" s="26">
        <f>Grades!I4</f>
        <v>0.71699999999999986</v>
      </c>
      <c r="D25" s="26">
        <f>Grades!J4</f>
        <v>0.65374999999999994</v>
      </c>
      <c r="E25" s="26">
        <f>Grades!K4</f>
        <v>0.57000000000000006</v>
      </c>
      <c r="F25" s="26">
        <f>Grades!L4</f>
        <v>0.72650000000000026</v>
      </c>
      <c r="G25" s="26">
        <f>Grades!M4</f>
        <v>0.51749999999999996</v>
      </c>
      <c r="H25" s="26">
        <f>Grades!N4</f>
        <v>0.708125</v>
      </c>
      <c r="I25" s="26">
        <f>Grades!O4</f>
        <v>0.70499999999999996</v>
      </c>
      <c r="J25" s="26">
        <f>Grades!P4</f>
        <v>0.45</v>
      </c>
      <c r="K25" s="26">
        <f>Grades!Q4</f>
        <v>0.64624999999999999</v>
      </c>
      <c r="L25" s="26">
        <f>Grades!R4</f>
        <v>0.61875000000000002</v>
      </c>
    </row>
    <row r="26" spans="2:12" ht="19.899999999999999" customHeight="1" x14ac:dyDescent="0.2">
      <c r="B26" s="18"/>
    </row>
    <row r="27" spans="2:12" ht="19.899999999999999" customHeight="1" x14ac:dyDescent="0.2">
      <c r="B27" s="18"/>
    </row>
    <row r="28" spans="2:12" ht="19.899999999999999" customHeight="1" x14ac:dyDescent="0.2">
      <c r="B28" s="18"/>
    </row>
    <row r="29" spans="2:12" ht="19.899999999999999" customHeight="1" x14ac:dyDescent="0.2"/>
    <row r="30" spans="2:12" ht="19.899999999999999" customHeight="1" x14ac:dyDescent="0.2"/>
    <row r="31" spans="2:12" ht="19.899999999999999" customHeight="1" x14ac:dyDescent="0.2"/>
    <row r="32" spans="2:12" ht="19.899999999999999" customHeight="1" x14ac:dyDescent="0.2"/>
    <row r="33" spans="2:12" ht="19.899999999999999" customHeight="1" x14ac:dyDescent="0.2"/>
    <row r="34" spans="2:12" ht="19.899999999999999" customHeight="1" x14ac:dyDescent="0.2"/>
    <row r="35" spans="2:12" ht="19.899999999999999" customHeight="1" thickBot="1" x14ac:dyDescent="0.25"/>
    <row r="36" spans="2:12" ht="19.899999999999999" customHeight="1" x14ac:dyDescent="0.2">
      <c r="B36" s="16" t="s">
        <v>81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ht="19.899999999999999" customHeight="1" x14ac:dyDescent="0.2">
      <c r="B37" s="17"/>
      <c r="C37" s="19" t="s">
        <v>16</v>
      </c>
      <c r="D37" s="19" t="s">
        <v>17</v>
      </c>
      <c r="E37" s="19" t="s">
        <v>18</v>
      </c>
      <c r="F37" s="19" t="s">
        <v>19</v>
      </c>
      <c r="G37" s="19" t="s">
        <v>20</v>
      </c>
      <c r="H37" s="19" t="s">
        <v>21</v>
      </c>
      <c r="I37" s="19" t="s">
        <v>22</v>
      </c>
      <c r="J37" s="19" t="s">
        <v>23</v>
      </c>
      <c r="K37" s="19" t="s">
        <v>24</v>
      </c>
      <c r="L37" s="19" t="s">
        <v>25</v>
      </c>
    </row>
    <row r="38" spans="2:12" ht="19.899999999999999" customHeight="1" x14ac:dyDescent="0.2">
      <c r="B38" s="17" t="s">
        <v>79</v>
      </c>
      <c r="C38" s="26">
        <f>VLOOKUP($B$3,Student_Percent,46,FALSE)</f>
        <v>0</v>
      </c>
      <c r="D38" s="26">
        <f>VLOOKUP($B$3,Student_Percent,47,FALSE)</f>
        <v>0</v>
      </c>
      <c r="E38" s="26">
        <f>VLOOKUP($B$3,Student_Percent,48,FALSE)</f>
        <v>0</v>
      </c>
      <c r="F38" s="26">
        <f>VLOOKUP($B$3,Student_Percent,49,FALSE)</f>
        <v>0.75</v>
      </c>
      <c r="G38" s="26">
        <f>VLOOKUP($B$3,Student_Percent,50,FALSE)</f>
        <v>0.45</v>
      </c>
      <c r="H38" s="26">
        <f>VLOOKUP($B$3,Student_Percent,51,FALSE)</f>
        <v>0.97499999999999998</v>
      </c>
      <c r="I38" s="26">
        <f>VLOOKUP($B$3,Student_Percent,52,FALSE)</f>
        <v>0</v>
      </c>
      <c r="J38" s="26">
        <f>VLOOKUP($B$3,Student_Percent,53,FALSE)</f>
        <v>0.8</v>
      </c>
      <c r="K38" s="26">
        <f>VLOOKUP($B$3,Student_Percent,54,FALSE)</f>
        <v>1</v>
      </c>
      <c r="L38" s="26">
        <f>VLOOKUP($B$3,Student_Percent,55,FALSE)</f>
        <v>0.92500000000000004</v>
      </c>
    </row>
    <row r="39" spans="2:12" ht="19.899999999999999" customHeight="1" x14ac:dyDescent="0.2">
      <c r="B39" s="17" t="s">
        <v>83</v>
      </c>
      <c r="C39" s="26">
        <f>Grades!S4</f>
        <v>0.55999999999999994</v>
      </c>
      <c r="D39" s="26">
        <f>Grades!T4</f>
        <v>0.76287500000000008</v>
      </c>
      <c r="E39" s="26">
        <f>Grades!U4</f>
        <v>0.458125</v>
      </c>
      <c r="F39" s="26">
        <f>Grades!V4</f>
        <v>0.86699999999999999</v>
      </c>
      <c r="G39" s="26">
        <f>Grades!W4</f>
        <v>0.78749999999999998</v>
      </c>
      <c r="H39" s="26">
        <f>Grades!X4</f>
        <v>0.67769999999999997</v>
      </c>
      <c r="I39" s="26">
        <f>Grades!Y4</f>
        <v>0.739375</v>
      </c>
      <c r="J39" s="26">
        <f>Grades!Z4</f>
        <v>0.66874999999999996</v>
      </c>
      <c r="K39" s="26">
        <f>Grades!AA4</f>
        <v>0.51500000000000001</v>
      </c>
      <c r="L39" s="26">
        <f>Grades!AB4</f>
        <v>0.75</v>
      </c>
    </row>
    <row r="40" spans="2:12" ht="19.899999999999999" customHeight="1" x14ac:dyDescent="0.2">
      <c r="B40" s="18"/>
    </row>
    <row r="41" spans="2:12" ht="19.899999999999999" customHeight="1" x14ac:dyDescent="0.2">
      <c r="B41" s="18"/>
    </row>
    <row r="42" spans="2:12" ht="19.899999999999999" customHeight="1" x14ac:dyDescent="0.2">
      <c r="B42" s="18"/>
    </row>
    <row r="43" spans="2:12" ht="19.899999999999999" customHeight="1" x14ac:dyDescent="0.2"/>
    <row r="44" spans="2:12" ht="19.899999999999999" customHeight="1" x14ac:dyDescent="0.2"/>
    <row r="45" spans="2:12" ht="19.899999999999999" customHeight="1" x14ac:dyDescent="0.2"/>
    <row r="46" spans="2:12" ht="19.899999999999999" customHeight="1" x14ac:dyDescent="0.2"/>
    <row r="47" spans="2:12" ht="19.899999999999999" customHeight="1" x14ac:dyDescent="0.2"/>
    <row r="48" spans="2:12" ht="19.899999999999999" customHeight="1" x14ac:dyDescent="0.2"/>
    <row r="49" spans="2:12" ht="19.899999999999999" customHeight="1" x14ac:dyDescent="0.2"/>
    <row r="50" spans="2:12" ht="19.899999999999999" customHeight="1" x14ac:dyDescent="0.2">
      <c r="B50" s="14" t="s">
        <v>82</v>
      </c>
      <c r="J50" s="27">
        <f ca="1">TODAY()</f>
        <v>45071</v>
      </c>
      <c r="K50" s="27"/>
      <c r="L50" s="27"/>
    </row>
    <row r="64" spans="2:12" ht="19.899999999999999" customHeight="1" x14ac:dyDescent="0.2"/>
    <row r="65" ht="19.899999999999999" hidden="1" customHeight="1" x14ac:dyDescent="0.2"/>
    <row r="66" ht="19.899999999999999" hidden="1" customHeight="1" x14ac:dyDescent="0.2"/>
    <row r="67" ht="19.899999999999999" hidden="1" customHeight="1" x14ac:dyDescent="0.2"/>
    <row r="68" ht="19.899999999999999" hidden="1" customHeight="1" x14ac:dyDescent="0.2"/>
    <row r="69" ht="19.899999999999999" hidden="1" customHeight="1" x14ac:dyDescent="0.2"/>
    <row r="70" ht="19.899999999999999" hidden="1" customHeight="1" x14ac:dyDescent="0.2"/>
  </sheetData>
  <sheetProtection sheet="1" objects="1" scenarios="1" selectLockedCells="1"/>
  <mergeCells count="6">
    <mergeCell ref="J50:L50"/>
    <mergeCell ref="B3:E5"/>
    <mergeCell ref="G3:H5"/>
    <mergeCell ref="K5:L5"/>
    <mergeCell ref="K4:L4"/>
    <mergeCell ref="K3:L3"/>
  </mergeCells>
  <conditionalFormatting sqref="C10:C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L1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L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8:L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lessThanOrEqual">
      <formula>49</formula>
    </cfRule>
    <cfRule type="cellIs" dxfId="0" priority="1" operator="greaterThanOrEqual">
      <formula>50</formula>
    </cfRule>
  </conditionalFormatting>
  <conditionalFormatting sqref="B3:E5">
    <cfRule type="cellIs" dxfId="2" priority="3" operator="between">
      <formula>0</formula>
      <formula>49</formula>
    </cfRule>
  </conditionalFormatting>
  <dataValidations count="1">
    <dataValidation type="list" allowBlank="1" showInputMessage="1" showErrorMessage="1" sqref="B3:E5" xr:uid="{DC409263-4298-4272-B164-E1B98F2B14E7}">
      <formula1>Student_FullName</formula1>
    </dataValidation>
  </dataValidations>
  <printOptions horizontalCentered="1"/>
  <pageMargins left="0.5" right="0.5" top="0.5" bottom="0.5" header="0.3" footer="0.3"/>
  <pageSetup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BD26"/>
  <sheetViews>
    <sheetView showGridLines="0" zoomScaleNormal="100" workbookViewId="0"/>
  </sheetViews>
  <sheetFormatPr defaultColWidth="10.75" defaultRowHeight="19.899999999999999" customHeight="1" x14ac:dyDescent="0.2"/>
  <cols>
    <col min="1" max="1" width="20.625" style="1" customWidth="1"/>
    <col min="2" max="3" width="14.625" style="1" customWidth="1"/>
    <col min="4" max="4" width="16.625" style="1" customWidth="1"/>
    <col min="5" max="30" width="12.625" style="2" customWidth="1"/>
    <col min="31" max="31" width="12.75" style="1" customWidth="1"/>
    <col min="32" max="35" width="10.75" style="1"/>
    <col min="36" max="36" width="12.125" style="1" customWidth="1"/>
    <col min="37" max="37" width="11.625" style="1" customWidth="1"/>
    <col min="38" max="38" width="12.125" style="1" customWidth="1"/>
    <col min="39" max="39" width="11.625" style="1" customWidth="1"/>
    <col min="40" max="40" width="12.625" style="1" customWidth="1"/>
    <col min="41" max="41" width="12.375" style="1" customWidth="1"/>
    <col min="42" max="42" width="12.875" style="1" customWidth="1"/>
    <col min="43" max="43" width="13" style="1" customWidth="1"/>
    <col min="44" max="44" width="12.125" style="1" customWidth="1"/>
    <col min="45" max="45" width="13.125" style="1" customWidth="1"/>
    <col min="46" max="46" width="13.375" style="1" customWidth="1"/>
    <col min="47" max="47" width="12.5" style="1" customWidth="1"/>
    <col min="48" max="48" width="13.125" style="1" customWidth="1"/>
    <col min="49" max="49" width="13.625" style="1" customWidth="1"/>
    <col min="50" max="50" width="12.25" style="1" customWidth="1"/>
    <col min="51" max="51" width="12.625" style="1" customWidth="1"/>
    <col min="52" max="52" width="13.125" style="1" customWidth="1"/>
    <col min="53" max="53" width="12.375" style="1" customWidth="1"/>
    <col min="54" max="54" width="14.5" style="1" customWidth="1"/>
    <col min="55" max="55" width="12.25" style="1" customWidth="1"/>
    <col min="56" max="56" width="13.125" style="1" customWidth="1"/>
    <col min="57" max="16384" width="10.75" style="1"/>
  </cols>
  <sheetData>
    <row r="1" spans="1:56" ht="19.899999999999999" customHeight="1" x14ac:dyDescent="0.2">
      <c r="D1" s="13" t="s">
        <v>75</v>
      </c>
      <c r="E1" s="70" t="s">
        <v>69</v>
      </c>
      <c r="F1" s="70" t="s">
        <v>69</v>
      </c>
      <c r="G1" s="70" t="s">
        <v>70</v>
      </c>
      <c r="H1" s="70" t="s">
        <v>70</v>
      </c>
      <c r="I1" s="71" t="s">
        <v>69</v>
      </c>
      <c r="J1" s="71" t="s">
        <v>69</v>
      </c>
      <c r="K1" s="71" t="s">
        <v>69</v>
      </c>
      <c r="L1" s="71" t="s">
        <v>69</v>
      </c>
      <c r="M1" s="71" t="s">
        <v>69</v>
      </c>
      <c r="N1" s="72" t="s">
        <v>69</v>
      </c>
      <c r="O1" s="72" t="s">
        <v>69</v>
      </c>
      <c r="P1" s="72" t="s">
        <v>69</v>
      </c>
      <c r="Q1" s="72" t="s">
        <v>69</v>
      </c>
      <c r="R1" s="72" t="s">
        <v>69</v>
      </c>
      <c r="S1" s="73" t="s">
        <v>70</v>
      </c>
      <c r="T1" s="73" t="s">
        <v>70</v>
      </c>
      <c r="U1" s="73" t="s">
        <v>70</v>
      </c>
      <c r="V1" s="73" t="s">
        <v>70</v>
      </c>
      <c r="W1" s="73" t="s">
        <v>70</v>
      </c>
      <c r="X1" s="74" t="s">
        <v>70</v>
      </c>
      <c r="Y1" s="74" t="s">
        <v>70</v>
      </c>
      <c r="Z1" s="74" t="s">
        <v>70</v>
      </c>
      <c r="AA1" s="74" t="s">
        <v>70</v>
      </c>
      <c r="AB1" s="74" t="s">
        <v>70</v>
      </c>
      <c r="AC1" s="75" t="s">
        <v>68</v>
      </c>
      <c r="AD1" s="75" t="s">
        <v>72</v>
      </c>
    </row>
    <row r="2" spans="1:56" ht="19.899999999999999" customHeight="1" x14ac:dyDescent="0.2">
      <c r="D2" s="13" t="s">
        <v>71</v>
      </c>
      <c r="E2" s="3">
        <v>100</v>
      </c>
      <c r="F2" s="3">
        <v>100</v>
      </c>
      <c r="G2" s="3">
        <v>100</v>
      </c>
      <c r="H2" s="3">
        <v>100</v>
      </c>
      <c r="I2" s="64">
        <v>20</v>
      </c>
      <c r="J2" s="64">
        <v>20</v>
      </c>
      <c r="K2" s="64">
        <v>20</v>
      </c>
      <c r="L2" s="64">
        <v>20</v>
      </c>
      <c r="M2" s="64">
        <v>20</v>
      </c>
      <c r="N2" s="61">
        <v>20</v>
      </c>
      <c r="O2" s="61">
        <v>20</v>
      </c>
      <c r="P2" s="61">
        <v>20</v>
      </c>
      <c r="Q2" s="61">
        <v>20</v>
      </c>
      <c r="R2" s="61">
        <v>20</v>
      </c>
      <c r="S2" s="58">
        <v>20</v>
      </c>
      <c r="T2" s="58">
        <v>20</v>
      </c>
      <c r="U2" s="58">
        <v>20</v>
      </c>
      <c r="V2" s="58">
        <v>20</v>
      </c>
      <c r="W2" s="58">
        <v>20</v>
      </c>
      <c r="X2" s="55">
        <v>20</v>
      </c>
      <c r="Y2" s="55">
        <v>20</v>
      </c>
      <c r="Z2" s="55">
        <v>20</v>
      </c>
      <c r="AA2" s="55">
        <v>20</v>
      </c>
      <c r="AB2" s="55">
        <v>20</v>
      </c>
      <c r="AC2" s="4">
        <v>200</v>
      </c>
      <c r="AD2" s="4">
        <f>SUM(Class_Points_possible)</f>
        <v>1000</v>
      </c>
      <c r="AE2" s="24"/>
    </row>
    <row r="3" spans="1:56" ht="19.899999999999999" customHeight="1" x14ac:dyDescent="0.2">
      <c r="D3" s="13" t="s">
        <v>74</v>
      </c>
      <c r="E3" s="21">
        <f>AVERAGE(E7:E26)</f>
        <v>68.787499999999994</v>
      </c>
      <c r="F3" s="21">
        <f t="shared" ref="F3:AC3" si="0">AVERAGE(F7:F26)</f>
        <v>65.400000000000006</v>
      </c>
      <c r="G3" s="21">
        <f t="shared" si="0"/>
        <v>64.5</v>
      </c>
      <c r="H3" s="21">
        <f t="shared" si="0"/>
        <v>63.475000000000001</v>
      </c>
      <c r="I3" s="65">
        <f t="shared" si="0"/>
        <v>14.339999999999998</v>
      </c>
      <c r="J3" s="65">
        <f t="shared" si="0"/>
        <v>13.074999999999999</v>
      </c>
      <c r="K3" s="65">
        <f t="shared" si="0"/>
        <v>11.4</v>
      </c>
      <c r="L3" s="65">
        <f t="shared" si="0"/>
        <v>14.530000000000005</v>
      </c>
      <c r="M3" s="65">
        <f t="shared" si="0"/>
        <v>10.35</v>
      </c>
      <c r="N3" s="62">
        <f t="shared" si="0"/>
        <v>14.1625</v>
      </c>
      <c r="O3" s="62">
        <f t="shared" si="0"/>
        <v>14.1</v>
      </c>
      <c r="P3" s="62">
        <f t="shared" si="0"/>
        <v>9</v>
      </c>
      <c r="Q3" s="62">
        <f t="shared" si="0"/>
        <v>12.925000000000001</v>
      </c>
      <c r="R3" s="62">
        <f t="shared" si="0"/>
        <v>12.375</v>
      </c>
      <c r="S3" s="59">
        <f t="shared" si="0"/>
        <v>11.2</v>
      </c>
      <c r="T3" s="59">
        <f t="shared" si="0"/>
        <v>15.257500000000002</v>
      </c>
      <c r="U3" s="59">
        <f t="shared" si="0"/>
        <v>9.1624999999999996</v>
      </c>
      <c r="V3" s="59">
        <f t="shared" si="0"/>
        <v>17.34</v>
      </c>
      <c r="W3" s="59">
        <f t="shared" si="0"/>
        <v>15.75</v>
      </c>
      <c r="X3" s="56">
        <f t="shared" si="0"/>
        <v>13.553999999999998</v>
      </c>
      <c r="Y3" s="56">
        <f t="shared" si="0"/>
        <v>14.7875</v>
      </c>
      <c r="Z3" s="56">
        <f t="shared" si="0"/>
        <v>13.375</v>
      </c>
      <c r="AA3" s="56">
        <f t="shared" si="0"/>
        <v>10.3</v>
      </c>
      <c r="AB3" s="56">
        <f t="shared" si="0"/>
        <v>15</v>
      </c>
      <c r="AC3" s="23">
        <f t="shared" si="0"/>
        <v>114.75</v>
      </c>
      <c r="AD3" s="23"/>
    </row>
    <row r="4" spans="1:56" ht="19.899999999999999" customHeight="1" x14ac:dyDescent="0.2">
      <c r="D4" s="13" t="s">
        <v>73</v>
      </c>
      <c r="E4" s="20">
        <f>E3/E2</f>
        <v>0.6878749999999999</v>
      </c>
      <c r="F4" s="20">
        <f t="shared" ref="F4:AC4" si="1">F3/F2</f>
        <v>0.65400000000000003</v>
      </c>
      <c r="G4" s="20">
        <f t="shared" si="1"/>
        <v>0.64500000000000002</v>
      </c>
      <c r="H4" s="20">
        <f t="shared" si="1"/>
        <v>0.63475000000000004</v>
      </c>
      <c r="I4" s="66">
        <f t="shared" si="1"/>
        <v>0.71699999999999986</v>
      </c>
      <c r="J4" s="66">
        <f t="shared" si="1"/>
        <v>0.65374999999999994</v>
      </c>
      <c r="K4" s="66">
        <f t="shared" si="1"/>
        <v>0.57000000000000006</v>
      </c>
      <c r="L4" s="66">
        <f t="shared" si="1"/>
        <v>0.72650000000000026</v>
      </c>
      <c r="M4" s="66">
        <f t="shared" si="1"/>
        <v>0.51749999999999996</v>
      </c>
      <c r="N4" s="63">
        <f t="shared" si="1"/>
        <v>0.708125</v>
      </c>
      <c r="O4" s="63">
        <f t="shared" si="1"/>
        <v>0.70499999999999996</v>
      </c>
      <c r="P4" s="63">
        <f t="shared" si="1"/>
        <v>0.45</v>
      </c>
      <c r="Q4" s="63">
        <f t="shared" si="1"/>
        <v>0.64624999999999999</v>
      </c>
      <c r="R4" s="63">
        <f t="shared" si="1"/>
        <v>0.61875000000000002</v>
      </c>
      <c r="S4" s="60">
        <f t="shared" si="1"/>
        <v>0.55999999999999994</v>
      </c>
      <c r="T4" s="60">
        <f t="shared" si="1"/>
        <v>0.76287500000000008</v>
      </c>
      <c r="U4" s="60">
        <f t="shared" si="1"/>
        <v>0.458125</v>
      </c>
      <c r="V4" s="60">
        <f t="shared" si="1"/>
        <v>0.86699999999999999</v>
      </c>
      <c r="W4" s="60">
        <f t="shared" si="1"/>
        <v>0.78749999999999998</v>
      </c>
      <c r="X4" s="57">
        <f t="shared" si="1"/>
        <v>0.67769999999999997</v>
      </c>
      <c r="Y4" s="57">
        <f t="shared" si="1"/>
        <v>0.739375</v>
      </c>
      <c r="Z4" s="57">
        <f t="shared" si="1"/>
        <v>0.66874999999999996</v>
      </c>
      <c r="AA4" s="57">
        <f t="shared" si="1"/>
        <v>0.51500000000000001</v>
      </c>
      <c r="AB4" s="57">
        <f t="shared" si="1"/>
        <v>0.75</v>
      </c>
      <c r="AC4" s="22">
        <f t="shared" si="1"/>
        <v>0.57374999999999998</v>
      </c>
      <c r="AD4" s="22"/>
    </row>
    <row r="5" spans="1:56" ht="20.100000000000001" customHeight="1" x14ac:dyDescent="0.2">
      <c r="A5" s="15" t="s">
        <v>77</v>
      </c>
      <c r="D5" s="2"/>
      <c r="E5" s="3"/>
      <c r="F5" s="3"/>
      <c r="G5" s="3"/>
      <c r="H5" s="3"/>
      <c r="I5" s="64"/>
      <c r="J5" s="64"/>
      <c r="K5" s="64"/>
      <c r="L5" s="64"/>
      <c r="M5" s="64"/>
      <c r="N5" s="61"/>
      <c r="O5" s="61"/>
      <c r="P5" s="61"/>
      <c r="Q5" s="61"/>
      <c r="R5" s="61"/>
      <c r="S5" s="58"/>
      <c r="T5" s="58"/>
      <c r="U5" s="58"/>
      <c r="V5" s="58"/>
      <c r="W5" s="58"/>
      <c r="X5" s="55"/>
      <c r="Y5" s="55"/>
      <c r="Z5" s="55"/>
      <c r="AA5" s="55"/>
      <c r="AB5" s="55"/>
      <c r="AC5" s="4"/>
      <c r="AD5" s="4"/>
    </row>
    <row r="6" spans="1:56" ht="19.899999999999999" customHeight="1" x14ac:dyDescent="0.2">
      <c r="A6" s="5" t="s">
        <v>76</v>
      </c>
      <c r="B6" s="5" t="s">
        <v>66</v>
      </c>
      <c r="C6" s="5" t="s">
        <v>67</v>
      </c>
      <c r="D6" s="5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51" t="s">
        <v>6</v>
      </c>
      <c r="J6" s="51" t="s">
        <v>7</v>
      </c>
      <c r="K6" s="51" t="s">
        <v>8</v>
      </c>
      <c r="L6" s="51" t="s">
        <v>9</v>
      </c>
      <c r="M6" s="51" t="s">
        <v>10</v>
      </c>
      <c r="N6" s="53" t="s">
        <v>11</v>
      </c>
      <c r="O6" s="53" t="s">
        <v>12</v>
      </c>
      <c r="P6" s="53" t="s">
        <v>13</v>
      </c>
      <c r="Q6" s="53" t="s">
        <v>14</v>
      </c>
      <c r="R6" s="53" t="s">
        <v>15</v>
      </c>
      <c r="S6" s="52" t="s">
        <v>16</v>
      </c>
      <c r="T6" s="52" t="s">
        <v>17</v>
      </c>
      <c r="U6" s="52" t="s">
        <v>18</v>
      </c>
      <c r="V6" s="52" t="s">
        <v>19</v>
      </c>
      <c r="W6" s="52" t="s">
        <v>20</v>
      </c>
      <c r="X6" s="54" t="s">
        <v>21</v>
      </c>
      <c r="Y6" s="54" t="s">
        <v>22</v>
      </c>
      <c r="Z6" s="54" t="s">
        <v>23</v>
      </c>
      <c r="AA6" s="54" t="s">
        <v>24</v>
      </c>
      <c r="AB6" s="54" t="s">
        <v>25</v>
      </c>
      <c r="AC6" s="8" t="s">
        <v>68</v>
      </c>
      <c r="AD6" s="8" t="s">
        <v>72</v>
      </c>
      <c r="AE6" s="68" t="s">
        <v>109</v>
      </c>
      <c r="AF6" s="67" t="s">
        <v>84</v>
      </c>
      <c r="AG6" s="67" t="s">
        <v>85</v>
      </c>
      <c r="AH6" s="67" t="s">
        <v>86</v>
      </c>
      <c r="AI6" s="67" t="s">
        <v>87</v>
      </c>
      <c r="AJ6" s="69" t="s">
        <v>97</v>
      </c>
      <c r="AK6" s="69" t="s">
        <v>96</v>
      </c>
      <c r="AL6" s="69" t="s">
        <v>95</v>
      </c>
      <c r="AM6" s="69" t="s">
        <v>94</v>
      </c>
      <c r="AN6" s="53" t="s">
        <v>93</v>
      </c>
      <c r="AO6" s="53" t="s">
        <v>92</v>
      </c>
      <c r="AP6" s="53" t="s">
        <v>91</v>
      </c>
      <c r="AQ6" s="53" t="s">
        <v>90</v>
      </c>
      <c r="AR6" s="53" t="s">
        <v>89</v>
      </c>
      <c r="AS6" s="52" t="s">
        <v>88</v>
      </c>
      <c r="AT6" s="52" t="s">
        <v>98</v>
      </c>
      <c r="AU6" s="52" t="s">
        <v>99</v>
      </c>
      <c r="AV6" s="52" t="s">
        <v>100</v>
      </c>
      <c r="AW6" s="52" t="s">
        <v>101</v>
      </c>
      <c r="AX6" s="7" t="s">
        <v>102</v>
      </c>
      <c r="AY6" s="7" t="s">
        <v>103</v>
      </c>
      <c r="AZ6" s="7" t="s">
        <v>104</v>
      </c>
      <c r="BA6" s="7" t="s">
        <v>105</v>
      </c>
      <c r="BB6" s="7" t="s">
        <v>106</v>
      </c>
      <c r="BC6" s="7" t="s">
        <v>107</v>
      </c>
      <c r="BD6" s="31" t="s">
        <v>108</v>
      </c>
    </row>
    <row r="7" spans="1:56" ht="19.899999999999999" customHeight="1" x14ac:dyDescent="0.2">
      <c r="A7" s="32" t="s">
        <v>26</v>
      </c>
      <c r="B7" s="34" t="str">
        <f>LEFT(A7, FIND(" ",A7)-1)</f>
        <v>Jameson</v>
      </c>
      <c r="C7" s="34" t="str">
        <f>RIGHT(A7, LEN(A7)-FIND(" ",A7))</f>
        <v>Parada</v>
      </c>
      <c r="D7" s="35" t="s">
        <v>27</v>
      </c>
      <c r="E7" s="9">
        <v>56.25</v>
      </c>
      <c r="F7" s="9">
        <v>0</v>
      </c>
      <c r="G7" s="9">
        <v>90</v>
      </c>
      <c r="H7" s="9">
        <v>66</v>
      </c>
      <c r="I7" s="37">
        <v>11</v>
      </c>
      <c r="J7" s="37">
        <v>18</v>
      </c>
      <c r="K7" s="37">
        <v>15</v>
      </c>
      <c r="L7" s="37">
        <v>18</v>
      </c>
      <c r="M7" s="37">
        <v>15.5</v>
      </c>
      <c r="N7" s="39">
        <v>17.75</v>
      </c>
      <c r="O7" s="39">
        <v>19.5</v>
      </c>
      <c r="P7" s="39">
        <v>15.25</v>
      </c>
      <c r="Q7" s="39">
        <v>14</v>
      </c>
      <c r="R7" s="39">
        <v>14</v>
      </c>
      <c r="S7" s="41">
        <v>12</v>
      </c>
      <c r="T7" s="41">
        <v>17.3</v>
      </c>
      <c r="U7" s="41">
        <v>10</v>
      </c>
      <c r="V7" s="41">
        <v>18.3</v>
      </c>
      <c r="W7" s="41">
        <v>17.5</v>
      </c>
      <c r="X7" s="43">
        <v>0</v>
      </c>
      <c r="Y7" s="43">
        <v>16.25</v>
      </c>
      <c r="Z7" s="43">
        <v>12</v>
      </c>
      <c r="AA7" s="43">
        <v>17</v>
      </c>
      <c r="AB7" s="43">
        <v>16.5</v>
      </c>
      <c r="AC7" s="10">
        <v>141</v>
      </c>
      <c r="AD7" s="25">
        <f>SUM(E7:AC7)</f>
        <v>648.1</v>
      </c>
      <c r="AE7" s="46">
        <f>AD7/AD2</f>
        <v>0.64810000000000001</v>
      </c>
      <c r="AF7" s="50">
        <f>E7/E2</f>
        <v>0.5625</v>
      </c>
      <c r="AG7" s="50">
        <f>F7/$F$2</f>
        <v>0</v>
      </c>
      <c r="AH7" s="50">
        <f>G7/$G$2</f>
        <v>0.9</v>
      </c>
      <c r="AI7" s="50">
        <f>H7/$H$2</f>
        <v>0.66</v>
      </c>
      <c r="AJ7" s="49">
        <f>I7/$I$2</f>
        <v>0.55000000000000004</v>
      </c>
      <c r="AK7" s="49">
        <f>J7/$J$2</f>
        <v>0.9</v>
      </c>
      <c r="AL7" s="49">
        <f>K7/$K$2</f>
        <v>0.75</v>
      </c>
      <c r="AM7" s="49">
        <f>L7/$L$2</f>
        <v>0.9</v>
      </c>
      <c r="AN7" s="48">
        <f>M7/$M$2</f>
        <v>0.77500000000000002</v>
      </c>
      <c r="AO7" s="48">
        <f>N7/$N$2</f>
        <v>0.88749999999999996</v>
      </c>
      <c r="AP7" s="48">
        <f>O7/$O$2</f>
        <v>0.97499999999999998</v>
      </c>
      <c r="AQ7" s="48">
        <f>P7/$P$2</f>
        <v>0.76249999999999996</v>
      </c>
      <c r="AR7" s="48">
        <f>Q7/$Q$2</f>
        <v>0.7</v>
      </c>
      <c r="AS7" s="47">
        <f>R7/$R$2</f>
        <v>0.7</v>
      </c>
      <c r="AT7" s="47">
        <f>S7/$S$2</f>
        <v>0.6</v>
      </c>
      <c r="AU7" s="47">
        <f>T7/$T$2</f>
        <v>0.86499999999999999</v>
      </c>
      <c r="AV7" s="47">
        <f>U7/$U$2</f>
        <v>0.5</v>
      </c>
      <c r="AW7" s="47">
        <f>V7/$V$2</f>
        <v>0.91500000000000004</v>
      </c>
      <c r="AX7" s="45">
        <f>W7/$W$2</f>
        <v>0.875</v>
      </c>
      <c r="AY7" s="45">
        <f>X7/$X$2</f>
        <v>0</v>
      </c>
      <c r="AZ7" s="45">
        <f>Y7/$Y$2</f>
        <v>0.8125</v>
      </c>
      <c r="BA7" s="45">
        <f>Z7/$Z$2</f>
        <v>0.6</v>
      </c>
      <c r="BB7" s="45">
        <f>AA7/$AA$2</f>
        <v>0.85</v>
      </c>
      <c r="BC7" s="45">
        <f>AB7/$AB$2</f>
        <v>0.82499999999999996</v>
      </c>
      <c r="BD7" s="46">
        <f>AC7/$AC$2</f>
        <v>0.70499999999999996</v>
      </c>
    </row>
    <row r="8" spans="1:56" ht="19.899999999999999" customHeight="1" x14ac:dyDescent="0.2">
      <c r="A8" s="32" t="s">
        <v>28</v>
      </c>
      <c r="B8" s="34" t="str">
        <f t="shared" ref="B8:B26" si="2">LEFT(A8, FIND(" ",A8)-1)</f>
        <v>Keller</v>
      </c>
      <c r="C8" s="34" t="str">
        <f t="shared" ref="C8:C26" si="3">RIGHT(A8, LEN(A8)-FIND(" ",A8))</f>
        <v>Millard</v>
      </c>
      <c r="D8" s="35" t="s">
        <v>29</v>
      </c>
      <c r="E8" s="9">
        <v>64.5</v>
      </c>
      <c r="F8" s="9">
        <v>65.5</v>
      </c>
      <c r="G8" s="9">
        <v>94</v>
      </c>
      <c r="H8" s="9">
        <v>76.5</v>
      </c>
      <c r="I8" s="37">
        <v>17.600000000000001</v>
      </c>
      <c r="J8" s="37">
        <v>17</v>
      </c>
      <c r="K8" s="37">
        <v>13.5</v>
      </c>
      <c r="L8" s="37">
        <v>17.829999999999998</v>
      </c>
      <c r="M8" s="37">
        <v>14.5</v>
      </c>
      <c r="N8" s="39">
        <v>19.25</v>
      </c>
      <c r="O8" s="39">
        <v>17.5</v>
      </c>
      <c r="P8" s="39">
        <v>14.5</v>
      </c>
      <c r="Q8" s="39">
        <v>19.5</v>
      </c>
      <c r="R8" s="39">
        <v>18.5</v>
      </c>
      <c r="S8" s="41">
        <v>16</v>
      </c>
      <c r="T8" s="41">
        <v>18</v>
      </c>
      <c r="U8" s="41">
        <v>0</v>
      </c>
      <c r="V8" s="41">
        <v>19</v>
      </c>
      <c r="W8" s="41">
        <v>19</v>
      </c>
      <c r="X8" s="43">
        <v>4.5</v>
      </c>
      <c r="Y8" s="43">
        <v>12.5</v>
      </c>
      <c r="Z8" s="43">
        <v>13.5</v>
      </c>
      <c r="AA8" s="43">
        <v>18</v>
      </c>
      <c r="AB8" s="43">
        <v>20</v>
      </c>
      <c r="AC8" s="10">
        <v>144</v>
      </c>
      <c r="AD8" s="25">
        <f t="shared" ref="AD8:AD26" si="4">SUM(E8:AC8)</f>
        <v>754.68000000000006</v>
      </c>
      <c r="AE8" s="46">
        <f>AD8/AD2</f>
        <v>0.75468000000000002</v>
      </c>
      <c r="AF8" s="50">
        <f>E8/E2</f>
        <v>0.64500000000000002</v>
      </c>
      <c r="AG8" s="50">
        <f t="shared" ref="AG8:AG26" si="5">F8/$F$2</f>
        <v>0.65500000000000003</v>
      </c>
      <c r="AH8" s="50">
        <f t="shared" ref="AH8:AH26" si="6">G8/$G$2</f>
        <v>0.94</v>
      </c>
      <c r="AI8" s="50">
        <f t="shared" ref="AI8:AI26" si="7">H8/$H$2</f>
        <v>0.76500000000000001</v>
      </c>
      <c r="AJ8" s="49">
        <f t="shared" ref="AJ8:AJ26" si="8">I8/$I$2</f>
        <v>0.88000000000000012</v>
      </c>
      <c r="AK8" s="49">
        <f t="shared" ref="AK8:AK26" si="9">J8/$J$2</f>
        <v>0.85</v>
      </c>
      <c r="AL8" s="49">
        <f t="shared" ref="AL8:AL26" si="10">K8/$K$2</f>
        <v>0.67500000000000004</v>
      </c>
      <c r="AM8" s="49">
        <f t="shared" ref="AM8:AM26" si="11">L8/$L$2</f>
        <v>0.89149999999999996</v>
      </c>
      <c r="AN8" s="48">
        <f t="shared" ref="AN8:AN26" si="12">M8/$M$2</f>
        <v>0.72499999999999998</v>
      </c>
      <c r="AO8" s="48">
        <f t="shared" ref="AO8:AO26" si="13">N8/$N$2</f>
        <v>0.96250000000000002</v>
      </c>
      <c r="AP8" s="48">
        <f t="shared" ref="AP8:AP26" si="14">O8/$O$2</f>
        <v>0.875</v>
      </c>
      <c r="AQ8" s="48">
        <f t="shared" ref="AQ8:AQ26" si="15">P8/$P$2</f>
        <v>0.72499999999999998</v>
      </c>
      <c r="AR8" s="48">
        <f t="shared" ref="AR8:AR26" si="16">Q8/$Q$2</f>
        <v>0.97499999999999998</v>
      </c>
      <c r="AS8" s="47">
        <f t="shared" ref="AS8:AS26" si="17">R8/$R$2</f>
        <v>0.92500000000000004</v>
      </c>
      <c r="AT8" s="47">
        <f t="shared" ref="AT8:AT26" si="18">S8/$S$2</f>
        <v>0.8</v>
      </c>
      <c r="AU8" s="47">
        <f t="shared" ref="AU8:AU26" si="19">T8/$T$2</f>
        <v>0.9</v>
      </c>
      <c r="AV8" s="47">
        <f t="shared" ref="AV8:AV26" si="20">U8/$U$2</f>
        <v>0</v>
      </c>
      <c r="AW8" s="47">
        <f t="shared" ref="AW8:AW26" si="21">V8/$V$2</f>
        <v>0.95</v>
      </c>
      <c r="AX8" s="45">
        <f t="shared" ref="AX8:AX26" si="22">W8/$W$2</f>
        <v>0.95</v>
      </c>
      <c r="AY8" s="45">
        <f t="shared" ref="AY8:AY26" si="23">X8/$X$2</f>
        <v>0.22500000000000001</v>
      </c>
      <c r="AZ8" s="45">
        <f t="shared" ref="AZ8:AZ26" si="24">Y8/$Y$2</f>
        <v>0.625</v>
      </c>
      <c r="BA8" s="45">
        <f t="shared" ref="BA8:BA26" si="25">Z8/$Z$2</f>
        <v>0.67500000000000004</v>
      </c>
      <c r="BB8" s="45">
        <f t="shared" ref="BB8:BB26" si="26">AA8/$AA$2</f>
        <v>0.9</v>
      </c>
      <c r="BC8" s="45">
        <f t="shared" ref="BC8:BC26" si="27">AB8/$AB$2</f>
        <v>1</v>
      </c>
      <c r="BD8" s="46">
        <f t="shared" ref="BD8:BD26" si="28">AC8/$AC$2</f>
        <v>0.72</v>
      </c>
    </row>
    <row r="9" spans="1:56" ht="19.899999999999999" customHeight="1" x14ac:dyDescent="0.2">
      <c r="A9" s="32" t="s">
        <v>30</v>
      </c>
      <c r="B9" s="34" t="str">
        <f t="shared" si="2"/>
        <v>Amarion</v>
      </c>
      <c r="C9" s="34" t="str">
        <f t="shared" si="3"/>
        <v>Brink</v>
      </c>
      <c r="D9" s="35" t="s">
        <v>31</v>
      </c>
      <c r="E9" s="9">
        <v>44</v>
      </c>
      <c r="F9" s="9">
        <v>96.5</v>
      </c>
      <c r="G9" s="9">
        <v>96</v>
      </c>
      <c r="H9" s="9">
        <v>95.5</v>
      </c>
      <c r="I9" s="37">
        <v>19.600000000000001</v>
      </c>
      <c r="J9" s="37">
        <v>17</v>
      </c>
      <c r="K9" s="37">
        <v>18</v>
      </c>
      <c r="L9" s="37">
        <v>20</v>
      </c>
      <c r="M9" s="37">
        <v>17.5</v>
      </c>
      <c r="N9" s="39">
        <v>20</v>
      </c>
      <c r="O9" s="39">
        <v>19.5</v>
      </c>
      <c r="P9" s="39">
        <v>19.5</v>
      </c>
      <c r="Q9" s="39">
        <v>16.5</v>
      </c>
      <c r="R9" s="39">
        <v>18</v>
      </c>
      <c r="S9" s="41">
        <v>16.5</v>
      </c>
      <c r="T9" s="41">
        <v>20</v>
      </c>
      <c r="U9" s="41">
        <v>20</v>
      </c>
      <c r="V9" s="41">
        <v>20</v>
      </c>
      <c r="W9" s="41">
        <v>19</v>
      </c>
      <c r="X9" s="43">
        <v>0</v>
      </c>
      <c r="Y9" s="43">
        <v>20</v>
      </c>
      <c r="Z9" s="43">
        <v>19.5</v>
      </c>
      <c r="AA9" s="43">
        <v>0</v>
      </c>
      <c r="AB9" s="43">
        <v>20</v>
      </c>
      <c r="AC9" s="10">
        <v>192</v>
      </c>
      <c r="AD9" s="25">
        <f t="shared" si="4"/>
        <v>864.6</v>
      </c>
      <c r="AE9" s="46">
        <f>AD9/AD2</f>
        <v>0.86460000000000004</v>
      </c>
      <c r="AF9" s="50">
        <f>E9/E2</f>
        <v>0.44</v>
      </c>
      <c r="AG9" s="50">
        <f t="shared" si="5"/>
        <v>0.96499999999999997</v>
      </c>
      <c r="AH9" s="50">
        <f t="shared" si="6"/>
        <v>0.96</v>
      </c>
      <c r="AI9" s="50">
        <f t="shared" si="7"/>
        <v>0.95499999999999996</v>
      </c>
      <c r="AJ9" s="49">
        <f t="shared" si="8"/>
        <v>0.98000000000000009</v>
      </c>
      <c r="AK9" s="49">
        <f t="shared" si="9"/>
        <v>0.85</v>
      </c>
      <c r="AL9" s="49">
        <f t="shared" si="10"/>
        <v>0.9</v>
      </c>
      <c r="AM9" s="49">
        <f t="shared" si="11"/>
        <v>1</v>
      </c>
      <c r="AN9" s="48">
        <f t="shared" si="12"/>
        <v>0.875</v>
      </c>
      <c r="AO9" s="48">
        <f t="shared" si="13"/>
        <v>1</v>
      </c>
      <c r="AP9" s="48">
        <f t="shared" si="14"/>
        <v>0.97499999999999998</v>
      </c>
      <c r="AQ9" s="48">
        <f t="shared" si="15"/>
        <v>0.97499999999999998</v>
      </c>
      <c r="AR9" s="48">
        <f t="shared" si="16"/>
        <v>0.82499999999999996</v>
      </c>
      <c r="AS9" s="47">
        <f t="shared" si="17"/>
        <v>0.9</v>
      </c>
      <c r="AT9" s="47">
        <f t="shared" si="18"/>
        <v>0.82499999999999996</v>
      </c>
      <c r="AU9" s="47">
        <f t="shared" si="19"/>
        <v>1</v>
      </c>
      <c r="AV9" s="47">
        <f t="shared" si="20"/>
        <v>1</v>
      </c>
      <c r="AW9" s="47">
        <f t="shared" si="21"/>
        <v>1</v>
      </c>
      <c r="AX9" s="45">
        <f t="shared" si="22"/>
        <v>0.95</v>
      </c>
      <c r="AY9" s="45">
        <f t="shared" si="23"/>
        <v>0</v>
      </c>
      <c r="AZ9" s="45">
        <f t="shared" si="24"/>
        <v>1</v>
      </c>
      <c r="BA9" s="45">
        <f t="shared" si="25"/>
        <v>0.97499999999999998</v>
      </c>
      <c r="BB9" s="45">
        <f t="shared" si="26"/>
        <v>0</v>
      </c>
      <c r="BC9" s="45">
        <f t="shared" si="27"/>
        <v>1</v>
      </c>
      <c r="BD9" s="46">
        <f t="shared" si="28"/>
        <v>0.96</v>
      </c>
    </row>
    <row r="10" spans="1:56" ht="19.899999999999999" customHeight="1" x14ac:dyDescent="0.2">
      <c r="A10" s="32" t="s">
        <v>32</v>
      </c>
      <c r="B10" s="34" t="str">
        <f t="shared" si="2"/>
        <v>Zoha</v>
      </c>
      <c r="C10" s="34" t="str">
        <f t="shared" si="3"/>
        <v>Mcshane</v>
      </c>
      <c r="D10" s="35" t="s">
        <v>33</v>
      </c>
      <c r="E10" s="9">
        <v>90</v>
      </c>
      <c r="F10" s="9">
        <v>74.5</v>
      </c>
      <c r="G10" s="9">
        <v>96</v>
      </c>
      <c r="H10" s="9">
        <v>93.5</v>
      </c>
      <c r="I10" s="37">
        <v>16.100000000000001</v>
      </c>
      <c r="J10" s="37">
        <v>18</v>
      </c>
      <c r="K10" s="37">
        <v>0</v>
      </c>
      <c r="L10" s="37">
        <v>17.5</v>
      </c>
      <c r="M10" s="37">
        <v>12</v>
      </c>
      <c r="N10" s="39">
        <v>18.5</v>
      </c>
      <c r="O10" s="39">
        <v>19.5</v>
      </c>
      <c r="P10" s="39">
        <v>13.5</v>
      </c>
      <c r="Q10" s="39">
        <v>17.5</v>
      </c>
      <c r="R10" s="39">
        <v>18</v>
      </c>
      <c r="S10" s="41">
        <v>19</v>
      </c>
      <c r="T10" s="41">
        <v>18.75</v>
      </c>
      <c r="U10" s="41">
        <v>15.75</v>
      </c>
      <c r="V10" s="41">
        <v>18.3</v>
      </c>
      <c r="W10" s="41">
        <v>19</v>
      </c>
      <c r="X10" s="43">
        <v>18.25</v>
      </c>
      <c r="Y10" s="43">
        <v>17.5</v>
      </c>
      <c r="Z10" s="43">
        <v>14</v>
      </c>
      <c r="AA10" s="43">
        <v>16</v>
      </c>
      <c r="AB10" s="43">
        <v>19</v>
      </c>
      <c r="AC10" s="10">
        <v>193</v>
      </c>
      <c r="AD10" s="25">
        <f t="shared" si="4"/>
        <v>873.15</v>
      </c>
      <c r="AE10" s="46">
        <f>AD10/AD2</f>
        <v>0.87314999999999998</v>
      </c>
      <c r="AF10" s="50">
        <f>E10/E2</f>
        <v>0.9</v>
      </c>
      <c r="AG10" s="50">
        <f t="shared" si="5"/>
        <v>0.745</v>
      </c>
      <c r="AH10" s="50">
        <f t="shared" si="6"/>
        <v>0.96</v>
      </c>
      <c r="AI10" s="50">
        <f t="shared" si="7"/>
        <v>0.93500000000000005</v>
      </c>
      <c r="AJ10" s="49">
        <f t="shared" si="8"/>
        <v>0.80500000000000005</v>
      </c>
      <c r="AK10" s="49">
        <f t="shared" si="9"/>
        <v>0.9</v>
      </c>
      <c r="AL10" s="49">
        <f t="shared" si="10"/>
        <v>0</v>
      </c>
      <c r="AM10" s="49">
        <f t="shared" si="11"/>
        <v>0.875</v>
      </c>
      <c r="AN10" s="48">
        <f t="shared" si="12"/>
        <v>0.6</v>
      </c>
      <c r="AO10" s="48">
        <f t="shared" si="13"/>
        <v>0.92500000000000004</v>
      </c>
      <c r="AP10" s="48">
        <f t="shared" si="14"/>
        <v>0.97499999999999998</v>
      </c>
      <c r="AQ10" s="48">
        <f t="shared" si="15"/>
        <v>0.67500000000000004</v>
      </c>
      <c r="AR10" s="48">
        <f t="shared" si="16"/>
        <v>0.875</v>
      </c>
      <c r="AS10" s="47">
        <f t="shared" si="17"/>
        <v>0.9</v>
      </c>
      <c r="AT10" s="47">
        <f t="shared" si="18"/>
        <v>0.95</v>
      </c>
      <c r="AU10" s="47">
        <f t="shared" si="19"/>
        <v>0.9375</v>
      </c>
      <c r="AV10" s="47">
        <f t="shared" si="20"/>
        <v>0.78749999999999998</v>
      </c>
      <c r="AW10" s="47">
        <f t="shared" si="21"/>
        <v>0.91500000000000004</v>
      </c>
      <c r="AX10" s="45">
        <f t="shared" si="22"/>
        <v>0.95</v>
      </c>
      <c r="AY10" s="45">
        <f t="shared" si="23"/>
        <v>0.91249999999999998</v>
      </c>
      <c r="AZ10" s="45">
        <f t="shared" si="24"/>
        <v>0.875</v>
      </c>
      <c r="BA10" s="45">
        <f t="shared" si="25"/>
        <v>0.7</v>
      </c>
      <c r="BB10" s="45">
        <f t="shared" si="26"/>
        <v>0.8</v>
      </c>
      <c r="BC10" s="45">
        <f t="shared" si="27"/>
        <v>0.95</v>
      </c>
      <c r="BD10" s="46">
        <f t="shared" si="28"/>
        <v>0.96499999999999997</v>
      </c>
    </row>
    <row r="11" spans="1:56" ht="19.899999999999999" customHeight="1" x14ac:dyDescent="0.2">
      <c r="A11" s="32" t="s">
        <v>34</v>
      </c>
      <c r="B11" s="34" t="str">
        <f t="shared" si="2"/>
        <v>Nestor</v>
      </c>
      <c r="C11" s="34" t="str">
        <f t="shared" si="3"/>
        <v>Wren</v>
      </c>
      <c r="D11" s="35" t="s">
        <v>35</v>
      </c>
      <c r="E11" s="9">
        <v>93</v>
      </c>
      <c r="F11" s="9">
        <v>0</v>
      </c>
      <c r="G11" s="9">
        <v>0</v>
      </c>
      <c r="H11" s="9">
        <v>55</v>
      </c>
      <c r="I11" s="37">
        <v>19.600000000000001</v>
      </c>
      <c r="J11" s="37">
        <v>16</v>
      </c>
      <c r="K11" s="37">
        <v>11</v>
      </c>
      <c r="L11" s="37">
        <v>15</v>
      </c>
      <c r="M11" s="37">
        <v>16.5</v>
      </c>
      <c r="N11" s="39">
        <v>18</v>
      </c>
      <c r="O11" s="39">
        <v>0</v>
      </c>
      <c r="P11" s="39">
        <v>0</v>
      </c>
      <c r="Q11" s="39">
        <v>18.5</v>
      </c>
      <c r="R11" s="39">
        <v>0</v>
      </c>
      <c r="S11" s="41">
        <v>0</v>
      </c>
      <c r="T11" s="41">
        <v>19</v>
      </c>
      <c r="U11" s="41">
        <v>0</v>
      </c>
      <c r="V11" s="41">
        <v>19</v>
      </c>
      <c r="W11" s="41">
        <v>19.5</v>
      </c>
      <c r="X11" s="43">
        <v>18.5</v>
      </c>
      <c r="Y11" s="43">
        <v>17.75</v>
      </c>
      <c r="Z11" s="43">
        <v>15</v>
      </c>
      <c r="AA11" s="43">
        <v>0</v>
      </c>
      <c r="AB11" s="43">
        <v>20</v>
      </c>
      <c r="AC11" s="10">
        <v>0</v>
      </c>
      <c r="AD11" s="25">
        <f t="shared" si="4"/>
        <v>391.35</v>
      </c>
      <c r="AE11" s="46">
        <f>AD11/AD2</f>
        <v>0.39135000000000003</v>
      </c>
      <c r="AF11" s="50">
        <f>E11/E2</f>
        <v>0.93</v>
      </c>
      <c r="AG11" s="50">
        <f t="shared" si="5"/>
        <v>0</v>
      </c>
      <c r="AH11" s="50">
        <f t="shared" si="6"/>
        <v>0</v>
      </c>
      <c r="AI11" s="50">
        <f t="shared" si="7"/>
        <v>0.55000000000000004</v>
      </c>
      <c r="AJ11" s="49">
        <f t="shared" si="8"/>
        <v>0.98000000000000009</v>
      </c>
      <c r="AK11" s="49">
        <f t="shared" si="9"/>
        <v>0.8</v>
      </c>
      <c r="AL11" s="49">
        <f t="shared" si="10"/>
        <v>0.55000000000000004</v>
      </c>
      <c r="AM11" s="49">
        <f t="shared" si="11"/>
        <v>0.75</v>
      </c>
      <c r="AN11" s="48">
        <f t="shared" si="12"/>
        <v>0.82499999999999996</v>
      </c>
      <c r="AO11" s="48">
        <f t="shared" si="13"/>
        <v>0.9</v>
      </c>
      <c r="AP11" s="48">
        <f t="shared" si="14"/>
        <v>0</v>
      </c>
      <c r="AQ11" s="48">
        <f t="shared" si="15"/>
        <v>0</v>
      </c>
      <c r="AR11" s="48">
        <f t="shared" si="16"/>
        <v>0.92500000000000004</v>
      </c>
      <c r="AS11" s="47">
        <f t="shared" si="17"/>
        <v>0</v>
      </c>
      <c r="AT11" s="47">
        <f t="shared" si="18"/>
        <v>0</v>
      </c>
      <c r="AU11" s="47">
        <f t="shared" si="19"/>
        <v>0.95</v>
      </c>
      <c r="AV11" s="47">
        <f t="shared" si="20"/>
        <v>0</v>
      </c>
      <c r="AW11" s="47">
        <f t="shared" si="21"/>
        <v>0.95</v>
      </c>
      <c r="AX11" s="45">
        <f t="shared" si="22"/>
        <v>0.97499999999999998</v>
      </c>
      <c r="AY11" s="45">
        <f t="shared" si="23"/>
        <v>0.92500000000000004</v>
      </c>
      <c r="AZ11" s="45">
        <f t="shared" si="24"/>
        <v>0.88749999999999996</v>
      </c>
      <c r="BA11" s="45">
        <f t="shared" si="25"/>
        <v>0.75</v>
      </c>
      <c r="BB11" s="45">
        <f t="shared" si="26"/>
        <v>0</v>
      </c>
      <c r="BC11" s="45">
        <f t="shared" si="27"/>
        <v>1</v>
      </c>
      <c r="BD11" s="46">
        <f t="shared" si="28"/>
        <v>0</v>
      </c>
    </row>
    <row r="12" spans="1:56" ht="19.899999999999999" customHeight="1" x14ac:dyDescent="0.2">
      <c r="A12" s="32" t="s">
        <v>36</v>
      </c>
      <c r="B12" s="34" t="str">
        <f t="shared" si="2"/>
        <v>Dorothy</v>
      </c>
      <c r="C12" s="34" t="str">
        <f t="shared" si="3"/>
        <v>Givens</v>
      </c>
      <c r="D12" s="35" t="s">
        <v>37</v>
      </c>
      <c r="E12" s="9">
        <v>61.25</v>
      </c>
      <c r="F12" s="9">
        <v>42.5</v>
      </c>
      <c r="G12" s="9">
        <v>0</v>
      </c>
      <c r="H12" s="9">
        <v>0</v>
      </c>
      <c r="I12" s="37">
        <v>16.100000000000001</v>
      </c>
      <c r="J12" s="37">
        <v>15</v>
      </c>
      <c r="K12" s="37">
        <v>11</v>
      </c>
      <c r="L12" s="37">
        <v>17.170000000000002</v>
      </c>
      <c r="M12" s="37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41">
        <v>0</v>
      </c>
      <c r="T12" s="41">
        <v>0</v>
      </c>
      <c r="U12" s="41">
        <v>0</v>
      </c>
      <c r="V12" s="41">
        <v>20</v>
      </c>
      <c r="W12" s="41">
        <v>14.5</v>
      </c>
      <c r="X12" s="43">
        <v>8.5</v>
      </c>
      <c r="Y12" s="43">
        <v>15.5</v>
      </c>
      <c r="Z12" s="43">
        <v>0</v>
      </c>
      <c r="AA12" s="43">
        <v>0</v>
      </c>
      <c r="AB12" s="43">
        <v>19</v>
      </c>
      <c r="AC12" s="10">
        <v>0</v>
      </c>
      <c r="AD12" s="25">
        <f t="shared" si="4"/>
        <v>240.51999999999998</v>
      </c>
      <c r="AE12" s="46">
        <f>AD12/AD2</f>
        <v>0.24051999999999998</v>
      </c>
      <c r="AF12" s="50">
        <f>E12/E2</f>
        <v>0.61250000000000004</v>
      </c>
      <c r="AG12" s="50">
        <f t="shared" si="5"/>
        <v>0.42499999999999999</v>
      </c>
      <c r="AH12" s="50">
        <f t="shared" si="6"/>
        <v>0</v>
      </c>
      <c r="AI12" s="50">
        <f t="shared" si="7"/>
        <v>0</v>
      </c>
      <c r="AJ12" s="49">
        <f t="shared" si="8"/>
        <v>0.80500000000000005</v>
      </c>
      <c r="AK12" s="49">
        <f t="shared" si="9"/>
        <v>0.75</v>
      </c>
      <c r="AL12" s="49">
        <f t="shared" si="10"/>
        <v>0.55000000000000004</v>
      </c>
      <c r="AM12" s="49">
        <f t="shared" si="11"/>
        <v>0.85850000000000004</v>
      </c>
      <c r="AN12" s="48">
        <f t="shared" si="12"/>
        <v>0</v>
      </c>
      <c r="AO12" s="48">
        <f t="shared" si="13"/>
        <v>0</v>
      </c>
      <c r="AP12" s="48">
        <f t="shared" si="14"/>
        <v>0</v>
      </c>
      <c r="AQ12" s="48">
        <f t="shared" si="15"/>
        <v>0</v>
      </c>
      <c r="AR12" s="48">
        <f t="shared" si="16"/>
        <v>0</v>
      </c>
      <c r="AS12" s="47">
        <f t="shared" si="17"/>
        <v>0</v>
      </c>
      <c r="AT12" s="47">
        <f t="shared" si="18"/>
        <v>0</v>
      </c>
      <c r="AU12" s="47">
        <f t="shared" si="19"/>
        <v>0</v>
      </c>
      <c r="AV12" s="47">
        <f t="shared" si="20"/>
        <v>0</v>
      </c>
      <c r="AW12" s="47">
        <f t="shared" si="21"/>
        <v>1</v>
      </c>
      <c r="AX12" s="45">
        <f t="shared" si="22"/>
        <v>0.72499999999999998</v>
      </c>
      <c r="AY12" s="45">
        <f t="shared" si="23"/>
        <v>0.42499999999999999</v>
      </c>
      <c r="AZ12" s="45">
        <f t="shared" si="24"/>
        <v>0.77500000000000002</v>
      </c>
      <c r="BA12" s="45">
        <f t="shared" si="25"/>
        <v>0</v>
      </c>
      <c r="BB12" s="45">
        <f t="shared" si="26"/>
        <v>0</v>
      </c>
      <c r="BC12" s="45">
        <f t="shared" si="27"/>
        <v>0.95</v>
      </c>
      <c r="BD12" s="46">
        <f t="shared" si="28"/>
        <v>0</v>
      </c>
    </row>
    <row r="13" spans="1:56" ht="19.899999999999999" customHeight="1" x14ac:dyDescent="0.2">
      <c r="A13" s="32" t="s">
        <v>38</v>
      </c>
      <c r="B13" s="34" t="str">
        <f t="shared" si="2"/>
        <v>Karmelo</v>
      </c>
      <c r="C13" s="34" t="str">
        <f t="shared" si="3"/>
        <v>Headrick</v>
      </c>
      <c r="D13" s="35" t="s">
        <v>39</v>
      </c>
      <c r="E13" s="9">
        <v>0</v>
      </c>
      <c r="F13" s="9">
        <v>0</v>
      </c>
      <c r="G13" s="9">
        <v>0</v>
      </c>
      <c r="H13" s="9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10">
        <v>0</v>
      </c>
      <c r="AD13" s="25">
        <f t="shared" si="4"/>
        <v>0</v>
      </c>
      <c r="AE13" s="46">
        <f>AD13/AD2</f>
        <v>0</v>
      </c>
      <c r="AF13" s="50">
        <f>E13/E2</f>
        <v>0</v>
      </c>
      <c r="AG13" s="50">
        <f t="shared" si="5"/>
        <v>0</v>
      </c>
      <c r="AH13" s="50">
        <f t="shared" si="6"/>
        <v>0</v>
      </c>
      <c r="AI13" s="50">
        <f t="shared" si="7"/>
        <v>0</v>
      </c>
      <c r="AJ13" s="49">
        <f t="shared" si="8"/>
        <v>0</v>
      </c>
      <c r="AK13" s="49">
        <f t="shared" si="9"/>
        <v>0</v>
      </c>
      <c r="AL13" s="49">
        <f t="shared" si="10"/>
        <v>0</v>
      </c>
      <c r="AM13" s="49">
        <f t="shared" si="11"/>
        <v>0</v>
      </c>
      <c r="AN13" s="48">
        <f t="shared" si="12"/>
        <v>0</v>
      </c>
      <c r="AO13" s="48">
        <f t="shared" si="13"/>
        <v>0</v>
      </c>
      <c r="AP13" s="48">
        <f t="shared" si="14"/>
        <v>0</v>
      </c>
      <c r="AQ13" s="48">
        <f t="shared" si="15"/>
        <v>0</v>
      </c>
      <c r="AR13" s="48">
        <f t="shared" si="16"/>
        <v>0</v>
      </c>
      <c r="AS13" s="47">
        <f t="shared" si="17"/>
        <v>0</v>
      </c>
      <c r="AT13" s="47">
        <f t="shared" si="18"/>
        <v>0</v>
      </c>
      <c r="AU13" s="47">
        <f t="shared" si="19"/>
        <v>0</v>
      </c>
      <c r="AV13" s="47">
        <f t="shared" si="20"/>
        <v>0</v>
      </c>
      <c r="AW13" s="47">
        <f t="shared" si="21"/>
        <v>0</v>
      </c>
      <c r="AX13" s="45">
        <f t="shared" si="22"/>
        <v>0</v>
      </c>
      <c r="AY13" s="45">
        <f t="shared" si="23"/>
        <v>0</v>
      </c>
      <c r="AZ13" s="45">
        <f t="shared" si="24"/>
        <v>0</v>
      </c>
      <c r="BA13" s="45">
        <f t="shared" si="25"/>
        <v>0</v>
      </c>
      <c r="BB13" s="45">
        <f t="shared" si="26"/>
        <v>0</v>
      </c>
      <c r="BC13" s="45">
        <f t="shared" si="27"/>
        <v>0</v>
      </c>
      <c r="BD13" s="46">
        <f t="shared" si="28"/>
        <v>0</v>
      </c>
    </row>
    <row r="14" spans="1:56" ht="19.899999999999999" customHeight="1" x14ac:dyDescent="0.2">
      <c r="A14" s="32" t="s">
        <v>40</v>
      </c>
      <c r="B14" s="34" t="str">
        <f t="shared" si="2"/>
        <v>Mazzy</v>
      </c>
      <c r="C14" s="34" t="str">
        <f t="shared" si="3"/>
        <v>Ashburn</v>
      </c>
      <c r="D14" s="35" t="s">
        <v>41</v>
      </c>
      <c r="E14" s="9">
        <v>70</v>
      </c>
      <c r="F14" s="9">
        <v>56.5</v>
      </c>
      <c r="G14" s="9">
        <v>85</v>
      </c>
      <c r="H14" s="9">
        <v>16</v>
      </c>
      <c r="I14" s="37">
        <v>2</v>
      </c>
      <c r="J14" s="37">
        <v>7</v>
      </c>
      <c r="K14" s="37">
        <v>12.5</v>
      </c>
      <c r="L14" s="37">
        <v>7</v>
      </c>
      <c r="M14" s="37">
        <v>0</v>
      </c>
      <c r="N14" s="39">
        <v>9.5</v>
      </c>
      <c r="O14" s="39">
        <v>14</v>
      </c>
      <c r="P14" s="39">
        <v>9.5</v>
      </c>
      <c r="Q14" s="39">
        <v>10</v>
      </c>
      <c r="R14" s="39">
        <v>16</v>
      </c>
      <c r="S14" s="41">
        <v>13.5</v>
      </c>
      <c r="T14" s="41">
        <v>12</v>
      </c>
      <c r="U14" s="41">
        <v>10</v>
      </c>
      <c r="V14" s="41">
        <v>15.3</v>
      </c>
      <c r="W14" s="41">
        <v>5</v>
      </c>
      <c r="X14" s="43">
        <v>3.66</v>
      </c>
      <c r="Y14" s="43">
        <v>16.25</v>
      </c>
      <c r="Z14" s="43">
        <v>10.5</v>
      </c>
      <c r="AA14" s="43">
        <v>0</v>
      </c>
      <c r="AB14" s="43">
        <v>12</v>
      </c>
      <c r="AC14" s="10">
        <v>70</v>
      </c>
      <c r="AD14" s="25">
        <f t="shared" si="4"/>
        <v>483.21000000000004</v>
      </c>
      <c r="AE14" s="46">
        <f>AD14/AD2</f>
        <v>0.48321000000000003</v>
      </c>
      <c r="AF14" s="50">
        <f>E14/E2</f>
        <v>0.7</v>
      </c>
      <c r="AG14" s="50">
        <f t="shared" si="5"/>
        <v>0.56499999999999995</v>
      </c>
      <c r="AH14" s="50">
        <f t="shared" si="6"/>
        <v>0.85</v>
      </c>
      <c r="AI14" s="50">
        <f t="shared" si="7"/>
        <v>0.16</v>
      </c>
      <c r="AJ14" s="49">
        <f t="shared" si="8"/>
        <v>0.1</v>
      </c>
      <c r="AK14" s="49">
        <f t="shared" si="9"/>
        <v>0.35</v>
      </c>
      <c r="AL14" s="49">
        <f t="shared" si="10"/>
        <v>0.625</v>
      </c>
      <c r="AM14" s="49">
        <f t="shared" si="11"/>
        <v>0.35</v>
      </c>
      <c r="AN14" s="48">
        <f t="shared" si="12"/>
        <v>0</v>
      </c>
      <c r="AO14" s="48">
        <f t="shared" si="13"/>
        <v>0.47499999999999998</v>
      </c>
      <c r="AP14" s="48">
        <f t="shared" si="14"/>
        <v>0.7</v>
      </c>
      <c r="AQ14" s="48">
        <f t="shared" si="15"/>
        <v>0.47499999999999998</v>
      </c>
      <c r="AR14" s="48">
        <f t="shared" si="16"/>
        <v>0.5</v>
      </c>
      <c r="AS14" s="47">
        <f t="shared" si="17"/>
        <v>0.8</v>
      </c>
      <c r="AT14" s="47">
        <f t="shared" si="18"/>
        <v>0.67500000000000004</v>
      </c>
      <c r="AU14" s="47">
        <f t="shared" si="19"/>
        <v>0.6</v>
      </c>
      <c r="AV14" s="47">
        <f t="shared" si="20"/>
        <v>0.5</v>
      </c>
      <c r="AW14" s="47">
        <f t="shared" si="21"/>
        <v>0.76500000000000001</v>
      </c>
      <c r="AX14" s="45">
        <f t="shared" si="22"/>
        <v>0.25</v>
      </c>
      <c r="AY14" s="45">
        <f t="shared" si="23"/>
        <v>0.183</v>
      </c>
      <c r="AZ14" s="45">
        <f t="shared" si="24"/>
        <v>0.8125</v>
      </c>
      <c r="BA14" s="45">
        <f t="shared" si="25"/>
        <v>0.52500000000000002</v>
      </c>
      <c r="BB14" s="45">
        <f t="shared" si="26"/>
        <v>0</v>
      </c>
      <c r="BC14" s="45">
        <f t="shared" si="27"/>
        <v>0.6</v>
      </c>
      <c r="BD14" s="46">
        <f t="shared" si="28"/>
        <v>0.35</v>
      </c>
    </row>
    <row r="15" spans="1:56" ht="19.899999999999999" customHeight="1" x14ac:dyDescent="0.2">
      <c r="A15" s="32" t="s">
        <v>42</v>
      </c>
      <c r="B15" s="34" t="str">
        <f t="shared" si="2"/>
        <v>Thompson</v>
      </c>
      <c r="C15" s="34" t="str">
        <f t="shared" si="3"/>
        <v>Barham</v>
      </c>
      <c r="D15" s="35" t="s">
        <v>43</v>
      </c>
      <c r="E15" s="9">
        <v>88</v>
      </c>
      <c r="F15" s="9">
        <v>90</v>
      </c>
      <c r="G15" s="9">
        <v>91</v>
      </c>
      <c r="H15" s="9">
        <v>88.5</v>
      </c>
      <c r="I15" s="37">
        <v>18.600000000000001</v>
      </c>
      <c r="J15" s="37">
        <v>14</v>
      </c>
      <c r="K15" s="37">
        <v>20</v>
      </c>
      <c r="L15" s="37">
        <v>17.670000000000002</v>
      </c>
      <c r="M15" s="37">
        <v>18.5</v>
      </c>
      <c r="N15" s="39">
        <v>18.75</v>
      </c>
      <c r="O15" s="39">
        <v>17.5</v>
      </c>
      <c r="P15" s="39">
        <v>0</v>
      </c>
      <c r="Q15" s="39">
        <v>17</v>
      </c>
      <c r="R15" s="39">
        <v>18.5</v>
      </c>
      <c r="S15" s="41">
        <v>18</v>
      </c>
      <c r="T15" s="41">
        <v>20</v>
      </c>
      <c r="U15" s="41">
        <v>0</v>
      </c>
      <c r="V15" s="41">
        <v>14</v>
      </c>
      <c r="W15" s="41">
        <v>18.5</v>
      </c>
      <c r="X15" s="43">
        <v>18.170000000000002</v>
      </c>
      <c r="Y15" s="43">
        <v>18.75</v>
      </c>
      <c r="Z15" s="43">
        <v>18</v>
      </c>
      <c r="AA15" s="43">
        <v>19</v>
      </c>
      <c r="AB15" s="43">
        <v>18</v>
      </c>
      <c r="AC15" s="10">
        <v>170</v>
      </c>
      <c r="AD15" s="25">
        <f t="shared" si="4"/>
        <v>850.43999999999994</v>
      </c>
      <c r="AE15" s="46">
        <f>AD15/AD2</f>
        <v>0.85043999999999997</v>
      </c>
      <c r="AF15" s="50">
        <f>E15/E2</f>
        <v>0.88</v>
      </c>
      <c r="AG15" s="50">
        <f t="shared" si="5"/>
        <v>0.9</v>
      </c>
      <c r="AH15" s="50">
        <f t="shared" si="6"/>
        <v>0.91</v>
      </c>
      <c r="AI15" s="50">
        <f t="shared" si="7"/>
        <v>0.88500000000000001</v>
      </c>
      <c r="AJ15" s="49">
        <f t="shared" si="8"/>
        <v>0.93</v>
      </c>
      <c r="AK15" s="49">
        <f t="shared" si="9"/>
        <v>0.7</v>
      </c>
      <c r="AL15" s="49">
        <f t="shared" si="10"/>
        <v>1</v>
      </c>
      <c r="AM15" s="49">
        <f t="shared" si="11"/>
        <v>0.88350000000000006</v>
      </c>
      <c r="AN15" s="48">
        <f t="shared" si="12"/>
        <v>0.92500000000000004</v>
      </c>
      <c r="AO15" s="48">
        <f t="shared" si="13"/>
        <v>0.9375</v>
      </c>
      <c r="AP15" s="48">
        <f t="shared" si="14"/>
        <v>0.875</v>
      </c>
      <c r="AQ15" s="48">
        <f t="shared" si="15"/>
        <v>0</v>
      </c>
      <c r="AR15" s="48">
        <f t="shared" si="16"/>
        <v>0.85</v>
      </c>
      <c r="AS15" s="47">
        <f t="shared" si="17"/>
        <v>0.92500000000000004</v>
      </c>
      <c r="AT15" s="47">
        <f t="shared" si="18"/>
        <v>0.9</v>
      </c>
      <c r="AU15" s="47">
        <f t="shared" si="19"/>
        <v>1</v>
      </c>
      <c r="AV15" s="47">
        <f t="shared" si="20"/>
        <v>0</v>
      </c>
      <c r="AW15" s="47">
        <f t="shared" si="21"/>
        <v>0.7</v>
      </c>
      <c r="AX15" s="45">
        <f t="shared" si="22"/>
        <v>0.92500000000000004</v>
      </c>
      <c r="AY15" s="45">
        <f t="shared" si="23"/>
        <v>0.90850000000000009</v>
      </c>
      <c r="AZ15" s="45">
        <f t="shared" si="24"/>
        <v>0.9375</v>
      </c>
      <c r="BA15" s="45">
        <f t="shared" si="25"/>
        <v>0.9</v>
      </c>
      <c r="BB15" s="45">
        <f t="shared" si="26"/>
        <v>0.95</v>
      </c>
      <c r="BC15" s="45">
        <f t="shared" si="27"/>
        <v>0.9</v>
      </c>
      <c r="BD15" s="46">
        <f t="shared" si="28"/>
        <v>0.85</v>
      </c>
    </row>
    <row r="16" spans="1:56" ht="19.899999999999999" customHeight="1" x14ac:dyDescent="0.2">
      <c r="A16" s="32" t="s">
        <v>44</v>
      </c>
      <c r="B16" s="34" t="str">
        <f t="shared" si="2"/>
        <v>Quetzaly</v>
      </c>
      <c r="C16" s="34" t="str">
        <f t="shared" si="3"/>
        <v>Mendosa</v>
      </c>
      <c r="D16" s="35" t="s">
        <v>45</v>
      </c>
      <c r="E16" s="9">
        <v>89</v>
      </c>
      <c r="F16" s="9">
        <v>92</v>
      </c>
      <c r="G16" s="9">
        <v>97</v>
      </c>
      <c r="H16" s="9">
        <v>90.5</v>
      </c>
      <c r="I16" s="37">
        <v>16.600000000000001</v>
      </c>
      <c r="J16" s="37">
        <v>12</v>
      </c>
      <c r="K16" s="37">
        <v>15</v>
      </c>
      <c r="L16" s="37">
        <v>18</v>
      </c>
      <c r="M16" s="37">
        <v>16</v>
      </c>
      <c r="N16" s="39">
        <v>19.5</v>
      </c>
      <c r="O16" s="39">
        <v>18.5</v>
      </c>
      <c r="P16" s="39">
        <v>16.5</v>
      </c>
      <c r="Q16" s="39">
        <v>17.5</v>
      </c>
      <c r="R16" s="39">
        <v>18.5</v>
      </c>
      <c r="S16" s="41">
        <v>15.5</v>
      </c>
      <c r="T16" s="41">
        <v>19</v>
      </c>
      <c r="U16" s="41">
        <v>15.5</v>
      </c>
      <c r="V16" s="41">
        <v>18</v>
      </c>
      <c r="W16" s="41">
        <v>19.5</v>
      </c>
      <c r="X16" s="43">
        <v>17.5</v>
      </c>
      <c r="Y16" s="43">
        <v>15.5</v>
      </c>
      <c r="Z16" s="43">
        <v>15</v>
      </c>
      <c r="AA16" s="43">
        <v>17</v>
      </c>
      <c r="AB16" s="43">
        <v>20</v>
      </c>
      <c r="AC16" s="10">
        <v>166</v>
      </c>
      <c r="AD16" s="25">
        <f t="shared" si="4"/>
        <v>875.1</v>
      </c>
      <c r="AE16" s="46">
        <f>AD16/AD2</f>
        <v>0.87509999999999999</v>
      </c>
      <c r="AF16" s="50">
        <f>E16/E2</f>
        <v>0.89</v>
      </c>
      <c r="AG16" s="50">
        <f t="shared" si="5"/>
        <v>0.92</v>
      </c>
      <c r="AH16" s="50">
        <f t="shared" si="6"/>
        <v>0.97</v>
      </c>
      <c r="AI16" s="50">
        <f t="shared" si="7"/>
        <v>0.90500000000000003</v>
      </c>
      <c r="AJ16" s="49">
        <f t="shared" si="8"/>
        <v>0.83000000000000007</v>
      </c>
      <c r="AK16" s="49">
        <f t="shared" si="9"/>
        <v>0.6</v>
      </c>
      <c r="AL16" s="49">
        <f t="shared" si="10"/>
        <v>0.75</v>
      </c>
      <c r="AM16" s="49">
        <f t="shared" si="11"/>
        <v>0.9</v>
      </c>
      <c r="AN16" s="48">
        <f t="shared" si="12"/>
        <v>0.8</v>
      </c>
      <c r="AO16" s="48">
        <f t="shared" si="13"/>
        <v>0.97499999999999998</v>
      </c>
      <c r="AP16" s="48">
        <f t="shared" si="14"/>
        <v>0.92500000000000004</v>
      </c>
      <c r="AQ16" s="48">
        <f t="shared" si="15"/>
        <v>0.82499999999999996</v>
      </c>
      <c r="AR16" s="48">
        <f t="shared" si="16"/>
        <v>0.875</v>
      </c>
      <c r="AS16" s="47">
        <f t="shared" si="17"/>
        <v>0.92500000000000004</v>
      </c>
      <c r="AT16" s="47">
        <f t="shared" si="18"/>
        <v>0.77500000000000002</v>
      </c>
      <c r="AU16" s="47">
        <f t="shared" si="19"/>
        <v>0.95</v>
      </c>
      <c r="AV16" s="47">
        <f t="shared" si="20"/>
        <v>0.77500000000000002</v>
      </c>
      <c r="AW16" s="47">
        <f t="shared" si="21"/>
        <v>0.9</v>
      </c>
      <c r="AX16" s="45">
        <f t="shared" si="22"/>
        <v>0.97499999999999998</v>
      </c>
      <c r="AY16" s="45">
        <f t="shared" si="23"/>
        <v>0.875</v>
      </c>
      <c r="AZ16" s="45">
        <f t="shared" si="24"/>
        <v>0.77500000000000002</v>
      </c>
      <c r="BA16" s="45">
        <f t="shared" si="25"/>
        <v>0.75</v>
      </c>
      <c r="BB16" s="45">
        <f t="shared" si="26"/>
        <v>0.85</v>
      </c>
      <c r="BC16" s="45">
        <f t="shared" si="27"/>
        <v>1</v>
      </c>
      <c r="BD16" s="46">
        <f t="shared" si="28"/>
        <v>0.83</v>
      </c>
    </row>
    <row r="17" spans="1:56" ht="19.899999999999999" customHeight="1" x14ac:dyDescent="0.2">
      <c r="A17" s="32" t="s">
        <v>46</v>
      </c>
      <c r="B17" s="34" t="str">
        <f t="shared" si="2"/>
        <v>Raziel</v>
      </c>
      <c r="C17" s="34" t="str">
        <f t="shared" si="3"/>
        <v>Larry</v>
      </c>
      <c r="D17" s="35" t="s">
        <v>47</v>
      </c>
      <c r="E17" s="9">
        <v>94</v>
      </c>
      <c r="F17" s="9">
        <v>86</v>
      </c>
      <c r="G17" s="9">
        <v>95</v>
      </c>
      <c r="H17" s="9">
        <v>89</v>
      </c>
      <c r="I17" s="37">
        <v>19.600000000000001</v>
      </c>
      <c r="J17" s="37">
        <v>19</v>
      </c>
      <c r="K17" s="37">
        <v>14</v>
      </c>
      <c r="L17" s="37">
        <v>18</v>
      </c>
      <c r="M17" s="37">
        <v>16.25</v>
      </c>
      <c r="N17" s="39">
        <v>19.75</v>
      </c>
      <c r="O17" s="39">
        <v>20</v>
      </c>
      <c r="P17" s="39">
        <v>15.25</v>
      </c>
      <c r="Q17" s="39">
        <v>20</v>
      </c>
      <c r="R17" s="39">
        <v>19</v>
      </c>
      <c r="S17" s="41">
        <v>18.5</v>
      </c>
      <c r="T17" s="41">
        <v>17.75</v>
      </c>
      <c r="U17" s="41">
        <v>17.5</v>
      </c>
      <c r="V17" s="41">
        <v>19.5</v>
      </c>
      <c r="W17" s="41">
        <v>17.5</v>
      </c>
      <c r="X17" s="43">
        <v>19.25</v>
      </c>
      <c r="Y17" s="43">
        <v>18.75</v>
      </c>
      <c r="Z17" s="43">
        <v>19</v>
      </c>
      <c r="AA17" s="43">
        <v>18</v>
      </c>
      <c r="AB17" s="43">
        <v>20</v>
      </c>
      <c r="AC17" s="10">
        <v>173</v>
      </c>
      <c r="AD17" s="25">
        <f t="shared" si="4"/>
        <v>903.6</v>
      </c>
      <c r="AE17" s="46">
        <f>AD17/AD2</f>
        <v>0.90360000000000007</v>
      </c>
      <c r="AF17" s="50">
        <f>E17/E2</f>
        <v>0.94</v>
      </c>
      <c r="AG17" s="50">
        <f t="shared" si="5"/>
        <v>0.86</v>
      </c>
      <c r="AH17" s="50">
        <f t="shared" si="6"/>
        <v>0.95</v>
      </c>
      <c r="AI17" s="50">
        <f t="shared" si="7"/>
        <v>0.89</v>
      </c>
      <c r="AJ17" s="49">
        <f t="shared" si="8"/>
        <v>0.98000000000000009</v>
      </c>
      <c r="AK17" s="49">
        <f t="shared" si="9"/>
        <v>0.95</v>
      </c>
      <c r="AL17" s="49">
        <f t="shared" si="10"/>
        <v>0.7</v>
      </c>
      <c r="AM17" s="49">
        <f t="shared" si="11"/>
        <v>0.9</v>
      </c>
      <c r="AN17" s="48">
        <f t="shared" si="12"/>
        <v>0.8125</v>
      </c>
      <c r="AO17" s="48">
        <f t="shared" si="13"/>
        <v>0.98750000000000004</v>
      </c>
      <c r="AP17" s="48">
        <f t="shared" si="14"/>
        <v>1</v>
      </c>
      <c r="AQ17" s="48">
        <f t="shared" si="15"/>
        <v>0.76249999999999996</v>
      </c>
      <c r="AR17" s="48">
        <f t="shared" si="16"/>
        <v>1</v>
      </c>
      <c r="AS17" s="47">
        <f t="shared" si="17"/>
        <v>0.95</v>
      </c>
      <c r="AT17" s="47">
        <f t="shared" si="18"/>
        <v>0.92500000000000004</v>
      </c>
      <c r="AU17" s="47">
        <f t="shared" si="19"/>
        <v>0.88749999999999996</v>
      </c>
      <c r="AV17" s="47">
        <f t="shared" si="20"/>
        <v>0.875</v>
      </c>
      <c r="AW17" s="47">
        <f t="shared" si="21"/>
        <v>0.97499999999999998</v>
      </c>
      <c r="AX17" s="45">
        <f t="shared" si="22"/>
        <v>0.875</v>
      </c>
      <c r="AY17" s="45">
        <f t="shared" si="23"/>
        <v>0.96250000000000002</v>
      </c>
      <c r="AZ17" s="45">
        <f t="shared" si="24"/>
        <v>0.9375</v>
      </c>
      <c r="BA17" s="45">
        <f t="shared" si="25"/>
        <v>0.95</v>
      </c>
      <c r="BB17" s="45">
        <f t="shared" si="26"/>
        <v>0.9</v>
      </c>
      <c r="BC17" s="45">
        <f t="shared" si="27"/>
        <v>1</v>
      </c>
      <c r="BD17" s="46">
        <f t="shared" si="28"/>
        <v>0.86499999999999999</v>
      </c>
    </row>
    <row r="18" spans="1:56" ht="19.899999999999999" customHeight="1" x14ac:dyDescent="0.2">
      <c r="A18" s="32" t="s">
        <v>48</v>
      </c>
      <c r="B18" s="34" t="str">
        <f t="shared" si="2"/>
        <v>Corrina</v>
      </c>
      <c r="C18" s="34" t="str">
        <f t="shared" si="3"/>
        <v>Blais</v>
      </c>
      <c r="D18" s="35" t="s">
        <v>49</v>
      </c>
      <c r="E18" s="9">
        <v>100</v>
      </c>
      <c r="F18" s="9">
        <v>92</v>
      </c>
      <c r="G18" s="9">
        <v>80</v>
      </c>
      <c r="H18" s="9">
        <v>85.5</v>
      </c>
      <c r="I18" s="37">
        <v>14.6</v>
      </c>
      <c r="J18" s="37">
        <v>17.5</v>
      </c>
      <c r="K18" s="37">
        <v>17</v>
      </c>
      <c r="L18" s="37">
        <v>16.670000000000002</v>
      </c>
      <c r="M18" s="37">
        <v>15</v>
      </c>
      <c r="N18" s="39">
        <v>18.5</v>
      </c>
      <c r="O18" s="39">
        <v>19</v>
      </c>
      <c r="P18" s="39">
        <v>0</v>
      </c>
      <c r="Q18" s="39">
        <v>20</v>
      </c>
      <c r="R18" s="39">
        <v>15.5</v>
      </c>
      <c r="S18" s="41">
        <v>16</v>
      </c>
      <c r="T18" s="41">
        <v>20</v>
      </c>
      <c r="U18" s="41">
        <v>14</v>
      </c>
      <c r="V18" s="41">
        <v>19.8</v>
      </c>
      <c r="W18" s="41">
        <v>19</v>
      </c>
      <c r="X18" s="43">
        <v>19</v>
      </c>
      <c r="Y18" s="43">
        <v>17.75</v>
      </c>
      <c r="Z18" s="43">
        <v>18</v>
      </c>
      <c r="AA18" s="43">
        <v>17</v>
      </c>
      <c r="AB18" s="43">
        <v>16</v>
      </c>
      <c r="AC18" s="10">
        <v>160</v>
      </c>
      <c r="AD18" s="25">
        <f t="shared" si="4"/>
        <v>847.81999999999994</v>
      </c>
      <c r="AE18" s="46">
        <f>AD18/AD2</f>
        <v>0.84781999999999991</v>
      </c>
      <c r="AF18" s="50">
        <f>E18/E2</f>
        <v>1</v>
      </c>
      <c r="AG18" s="50">
        <f t="shared" si="5"/>
        <v>0.92</v>
      </c>
      <c r="AH18" s="50">
        <f t="shared" si="6"/>
        <v>0.8</v>
      </c>
      <c r="AI18" s="50">
        <f t="shared" si="7"/>
        <v>0.85499999999999998</v>
      </c>
      <c r="AJ18" s="49">
        <f t="shared" si="8"/>
        <v>0.73</v>
      </c>
      <c r="AK18" s="49">
        <f t="shared" si="9"/>
        <v>0.875</v>
      </c>
      <c r="AL18" s="49">
        <f t="shared" si="10"/>
        <v>0.85</v>
      </c>
      <c r="AM18" s="49">
        <f t="shared" si="11"/>
        <v>0.83350000000000013</v>
      </c>
      <c r="AN18" s="48">
        <f t="shared" si="12"/>
        <v>0.75</v>
      </c>
      <c r="AO18" s="48">
        <f t="shared" si="13"/>
        <v>0.92500000000000004</v>
      </c>
      <c r="AP18" s="48">
        <f t="shared" si="14"/>
        <v>0.95</v>
      </c>
      <c r="AQ18" s="48">
        <f t="shared" si="15"/>
        <v>0</v>
      </c>
      <c r="AR18" s="48">
        <f t="shared" si="16"/>
        <v>1</v>
      </c>
      <c r="AS18" s="47">
        <f t="shared" si="17"/>
        <v>0.77500000000000002</v>
      </c>
      <c r="AT18" s="47">
        <f t="shared" si="18"/>
        <v>0.8</v>
      </c>
      <c r="AU18" s="47">
        <f t="shared" si="19"/>
        <v>1</v>
      </c>
      <c r="AV18" s="47">
        <f t="shared" si="20"/>
        <v>0.7</v>
      </c>
      <c r="AW18" s="47">
        <f t="shared" si="21"/>
        <v>0.99</v>
      </c>
      <c r="AX18" s="45">
        <f t="shared" si="22"/>
        <v>0.95</v>
      </c>
      <c r="AY18" s="45">
        <f t="shared" si="23"/>
        <v>0.95</v>
      </c>
      <c r="AZ18" s="45">
        <f t="shared" si="24"/>
        <v>0.88749999999999996</v>
      </c>
      <c r="BA18" s="45">
        <f t="shared" si="25"/>
        <v>0.9</v>
      </c>
      <c r="BB18" s="45">
        <f t="shared" si="26"/>
        <v>0.85</v>
      </c>
      <c r="BC18" s="45">
        <f t="shared" si="27"/>
        <v>0.8</v>
      </c>
      <c r="BD18" s="46">
        <f t="shared" si="28"/>
        <v>0.8</v>
      </c>
    </row>
    <row r="19" spans="1:56" ht="19.899999999999999" customHeight="1" x14ac:dyDescent="0.2">
      <c r="A19" s="32" t="s">
        <v>50</v>
      </c>
      <c r="B19" s="34" t="str">
        <f t="shared" si="2"/>
        <v>Britain</v>
      </c>
      <c r="C19" s="34" t="str">
        <f t="shared" si="3"/>
        <v>Sok</v>
      </c>
      <c r="D19" s="35" t="s">
        <v>51</v>
      </c>
      <c r="E19" s="9">
        <v>68.75</v>
      </c>
      <c r="F19" s="9">
        <v>85</v>
      </c>
      <c r="G19" s="9">
        <v>88</v>
      </c>
      <c r="H19" s="9">
        <v>0</v>
      </c>
      <c r="I19" s="37">
        <v>17.100000000000001</v>
      </c>
      <c r="J19" s="37">
        <v>19</v>
      </c>
      <c r="K19" s="37">
        <v>11</v>
      </c>
      <c r="L19" s="37">
        <v>15.5</v>
      </c>
      <c r="M19" s="37">
        <v>0</v>
      </c>
      <c r="N19" s="39">
        <v>15.75</v>
      </c>
      <c r="O19" s="39">
        <v>19.5</v>
      </c>
      <c r="P19" s="39">
        <v>15</v>
      </c>
      <c r="Q19" s="39">
        <v>13</v>
      </c>
      <c r="R19" s="39">
        <v>18</v>
      </c>
      <c r="S19" s="41">
        <v>14.5</v>
      </c>
      <c r="T19" s="41">
        <v>14.55</v>
      </c>
      <c r="U19" s="41">
        <v>18</v>
      </c>
      <c r="V19" s="41">
        <v>19.3</v>
      </c>
      <c r="W19" s="41">
        <v>19.5</v>
      </c>
      <c r="X19" s="43">
        <v>17.5</v>
      </c>
      <c r="Y19" s="43">
        <v>16</v>
      </c>
      <c r="Z19" s="43">
        <v>14</v>
      </c>
      <c r="AA19" s="43">
        <v>19</v>
      </c>
      <c r="AB19" s="43">
        <v>20</v>
      </c>
      <c r="AC19" s="10">
        <v>80</v>
      </c>
      <c r="AD19" s="25">
        <f t="shared" si="4"/>
        <v>637.95000000000005</v>
      </c>
      <c r="AE19" s="46">
        <f>AD19/AD2</f>
        <v>0.63795000000000002</v>
      </c>
      <c r="AF19" s="50">
        <f>E19/E2</f>
        <v>0.6875</v>
      </c>
      <c r="AG19" s="50">
        <f t="shared" si="5"/>
        <v>0.85</v>
      </c>
      <c r="AH19" s="50">
        <f t="shared" si="6"/>
        <v>0.88</v>
      </c>
      <c r="AI19" s="50">
        <f t="shared" si="7"/>
        <v>0</v>
      </c>
      <c r="AJ19" s="49">
        <f t="shared" si="8"/>
        <v>0.85500000000000009</v>
      </c>
      <c r="AK19" s="49">
        <f t="shared" si="9"/>
        <v>0.95</v>
      </c>
      <c r="AL19" s="49">
        <f t="shared" si="10"/>
        <v>0.55000000000000004</v>
      </c>
      <c r="AM19" s="49">
        <f t="shared" si="11"/>
        <v>0.77500000000000002</v>
      </c>
      <c r="AN19" s="48">
        <f t="shared" si="12"/>
        <v>0</v>
      </c>
      <c r="AO19" s="48">
        <f t="shared" si="13"/>
        <v>0.78749999999999998</v>
      </c>
      <c r="AP19" s="48">
        <f t="shared" si="14"/>
        <v>0.97499999999999998</v>
      </c>
      <c r="AQ19" s="48">
        <f t="shared" si="15"/>
        <v>0.75</v>
      </c>
      <c r="AR19" s="48">
        <f t="shared" si="16"/>
        <v>0.65</v>
      </c>
      <c r="AS19" s="47">
        <f t="shared" si="17"/>
        <v>0.9</v>
      </c>
      <c r="AT19" s="47">
        <f t="shared" si="18"/>
        <v>0.72499999999999998</v>
      </c>
      <c r="AU19" s="47">
        <f t="shared" si="19"/>
        <v>0.72750000000000004</v>
      </c>
      <c r="AV19" s="47">
        <f t="shared" si="20"/>
        <v>0.9</v>
      </c>
      <c r="AW19" s="47">
        <f t="shared" si="21"/>
        <v>0.96500000000000008</v>
      </c>
      <c r="AX19" s="45">
        <f t="shared" si="22"/>
        <v>0.97499999999999998</v>
      </c>
      <c r="AY19" s="45">
        <f t="shared" si="23"/>
        <v>0.875</v>
      </c>
      <c r="AZ19" s="45">
        <f t="shared" si="24"/>
        <v>0.8</v>
      </c>
      <c r="BA19" s="45">
        <f t="shared" si="25"/>
        <v>0.7</v>
      </c>
      <c r="BB19" s="45">
        <f t="shared" si="26"/>
        <v>0.95</v>
      </c>
      <c r="BC19" s="45">
        <f t="shared" si="27"/>
        <v>1</v>
      </c>
      <c r="BD19" s="46">
        <f t="shared" si="28"/>
        <v>0.4</v>
      </c>
    </row>
    <row r="20" spans="1:56" ht="19.899999999999999" customHeight="1" x14ac:dyDescent="0.2">
      <c r="A20" s="32" t="s">
        <v>52</v>
      </c>
      <c r="B20" s="34" t="str">
        <f t="shared" si="2"/>
        <v>Kolsen</v>
      </c>
      <c r="C20" s="34" t="str">
        <f t="shared" si="3"/>
        <v>Rupe</v>
      </c>
      <c r="D20" s="35" t="s">
        <v>53</v>
      </c>
      <c r="E20" s="9">
        <v>91.5</v>
      </c>
      <c r="F20" s="9">
        <v>91.5</v>
      </c>
      <c r="G20" s="9">
        <v>97</v>
      </c>
      <c r="H20" s="9">
        <v>93.5</v>
      </c>
      <c r="I20" s="37">
        <v>20</v>
      </c>
      <c r="J20" s="37">
        <v>18</v>
      </c>
      <c r="K20" s="37">
        <v>15.5</v>
      </c>
      <c r="L20" s="37">
        <v>19.670000000000002</v>
      </c>
      <c r="M20" s="37">
        <v>9</v>
      </c>
      <c r="N20" s="39">
        <v>18.25</v>
      </c>
      <c r="O20" s="39">
        <v>20</v>
      </c>
      <c r="P20" s="39">
        <v>19</v>
      </c>
      <c r="Q20" s="39">
        <v>17.5</v>
      </c>
      <c r="R20" s="39">
        <v>18.5</v>
      </c>
      <c r="S20" s="41">
        <v>11</v>
      </c>
      <c r="T20" s="41">
        <v>18</v>
      </c>
      <c r="U20" s="41">
        <v>12</v>
      </c>
      <c r="V20" s="41">
        <v>20</v>
      </c>
      <c r="W20" s="41">
        <v>19</v>
      </c>
      <c r="X20" s="43">
        <v>19</v>
      </c>
      <c r="Y20" s="43">
        <v>18.5</v>
      </c>
      <c r="Z20" s="43">
        <v>15</v>
      </c>
      <c r="AA20" s="43">
        <v>19</v>
      </c>
      <c r="AB20" s="43">
        <v>19</v>
      </c>
      <c r="AC20" s="10">
        <v>171</v>
      </c>
      <c r="AD20" s="25">
        <f t="shared" si="4"/>
        <v>890.42000000000007</v>
      </c>
      <c r="AE20" s="46">
        <f>AD20/AD2</f>
        <v>0.8904200000000001</v>
      </c>
      <c r="AF20" s="50">
        <f>(E20/$E$2)</f>
        <v>0.91500000000000004</v>
      </c>
      <c r="AG20" s="50">
        <f t="shared" si="5"/>
        <v>0.91500000000000004</v>
      </c>
      <c r="AH20" s="50">
        <f t="shared" si="6"/>
        <v>0.97</v>
      </c>
      <c r="AI20" s="50">
        <f t="shared" si="7"/>
        <v>0.93500000000000005</v>
      </c>
      <c r="AJ20" s="49">
        <f t="shared" si="8"/>
        <v>1</v>
      </c>
      <c r="AK20" s="49">
        <f t="shared" si="9"/>
        <v>0.9</v>
      </c>
      <c r="AL20" s="49">
        <f t="shared" si="10"/>
        <v>0.77500000000000002</v>
      </c>
      <c r="AM20" s="49">
        <f t="shared" si="11"/>
        <v>0.98350000000000004</v>
      </c>
      <c r="AN20" s="48">
        <f t="shared" si="12"/>
        <v>0.45</v>
      </c>
      <c r="AO20" s="48">
        <f t="shared" si="13"/>
        <v>0.91249999999999998</v>
      </c>
      <c r="AP20" s="48">
        <f t="shared" si="14"/>
        <v>1</v>
      </c>
      <c r="AQ20" s="48">
        <f t="shared" si="15"/>
        <v>0.95</v>
      </c>
      <c r="AR20" s="48">
        <f t="shared" si="16"/>
        <v>0.875</v>
      </c>
      <c r="AS20" s="47">
        <f t="shared" si="17"/>
        <v>0.92500000000000004</v>
      </c>
      <c r="AT20" s="47">
        <f t="shared" si="18"/>
        <v>0.55000000000000004</v>
      </c>
      <c r="AU20" s="47">
        <f t="shared" si="19"/>
        <v>0.9</v>
      </c>
      <c r="AV20" s="47">
        <f t="shared" si="20"/>
        <v>0.6</v>
      </c>
      <c r="AW20" s="47">
        <f t="shared" si="21"/>
        <v>1</v>
      </c>
      <c r="AX20" s="45">
        <f t="shared" si="22"/>
        <v>0.95</v>
      </c>
      <c r="AY20" s="45">
        <f t="shared" si="23"/>
        <v>0.95</v>
      </c>
      <c r="AZ20" s="45">
        <f t="shared" si="24"/>
        <v>0.92500000000000004</v>
      </c>
      <c r="BA20" s="45">
        <f t="shared" si="25"/>
        <v>0.75</v>
      </c>
      <c r="BB20" s="45">
        <f t="shared" si="26"/>
        <v>0.95</v>
      </c>
      <c r="BC20" s="45">
        <f t="shared" si="27"/>
        <v>0.95</v>
      </c>
      <c r="BD20" s="46">
        <f t="shared" si="28"/>
        <v>0.85499999999999998</v>
      </c>
    </row>
    <row r="21" spans="1:56" ht="19.899999999999999" customHeight="1" x14ac:dyDescent="0.2">
      <c r="A21" s="32" t="s">
        <v>54</v>
      </c>
      <c r="B21" s="34" t="str">
        <f t="shared" si="2"/>
        <v>Chauncey</v>
      </c>
      <c r="C21" s="34" t="str">
        <f t="shared" si="3"/>
        <v>Tankersley</v>
      </c>
      <c r="D21" s="35" t="s">
        <v>55</v>
      </c>
      <c r="E21" s="9">
        <v>74</v>
      </c>
      <c r="F21" s="9">
        <v>91</v>
      </c>
      <c r="G21" s="9">
        <v>92</v>
      </c>
      <c r="H21" s="9">
        <v>82</v>
      </c>
      <c r="I21" s="37">
        <v>19.600000000000001</v>
      </c>
      <c r="J21" s="37">
        <v>11</v>
      </c>
      <c r="K21" s="37">
        <v>19</v>
      </c>
      <c r="L21" s="37">
        <v>19</v>
      </c>
      <c r="M21" s="37">
        <v>15</v>
      </c>
      <c r="N21" s="39">
        <v>20</v>
      </c>
      <c r="O21" s="39">
        <v>20</v>
      </c>
      <c r="P21" s="39">
        <v>14.5</v>
      </c>
      <c r="Q21" s="39">
        <v>20</v>
      </c>
      <c r="R21" s="39">
        <v>18.5</v>
      </c>
      <c r="S21" s="41">
        <v>18</v>
      </c>
      <c r="T21" s="41">
        <v>20</v>
      </c>
      <c r="U21" s="41">
        <v>20</v>
      </c>
      <c r="V21" s="41">
        <v>19</v>
      </c>
      <c r="W21" s="41">
        <v>17.5</v>
      </c>
      <c r="X21" s="43">
        <v>19.5</v>
      </c>
      <c r="Y21" s="43">
        <v>18</v>
      </c>
      <c r="Z21" s="43">
        <v>19</v>
      </c>
      <c r="AA21" s="43">
        <v>0</v>
      </c>
      <c r="AB21" s="43">
        <v>0</v>
      </c>
      <c r="AC21" s="10">
        <v>186</v>
      </c>
      <c r="AD21" s="25">
        <f t="shared" si="4"/>
        <v>852.6</v>
      </c>
      <c r="AE21" s="46">
        <f>AD21/AD2</f>
        <v>0.85260000000000002</v>
      </c>
      <c r="AF21" s="50">
        <f t="shared" ref="AF21:AF26" si="29">(E21/$E$2)</f>
        <v>0.74</v>
      </c>
      <c r="AG21" s="50">
        <f t="shared" si="5"/>
        <v>0.91</v>
      </c>
      <c r="AH21" s="50">
        <f t="shared" si="6"/>
        <v>0.92</v>
      </c>
      <c r="AI21" s="50">
        <f t="shared" si="7"/>
        <v>0.82</v>
      </c>
      <c r="AJ21" s="49">
        <f t="shared" si="8"/>
        <v>0.98000000000000009</v>
      </c>
      <c r="AK21" s="49">
        <f t="shared" si="9"/>
        <v>0.55000000000000004</v>
      </c>
      <c r="AL21" s="49">
        <f t="shared" si="10"/>
        <v>0.95</v>
      </c>
      <c r="AM21" s="49">
        <f t="shared" si="11"/>
        <v>0.95</v>
      </c>
      <c r="AN21" s="48">
        <f t="shared" si="12"/>
        <v>0.75</v>
      </c>
      <c r="AO21" s="48">
        <f t="shared" si="13"/>
        <v>1</v>
      </c>
      <c r="AP21" s="48">
        <f t="shared" si="14"/>
        <v>1</v>
      </c>
      <c r="AQ21" s="48">
        <f t="shared" si="15"/>
        <v>0.72499999999999998</v>
      </c>
      <c r="AR21" s="48">
        <f t="shared" si="16"/>
        <v>1</v>
      </c>
      <c r="AS21" s="47">
        <f t="shared" si="17"/>
        <v>0.92500000000000004</v>
      </c>
      <c r="AT21" s="47">
        <f t="shared" si="18"/>
        <v>0.9</v>
      </c>
      <c r="AU21" s="47">
        <f t="shared" si="19"/>
        <v>1</v>
      </c>
      <c r="AV21" s="47">
        <f t="shared" si="20"/>
        <v>1</v>
      </c>
      <c r="AW21" s="47">
        <f t="shared" si="21"/>
        <v>0.95</v>
      </c>
      <c r="AX21" s="45">
        <f t="shared" si="22"/>
        <v>0.875</v>
      </c>
      <c r="AY21" s="45">
        <f t="shared" si="23"/>
        <v>0.97499999999999998</v>
      </c>
      <c r="AZ21" s="45">
        <f t="shared" si="24"/>
        <v>0.9</v>
      </c>
      <c r="BA21" s="45">
        <f t="shared" si="25"/>
        <v>0.95</v>
      </c>
      <c r="BB21" s="45">
        <f t="shared" si="26"/>
        <v>0</v>
      </c>
      <c r="BC21" s="45">
        <f t="shared" si="27"/>
        <v>0</v>
      </c>
      <c r="BD21" s="46">
        <f t="shared" si="28"/>
        <v>0.93</v>
      </c>
    </row>
    <row r="22" spans="1:56" ht="19.899999999999999" customHeight="1" x14ac:dyDescent="0.2">
      <c r="A22" s="32" t="s">
        <v>56</v>
      </c>
      <c r="B22" s="34" t="str">
        <f t="shared" si="2"/>
        <v>Pessy</v>
      </c>
      <c r="C22" s="34" t="str">
        <f t="shared" si="3"/>
        <v>Lanza</v>
      </c>
      <c r="D22" s="35" t="s">
        <v>57</v>
      </c>
      <c r="E22" s="9">
        <v>90.5</v>
      </c>
      <c r="F22" s="9">
        <v>86</v>
      </c>
      <c r="G22" s="9">
        <v>0</v>
      </c>
      <c r="H22" s="9">
        <v>96</v>
      </c>
      <c r="I22" s="37">
        <v>1.1000000000000001</v>
      </c>
      <c r="J22" s="37">
        <v>8</v>
      </c>
      <c r="K22" s="37">
        <v>0</v>
      </c>
      <c r="L22" s="37">
        <v>0</v>
      </c>
      <c r="M22" s="37">
        <v>0</v>
      </c>
      <c r="N22" s="39">
        <v>9</v>
      </c>
      <c r="O22" s="39">
        <v>0</v>
      </c>
      <c r="P22" s="39">
        <v>0</v>
      </c>
      <c r="Q22" s="39">
        <v>0</v>
      </c>
      <c r="R22" s="39">
        <v>0</v>
      </c>
      <c r="S22" s="41">
        <v>0</v>
      </c>
      <c r="T22" s="41">
        <v>18.05</v>
      </c>
      <c r="U22" s="41">
        <v>0</v>
      </c>
      <c r="V22" s="41">
        <v>19</v>
      </c>
      <c r="W22" s="41">
        <v>5</v>
      </c>
      <c r="X22" s="43">
        <v>14.5</v>
      </c>
      <c r="Y22" s="43">
        <v>4</v>
      </c>
      <c r="Z22" s="43">
        <v>7</v>
      </c>
      <c r="AA22" s="43">
        <v>10</v>
      </c>
      <c r="AB22" s="43">
        <v>0</v>
      </c>
      <c r="AC22" s="10">
        <v>59</v>
      </c>
      <c r="AD22" s="25">
        <f t="shared" si="4"/>
        <v>427.15000000000003</v>
      </c>
      <c r="AE22" s="46">
        <f>AD22/AD2</f>
        <v>0.42715000000000003</v>
      </c>
      <c r="AF22" s="50">
        <f t="shared" si="29"/>
        <v>0.90500000000000003</v>
      </c>
      <c r="AG22" s="50">
        <f t="shared" si="5"/>
        <v>0.86</v>
      </c>
      <c r="AH22" s="50">
        <f t="shared" si="6"/>
        <v>0</v>
      </c>
      <c r="AI22" s="50">
        <f t="shared" si="7"/>
        <v>0.96</v>
      </c>
      <c r="AJ22" s="49">
        <f t="shared" si="8"/>
        <v>5.5000000000000007E-2</v>
      </c>
      <c r="AK22" s="49">
        <f t="shared" si="9"/>
        <v>0.4</v>
      </c>
      <c r="AL22" s="49">
        <f t="shared" si="10"/>
        <v>0</v>
      </c>
      <c r="AM22" s="49">
        <f t="shared" si="11"/>
        <v>0</v>
      </c>
      <c r="AN22" s="48">
        <f t="shared" si="12"/>
        <v>0</v>
      </c>
      <c r="AO22" s="48">
        <f t="shared" si="13"/>
        <v>0.45</v>
      </c>
      <c r="AP22" s="48">
        <f t="shared" si="14"/>
        <v>0</v>
      </c>
      <c r="AQ22" s="48">
        <f t="shared" si="15"/>
        <v>0</v>
      </c>
      <c r="AR22" s="48">
        <f t="shared" si="16"/>
        <v>0</v>
      </c>
      <c r="AS22" s="47">
        <f t="shared" si="17"/>
        <v>0</v>
      </c>
      <c r="AT22" s="47">
        <f t="shared" si="18"/>
        <v>0</v>
      </c>
      <c r="AU22" s="47">
        <f t="shared" si="19"/>
        <v>0.90250000000000008</v>
      </c>
      <c r="AV22" s="47">
        <f t="shared" si="20"/>
        <v>0</v>
      </c>
      <c r="AW22" s="47">
        <f t="shared" si="21"/>
        <v>0.95</v>
      </c>
      <c r="AX22" s="45">
        <f t="shared" si="22"/>
        <v>0.25</v>
      </c>
      <c r="AY22" s="45">
        <f t="shared" si="23"/>
        <v>0.72499999999999998</v>
      </c>
      <c r="AZ22" s="45">
        <f t="shared" si="24"/>
        <v>0.2</v>
      </c>
      <c r="BA22" s="45">
        <f t="shared" si="25"/>
        <v>0.35</v>
      </c>
      <c r="BB22" s="45">
        <f t="shared" si="26"/>
        <v>0.5</v>
      </c>
      <c r="BC22" s="45">
        <f t="shared" si="27"/>
        <v>0</v>
      </c>
      <c r="BD22" s="46">
        <f t="shared" si="28"/>
        <v>0.29499999999999998</v>
      </c>
    </row>
    <row r="23" spans="1:56" ht="19.899999999999999" customHeight="1" x14ac:dyDescent="0.2">
      <c r="A23" s="32" t="s">
        <v>58</v>
      </c>
      <c r="B23" s="34" t="str">
        <f t="shared" si="2"/>
        <v>Kaliah</v>
      </c>
      <c r="C23" s="34" t="str">
        <f t="shared" si="3"/>
        <v>Delvalle</v>
      </c>
      <c r="D23" s="35" t="s">
        <v>59</v>
      </c>
      <c r="E23" s="9">
        <v>100</v>
      </c>
      <c r="F23" s="9">
        <v>94</v>
      </c>
      <c r="G23" s="9">
        <v>93</v>
      </c>
      <c r="H23" s="9">
        <v>94.5</v>
      </c>
      <c r="I23" s="37">
        <v>19.600000000000001</v>
      </c>
      <c r="J23" s="37">
        <v>16</v>
      </c>
      <c r="K23" s="37">
        <v>10</v>
      </c>
      <c r="L23" s="37">
        <v>19.420000000000002</v>
      </c>
      <c r="M23" s="37">
        <v>16</v>
      </c>
      <c r="N23" s="39">
        <v>20</v>
      </c>
      <c r="O23" s="39">
        <v>20</v>
      </c>
      <c r="P23" s="39">
        <v>16.5</v>
      </c>
      <c r="Q23" s="39">
        <v>18.5</v>
      </c>
      <c r="R23" s="39">
        <v>19</v>
      </c>
      <c r="S23" s="41">
        <v>18.5</v>
      </c>
      <c r="T23" s="41">
        <v>19.5</v>
      </c>
      <c r="U23" s="41">
        <v>15.5</v>
      </c>
      <c r="V23" s="41">
        <v>17.5</v>
      </c>
      <c r="W23" s="41">
        <v>19</v>
      </c>
      <c r="X23" s="43">
        <v>20</v>
      </c>
      <c r="Y23" s="43">
        <v>17.75</v>
      </c>
      <c r="Z23" s="43">
        <v>18.5</v>
      </c>
      <c r="AA23" s="43">
        <v>0</v>
      </c>
      <c r="AB23" s="43">
        <v>19</v>
      </c>
      <c r="AC23" s="10">
        <v>196</v>
      </c>
      <c r="AD23" s="25">
        <f t="shared" si="4"/>
        <v>917.77</v>
      </c>
      <c r="AE23" s="46">
        <f>AD23/AD2</f>
        <v>0.91776999999999997</v>
      </c>
      <c r="AF23" s="50">
        <f t="shared" si="29"/>
        <v>1</v>
      </c>
      <c r="AG23" s="50">
        <f t="shared" si="5"/>
        <v>0.94</v>
      </c>
      <c r="AH23" s="50">
        <f t="shared" si="6"/>
        <v>0.93</v>
      </c>
      <c r="AI23" s="50">
        <f t="shared" si="7"/>
        <v>0.94499999999999995</v>
      </c>
      <c r="AJ23" s="49">
        <f t="shared" si="8"/>
        <v>0.98000000000000009</v>
      </c>
      <c r="AK23" s="49">
        <f t="shared" si="9"/>
        <v>0.8</v>
      </c>
      <c r="AL23" s="49">
        <f t="shared" si="10"/>
        <v>0.5</v>
      </c>
      <c r="AM23" s="49">
        <f t="shared" si="11"/>
        <v>0.97100000000000009</v>
      </c>
      <c r="AN23" s="48">
        <f t="shared" si="12"/>
        <v>0.8</v>
      </c>
      <c r="AO23" s="48">
        <f t="shared" si="13"/>
        <v>1</v>
      </c>
      <c r="AP23" s="48">
        <f t="shared" si="14"/>
        <v>1</v>
      </c>
      <c r="AQ23" s="48">
        <f t="shared" si="15"/>
        <v>0.82499999999999996</v>
      </c>
      <c r="AR23" s="48">
        <f t="shared" si="16"/>
        <v>0.92500000000000004</v>
      </c>
      <c r="AS23" s="47">
        <f t="shared" si="17"/>
        <v>0.95</v>
      </c>
      <c r="AT23" s="47">
        <f t="shared" si="18"/>
        <v>0.92500000000000004</v>
      </c>
      <c r="AU23" s="47">
        <f t="shared" si="19"/>
        <v>0.97499999999999998</v>
      </c>
      <c r="AV23" s="47">
        <f t="shared" si="20"/>
        <v>0.77500000000000002</v>
      </c>
      <c r="AW23" s="47">
        <f t="shared" si="21"/>
        <v>0.875</v>
      </c>
      <c r="AX23" s="45">
        <f t="shared" si="22"/>
        <v>0.95</v>
      </c>
      <c r="AY23" s="45">
        <f t="shared" si="23"/>
        <v>1</v>
      </c>
      <c r="AZ23" s="45">
        <f t="shared" si="24"/>
        <v>0.88749999999999996</v>
      </c>
      <c r="BA23" s="45">
        <f t="shared" si="25"/>
        <v>0.92500000000000004</v>
      </c>
      <c r="BB23" s="45">
        <f t="shared" si="26"/>
        <v>0</v>
      </c>
      <c r="BC23" s="45">
        <f t="shared" si="27"/>
        <v>0.95</v>
      </c>
      <c r="BD23" s="46">
        <f t="shared" si="28"/>
        <v>0.98</v>
      </c>
    </row>
    <row r="24" spans="1:56" ht="19.899999999999999" customHeight="1" x14ac:dyDescent="0.2">
      <c r="A24" s="32" t="s">
        <v>60</v>
      </c>
      <c r="B24" s="34" t="str">
        <f t="shared" si="2"/>
        <v>Linnea</v>
      </c>
      <c r="C24" s="34" t="e">
        <f ca="1">OFFSET($B$3,Grades!I6:AC6,0)</f>
        <v>#VALUE!</v>
      </c>
      <c r="D24" s="35" t="s">
        <v>61</v>
      </c>
      <c r="E24" s="9">
        <v>11</v>
      </c>
      <c r="F24" s="9">
        <v>0</v>
      </c>
      <c r="G24" s="9">
        <v>0</v>
      </c>
      <c r="H24" s="9">
        <v>0</v>
      </c>
      <c r="I24" s="37">
        <v>18.5</v>
      </c>
      <c r="J24" s="37">
        <v>0</v>
      </c>
      <c r="K24" s="37">
        <v>0</v>
      </c>
      <c r="L24" s="37">
        <v>0</v>
      </c>
      <c r="M24" s="37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41">
        <v>0</v>
      </c>
      <c r="T24" s="41">
        <v>14.25</v>
      </c>
      <c r="U24" s="41">
        <v>0</v>
      </c>
      <c r="V24" s="41">
        <v>16.5</v>
      </c>
      <c r="W24" s="41">
        <v>19</v>
      </c>
      <c r="X24" s="43">
        <v>14.25</v>
      </c>
      <c r="Y24" s="43">
        <v>18</v>
      </c>
      <c r="Z24" s="43">
        <v>13.5</v>
      </c>
      <c r="AA24" s="43">
        <v>0</v>
      </c>
      <c r="AB24" s="43">
        <v>4</v>
      </c>
      <c r="AC24" s="10">
        <v>0</v>
      </c>
      <c r="AD24" s="25">
        <f t="shared" si="4"/>
        <v>129</v>
      </c>
      <c r="AE24" s="46">
        <f>AD24/AD2</f>
        <v>0.129</v>
      </c>
      <c r="AF24" s="50">
        <f t="shared" si="29"/>
        <v>0.11</v>
      </c>
      <c r="AG24" s="50">
        <f t="shared" si="5"/>
        <v>0</v>
      </c>
      <c r="AH24" s="50">
        <f t="shared" si="6"/>
        <v>0</v>
      </c>
      <c r="AI24" s="50">
        <f t="shared" si="7"/>
        <v>0</v>
      </c>
      <c r="AJ24" s="49">
        <f t="shared" si="8"/>
        <v>0.92500000000000004</v>
      </c>
      <c r="AK24" s="49">
        <f t="shared" si="9"/>
        <v>0</v>
      </c>
      <c r="AL24" s="49">
        <f t="shared" si="10"/>
        <v>0</v>
      </c>
      <c r="AM24" s="49">
        <f t="shared" si="11"/>
        <v>0</v>
      </c>
      <c r="AN24" s="48">
        <f t="shared" si="12"/>
        <v>0</v>
      </c>
      <c r="AO24" s="48">
        <f t="shared" si="13"/>
        <v>0</v>
      </c>
      <c r="AP24" s="48">
        <f t="shared" si="14"/>
        <v>0</v>
      </c>
      <c r="AQ24" s="48">
        <f t="shared" si="15"/>
        <v>0</v>
      </c>
      <c r="AR24" s="48">
        <f t="shared" si="16"/>
        <v>0</v>
      </c>
      <c r="AS24" s="47">
        <f t="shared" si="17"/>
        <v>0</v>
      </c>
      <c r="AT24" s="47">
        <f t="shared" si="18"/>
        <v>0</v>
      </c>
      <c r="AU24" s="47">
        <f t="shared" si="19"/>
        <v>0.71250000000000002</v>
      </c>
      <c r="AV24" s="47">
        <f t="shared" si="20"/>
        <v>0</v>
      </c>
      <c r="AW24" s="47">
        <f t="shared" si="21"/>
        <v>0.82499999999999996</v>
      </c>
      <c r="AX24" s="45">
        <f t="shared" si="22"/>
        <v>0.95</v>
      </c>
      <c r="AY24" s="45">
        <f t="shared" si="23"/>
        <v>0.71250000000000002</v>
      </c>
      <c r="AZ24" s="45">
        <f t="shared" si="24"/>
        <v>0.9</v>
      </c>
      <c r="BA24" s="45">
        <f t="shared" si="25"/>
        <v>0.67500000000000004</v>
      </c>
      <c r="BB24" s="45">
        <f t="shared" si="26"/>
        <v>0</v>
      </c>
      <c r="BC24" s="45">
        <f t="shared" si="27"/>
        <v>0.2</v>
      </c>
      <c r="BD24" s="46">
        <f t="shared" si="28"/>
        <v>0</v>
      </c>
    </row>
    <row r="25" spans="1:56" ht="19.899999999999999" customHeight="1" x14ac:dyDescent="0.2">
      <c r="A25" s="32" t="s">
        <v>62</v>
      </c>
      <c r="B25" s="34" t="str">
        <f t="shared" si="2"/>
        <v>Meliah</v>
      </c>
      <c r="C25" s="34" t="str">
        <f t="shared" si="3"/>
        <v>Barriga</v>
      </c>
      <c r="D25" s="35" t="s">
        <v>63</v>
      </c>
      <c r="E25" s="9">
        <v>0</v>
      </c>
      <c r="F25" s="9">
        <v>80.5</v>
      </c>
      <c r="G25" s="9">
        <v>0</v>
      </c>
      <c r="H25" s="9">
        <v>56.5</v>
      </c>
      <c r="I25" s="37">
        <v>0</v>
      </c>
      <c r="J25" s="37">
        <v>0</v>
      </c>
      <c r="K25" s="37">
        <v>14</v>
      </c>
      <c r="L25" s="37">
        <v>15.67</v>
      </c>
      <c r="M25" s="37">
        <v>13.25</v>
      </c>
      <c r="N25" s="39">
        <v>1</v>
      </c>
      <c r="O25" s="39">
        <v>19.5</v>
      </c>
      <c r="P25" s="39">
        <v>0</v>
      </c>
      <c r="Q25" s="39">
        <v>0</v>
      </c>
      <c r="R25" s="39">
        <v>0</v>
      </c>
      <c r="S25" s="41">
        <v>0</v>
      </c>
      <c r="T25" s="41">
        <v>0</v>
      </c>
      <c r="U25" s="41">
        <v>0</v>
      </c>
      <c r="V25" s="41">
        <v>15</v>
      </c>
      <c r="W25" s="41">
        <v>9</v>
      </c>
      <c r="X25" s="43">
        <v>19.5</v>
      </c>
      <c r="Y25" s="43">
        <v>0</v>
      </c>
      <c r="Z25" s="43">
        <v>16</v>
      </c>
      <c r="AA25" s="43">
        <v>20</v>
      </c>
      <c r="AB25" s="43">
        <v>18.5</v>
      </c>
      <c r="AC25" s="10">
        <v>0</v>
      </c>
      <c r="AD25" s="25">
        <f t="shared" si="4"/>
        <v>298.41999999999996</v>
      </c>
      <c r="AE25" s="46">
        <f>AD25/AD2</f>
        <v>0.29841999999999996</v>
      </c>
      <c r="AF25" s="50">
        <f t="shared" si="29"/>
        <v>0</v>
      </c>
      <c r="AG25" s="50">
        <f t="shared" si="5"/>
        <v>0.80500000000000005</v>
      </c>
      <c r="AH25" s="50">
        <f t="shared" si="6"/>
        <v>0</v>
      </c>
      <c r="AI25" s="50">
        <f t="shared" si="7"/>
        <v>0.56499999999999995</v>
      </c>
      <c r="AJ25" s="49">
        <f t="shared" si="8"/>
        <v>0</v>
      </c>
      <c r="AK25" s="49">
        <f t="shared" si="9"/>
        <v>0</v>
      </c>
      <c r="AL25" s="49">
        <f t="shared" si="10"/>
        <v>0.7</v>
      </c>
      <c r="AM25" s="49">
        <f t="shared" si="11"/>
        <v>0.78349999999999997</v>
      </c>
      <c r="AN25" s="48">
        <f t="shared" si="12"/>
        <v>0.66249999999999998</v>
      </c>
      <c r="AO25" s="48">
        <f t="shared" si="13"/>
        <v>0.05</v>
      </c>
      <c r="AP25" s="48">
        <f t="shared" si="14"/>
        <v>0.97499999999999998</v>
      </c>
      <c r="AQ25" s="48">
        <f t="shared" si="15"/>
        <v>0</v>
      </c>
      <c r="AR25" s="48">
        <f t="shared" si="16"/>
        <v>0</v>
      </c>
      <c r="AS25" s="47">
        <f t="shared" si="17"/>
        <v>0</v>
      </c>
      <c r="AT25" s="47">
        <f t="shared" si="18"/>
        <v>0</v>
      </c>
      <c r="AU25" s="47">
        <f t="shared" si="19"/>
        <v>0</v>
      </c>
      <c r="AV25" s="47">
        <f t="shared" si="20"/>
        <v>0</v>
      </c>
      <c r="AW25" s="47">
        <f t="shared" si="21"/>
        <v>0.75</v>
      </c>
      <c r="AX25" s="45">
        <f t="shared" si="22"/>
        <v>0.45</v>
      </c>
      <c r="AY25" s="45">
        <f t="shared" si="23"/>
        <v>0.97499999999999998</v>
      </c>
      <c r="AZ25" s="45">
        <f t="shared" si="24"/>
        <v>0</v>
      </c>
      <c r="BA25" s="45">
        <f t="shared" si="25"/>
        <v>0.8</v>
      </c>
      <c r="BB25" s="45">
        <f t="shared" si="26"/>
        <v>1</v>
      </c>
      <c r="BC25" s="45">
        <f t="shared" si="27"/>
        <v>0.92500000000000004</v>
      </c>
      <c r="BD25" s="46">
        <f t="shared" si="28"/>
        <v>0</v>
      </c>
    </row>
    <row r="26" spans="1:56" ht="19.899999999999999" customHeight="1" x14ac:dyDescent="0.2">
      <c r="A26" s="33" t="s">
        <v>64</v>
      </c>
      <c r="B26" s="34" t="str">
        <f t="shared" si="2"/>
        <v>Wilson</v>
      </c>
      <c r="C26" s="34" t="str">
        <f t="shared" si="3"/>
        <v>Rosenberg</v>
      </c>
      <c r="D26" s="36" t="s">
        <v>65</v>
      </c>
      <c r="E26" s="11">
        <v>90</v>
      </c>
      <c r="F26" s="11">
        <v>84.5</v>
      </c>
      <c r="G26" s="11">
        <v>96</v>
      </c>
      <c r="H26" s="11">
        <v>91</v>
      </c>
      <c r="I26" s="38">
        <v>19.5</v>
      </c>
      <c r="J26" s="38">
        <v>19</v>
      </c>
      <c r="K26" s="38">
        <v>11.5</v>
      </c>
      <c r="L26" s="38">
        <v>18.5</v>
      </c>
      <c r="M26" s="38">
        <v>12</v>
      </c>
      <c r="N26" s="40">
        <v>19.75</v>
      </c>
      <c r="O26" s="40">
        <v>18</v>
      </c>
      <c r="P26" s="40">
        <v>11</v>
      </c>
      <c r="Q26" s="40">
        <v>19</v>
      </c>
      <c r="R26" s="40">
        <v>17.5</v>
      </c>
      <c r="S26" s="42">
        <v>17</v>
      </c>
      <c r="T26" s="42">
        <v>19</v>
      </c>
      <c r="U26" s="42">
        <v>15</v>
      </c>
      <c r="V26" s="42">
        <v>19.3</v>
      </c>
      <c r="W26" s="42">
        <v>19</v>
      </c>
      <c r="X26" s="44">
        <v>19.5</v>
      </c>
      <c r="Y26" s="44">
        <v>17</v>
      </c>
      <c r="Z26" s="44">
        <v>10</v>
      </c>
      <c r="AA26" s="44">
        <v>16</v>
      </c>
      <c r="AB26" s="44">
        <v>19</v>
      </c>
      <c r="AC26" s="12">
        <v>194</v>
      </c>
      <c r="AD26" s="25">
        <f t="shared" si="4"/>
        <v>892.05</v>
      </c>
      <c r="AE26" s="46">
        <f>AD26/AD2</f>
        <v>0.89205000000000001</v>
      </c>
      <c r="AF26" s="50">
        <f t="shared" si="29"/>
        <v>0.9</v>
      </c>
      <c r="AG26" s="50">
        <f t="shared" si="5"/>
        <v>0.84499999999999997</v>
      </c>
      <c r="AH26" s="50">
        <f t="shared" si="6"/>
        <v>0.96</v>
      </c>
      <c r="AI26" s="50">
        <f t="shared" si="7"/>
        <v>0.91</v>
      </c>
      <c r="AJ26" s="49">
        <f t="shared" si="8"/>
        <v>0.97499999999999998</v>
      </c>
      <c r="AK26" s="49">
        <f t="shared" si="9"/>
        <v>0.95</v>
      </c>
      <c r="AL26" s="49">
        <f t="shared" si="10"/>
        <v>0.57499999999999996</v>
      </c>
      <c r="AM26" s="49">
        <f t="shared" si="11"/>
        <v>0.92500000000000004</v>
      </c>
      <c r="AN26" s="48">
        <f t="shared" si="12"/>
        <v>0.6</v>
      </c>
      <c r="AO26" s="48">
        <f t="shared" si="13"/>
        <v>0.98750000000000004</v>
      </c>
      <c r="AP26" s="48">
        <f t="shared" si="14"/>
        <v>0.9</v>
      </c>
      <c r="AQ26" s="48">
        <f t="shared" si="15"/>
        <v>0.55000000000000004</v>
      </c>
      <c r="AR26" s="48">
        <f t="shared" si="16"/>
        <v>0.95</v>
      </c>
      <c r="AS26" s="47">
        <f t="shared" si="17"/>
        <v>0.875</v>
      </c>
      <c r="AT26" s="47">
        <f t="shared" si="18"/>
        <v>0.85</v>
      </c>
      <c r="AU26" s="47">
        <f t="shared" si="19"/>
        <v>0.95</v>
      </c>
      <c r="AV26" s="47">
        <f t="shared" si="20"/>
        <v>0.75</v>
      </c>
      <c r="AW26" s="47">
        <f t="shared" si="21"/>
        <v>0.96500000000000008</v>
      </c>
      <c r="AX26" s="45">
        <f t="shared" si="22"/>
        <v>0.95</v>
      </c>
      <c r="AY26" s="45">
        <f t="shared" si="23"/>
        <v>0.97499999999999998</v>
      </c>
      <c r="AZ26" s="45">
        <f t="shared" si="24"/>
        <v>0.85</v>
      </c>
      <c r="BA26" s="45">
        <f t="shared" si="25"/>
        <v>0.5</v>
      </c>
      <c r="BB26" s="45">
        <f t="shared" si="26"/>
        <v>0.8</v>
      </c>
      <c r="BC26" s="45">
        <f t="shared" si="27"/>
        <v>0.95</v>
      </c>
      <c r="BD26" s="46">
        <f t="shared" si="28"/>
        <v>0.97</v>
      </c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Dashboard</vt:lpstr>
      <vt:lpstr>Grades</vt:lpstr>
      <vt:lpstr>Class_Average_Percent</vt:lpstr>
      <vt:lpstr>Class_Average_Points</vt:lpstr>
      <vt:lpstr>Class_Points_possible</vt:lpstr>
      <vt:lpstr>Dashboard!Print_Area</vt:lpstr>
      <vt:lpstr>Student_FullName</vt:lpstr>
      <vt:lpstr>Student_Grades</vt:lpstr>
      <vt:lpstr>Student_Percent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ESE C. UMOEKA</cp:lastModifiedBy>
  <cp:lastPrinted>2022-01-22T19:44:53Z</cp:lastPrinted>
  <dcterms:created xsi:type="dcterms:W3CDTF">2021-09-16T13:34:01Z</dcterms:created>
  <dcterms:modified xsi:type="dcterms:W3CDTF">2023-05-25T09:42:48Z</dcterms:modified>
</cp:coreProperties>
</file>