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A8F7DAB9-DEBA-4742-95EA-9655A1FB6EF1}" xr6:coauthVersionLast="36" xr6:coauthVersionMax="36" xr10:uidLastSave="{00000000-0000-0000-0000-000000000000}"/>
  <bookViews>
    <workbookView xWindow="0" yWindow="0" windowWidth="22260" windowHeight="12648" tabRatio="557" activeTab="1" xr2:uid="{00000000-000D-0000-FFFF-FFFF00000000}"/>
  </bookViews>
  <sheets>
    <sheet name="GOOgle" sheetId="8" r:id="rId1"/>
    <sheet name="Вводимые параметры" sheetId="1" r:id="rId2"/>
    <sheet name="Рама буфер всех чертежей" sheetId="2" r:id="rId3"/>
    <sheet name="Буфер" sheetId="4" r:id="rId4"/>
    <sheet name="Хлам" sheetId="6" r:id="rId5"/>
    <sheet name="Лист1" sheetId="7" r:id="rId6"/>
  </sheets>
  <definedNames>
    <definedName name="dlinbedr">'Вводимые параметры'!$C$6</definedName>
    <definedName name="dlingolen">'Вводимые параметры'!$C$7</definedName>
    <definedName name="podbor_shireni_kolyaski">Таблица7[#All]</definedName>
    <definedName name="shirbedr">'Вводимые параметры'!$C$5</definedName>
    <definedName name="typebanan">Буфер!$D$7</definedName>
    <definedName name="typewheelch">Буфер!$D$7</definedName>
    <definedName name="visotakol">'Вводимые параметры'!$C$8</definedName>
    <definedName name="visotaSpin">'Вводимые параметры'!$C$9</definedName>
    <definedName name="подбор_ширины_коляски">Таблица7[#All]</definedName>
    <definedName name="Таблица82258126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P8" i="8" l="1"/>
  <c r="G264" i="2" l="1"/>
  <c r="G265" i="2"/>
  <c r="G266" i="2"/>
  <c r="G267" i="2"/>
  <c r="G268" i="2"/>
  <c r="G269" i="2"/>
  <c r="C6" i="1" l="1"/>
  <c r="C7" i="1" l="1"/>
  <c r="C9" i="1" l="1"/>
  <c r="C5" i="1"/>
  <c r="C8" i="1" s="1"/>
  <c r="G251" i="2" l="1"/>
  <c r="G250" i="2"/>
  <c r="G249" i="2"/>
  <c r="G248" i="2"/>
  <c r="G247" i="2"/>
  <c r="G246" i="2"/>
  <c r="AU5" i="4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6" i="4"/>
  <c r="AU27" i="4"/>
  <c r="AU28" i="4"/>
  <c r="AU29" i="4"/>
  <c r="AU30" i="4"/>
  <c r="AU31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G12" i="2" l="1"/>
  <c r="C9" i="4" l="1"/>
  <c r="C8" i="4" l="1"/>
  <c r="I9" i="4" l="1" a="1"/>
  <c r="I9" i="4" s="1"/>
  <c r="I10" i="4" a="1"/>
  <c r="I10" i="4" s="1"/>
  <c r="I11" i="4" a="1"/>
  <c r="I11" i="4" s="1"/>
  <c r="I8" i="4" a="1"/>
  <c r="I8" i="4" s="1"/>
  <c r="I7" i="4" a="1"/>
  <c r="I7" i="4" s="1"/>
  <c r="G259" i="2"/>
  <c r="G262" i="2"/>
  <c r="G367" i="2" l="1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358" i="2"/>
  <c r="G359" i="2"/>
  <c r="G360" i="2"/>
  <c r="G361" i="2"/>
  <c r="G362" i="2"/>
  <c r="G363" i="2"/>
  <c r="G364" i="2"/>
  <c r="G365" i="2"/>
  <c r="G366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142" i="2" l="1"/>
  <c r="G143" i="2"/>
  <c r="G144" i="2"/>
  <c r="G145" i="2"/>
  <c r="G146" i="2"/>
  <c r="G147" i="2"/>
  <c r="G284" i="2" l="1"/>
  <c r="G283" i="2"/>
  <c r="G282" i="2"/>
  <c r="G281" i="2"/>
  <c r="G280" i="2"/>
  <c r="G279" i="2"/>
  <c r="G278" i="2"/>
  <c r="G277" i="2"/>
  <c r="G276" i="2"/>
  <c r="G275" i="2"/>
  <c r="G274" i="2"/>
  <c r="G252" i="2"/>
  <c r="G253" i="2"/>
  <c r="G254" i="2"/>
  <c r="G255" i="2"/>
  <c r="G256" i="2"/>
  <c r="G257" i="2"/>
  <c r="G258" i="2"/>
  <c r="G260" i="2"/>
  <c r="G261" i="2"/>
  <c r="G263" i="2"/>
  <c r="G270" i="2"/>
  <c r="G271" i="2"/>
  <c r="G272" i="2"/>
  <c r="G273" i="2"/>
  <c r="G241" i="2"/>
  <c r="G242" i="2"/>
  <c r="G243" i="2"/>
  <c r="G244" i="2"/>
  <c r="G245" i="2"/>
  <c r="G240" i="2"/>
  <c r="G233" i="2" l="1"/>
  <c r="G234" i="2"/>
  <c r="G235" i="2"/>
  <c r="G236" i="2"/>
  <c r="G237" i="2"/>
  <c r="G238" i="2"/>
  <c r="G239" i="2"/>
  <c r="G223" i="2"/>
  <c r="G211" i="2"/>
  <c r="G199" i="2"/>
  <c r="G187" i="2"/>
  <c r="G175" i="2"/>
  <c r="G163" i="2"/>
  <c r="G37" i="2"/>
  <c r="G84" i="2"/>
  <c r="G83" i="2"/>
  <c r="G82" i="2"/>
  <c r="G81" i="2"/>
  <c r="G64" i="2"/>
  <c r="L71" i="2"/>
  <c r="G71" i="2"/>
  <c r="L76" i="2"/>
  <c r="L68" i="2"/>
  <c r="L69" i="2"/>
  <c r="L70" i="2"/>
  <c r="L72" i="2"/>
  <c r="L73" i="2"/>
  <c r="L74" i="2"/>
  <c r="L75" i="2"/>
  <c r="L77" i="2"/>
  <c r="L78" i="2"/>
  <c r="L79" i="2"/>
  <c r="L80" i="2"/>
  <c r="L67" i="2"/>
  <c r="G73" i="2"/>
  <c r="G74" i="2"/>
  <c r="G75" i="2"/>
  <c r="G77" i="2"/>
  <c r="G78" i="2"/>
  <c r="G79" i="2"/>
  <c r="G80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4" i="2"/>
  <c r="G165" i="2"/>
  <c r="G166" i="2"/>
  <c r="G167" i="2"/>
  <c r="G168" i="2"/>
  <c r="G169" i="2"/>
  <c r="G170" i="2"/>
  <c r="G171" i="2"/>
  <c r="G172" i="2"/>
  <c r="G173" i="2"/>
  <c r="G174" i="2"/>
  <c r="G176" i="2"/>
  <c r="G177" i="2"/>
  <c r="G178" i="2"/>
  <c r="G179" i="2"/>
  <c r="G180" i="2"/>
  <c r="G181" i="2"/>
  <c r="G182" i="2"/>
  <c r="G183" i="2"/>
  <c r="G184" i="2"/>
  <c r="G185" i="2"/>
  <c r="G186" i="2"/>
  <c r="G188" i="2"/>
  <c r="G189" i="2"/>
  <c r="G190" i="2"/>
  <c r="G191" i="2"/>
  <c r="G192" i="2"/>
  <c r="G193" i="2"/>
  <c r="G194" i="2"/>
  <c r="G195" i="2"/>
  <c r="G196" i="2"/>
  <c r="G197" i="2"/>
  <c r="G198" i="2"/>
  <c r="G200" i="2"/>
  <c r="G201" i="2"/>
  <c r="G202" i="2"/>
  <c r="G203" i="2"/>
  <c r="G204" i="2"/>
  <c r="G205" i="2"/>
  <c r="G206" i="2"/>
  <c r="G207" i="2"/>
  <c r="G208" i="2"/>
  <c r="G209" i="2"/>
  <c r="G210" i="2"/>
  <c r="G212" i="2"/>
  <c r="G213" i="2"/>
  <c r="G214" i="2"/>
  <c r="G215" i="2"/>
  <c r="G216" i="2"/>
  <c r="G217" i="2"/>
  <c r="G218" i="2"/>
  <c r="G219" i="2"/>
  <c r="G220" i="2"/>
  <c r="G221" i="2"/>
  <c r="G222" i="2"/>
  <c r="G224" i="2"/>
  <c r="G225" i="2"/>
  <c r="G226" i="2"/>
  <c r="G227" i="2"/>
  <c r="G228" i="2"/>
  <c r="G229" i="2"/>
  <c r="G230" i="2"/>
  <c r="G231" i="2"/>
  <c r="G232" i="2"/>
  <c r="G76" i="2" l="1"/>
  <c r="G50" i="2"/>
  <c r="G51" i="2"/>
  <c r="G53" i="2"/>
  <c r="G54" i="2"/>
  <c r="G55" i="2"/>
  <c r="G52" i="2"/>
  <c r="G56" i="2"/>
  <c r="G57" i="2"/>
  <c r="G58" i="2"/>
  <c r="G59" i="2"/>
  <c r="G60" i="2"/>
  <c r="G61" i="2"/>
  <c r="G62" i="2"/>
  <c r="G63" i="2"/>
  <c r="G65" i="2"/>
  <c r="G66" i="2"/>
  <c r="G67" i="2"/>
  <c r="G68" i="2"/>
  <c r="G69" i="2"/>
  <c r="G70" i="2"/>
  <c r="G72" i="2"/>
  <c r="G41" i="2"/>
  <c r="C7" i="4" l="1"/>
  <c r="C6" i="4"/>
  <c r="C10" i="4"/>
  <c r="H7" i="4" l="1" a="1"/>
  <c r="H7" i="4" s="1"/>
  <c r="H9" i="4" a="1"/>
  <c r="H9" i="4" s="1"/>
  <c r="H10" i="4" a="1"/>
  <c r="H10" i="4" s="1"/>
  <c r="H11" i="4" a="1"/>
  <c r="H11" i="4" s="1"/>
  <c r="D10" i="4"/>
  <c r="T3" i="2" s="1"/>
  <c r="H6" i="4" a="1"/>
  <c r="H6" i="4" s="1"/>
  <c r="H8" i="4" a="1"/>
  <c r="H8" i="4" s="1"/>
  <c r="G3" i="2"/>
  <c r="G2" i="2"/>
  <c r="G4" i="2"/>
  <c r="G5" i="2"/>
  <c r="U5" i="2" l="1"/>
  <c r="G47" i="2"/>
  <c r="G48" i="2"/>
  <c r="G49" i="2"/>
  <c r="G6" i="2"/>
  <c r="G7" i="2"/>
  <c r="G8" i="2"/>
  <c r="G9" i="2"/>
  <c r="G10" i="2"/>
  <c r="G11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8" i="2"/>
  <c r="G39" i="2"/>
  <c r="G40" i="2"/>
  <c r="G42" i="2"/>
  <c r="G43" i="2"/>
  <c r="G44" i="2"/>
  <c r="G45" i="2"/>
  <c r="G46" i="2"/>
  <c r="I6" i="4" l="1" a="1"/>
  <c r="I6" i="4" s="1"/>
  <c r="I22" i="4" l="1"/>
  <c r="I21" i="4"/>
  <c r="I17" i="4"/>
  <c r="I20" i="4"/>
  <c r="I18" i="4"/>
  <c r="I16" i="4"/>
  <c r="I19" i="4"/>
  <c r="F19" i="6"/>
  <c r="F18" i="6"/>
  <c r="F17" i="6"/>
  <c r="F15" i="6"/>
  <c r="F14" i="6"/>
  <c r="F13" i="6"/>
  <c r="F12" i="6"/>
  <c r="H31" i="4" l="1"/>
  <c r="I31" i="4" s="1"/>
  <c r="H30" i="4"/>
  <c r="I30" i="4" s="1"/>
  <c r="H29" i="4"/>
  <c r="I29" i="4" s="1"/>
  <c r="H28" i="4"/>
  <c r="I28" i="4" s="1"/>
  <c r="H33" i="4" l="1"/>
  <c r="AV5" i="4" s="1"/>
  <c r="AV17" i="4" l="1"/>
  <c r="AV29" i="4"/>
  <c r="AV41" i="4"/>
  <c r="AV8" i="4"/>
  <c r="AV32" i="4"/>
  <c r="AV44" i="4"/>
  <c r="AV26" i="4"/>
  <c r="AV39" i="4"/>
  <c r="AV40" i="4"/>
  <c r="AV18" i="4"/>
  <c r="AV30" i="4"/>
  <c r="AV42" i="4"/>
  <c r="AV20" i="4"/>
  <c r="AV38" i="4"/>
  <c r="AV28" i="4"/>
  <c r="AV7" i="4"/>
  <c r="AV19" i="4"/>
  <c r="AV31" i="4"/>
  <c r="AV43" i="4"/>
  <c r="AV9" i="4"/>
  <c r="AV21" i="4"/>
  <c r="AV33" i="4"/>
  <c r="AV6" i="4"/>
  <c r="AV16" i="4"/>
  <c r="AV10" i="4"/>
  <c r="AV22" i="4"/>
  <c r="AV34" i="4"/>
  <c r="AV11" i="4"/>
  <c r="AV23" i="4"/>
  <c r="AV35" i="4"/>
  <c r="AV24" i="4"/>
  <c r="AV14" i="4"/>
  <c r="AV12" i="4"/>
  <c r="AV36" i="4"/>
  <c r="AV13" i="4"/>
  <c r="AV25" i="4"/>
  <c r="AV37" i="4"/>
  <c r="AV27" i="4"/>
  <c r="AV15" i="4"/>
  <c r="D8" i="4"/>
  <c r="D7" i="4"/>
  <c r="D12" i="4" s="1"/>
  <c r="S5" i="2" s="1"/>
  <c r="K27" i="6"/>
  <c r="J27" i="6"/>
  <c r="I27" i="6"/>
  <c r="H27" i="6"/>
  <c r="G27" i="6"/>
  <c r="F27" i="6"/>
  <c r="E27" i="6"/>
  <c r="D9" i="4" l="1"/>
  <c r="E7" i="4"/>
  <c r="Q5" i="2"/>
  <c r="E8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6" i="4"/>
  <c r="Q8" i="2" l="1"/>
  <c r="R3" i="2"/>
  <c r="T5" i="2"/>
  <c r="H24" i="4" a="1"/>
  <c r="H24" i="4" s="1"/>
  <c r="E6" i="4" l="1"/>
  <c r="S3" i="2" s="1"/>
  <c r="W5" i="2" s="1"/>
  <c r="D6" i="4"/>
  <c r="L13" i="1" l="1"/>
  <c r="V3" i="2"/>
  <c r="V5" i="2"/>
  <c r="L14" i="1"/>
  <c r="R5" i="2"/>
  <c r="P5" i="2"/>
  <c r="Q3" i="2" s="1"/>
  <c r="Q7" i="2"/>
  <c r="C14" i="1" s="1"/>
  <c r="C11" i="1" s="1"/>
  <c r="W3" i="2"/>
  <c r="C10" i="1"/>
  <c r="O8" i="8" s="1"/>
  <c r="P3" i="2" l="1"/>
  <c r="M269" i="2" s="1"/>
  <c r="M39" i="2"/>
  <c r="M253" i="2"/>
  <c r="M117" i="2"/>
  <c r="M415" i="2"/>
  <c r="N8" i="8" a="1"/>
  <c r="N8" i="8" s="1"/>
  <c r="M308" i="2" l="1"/>
  <c r="M324" i="2"/>
  <c r="M67" i="2"/>
  <c r="M143" i="2"/>
  <c r="M359" i="2"/>
  <c r="M414" i="2"/>
  <c r="M293" i="2"/>
  <c r="M260" i="2"/>
  <c r="M24" i="2"/>
  <c r="M133" i="2"/>
  <c r="M34" i="2"/>
  <c r="M307" i="2"/>
  <c r="M183" i="2"/>
  <c r="M142" i="2"/>
  <c r="M333" i="2"/>
  <c r="M377" i="2"/>
  <c r="M372" i="2"/>
  <c r="M212" i="2"/>
  <c r="M317" i="2"/>
  <c r="M41" i="2"/>
  <c r="M10" i="2"/>
  <c r="M194" i="2"/>
  <c r="M22" i="2"/>
  <c r="M178" i="2"/>
  <c r="M11" i="2"/>
  <c r="M42" i="2"/>
  <c r="M223" i="2"/>
  <c r="M208" i="2"/>
  <c r="M330" i="2"/>
  <c r="M345" i="2"/>
  <c r="M50" i="2"/>
  <c r="M284" i="2"/>
  <c r="M170" i="2"/>
  <c r="M300" i="2"/>
  <c r="M48" i="2"/>
  <c r="M185" i="2"/>
  <c r="M154" i="2"/>
  <c r="M344" i="2"/>
  <c r="M316" i="2"/>
  <c r="M328" i="2"/>
  <c r="M137" i="2"/>
  <c r="M155" i="2"/>
  <c r="M411" i="2"/>
  <c r="M186" i="2"/>
  <c r="M28" i="2"/>
  <c r="M23" i="2"/>
  <c r="M250" i="2"/>
  <c r="M80" i="2"/>
  <c r="M258" i="2"/>
  <c r="M362" i="2"/>
  <c r="M27" i="2"/>
  <c r="M55" i="2"/>
  <c r="M131" i="2"/>
  <c r="M25" i="2"/>
  <c r="M5" i="2"/>
  <c r="M129" i="2"/>
  <c r="M271" i="2"/>
  <c r="M334" i="2"/>
  <c r="M386" i="2"/>
  <c r="M320" i="2"/>
  <c r="M235" i="2"/>
  <c r="M192" i="2"/>
  <c r="M335" i="2"/>
  <c r="M304" i="2"/>
  <c r="M220" i="2"/>
  <c r="M47" i="2"/>
  <c r="M59" i="2"/>
  <c r="M248" i="2"/>
  <c r="M79" i="2"/>
  <c r="M305" i="2"/>
  <c r="M177" i="2"/>
  <c r="M68" i="2"/>
  <c r="M373" i="2"/>
  <c r="M6" i="2"/>
  <c r="M342" i="2"/>
  <c r="M26" i="2"/>
  <c r="M412" i="2"/>
  <c r="M121" i="2"/>
  <c r="M199" i="2"/>
  <c r="M279" i="2"/>
  <c r="M141" i="2"/>
  <c r="M207" i="2"/>
  <c r="M385" i="2"/>
  <c r="M145" i="2"/>
  <c r="M18" i="2"/>
  <c r="M179" i="2"/>
  <c r="M370" i="2"/>
  <c r="M61" i="2"/>
  <c r="M252" i="2"/>
  <c r="M219" i="2"/>
  <c r="M211" i="2"/>
  <c r="M319" i="2"/>
  <c r="M195" i="2"/>
  <c r="M358" i="2"/>
  <c r="M318" i="2"/>
  <c r="M224" i="2"/>
  <c r="M281" i="2"/>
  <c r="M149" i="2"/>
  <c r="M12" i="2"/>
  <c r="M355" i="2"/>
  <c r="M299" i="2"/>
  <c r="M400" i="2"/>
  <c r="M180" i="2"/>
  <c r="M161" i="2"/>
  <c r="M291" i="2"/>
  <c r="M357" i="2"/>
  <c r="M92" i="2"/>
  <c r="M227" i="2"/>
  <c r="M312" i="2"/>
  <c r="M329" i="2"/>
  <c r="M53" i="2"/>
  <c r="M206" i="2"/>
  <c r="M218" i="2"/>
  <c r="M29" i="2"/>
  <c r="M261" i="2"/>
  <c r="M369" i="2"/>
  <c r="M287" i="2"/>
  <c r="M36" i="2"/>
  <c r="M165" i="2"/>
  <c r="M168" i="2"/>
  <c r="M327" i="2"/>
  <c r="M114" i="2"/>
  <c r="M295" i="2"/>
  <c r="M416" i="2"/>
  <c r="M349" i="2"/>
  <c r="M16" i="2"/>
  <c r="M56" i="2"/>
  <c r="M156" i="2"/>
  <c r="M270" i="2"/>
  <c r="M398" i="2"/>
  <c r="M118" i="2"/>
  <c r="M283" i="2"/>
  <c r="M311" i="2"/>
  <c r="M413" i="2"/>
  <c r="M52" i="2"/>
  <c r="M236" i="2"/>
  <c r="M182" i="2"/>
  <c r="M103" i="2"/>
  <c r="M60" i="2"/>
  <c r="M197" i="2"/>
  <c r="M356" i="2"/>
  <c r="M368" i="2"/>
  <c r="M288" i="2"/>
  <c r="M403" i="2"/>
  <c r="M173" i="2"/>
  <c r="M292" i="2"/>
  <c r="M150" i="2"/>
  <c r="M184" i="2"/>
  <c r="M171" i="2"/>
  <c r="M343" i="2"/>
  <c r="M146" i="2"/>
  <c r="M126" i="2"/>
  <c r="M262" i="2"/>
  <c r="M14" i="2"/>
  <c r="M404" i="2"/>
  <c r="M130" i="2"/>
  <c r="M196" i="2"/>
  <c r="M153" i="2"/>
  <c r="M332" i="2"/>
  <c r="M247" i="2"/>
  <c r="M13" i="2"/>
  <c r="M30" i="2"/>
  <c r="M99" i="2"/>
  <c r="M100" i="2"/>
  <c r="M51" i="2"/>
  <c r="M21" i="2"/>
  <c r="M361" i="2"/>
  <c r="M323" i="2"/>
  <c r="M106" i="2"/>
  <c r="M315" i="2"/>
  <c r="M172" i="2"/>
  <c r="M40" i="2"/>
  <c r="M322" i="2"/>
  <c r="M17" i="2"/>
  <c r="M321" i="2"/>
  <c r="M160" i="2"/>
  <c r="M200" i="2"/>
  <c r="M306" i="2"/>
  <c r="M310" i="2"/>
  <c r="M350" i="2"/>
  <c r="M109" i="2"/>
  <c r="M296" i="2"/>
  <c r="M276" i="2"/>
  <c r="M354" i="2"/>
  <c r="M158" i="2"/>
  <c r="M138" i="2"/>
  <c r="M280" i="2"/>
  <c r="M346" i="2"/>
  <c r="M303" i="2"/>
  <c r="M75" i="2"/>
  <c r="M397" i="2"/>
  <c r="M157" i="2"/>
  <c r="M174" i="2"/>
  <c r="M209" i="2"/>
  <c r="M371" i="2"/>
  <c r="M54" i="2"/>
  <c r="M384" i="2"/>
  <c r="M198" i="2"/>
  <c r="M9" i="2"/>
  <c r="M38" i="2"/>
  <c r="M162" i="2"/>
  <c r="M35" i="2"/>
  <c r="M87" i="2"/>
  <c r="M166" i="2"/>
  <c r="M339" i="2"/>
  <c r="M366" i="2"/>
  <c r="M139" i="2"/>
  <c r="M289" i="2"/>
  <c r="M243" i="2"/>
  <c r="M203" i="2"/>
  <c r="M140" i="2"/>
  <c r="M33" i="2"/>
  <c r="M393" i="2"/>
  <c r="M84" i="2"/>
  <c r="M46" i="2"/>
  <c r="M74" i="2"/>
  <c r="M190" i="2"/>
  <c r="M267" i="2"/>
  <c r="M268" i="2"/>
  <c r="M265" i="2"/>
  <c r="M266" i="2"/>
  <c r="M71" i="2"/>
  <c r="M347" i="2"/>
  <c r="M169" i="2"/>
  <c r="M127" i="2"/>
  <c r="M255" i="2"/>
  <c r="M215" i="2"/>
  <c r="M251" i="2"/>
  <c r="M264" i="2"/>
  <c r="M380" i="2"/>
  <c r="M123" i="2"/>
  <c r="M273" i="2"/>
  <c r="M7" i="2"/>
  <c r="M151" i="2"/>
  <c r="M301" i="2"/>
  <c r="M8" i="2"/>
  <c r="M98" i="2"/>
  <c r="M242" i="2"/>
  <c r="M62" i="2"/>
  <c r="M374" i="2"/>
  <c r="M111" i="2"/>
  <c r="M340" i="2"/>
  <c r="M285" i="2"/>
  <c r="M86" i="2"/>
  <c r="M396" i="2"/>
  <c r="M230" i="2"/>
  <c r="M313" i="2"/>
  <c r="M20" i="2"/>
  <c r="M164" i="2"/>
  <c r="M314" i="2"/>
  <c r="M254" i="2"/>
  <c r="M3" i="2"/>
  <c r="M147" i="2"/>
  <c r="M297" i="2"/>
  <c r="M175" i="2"/>
  <c r="M325" i="2"/>
  <c r="M32" i="2"/>
  <c r="M176" i="2"/>
  <c r="M69" i="2"/>
  <c r="M124" i="2"/>
  <c r="M81" i="2"/>
  <c r="M378" i="2"/>
  <c r="M326" i="2"/>
  <c r="M365" i="2"/>
  <c r="M348" i="2"/>
  <c r="M213" i="2"/>
  <c r="M274" i="2"/>
  <c r="M225" i="2"/>
  <c r="M136" i="2"/>
  <c r="M93" i="2"/>
  <c r="M277" i="2"/>
  <c r="M353" i="2"/>
  <c r="M405" i="2"/>
  <c r="M402" i="2"/>
  <c r="M96" i="2"/>
  <c r="M406" i="2"/>
  <c r="M363" i="2"/>
  <c r="M360" i="2"/>
  <c r="M375" i="2"/>
  <c r="M286" i="2"/>
  <c r="M82" i="2"/>
  <c r="M240" i="2"/>
  <c r="M89" i="2"/>
  <c r="M58" i="2"/>
  <c r="M101" i="2"/>
  <c r="M70" i="2"/>
  <c r="M408" i="2"/>
  <c r="M226" i="2"/>
  <c r="M115" i="2"/>
  <c r="M191" i="2"/>
  <c r="M88" i="2"/>
  <c r="M128" i="2"/>
  <c r="M228" i="2"/>
  <c r="M244" i="2"/>
  <c r="M290" i="2"/>
  <c r="M49" i="2"/>
  <c r="M233" i="2"/>
  <c r="M202" i="2"/>
  <c r="M245" i="2"/>
  <c r="M214" i="2"/>
  <c r="M407" i="2"/>
  <c r="M15" i="2"/>
  <c r="M231" i="2"/>
  <c r="M259" i="2"/>
  <c r="M341" i="2"/>
  <c r="M232" i="2"/>
  <c r="M278" i="2"/>
  <c r="M37" i="2"/>
  <c r="M394" i="2"/>
  <c r="M57" i="2"/>
  <c r="M193" i="2"/>
  <c r="M383" i="2"/>
  <c r="M352" i="2"/>
  <c r="M395" i="2"/>
  <c r="M364" i="2"/>
  <c r="M90" i="2"/>
  <c r="M159" i="2"/>
  <c r="M381" i="2"/>
  <c r="M409" i="2"/>
  <c r="M72" i="2"/>
  <c r="M382" i="2"/>
  <c r="M45" i="2"/>
  <c r="M181" i="2"/>
  <c r="M77" i="2"/>
  <c r="M201" i="2"/>
  <c r="M108" i="2"/>
  <c r="M66" i="2"/>
  <c r="M83" i="2"/>
  <c r="M78" i="2"/>
  <c r="M389" i="2"/>
  <c r="M234" i="2"/>
  <c r="M309" i="2"/>
  <c r="M63" i="2"/>
  <c r="M91" i="2"/>
  <c r="M167" i="2"/>
  <c r="M64" i="2"/>
  <c r="M104" i="2"/>
  <c r="M204" i="2"/>
  <c r="M76" i="2"/>
  <c r="M116" i="2"/>
  <c r="M216" i="2"/>
  <c r="M65" i="2"/>
  <c r="M189" i="2"/>
  <c r="M331" i="2"/>
  <c r="M221" i="2"/>
  <c r="M351" i="2"/>
  <c r="M120" i="2"/>
  <c r="M210" i="2"/>
  <c r="M205" i="2"/>
  <c r="M222" i="2"/>
  <c r="M110" i="2"/>
  <c r="M31" i="2"/>
  <c r="M4" i="2"/>
  <c r="M298" i="2"/>
  <c r="M148" i="2"/>
  <c r="M410" i="2"/>
  <c r="M336" i="2"/>
  <c r="M102" i="2"/>
  <c r="M43" i="2"/>
  <c r="M187" i="2"/>
  <c r="M122" i="2"/>
  <c r="M337" i="2"/>
  <c r="M338" i="2"/>
  <c r="M249" i="2"/>
  <c r="M399" i="2"/>
  <c r="M94" i="2"/>
  <c r="M238" i="2"/>
  <c r="M112" i="2"/>
  <c r="M152" i="2"/>
  <c r="M392" i="2"/>
  <c r="M19" i="2"/>
  <c r="M95" i="2"/>
  <c r="M113" i="2"/>
  <c r="M237" i="2"/>
  <c r="M125" i="2"/>
  <c r="M388" i="2"/>
  <c r="M256" i="2"/>
  <c r="M302" i="2"/>
  <c r="M135" i="2"/>
  <c r="M163" i="2"/>
  <c r="M239" i="2"/>
  <c r="M257" i="2"/>
  <c r="M387" i="2"/>
  <c r="M275" i="2"/>
  <c r="M85" i="2"/>
  <c r="M119" i="2"/>
  <c r="M272" i="2"/>
  <c r="M246" i="2"/>
  <c r="M97" i="2"/>
  <c r="M229" i="2"/>
  <c r="M391" i="2"/>
  <c r="M44" i="2"/>
  <c r="M376" i="2"/>
  <c r="M105" i="2"/>
  <c r="M132" i="2"/>
  <c r="M107" i="2"/>
  <c r="M217" i="2"/>
  <c r="M263" i="2"/>
  <c r="M367" i="2"/>
  <c r="M379" i="2"/>
  <c r="M134" i="2"/>
  <c r="M2" i="2"/>
  <c r="M144" i="2"/>
  <c r="M294" i="2"/>
  <c r="M188" i="2"/>
  <c r="M401" i="2"/>
  <c r="M241" i="2"/>
  <c r="M282" i="2"/>
  <c r="M73" i="2"/>
  <c r="M390" i="2"/>
  <c r="P50" i="2" l="1" a="1"/>
  <c r="P50" i="2" s="1"/>
  <c r="R81" i="2" a="1"/>
  <c r="R81" i="2" s="1"/>
  <c r="D99" i="1" a="1"/>
  <c r="D99" i="1" s="1"/>
  <c r="Q65" i="2" a="1"/>
  <c r="Q65" i="2" s="1"/>
  <c r="B22" i="1" a="1"/>
  <c r="B22" i="1" s="1"/>
  <c r="B73" i="1" a="1"/>
  <c r="B73" i="1" s="1"/>
  <c r="B63" i="1" a="1"/>
  <c r="B63" i="1" s="1"/>
  <c r="Q44" i="2" a="1"/>
  <c r="Q44" i="2" s="1"/>
  <c r="Q33" i="2" a="1"/>
  <c r="Q33" i="2" s="1"/>
  <c r="C19" i="1" a="1"/>
  <c r="C19" i="1" s="1"/>
  <c r="Q17" i="2" a="1"/>
  <c r="Q17" i="2" s="1"/>
  <c r="P83" i="2" a="1"/>
  <c r="P83" i="2" s="1"/>
  <c r="P72" i="2" a="1"/>
  <c r="P72" i="2" s="1"/>
  <c r="R87" i="2" a="1"/>
  <c r="R87" i="2" s="1"/>
  <c r="R76" i="2" a="1"/>
  <c r="R76" i="2" s="1"/>
  <c r="B41" i="1" a="1"/>
  <c r="B41" i="1" s="1"/>
  <c r="B31" i="1" a="1"/>
  <c r="B31" i="1" s="1"/>
  <c r="D87" i="1" a="1"/>
  <c r="D87" i="1" s="1"/>
  <c r="D65" i="1" a="1"/>
  <c r="D65" i="1" s="1"/>
  <c r="P88" i="2" a="1"/>
  <c r="P88" i="2" s="1"/>
  <c r="P71" i="2" a="1"/>
  <c r="P71" i="2" s="1"/>
  <c r="P61" i="2" a="1"/>
  <c r="P61" i="2" s="1"/>
  <c r="R75" i="2" a="1"/>
  <c r="R75" i="2" s="1"/>
  <c r="R65" i="2" a="1"/>
  <c r="R65" i="2" s="1"/>
  <c r="B20" i="1" a="1"/>
  <c r="B20" i="1" s="1"/>
  <c r="C100" i="1" a="1"/>
  <c r="C100" i="1" s="1"/>
  <c r="D64" i="1" a="1"/>
  <c r="D64" i="1" s="1"/>
  <c r="D54" i="1" a="1"/>
  <c r="D54" i="1" s="1"/>
  <c r="D16" i="1" a="1"/>
  <c r="D16" i="1" s="1"/>
  <c r="P39" i="2" a="1"/>
  <c r="P39" i="2" s="1"/>
  <c r="R54" i="2" a="1"/>
  <c r="R54" i="2" s="1"/>
  <c r="R44" i="2" a="1"/>
  <c r="R44" i="2" s="1"/>
  <c r="P18" i="2" a="1"/>
  <c r="P18" i="2" s="1"/>
  <c r="Q82" i="2" a="1"/>
  <c r="Q82" i="2" s="1"/>
  <c r="D94" i="1" a="1"/>
  <c r="D94" i="1" s="1"/>
  <c r="D83" i="1" a="1"/>
  <c r="D83" i="1" s="1"/>
  <c r="C20" i="1" a="1"/>
  <c r="C20" i="1" s="1"/>
  <c r="Q54" i="2" a="1"/>
  <c r="Q54" i="2" s="1"/>
  <c r="B83" i="1" a="1"/>
  <c r="B83" i="1" s="1"/>
  <c r="C29" i="1" a="1"/>
  <c r="C29" i="1" s="1"/>
  <c r="D67" i="1" a="1"/>
  <c r="D67" i="1" s="1"/>
  <c r="Q22" i="2" a="1"/>
  <c r="Q22" i="2" s="1"/>
  <c r="B62" i="1" a="1"/>
  <c r="B62" i="1" s="1"/>
  <c r="D98" i="1" a="1"/>
  <c r="D98" i="1" s="1"/>
  <c r="P82" i="2" a="1"/>
  <c r="P82" i="2" s="1"/>
  <c r="R86" i="2" a="1"/>
  <c r="R86" i="2" s="1"/>
  <c r="B30" i="1" a="1"/>
  <c r="B30" i="1" s="1"/>
  <c r="D75" i="1" a="1"/>
  <c r="D75" i="1" s="1"/>
  <c r="P60" i="2" a="1"/>
  <c r="P60" i="2" s="1"/>
  <c r="R64" i="2" a="1"/>
  <c r="R64" i="2" s="1"/>
  <c r="D22" i="1" a="1"/>
  <c r="D22" i="1" s="1"/>
  <c r="B48" i="1" a="1"/>
  <c r="B48" i="1" s="1"/>
  <c r="P77" i="2" a="1"/>
  <c r="P77" i="2" s="1"/>
  <c r="Q45" i="2" a="1"/>
  <c r="Q45" i="2" s="1"/>
  <c r="D76" i="1" a="1"/>
  <c r="D76" i="1" s="1"/>
  <c r="P62" i="2" a="1"/>
  <c r="P62" i="2" s="1"/>
  <c r="R66" i="2" a="1"/>
  <c r="R66" i="2" s="1"/>
  <c r="B21" i="1" a="1"/>
  <c r="B21" i="1" s="1"/>
  <c r="D55" i="1" a="1"/>
  <c r="D55" i="1" s="1"/>
  <c r="P40" i="2" a="1"/>
  <c r="P40" i="2" s="1"/>
  <c r="R55" i="2" a="1"/>
  <c r="R55" i="2" s="1"/>
  <c r="C89" i="1" a="1"/>
  <c r="C89" i="1" s="1"/>
  <c r="D44" i="1" a="1"/>
  <c r="D44" i="1" s="1"/>
  <c r="P29" i="2" a="1"/>
  <c r="P29" i="2" s="1"/>
  <c r="R33" i="2" a="1"/>
  <c r="R33" i="2" s="1"/>
  <c r="R22" i="2" a="1"/>
  <c r="R22" i="2" s="1"/>
  <c r="P89" i="2" a="1"/>
  <c r="P89" i="2" s="1"/>
  <c r="B36" i="1" a="1"/>
  <c r="B36" i="1" s="1"/>
  <c r="Q56" i="2" a="1"/>
  <c r="Q56" i="2" s="1"/>
  <c r="D36" i="1" a="1"/>
  <c r="D36" i="1" s="1"/>
  <c r="R88" i="2" a="1"/>
  <c r="R88" i="2" s="1"/>
  <c r="B42" i="1" a="1"/>
  <c r="B42" i="1" s="1"/>
  <c r="D66" i="1" a="1"/>
  <c r="D66" i="1" s="1"/>
  <c r="P51" i="2" a="1"/>
  <c r="P51" i="2" s="1"/>
  <c r="R56" i="2" a="1"/>
  <c r="R56" i="2" s="1"/>
  <c r="C101" i="1" a="1"/>
  <c r="C101" i="1" s="1"/>
  <c r="D45" i="1" a="1"/>
  <c r="D45" i="1" s="1"/>
  <c r="P30" i="2" a="1"/>
  <c r="P30" i="2" s="1"/>
  <c r="R34" i="2" a="1"/>
  <c r="R34" i="2" s="1"/>
  <c r="C79" i="1" a="1"/>
  <c r="C79" i="1" s="1"/>
  <c r="D23" i="1" a="1"/>
  <c r="D23" i="1" s="1"/>
  <c r="P19" i="2" a="1"/>
  <c r="P19" i="2" s="1"/>
  <c r="R23" i="2" a="1"/>
  <c r="R23" i="2" s="1"/>
  <c r="B100" i="1" a="1"/>
  <c r="B100" i="1" s="1"/>
  <c r="P78" i="2" a="1"/>
  <c r="P78" i="2" s="1"/>
  <c r="B26" i="1" a="1"/>
  <c r="B26" i="1" s="1"/>
  <c r="B52" i="1" a="1"/>
  <c r="B52" i="1" s="1"/>
  <c r="P73" i="2" a="1"/>
  <c r="P73" i="2" s="1"/>
  <c r="R77" i="2" a="1"/>
  <c r="R77" i="2" s="1"/>
  <c r="B32" i="1" a="1"/>
  <c r="B32" i="1" s="1"/>
  <c r="D56" i="1" a="1"/>
  <c r="D56" i="1" s="1"/>
  <c r="P41" i="2" a="1"/>
  <c r="P41" i="2" s="1"/>
  <c r="R45" i="2" a="1"/>
  <c r="R45" i="2" s="1"/>
  <c r="C90" i="1" a="1"/>
  <c r="C90" i="1" s="1"/>
  <c r="D34" i="1" a="1"/>
  <c r="D34" i="1" s="1"/>
  <c r="P20" i="2" a="1"/>
  <c r="P20" i="2" s="1"/>
  <c r="R24" i="2" a="1"/>
  <c r="R24" i="2" s="1"/>
  <c r="C69" i="1" a="1"/>
  <c r="C69" i="1" s="1"/>
  <c r="P74" i="2" a="1"/>
  <c r="P74" i="2" s="1"/>
  <c r="Q83" i="2" a="1"/>
  <c r="Q83" i="2" s="1"/>
  <c r="B81" i="1" a="1"/>
  <c r="B81" i="1" s="1"/>
  <c r="C57" i="1" a="1"/>
  <c r="C57" i="1" s="1"/>
  <c r="Q18" i="2" a="1"/>
  <c r="Q18" i="2" s="1"/>
  <c r="D81" i="1" a="1"/>
  <c r="D81" i="1" s="1"/>
  <c r="C102" i="1" a="1"/>
  <c r="C102" i="1" s="1"/>
  <c r="D35" i="1" a="1"/>
  <c r="D35" i="1" s="1"/>
  <c r="P31" i="2" a="1"/>
  <c r="P31" i="2" s="1"/>
  <c r="R35" i="2" a="1"/>
  <c r="R35" i="2" s="1"/>
  <c r="C80" i="1" a="1"/>
  <c r="C80" i="1" s="1"/>
  <c r="D24" i="1" a="1"/>
  <c r="D24" i="1" s="1"/>
  <c r="Q84" i="2" a="1"/>
  <c r="Q84" i="2" s="1"/>
  <c r="B102" i="1" a="1"/>
  <c r="B102" i="1" s="1"/>
  <c r="C58" i="1" a="1"/>
  <c r="C58" i="1" s="1"/>
  <c r="Q24" i="2" a="1"/>
  <c r="Q24" i="2" s="1"/>
  <c r="Q72" i="2" a="1"/>
  <c r="Q72" i="2" s="1"/>
  <c r="B29" i="1" a="1"/>
  <c r="B29" i="1" s="1"/>
  <c r="C46" i="1" a="1"/>
  <c r="C46" i="1" s="1"/>
  <c r="R82" i="2" a="1"/>
  <c r="R82" i="2" s="1"/>
  <c r="D70" i="1" a="1"/>
  <c r="D70" i="1" s="1"/>
  <c r="Q23" i="2" a="1"/>
  <c r="Q23" i="2" s="1"/>
  <c r="P42" i="2" a="1"/>
  <c r="P42" i="2" s="1"/>
  <c r="R46" i="2" a="1"/>
  <c r="R46" i="2" s="1"/>
  <c r="C91" i="1" a="1"/>
  <c r="C91" i="1" s="1"/>
  <c r="D25" i="1" a="1"/>
  <c r="D25" i="1" s="1"/>
  <c r="Q85" i="2" a="1"/>
  <c r="Q85" i="2" s="1"/>
  <c r="R25" i="2" a="1"/>
  <c r="R25" i="2" s="1"/>
  <c r="C59" i="1" a="1"/>
  <c r="C59" i="1" s="1"/>
  <c r="P63" i="2" a="1"/>
  <c r="P63" i="2" s="1"/>
  <c r="Q73" i="2" a="1"/>
  <c r="Q73" i="2" s="1"/>
  <c r="B92" i="1" a="1"/>
  <c r="B92" i="1" s="1"/>
  <c r="C48" i="1" a="1"/>
  <c r="C48" i="1" s="1"/>
  <c r="C92" i="1" a="1"/>
  <c r="C92" i="1" s="1"/>
  <c r="Q62" i="2" a="1"/>
  <c r="Q62" i="2" s="1"/>
  <c r="B19" i="1" a="1"/>
  <c r="B19" i="1" s="1"/>
  <c r="Q55" i="2" a="1"/>
  <c r="Q55" i="2" s="1"/>
  <c r="B37" i="1" a="1"/>
  <c r="B37" i="1" s="1"/>
  <c r="Q14" i="2" a="1"/>
  <c r="Q14" i="2" s="1"/>
  <c r="P32" i="2" a="1"/>
  <c r="P32" i="2" s="1"/>
  <c r="R36" i="2" a="1"/>
  <c r="R36" i="2" s="1"/>
  <c r="C81" i="1" a="1"/>
  <c r="C81" i="1" s="1"/>
  <c r="P53" i="2" a="1"/>
  <c r="P53" i="2" s="1"/>
  <c r="Q74" i="2" a="1"/>
  <c r="Q74" i="2" s="1"/>
  <c r="B103" i="1" a="1"/>
  <c r="B103" i="1" s="1"/>
  <c r="C49" i="1" a="1"/>
  <c r="C49" i="1" s="1"/>
  <c r="R78" i="2" a="1"/>
  <c r="R78" i="2" s="1"/>
  <c r="Q52" i="2" a="1"/>
  <c r="Q52" i="2" s="1"/>
  <c r="B71" i="1" a="1"/>
  <c r="B71" i="1" s="1"/>
  <c r="C38" i="1" a="1"/>
  <c r="C38" i="1" s="1"/>
  <c r="D88" i="1" a="1"/>
  <c r="D88" i="1" s="1"/>
  <c r="Q51" i="2" a="1"/>
  <c r="Q51" i="2" s="1"/>
  <c r="C88" i="1" a="1"/>
  <c r="C88" i="1" s="1"/>
  <c r="C103" i="1" a="1"/>
  <c r="C103" i="1" s="1"/>
  <c r="B27" i="1" a="1"/>
  <c r="B27" i="1" s="1"/>
  <c r="Q78" i="2" a="1"/>
  <c r="Q78" i="2" s="1"/>
  <c r="R67" i="2" a="1"/>
  <c r="R67" i="2" s="1"/>
  <c r="P21" i="2" a="1"/>
  <c r="P21" i="2" s="1"/>
  <c r="R26" i="2" a="1"/>
  <c r="R26" i="2" s="1"/>
  <c r="C70" i="1" a="1"/>
  <c r="C70" i="1" s="1"/>
  <c r="R68" i="2" a="1"/>
  <c r="R68" i="2" s="1"/>
  <c r="Q63" i="2" a="1"/>
  <c r="Q63" i="2" s="1"/>
  <c r="B93" i="1" a="1"/>
  <c r="B93" i="1" s="1"/>
  <c r="C39" i="1" a="1"/>
  <c r="C39" i="1" s="1"/>
  <c r="B94" i="1" a="1"/>
  <c r="B94" i="1" s="1"/>
  <c r="Q42" i="2" a="1"/>
  <c r="Q42" i="2" s="1"/>
  <c r="B61" i="1" a="1"/>
  <c r="B61" i="1" s="1"/>
  <c r="C17" i="1" a="1"/>
  <c r="C17" i="1" s="1"/>
  <c r="D26" i="1" a="1"/>
  <c r="D26" i="1" s="1"/>
  <c r="Q41" i="2" a="1"/>
  <c r="Q41" i="2" s="1"/>
  <c r="C78" i="1" a="1"/>
  <c r="C78" i="1" s="1"/>
  <c r="Q39" i="2" a="1"/>
  <c r="Q39" i="2" s="1"/>
  <c r="D82" i="1" a="1"/>
  <c r="D82" i="1" s="1"/>
  <c r="R19" i="2" a="1"/>
  <c r="R19" i="2" s="1"/>
  <c r="Q86" i="2" a="1"/>
  <c r="Q86" i="2" s="1"/>
  <c r="R15" i="2" a="1"/>
  <c r="R15" i="2" s="1"/>
  <c r="C60" i="1" a="1"/>
  <c r="C60" i="1" s="1"/>
  <c r="B105" i="1" a="1"/>
  <c r="B105" i="1" s="1"/>
  <c r="Q53" i="2" a="1"/>
  <c r="Q53" i="2" s="1"/>
  <c r="B82" i="1" a="1"/>
  <c r="B82" i="1" s="1"/>
  <c r="C28" i="1" a="1"/>
  <c r="C28" i="1" s="1"/>
  <c r="C51" i="1" a="1"/>
  <c r="C51" i="1" s="1"/>
  <c r="Q32" i="2" a="1"/>
  <c r="Q32" i="2" s="1"/>
  <c r="B51" i="1" a="1"/>
  <c r="B51" i="1" s="1"/>
  <c r="D97" i="1" a="1"/>
  <c r="D97" i="1" s="1"/>
  <c r="P81" i="2" a="1"/>
  <c r="P81" i="2" s="1"/>
  <c r="Q31" i="2" a="1"/>
  <c r="Q31" i="2" s="1"/>
  <c r="C27" i="1" a="1"/>
  <c r="C27" i="1" s="1"/>
  <c r="Q29" i="2" a="1"/>
  <c r="Q29" i="2" s="1"/>
  <c r="D71" i="1" a="1"/>
  <c r="D71" i="1" s="1"/>
  <c r="B97" i="1" a="1"/>
  <c r="B97" i="1" s="1"/>
  <c r="P52" i="2" a="1"/>
  <c r="P52" i="2" s="1"/>
  <c r="Q64" i="2" a="1"/>
  <c r="Q64" i="2" s="1"/>
  <c r="B104" i="1" a="1"/>
  <c r="B104" i="1" s="1"/>
  <c r="C50" i="1" a="1"/>
  <c r="C50" i="1" s="1"/>
  <c r="C61" i="1" a="1"/>
  <c r="C61" i="1" s="1"/>
  <c r="Q43" i="2" a="1"/>
  <c r="Q43" i="2" s="1"/>
  <c r="B72" i="1" a="1"/>
  <c r="B72" i="1" s="1"/>
  <c r="C18" i="1" a="1"/>
  <c r="C18" i="1" s="1"/>
  <c r="D57" i="1" a="1"/>
  <c r="D57" i="1" s="1"/>
  <c r="Q21" i="2" a="1"/>
  <c r="Q21" i="2" s="1"/>
  <c r="B40" i="1" a="1"/>
  <c r="B40" i="1" s="1"/>
  <c r="D86" i="1" a="1"/>
  <c r="D86" i="1" s="1"/>
  <c r="P70" i="2" a="1"/>
  <c r="P70" i="2" s="1"/>
  <c r="R85" i="2" a="1"/>
  <c r="R85" i="2" s="1"/>
  <c r="D33" i="1" a="1"/>
  <c r="D33" i="1" s="1"/>
  <c r="B58" i="1" a="1"/>
  <c r="B58" i="1" s="1"/>
  <c r="C43" i="1" a="1"/>
  <c r="C43" i="1" s="1"/>
  <c r="C53" i="1" a="1"/>
  <c r="C53" i="1" s="1"/>
  <c r="P22" i="2" a="1"/>
  <c r="P22" i="2" s="1"/>
  <c r="R47" i="2" a="1"/>
  <c r="R47" i="2" s="1"/>
  <c r="Q77" i="2" a="1"/>
  <c r="Q77" i="2" s="1"/>
  <c r="Q76" i="2" a="1"/>
  <c r="Q76" i="2" s="1"/>
  <c r="Q67" i="2" a="1"/>
  <c r="Q67" i="2" s="1"/>
  <c r="B15" i="1" a="1"/>
  <c r="B15" i="1" s="1"/>
  <c r="B96" i="1" a="1"/>
  <c r="B96" i="1" s="1"/>
  <c r="C52" i="1" a="1"/>
  <c r="C52" i="1" s="1"/>
  <c r="C42" i="1" a="1"/>
  <c r="C42" i="1" s="1"/>
  <c r="Q34" i="2" a="1"/>
  <c r="Q34" i="2" s="1"/>
  <c r="C71" i="1" a="1"/>
  <c r="C71" i="1" s="1"/>
  <c r="C99" i="1" a="1"/>
  <c r="C99" i="1" s="1"/>
  <c r="D43" i="1" a="1"/>
  <c r="D43" i="1" s="1"/>
  <c r="P28" i="2" a="1"/>
  <c r="P28" i="2" s="1"/>
  <c r="R43" i="2" a="1"/>
  <c r="R43" i="2" s="1"/>
  <c r="C67" i="1" a="1"/>
  <c r="C67" i="1" s="1"/>
  <c r="D32" i="1" a="1"/>
  <c r="D32" i="1" s="1"/>
  <c r="Q50" i="2" a="1"/>
  <c r="Q50" i="2" s="1"/>
  <c r="B69" i="1" a="1"/>
  <c r="B69" i="1" s="1"/>
  <c r="D106" i="1" a="1"/>
  <c r="D106" i="1" s="1"/>
  <c r="P14" i="2" a="1"/>
  <c r="P14" i="2" s="1"/>
  <c r="Q28" i="2" a="1"/>
  <c r="Q28" i="2" s="1"/>
  <c r="B47" i="1" a="1"/>
  <c r="B47" i="1" s="1"/>
  <c r="D93" i="1" a="1"/>
  <c r="D93" i="1" s="1"/>
  <c r="P79" i="2" a="1"/>
  <c r="P79" i="2" s="1"/>
  <c r="Q27" i="2" a="1"/>
  <c r="Q27" i="2" s="1"/>
  <c r="B46" i="1" a="1"/>
  <c r="B46" i="1" s="1"/>
  <c r="D92" i="1" a="1"/>
  <c r="D92" i="1" s="1"/>
  <c r="P25" i="2" a="1"/>
  <c r="P25" i="2" s="1"/>
  <c r="R29" i="2" a="1"/>
  <c r="R29" i="2" s="1"/>
  <c r="C74" i="1" a="1"/>
  <c r="C74" i="1" s="1"/>
  <c r="D18" i="1" a="1"/>
  <c r="D18" i="1" s="1"/>
  <c r="Q89" i="2" a="1"/>
  <c r="Q89" i="2" s="1"/>
  <c r="R18" i="2" a="1"/>
  <c r="R18" i="2" s="1"/>
  <c r="C63" i="1" a="1"/>
  <c r="C63" i="1" s="1"/>
  <c r="P84" i="2" a="1"/>
  <c r="P84" i="2" s="1"/>
  <c r="Q66" i="2" a="1"/>
  <c r="Q66" i="2" s="1"/>
  <c r="D27" i="1" a="1"/>
  <c r="D27" i="1" s="1"/>
  <c r="C68" i="1" a="1"/>
  <c r="C68" i="1" s="1"/>
  <c r="Q87" i="2" a="1"/>
  <c r="Q87" i="2" s="1"/>
  <c r="Q71" i="2" a="1"/>
  <c r="Q71" i="2" s="1"/>
  <c r="B90" i="1" a="1"/>
  <c r="B90" i="1" s="1"/>
  <c r="C36" i="1" a="1"/>
  <c r="C36" i="1" s="1"/>
  <c r="D77" i="1" a="1"/>
  <c r="D77" i="1" s="1"/>
  <c r="Q19" i="2" a="1"/>
  <c r="Q19" i="2" s="1"/>
  <c r="B38" i="1" a="1"/>
  <c r="B38" i="1" s="1"/>
  <c r="D72" i="1" a="1"/>
  <c r="D72" i="1" s="1"/>
  <c r="P68" i="2" a="1"/>
  <c r="P68" i="2" s="1"/>
  <c r="R72" i="2" a="1"/>
  <c r="R72" i="2" s="1"/>
  <c r="B16" i="1" a="1"/>
  <c r="B16" i="1" s="1"/>
  <c r="D61" i="1" a="1"/>
  <c r="D61" i="1" s="1"/>
  <c r="P67" i="2" a="1"/>
  <c r="P67" i="2" s="1"/>
  <c r="R71" i="2" a="1"/>
  <c r="R71" i="2" s="1"/>
  <c r="C15" i="1" a="1"/>
  <c r="C15" i="1" s="1"/>
  <c r="D60" i="1" a="1"/>
  <c r="D60" i="1" s="1"/>
  <c r="Q68" i="2" a="1"/>
  <c r="Q68" i="2" s="1"/>
  <c r="B87" i="1" a="1"/>
  <c r="B87" i="1" s="1"/>
  <c r="C33" i="1" a="1"/>
  <c r="C33" i="1" s="1"/>
  <c r="B53" i="1" a="1"/>
  <c r="B53" i="1" s="1"/>
  <c r="Q46" i="2" a="1"/>
  <c r="Q46" i="2" s="1"/>
  <c r="B86" i="1" a="1"/>
  <c r="B86" i="1" s="1"/>
  <c r="C32" i="1" a="1"/>
  <c r="C32" i="1" s="1"/>
  <c r="P66" i="2" a="1"/>
  <c r="P66" i="2" s="1"/>
  <c r="Q35" i="2" a="1"/>
  <c r="Q35" i="2" s="1"/>
  <c r="B54" i="1" a="1"/>
  <c r="B54" i="1" s="1"/>
  <c r="B101" i="1" a="1"/>
  <c r="B101" i="1" s="1"/>
  <c r="C47" i="1" a="1"/>
  <c r="C47" i="1" s="1"/>
  <c r="R37" i="2" a="1"/>
  <c r="R37" i="2" s="1"/>
  <c r="Q61" i="2" a="1"/>
  <c r="Q61" i="2" s="1"/>
  <c r="B80" i="1" a="1"/>
  <c r="B80" i="1" s="1"/>
  <c r="C26" i="1" a="1"/>
  <c r="C26" i="1" s="1"/>
  <c r="P58" i="2" a="1"/>
  <c r="P58" i="2" s="1"/>
  <c r="R83" i="2" a="1"/>
  <c r="R83" i="2" s="1"/>
  <c r="B17" i="1" a="1"/>
  <c r="B17" i="1" s="1"/>
  <c r="D62" i="1" a="1"/>
  <c r="D62" i="1" s="1"/>
  <c r="P57" i="2" a="1"/>
  <c r="P57" i="2" s="1"/>
  <c r="R62" i="2" a="1"/>
  <c r="R62" i="2" s="1"/>
  <c r="C96" i="1" a="1"/>
  <c r="C96" i="1" s="1"/>
  <c r="D51" i="1" a="1"/>
  <c r="D51" i="1" s="1"/>
  <c r="P46" i="2" a="1"/>
  <c r="P46" i="2" s="1"/>
  <c r="R61" i="2" a="1"/>
  <c r="R61" i="2" s="1"/>
  <c r="C95" i="1" a="1"/>
  <c r="C95" i="1" s="1"/>
  <c r="D50" i="1" a="1"/>
  <c r="D50" i="1" s="1"/>
  <c r="Q57" i="2" a="1"/>
  <c r="Q57" i="2" s="1"/>
  <c r="B76" i="1" a="1"/>
  <c r="B76" i="1" s="1"/>
  <c r="C22" i="1" a="1"/>
  <c r="C22" i="1" s="1"/>
  <c r="P87" i="2" a="1"/>
  <c r="P87" i="2" s="1"/>
  <c r="Q36" i="2" a="1"/>
  <c r="Q36" i="2" s="1"/>
  <c r="B65" i="1" a="1"/>
  <c r="B65" i="1" s="1"/>
  <c r="D102" i="1" a="1"/>
  <c r="D102" i="1" s="1"/>
  <c r="P85" i="2" a="1"/>
  <c r="P85" i="2" s="1"/>
  <c r="Q25" i="2" a="1"/>
  <c r="Q25" i="2" s="1"/>
  <c r="B91" i="1" a="1"/>
  <c r="B91" i="1" s="1"/>
  <c r="C37" i="1" a="1"/>
  <c r="C37" i="1" s="1"/>
  <c r="B74" i="1" a="1"/>
  <c r="B74" i="1" s="1"/>
  <c r="Q40" i="2" a="1"/>
  <c r="Q40" i="2" s="1"/>
  <c r="B59" i="1" a="1"/>
  <c r="B59" i="1" s="1"/>
  <c r="D15" i="1" a="1"/>
  <c r="D15" i="1" s="1"/>
  <c r="P48" i="2" a="1"/>
  <c r="P48" i="2" s="1"/>
  <c r="R73" i="2" a="1"/>
  <c r="R73" i="2" s="1"/>
  <c r="C97" i="1" a="1"/>
  <c r="C97" i="1" s="1"/>
  <c r="D41" i="1" a="1"/>
  <c r="D41" i="1" s="1"/>
  <c r="P47" i="2" a="1"/>
  <c r="P47" i="2" s="1"/>
  <c r="R51" i="2" a="1"/>
  <c r="R51" i="2" s="1"/>
  <c r="C86" i="1" a="1"/>
  <c r="C86" i="1" s="1"/>
  <c r="D40" i="1" a="1"/>
  <c r="D40" i="1" s="1"/>
  <c r="P36" i="2" a="1"/>
  <c r="P36" i="2" s="1"/>
  <c r="R40" i="2" a="1"/>
  <c r="R40" i="2" s="1"/>
  <c r="C85" i="1" a="1"/>
  <c r="C85" i="1" s="1"/>
  <c r="D29" i="1" a="1"/>
  <c r="D29" i="1" s="1"/>
  <c r="Q47" i="2" a="1"/>
  <c r="Q47" i="2" s="1"/>
  <c r="B66" i="1" a="1"/>
  <c r="B66" i="1" s="1"/>
  <c r="D103" i="1" a="1"/>
  <c r="D103" i="1" s="1"/>
  <c r="P56" i="2" a="1"/>
  <c r="P56" i="2" s="1"/>
  <c r="Q26" i="2" a="1"/>
  <c r="Q26" i="2" s="1"/>
  <c r="B55" i="1" a="1"/>
  <c r="B55" i="1" s="1"/>
  <c r="D90" i="1" a="1"/>
  <c r="D90" i="1" s="1"/>
  <c r="P64" i="2" a="1"/>
  <c r="P64" i="2" s="1"/>
  <c r="R14" i="2" a="1"/>
  <c r="R14" i="2" s="1"/>
  <c r="C30" i="1" a="1"/>
  <c r="C30" i="1" s="1"/>
  <c r="Q30" i="2" a="1"/>
  <c r="Q30" i="2" s="1"/>
  <c r="B49" i="1" a="1"/>
  <c r="B49" i="1" s="1"/>
  <c r="D95" i="1" a="1"/>
  <c r="D95" i="1" s="1"/>
  <c r="P38" i="2" a="1"/>
  <c r="P38" i="2" s="1"/>
  <c r="R52" i="2" a="1"/>
  <c r="R52" i="2" s="1"/>
  <c r="C87" i="1" a="1"/>
  <c r="C87" i="1" s="1"/>
  <c r="D31" i="1" a="1"/>
  <c r="D31" i="1" s="1"/>
  <c r="P37" i="2" a="1"/>
  <c r="P37" i="2" s="1"/>
  <c r="R41" i="2" a="1"/>
  <c r="R41" i="2" s="1"/>
  <c r="C65" i="1" a="1"/>
  <c r="C65" i="1" s="1"/>
  <c r="D30" i="1" a="1"/>
  <c r="D30" i="1" s="1"/>
  <c r="P26" i="2" a="1"/>
  <c r="P26" i="2" s="1"/>
  <c r="R30" i="2" a="1"/>
  <c r="R30" i="2" s="1"/>
  <c r="C75" i="1" a="1"/>
  <c r="C75" i="1" s="1"/>
  <c r="D19" i="1" a="1"/>
  <c r="D19" i="1" s="1"/>
  <c r="Q37" i="2" a="1"/>
  <c r="Q37" i="2" s="1"/>
  <c r="B56" i="1" a="1"/>
  <c r="B56" i="1" s="1"/>
  <c r="D91" i="1" a="1"/>
  <c r="D91" i="1" s="1"/>
  <c r="P86" i="2" a="1"/>
  <c r="P86" i="2" s="1"/>
  <c r="Q15" i="2" a="1"/>
  <c r="Q15" i="2" s="1"/>
  <c r="B45" i="1" a="1"/>
  <c r="B45" i="1" s="1"/>
  <c r="D79" i="1" a="1"/>
  <c r="D79" i="1" s="1"/>
  <c r="P54" i="2" a="1"/>
  <c r="P54" i="2" s="1"/>
  <c r="R79" i="2" a="1"/>
  <c r="R79" i="2" s="1"/>
  <c r="B70" i="1" a="1"/>
  <c r="B70" i="1" s="1"/>
  <c r="C16" i="1" a="1"/>
  <c r="C16" i="1" s="1"/>
  <c r="D46" i="1" a="1"/>
  <c r="D46" i="1" s="1"/>
  <c r="Q20" i="2" a="1"/>
  <c r="Q20" i="2" s="1"/>
  <c r="B39" i="1" a="1"/>
  <c r="B39" i="1" s="1"/>
  <c r="D84" i="1" a="1"/>
  <c r="D84" i="1" s="1"/>
  <c r="P27" i="2" a="1"/>
  <c r="P27" i="2" s="1"/>
  <c r="R42" i="2" a="1"/>
  <c r="R42" i="2" s="1"/>
  <c r="C76" i="1" a="1"/>
  <c r="C76" i="1" s="1"/>
  <c r="D21" i="1" a="1"/>
  <c r="D21" i="1" s="1"/>
  <c r="P16" i="2" a="1"/>
  <c r="P16" i="2" s="1"/>
  <c r="R31" i="2" a="1"/>
  <c r="R31" i="2" s="1"/>
  <c r="C55" i="1" a="1"/>
  <c r="C55" i="1" s="1"/>
  <c r="D20" i="1" a="1"/>
  <c r="D20" i="1" s="1"/>
  <c r="P15" i="2" a="1"/>
  <c r="P15" i="2" s="1"/>
  <c r="R20" i="2" a="1"/>
  <c r="R20" i="2" s="1"/>
  <c r="C64" i="1" a="1"/>
  <c r="C64" i="1" s="1"/>
  <c r="R89" i="2" a="1"/>
  <c r="R89" i="2" s="1"/>
  <c r="Q16" i="2" a="1"/>
  <c r="Q16" i="2" s="1"/>
  <c r="B35" i="1" a="1"/>
  <c r="B35" i="1" s="1"/>
  <c r="D80" i="1" a="1"/>
  <c r="D80" i="1" s="1"/>
  <c r="P75" i="2" a="1"/>
  <c r="P75" i="2" s="1"/>
  <c r="R80" i="2" a="1"/>
  <c r="R80" i="2" s="1"/>
  <c r="B34" i="1" a="1"/>
  <c r="B34" i="1" s="1"/>
  <c r="D69" i="1" a="1"/>
  <c r="D69" i="1" s="1"/>
  <c r="P44" i="2" a="1"/>
  <c r="P44" i="2" s="1"/>
  <c r="R58" i="2" a="1"/>
  <c r="R58" i="2" s="1"/>
  <c r="B60" i="1" a="1"/>
  <c r="B60" i="1" s="1"/>
  <c r="D96" i="1" a="1"/>
  <c r="D96" i="1" s="1"/>
  <c r="P80" i="2" a="1"/>
  <c r="P80" i="2" s="1"/>
  <c r="R84" i="2" a="1"/>
  <c r="R84" i="2" s="1"/>
  <c r="B28" i="1" a="1"/>
  <c r="B28" i="1" s="1"/>
  <c r="D73" i="1" a="1"/>
  <c r="D73" i="1" s="1"/>
  <c r="P17" i="2" a="1"/>
  <c r="P17" i="2" s="1"/>
  <c r="R32" i="2" a="1"/>
  <c r="R32" i="2" s="1"/>
  <c r="C66" i="1" a="1"/>
  <c r="C66" i="1" s="1"/>
  <c r="P43" i="2" a="1"/>
  <c r="P43" i="2" s="1"/>
  <c r="Q80" i="2" a="1"/>
  <c r="Q80" i="2" s="1"/>
  <c r="B99" i="1" a="1"/>
  <c r="B99" i="1" s="1"/>
  <c r="C45" i="1" a="1"/>
  <c r="C45" i="1" s="1"/>
  <c r="Q75" i="2" a="1"/>
  <c r="Q75" i="2" s="1"/>
  <c r="Q79" i="2" a="1"/>
  <c r="Q79" i="2" s="1"/>
  <c r="B98" i="1" a="1"/>
  <c r="B98" i="1" s="1"/>
  <c r="C54" i="1" a="1"/>
  <c r="C54" i="1" s="1"/>
  <c r="B43" i="1" a="1"/>
  <c r="B43" i="1" s="1"/>
  <c r="R70" i="2" a="1"/>
  <c r="R70" i="2" s="1"/>
  <c r="B25" i="1" a="1"/>
  <c r="B25" i="1" s="1"/>
  <c r="D59" i="1" a="1"/>
  <c r="D59" i="1" s="1"/>
  <c r="P65" i="2" a="1"/>
  <c r="P65" i="2" s="1"/>
  <c r="R69" i="2" a="1"/>
  <c r="R69" i="2" s="1"/>
  <c r="B24" i="1" a="1"/>
  <c r="B24" i="1" s="1"/>
  <c r="D58" i="1" a="1"/>
  <c r="D58" i="1" s="1"/>
  <c r="P33" i="2" a="1"/>
  <c r="P33" i="2" s="1"/>
  <c r="R48" i="2" a="1"/>
  <c r="R48" i="2" s="1"/>
  <c r="B50" i="1" a="1"/>
  <c r="B50" i="1" s="1"/>
  <c r="D85" i="1" a="1"/>
  <c r="D85" i="1" s="1"/>
  <c r="P69" i="2" a="1"/>
  <c r="P69" i="2" s="1"/>
  <c r="R74" i="2" a="1"/>
  <c r="R74" i="2" s="1"/>
  <c r="B18" i="1" a="1"/>
  <c r="B18" i="1" s="1"/>
  <c r="D63" i="1" a="1"/>
  <c r="D63" i="1" s="1"/>
  <c r="Q81" i="2" a="1"/>
  <c r="Q81" i="2" s="1"/>
  <c r="R21" i="2" a="1"/>
  <c r="R21" i="2" s="1"/>
  <c r="C56" i="1" a="1"/>
  <c r="C56" i="1" s="1"/>
  <c r="R57" i="2" a="1"/>
  <c r="R57" i="2" s="1"/>
  <c r="Q69" i="2" a="1"/>
  <c r="Q69" i="2" s="1"/>
  <c r="B88" i="1" a="1"/>
  <c r="B88" i="1" s="1"/>
  <c r="C34" i="1" a="1"/>
  <c r="C34" i="1" s="1"/>
  <c r="R16" i="2" a="1"/>
  <c r="R16" i="2" s="1"/>
  <c r="Q58" i="2" a="1"/>
  <c r="Q58" i="2" s="1"/>
  <c r="B77" i="1" a="1"/>
  <c r="B77" i="1" s="1"/>
  <c r="C44" i="1" a="1"/>
  <c r="C44" i="1" s="1"/>
  <c r="P76" i="2" a="1"/>
  <c r="P76" i="2" s="1"/>
  <c r="R60" i="2" a="1"/>
  <c r="R60" i="2" s="1"/>
  <c r="C106" i="1" a="1"/>
  <c r="C106" i="1" s="1"/>
  <c r="D49" i="1" a="1"/>
  <c r="D49" i="1" s="1"/>
  <c r="P55" i="2" a="1"/>
  <c r="P55" i="2" s="1"/>
  <c r="R59" i="2" a="1"/>
  <c r="R59" i="2" s="1"/>
  <c r="C105" i="1" a="1"/>
  <c r="C105" i="1" s="1"/>
  <c r="D48" i="1" a="1"/>
  <c r="D48" i="1" s="1"/>
  <c r="P23" i="2" a="1"/>
  <c r="P23" i="2" s="1"/>
  <c r="R38" i="2" a="1"/>
  <c r="R38" i="2" s="1"/>
  <c r="D74" i="1" a="1"/>
  <c r="D74" i="1" s="1"/>
  <c r="P59" i="2" a="1"/>
  <c r="P59" i="2" s="1"/>
  <c r="R63" i="2" a="1"/>
  <c r="R63" i="2" s="1"/>
  <c r="C98" i="1" a="1"/>
  <c r="C98" i="1" s="1"/>
  <c r="D52" i="1" a="1"/>
  <c r="D52" i="1" s="1"/>
  <c r="Q70" i="2" a="1"/>
  <c r="Q70" i="2" s="1"/>
  <c r="B89" i="1" a="1"/>
  <c r="B89" i="1" s="1"/>
  <c r="C35" i="1" a="1"/>
  <c r="C35" i="1" s="1"/>
  <c r="B84" i="1" a="1"/>
  <c r="B84" i="1" s="1"/>
  <c r="Q59" i="2" a="1"/>
  <c r="Q59" i="2" s="1"/>
  <c r="B78" i="1" a="1"/>
  <c r="B78" i="1" s="1"/>
  <c r="C24" i="1" a="1"/>
  <c r="C24" i="1" s="1"/>
  <c r="B33" i="1" a="1"/>
  <c r="B33" i="1" s="1"/>
  <c r="Q48" i="2" a="1"/>
  <c r="Q48" i="2" s="1"/>
  <c r="B67" i="1" a="1"/>
  <c r="B67" i="1" s="1"/>
  <c r="C23" i="1" a="1"/>
  <c r="C23" i="1" s="1"/>
  <c r="P45" i="2" a="1"/>
  <c r="P45" i="2" s="1"/>
  <c r="R50" i="2" a="1"/>
  <c r="R50" i="2" s="1"/>
  <c r="C94" i="1" a="1"/>
  <c r="C94" i="1" s="1"/>
  <c r="D39" i="1" a="1"/>
  <c r="D39" i="1" s="1"/>
  <c r="P34" i="2" a="1"/>
  <c r="P34" i="2" s="1"/>
  <c r="R49" i="2" a="1"/>
  <c r="R49" i="2" s="1"/>
  <c r="C83" i="1" a="1"/>
  <c r="C83" i="1" s="1"/>
  <c r="D38" i="1" a="1"/>
  <c r="D38" i="1" s="1"/>
  <c r="Q88" i="2" a="1"/>
  <c r="Q88" i="2" s="1"/>
  <c r="R27" i="2" a="1"/>
  <c r="R27" i="2" s="1"/>
  <c r="B44" i="1" a="1"/>
  <c r="B44" i="1" s="1"/>
  <c r="D53" i="1" a="1"/>
  <c r="D53" i="1" s="1"/>
  <c r="P49" i="2" a="1"/>
  <c r="P49" i="2" s="1"/>
  <c r="R53" i="2" a="1"/>
  <c r="R53" i="2" s="1"/>
  <c r="C77" i="1" a="1"/>
  <c r="C77" i="1" s="1"/>
  <c r="D42" i="1" a="1"/>
  <c r="D42" i="1" s="1"/>
  <c r="Q60" i="2" a="1"/>
  <c r="Q60" i="2" s="1"/>
  <c r="B79" i="1" a="1"/>
  <c r="B79" i="1" s="1"/>
  <c r="C25" i="1" a="1"/>
  <c r="C25" i="1" s="1"/>
  <c r="C40" i="1" a="1"/>
  <c r="C40" i="1" s="1"/>
  <c r="Q49" i="2" a="1"/>
  <c r="Q49" i="2" s="1"/>
  <c r="B68" i="1" a="1"/>
  <c r="B68" i="1" s="1"/>
  <c r="D105" i="1" a="1"/>
  <c r="D105" i="1" s="1"/>
  <c r="D100" i="1" a="1"/>
  <c r="D100" i="1" s="1"/>
  <c r="Q38" i="2" a="1"/>
  <c r="Q38" i="2" s="1"/>
  <c r="B57" i="1" a="1"/>
  <c r="B57" i="1" s="1"/>
  <c r="D104" i="1" a="1"/>
  <c r="D104" i="1" s="1"/>
  <c r="P35" i="2" a="1"/>
  <c r="P35" i="2" s="1"/>
  <c r="R39" i="2" a="1"/>
  <c r="R39" i="2" s="1"/>
  <c r="C84" i="1" a="1"/>
  <c r="C84" i="1" s="1"/>
  <c r="D28" i="1" a="1"/>
  <c r="D28" i="1" s="1"/>
  <c r="P24" i="2" a="1"/>
  <c r="P24" i="2" s="1"/>
  <c r="R28" i="2" a="1"/>
  <c r="R28" i="2" s="1"/>
  <c r="C73" i="1" a="1"/>
  <c r="C73" i="1" s="1"/>
  <c r="D17" i="1" a="1"/>
  <c r="D17" i="1" s="1"/>
  <c r="R17" i="2" a="1"/>
  <c r="R17" i="2" s="1"/>
  <c r="B106" i="1" a="1"/>
  <c r="B106" i="1" s="1"/>
  <c r="B95" i="1" a="1"/>
  <c r="B95" i="1" s="1"/>
  <c r="B85" i="1" a="1"/>
  <c r="B85" i="1" s="1"/>
  <c r="B75" i="1" a="1"/>
  <c r="B75" i="1" s="1"/>
  <c r="B64" i="1" a="1"/>
  <c r="B64" i="1" s="1"/>
  <c r="D37" i="1" a="1"/>
  <c r="D37" i="1" s="1"/>
  <c r="C93" i="1" a="1"/>
  <c r="C93" i="1" s="1"/>
  <c r="D47" i="1" a="1"/>
  <c r="D47" i="1" s="1"/>
  <c r="D78" i="1" a="1"/>
  <c r="D78" i="1" s="1"/>
  <c r="B23" i="1" a="1"/>
  <c r="B23" i="1" s="1"/>
  <c r="C104" i="1" a="1"/>
  <c r="C104" i="1" s="1"/>
  <c r="C82" i="1" a="1"/>
  <c r="C82" i="1" s="1"/>
  <c r="C72" i="1" a="1"/>
  <c r="C72" i="1" s="1"/>
  <c r="D68" i="1" a="1"/>
  <c r="D68" i="1" s="1"/>
  <c r="C62" i="1" a="1"/>
  <c r="C62" i="1" s="1"/>
  <c r="C41" i="1" a="1"/>
  <c r="C41" i="1" s="1"/>
  <c r="C31" i="1" a="1"/>
  <c r="C31" i="1" s="1"/>
  <c r="C21" i="1" a="1"/>
  <c r="C21" i="1" s="1"/>
  <c r="D101" i="1" a="1"/>
  <c r="D101" i="1" s="1"/>
  <c r="D89" i="1" a="1"/>
  <c r="D89" i="1" s="1"/>
  <c r="T60" i="2" l="1" a="1"/>
  <c r="T60" i="2" s="1"/>
  <c r="K66" i="1" s="1"/>
  <c r="W41" i="2" a="1"/>
  <c r="W41" i="2" s="1"/>
  <c r="N46" i="1" s="1"/>
  <c r="X62" i="2" a="1"/>
  <c r="X62" i="2" s="1"/>
  <c r="O68" i="1" s="1"/>
  <c r="Z17" i="2" a="1"/>
  <c r="Z17" i="2" s="1"/>
  <c r="Q22" i="1" s="1"/>
  <c r="U47" i="2" a="1"/>
  <c r="U47" i="2" s="1"/>
  <c r="L52" i="1" s="1"/>
  <c r="T33" i="2" a="1"/>
  <c r="T33" i="2" s="1"/>
  <c r="K38" i="1" s="1"/>
  <c r="X42" i="2" a="1"/>
  <c r="X42" i="2" s="1"/>
  <c r="O47" i="1" s="1"/>
  <c r="V42" i="2" a="1"/>
  <c r="V42" i="2" s="1"/>
  <c r="T25" i="2" a="1"/>
  <c r="T25" i="2" s="1"/>
  <c r="K30" i="1" s="1"/>
  <c r="X44" i="2" a="1"/>
  <c r="X44" i="2" s="1"/>
  <c r="O49" i="1" s="1"/>
  <c r="T49" i="2" a="1"/>
  <c r="T49" i="2" s="1"/>
  <c r="K54" i="1" s="1"/>
  <c r="V41" i="2" a="1"/>
  <c r="V41" i="2" s="1"/>
  <c r="U68" i="2" a="1"/>
  <c r="U68" i="2" s="1"/>
  <c r="L74" i="1" s="1"/>
  <c r="W43" i="2" a="1"/>
  <c r="W43" i="2" s="1"/>
  <c r="N48" i="1" s="1"/>
  <c r="T62" i="2" a="1"/>
  <c r="T62" i="2" s="1"/>
  <c r="K68" i="1" s="1"/>
  <c r="Z20" i="2" a="1"/>
  <c r="Z20" i="2" s="1"/>
  <c r="Q25" i="1" s="1"/>
  <c r="X15" i="2" a="1"/>
  <c r="X15" i="2" s="1"/>
  <c r="O20" i="1" s="1"/>
  <c r="X14" i="2" a="1"/>
  <c r="X14" i="2" s="1"/>
  <c r="O19" i="1" s="1"/>
  <c r="T48" i="2" a="1"/>
  <c r="T48" i="2" s="1"/>
  <c r="K53" i="1" s="1"/>
  <c r="T18" i="2" a="1"/>
  <c r="T18" i="2" s="1"/>
  <c r="K23" i="1" s="1"/>
  <c r="T34" i="2" a="1"/>
  <c r="T34" i="2" s="1"/>
  <c r="K39" i="1" s="1"/>
  <c r="U57" i="2" a="1"/>
  <c r="U57" i="2" s="1"/>
  <c r="L63" i="1" s="1"/>
  <c r="AA22" i="2" a="1"/>
  <c r="AA22" i="2" s="1"/>
  <c r="R27" i="1" s="1"/>
  <c r="W22" i="2" a="1"/>
  <c r="W22" i="2" s="1"/>
  <c r="N27" i="1" s="1"/>
  <c r="U66" i="2" a="1"/>
  <c r="U66" i="2" s="1"/>
  <c r="L72" i="1" s="1"/>
  <c r="U69" i="2" a="1"/>
  <c r="U69" i="2" s="1"/>
  <c r="L75" i="1" s="1"/>
  <c r="W31" i="2" a="1"/>
  <c r="W31" i="2" s="1"/>
  <c r="N36" i="1" s="1"/>
  <c r="U64" i="2" a="1"/>
  <c r="U64" i="2" s="1"/>
  <c r="L70" i="1" s="1"/>
  <c r="AA19" i="2" a="1"/>
  <c r="AA19" i="2" s="1"/>
  <c r="R24" i="1" s="1"/>
  <c r="W50" i="2" a="1"/>
  <c r="W50" i="2" s="1"/>
  <c r="N55" i="1" s="1"/>
  <c r="U35" i="2" a="1"/>
  <c r="U35" i="2" s="1"/>
  <c r="L40" i="1" s="1"/>
  <c r="X22" i="2" a="1"/>
  <c r="X22" i="2" s="1"/>
  <c r="O27" i="1" s="1"/>
  <c r="W56" i="2" a="1"/>
  <c r="W56" i="2" s="1"/>
  <c r="N62" i="1" s="1"/>
  <c r="U45" i="2" a="1"/>
  <c r="U45" i="2" s="1"/>
  <c r="L50" i="1" s="1"/>
  <c r="X31" i="2" a="1"/>
  <c r="X31" i="2" s="1"/>
  <c r="O36" i="1" s="1"/>
  <c r="W46" i="2" a="1"/>
  <c r="W46" i="2" s="1"/>
  <c r="N51" i="1" s="1"/>
  <c r="U32" i="2" a="1"/>
  <c r="U32" i="2" s="1"/>
  <c r="L37" i="1" s="1"/>
  <c r="X40" i="2" a="1"/>
  <c r="X40" i="2" s="1"/>
  <c r="O45" i="1" s="1"/>
  <c r="T43" i="2" a="1"/>
  <c r="T43" i="2" s="1"/>
  <c r="K48" i="1" s="1"/>
  <c r="T15" i="2" a="1"/>
  <c r="T15" i="2" s="1"/>
  <c r="K20" i="1" s="1"/>
  <c r="T24" i="2" a="1"/>
  <c r="T24" i="2" s="1"/>
  <c r="K29" i="1" s="1"/>
  <c r="T41" i="2" a="1"/>
  <c r="T41" i="2" s="1"/>
  <c r="K46" i="1" s="1"/>
  <c r="V43" i="2" a="1"/>
  <c r="V43" i="2" s="1"/>
  <c r="W61" i="2" a="1"/>
  <c r="W61" i="2" s="1"/>
  <c r="N67" i="1" s="1"/>
  <c r="U58" i="2" a="1"/>
  <c r="U58" i="2" s="1"/>
  <c r="L64" i="1" s="1"/>
  <c r="X49" i="2" a="1"/>
  <c r="X49" i="2" s="1"/>
  <c r="O54" i="1" s="1"/>
  <c r="U55" i="2" a="1"/>
  <c r="U55" i="2" s="1"/>
  <c r="L61" i="1" s="1"/>
  <c r="X18" i="2" a="1"/>
  <c r="X18" i="2" s="1"/>
  <c r="O23" i="1" s="1"/>
  <c r="X47" i="2" a="1"/>
  <c r="X47" i="2" s="1"/>
  <c r="O52" i="1" s="1"/>
  <c r="W69" i="2" a="1"/>
  <c r="W69" i="2" s="1"/>
  <c r="N75" i="1" s="1"/>
  <c r="U31" i="2" a="1"/>
  <c r="U31" i="2" s="1"/>
  <c r="L36" i="1" s="1"/>
  <c r="W39" i="2" a="1"/>
  <c r="W39" i="2" s="1"/>
  <c r="N44" i="1" s="1"/>
  <c r="U25" i="2" a="1"/>
  <c r="U25" i="2" s="1"/>
  <c r="L30" i="1" s="1"/>
  <c r="Z25" i="2" a="1"/>
  <c r="Z25" i="2" s="1"/>
  <c r="W48" i="2" a="1"/>
  <c r="W48" i="2" s="1"/>
  <c r="N53" i="1" s="1"/>
  <c r="U33" i="2" a="1"/>
  <c r="U33" i="2" s="1"/>
  <c r="L38" i="1" s="1"/>
  <c r="Z23" i="2" a="1"/>
  <c r="Z23" i="2" s="1"/>
  <c r="Q28" i="1" s="1"/>
  <c r="W36" i="2" a="1"/>
  <c r="W36" i="2" s="1"/>
  <c r="N41" i="1" s="1"/>
  <c r="U21" i="2" a="1"/>
  <c r="U21" i="2" s="1"/>
  <c r="L26" i="1" s="1"/>
  <c r="X29" i="2" a="1"/>
  <c r="X29" i="2" s="1"/>
  <c r="O34" i="1" s="1"/>
  <c r="V48" i="2" a="1"/>
  <c r="V48" i="2" s="1"/>
  <c r="W66" i="2" a="1"/>
  <c r="W66" i="2" s="1"/>
  <c r="N72" i="1" s="1"/>
  <c r="T37" i="2" a="1"/>
  <c r="T37" i="2" s="1"/>
  <c r="K42" i="1" s="1"/>
  <c r="T42" i="2" a="1"/>
  <c r="T42" i="2" s="1"/>
  <c r="K47" i="1" s="1"/>
  <c r="T50" i="2" a="1"/>
  <c r="T50" i="2" s="1"/>
  <c r="K55" i="1" s="1"/>
  <c r="T46" i="2" a="1"/>
  <c r="T46" i="2" s="1"/>
  <c r="K51" i="1" s="1"/>
  <c r="X67" i="2" a="1"/>
  <c r="X67" i="2" s="1"/>
  <c r="O73" i="1" s="1"/>
  <c r="U14" i="2" a="1"/>
  <c r="U14" i="2" s="1"/>
  <c r="L19" i="1" s="1"/>
  <c r="X37" i="2" a="1"/>
  <c r="X37" i="2" s="1"/>
  <c r="O42" i="1" s="1"/>
  <c r="W60" i="2" a="1"/>
  <c r="W60" i="2" s="1"/>
  <c r="N66" i="1" s="1"/>
  <c r="U50" i="2" a="1"/>
  <c r="U50" i="2" s="1"/>
  <c r="L55" i="1" s="1"/>
  <c r="X35" i="2" a="1"/>
  <c r="X35" i="2" s="1"/>
  <c r="O40" i="1" s="1"/>
  <c r="W59" i="2" a="1"/>
  <c r="W59" i="2" s="1"/>
  <c r="N65" i="1" s="1"/>
  <c r="X28" i="2" a="1"/>
  <c r="X28" i="2" s="1"/>
  <c r="O33" i="1" s="1"/>
  <c r="W29" i="2" a="1"/>
  <c r="W29" i="2" s="1"/>
  <c r="N34" i="1" s="1"/>
  <c r="T54" i="2" a="1"/>
  <c r="T54" i="2" s="1"/>
  <c r="K60" i="1" s="1"/>
  <c r="Z15" i="2" a="1"/>
  <c r="Z15" i="2" s="1"/>
  <c r="Q20" i="1" s="1"/>
  <c r="W38" i="2" a="1"/>
  <c r="W38" i="2" s="1"/>
  <c r="N43" i="1" s="1"/>
  <c r="U23" i="2" a="1"/>
  <c r="U23" i="2" s="1"/>
  <c r="L28" i="1" s="1"/>
  <c r="AA26" i="2" a="1"/>
  <c r="AA26" i="2" s="1"/>
  <c r="W26" i="2" a="1"/>
  <c r="W26" i="2" s="1"/>
  <c r="N31" i="1" s="1"/>
  <c r="T66" i="2" a="1"/>
  <c r="T66" i="2" s="1"/>
  <c r="K72" i="1" s="1"/>
  <c r="X19" i="2" a="1"/>
  <c r="X19" i="2" s="1"/>
  <c r="O24" i="1" s="1"/>
  <c r="T47" i="2" a="1"/>
  <c r="T47" i="2" s="1"/>
  <c r="K52" i="1" s="1"/>
  <c r="T35" i="2" a="1"/>
  <c r="T35" i="2" s="1"/>
  <c r="K40" i="1" s="1"/>
  <c r="T29" i="2" a="1"/>
  <c r="T29" i="2" s="1"/>
  <c r="K34" i="1" s="1"/>
  <c r="T21" i="2" a="1"/>
  <c r="T21" i="2" s="1"/>
  <c r="K26" i="1" s="1"/>
  <c r="X57" i="2" a="1"/>
  <c r="X57" i="2" s="1"/>
  <c r="O63" i="1" s="1"/>
  <c r="U40" i="2" a="1"/>
  <c r="U40" i="2" s="1"/>
  <c r="L45" i="1" s="1"/>
  <c r="X16" i="2" a="1"/>
  <c r="X16" i="2" s="1"/>
  <c r="O21" i="1" s="1"/>
  <c r="X65" i="2" a="1"/>
  <c r="X65" i="2" s="1"/>
  <c r="O71" i="1" s="1"/>
  <c r="U38" i="2" a="1"/>
  <c r="U38" i="2" s="1"/>
  <c r="L43" i="1" s="1"/>
  <c r="X25" i="2" a="1"/>
  <c r="X25" i="2" s="1"/>
  <c r="O30" i="1" s="1"/>
  <c r="X63" i="2" a="1"/>
  <c r="X63" i="2" s="1"/>
  <c r="O69" i="1" s="1"/>
  <c r="U48" i="2" a="1"/>
  <c r="U48" i="2" s="1"/>
  <c r="L53" i="1" s="1"/>
  <c r="W19" i="2" a="1"/>
  <c r="W19" i="2" s="1"/>
  <c r="N24" i="1" s="1"/>
  <c r="T58" i="2" a="1"/>
  <c r="T58" i="2" s="1"/>
  <c r="K64" i="1" s="1"/>
  <c r="AA17" i="2" a="1"/>
  <c r="AA17" i="2" s="1"/>
  <c r="R22" i="1" s="1"/>
  <c r="W27" i="2" a="1"/>
  <c r="W27" i="2" s="1"/>
  <c r="N32" i="1" s="1"/>
  <c r="T68" i="2" a="1"/>
  <c r="T68" i="2" s="1"/>
  <c r="K74" i="1" s="1"/>
  <c r="AA15" i="2" a="1"/>
  <c r="AA15" i="2" s="1"/>
  <c r="R20" i="1" s="1"/>
  <c r="W15" i="2" a="1"/>
  <c r="W15" i="2" s="1"/>
  <c r="N20" i="1" s="1"/>
  <c r="U54" i="2" a="1"/>
  <c r="U54" i="2" s="1"/>
  <c r="L60" i="1" s="1"/>
  <c r="Z21" i="2" a="1"/>
  <c r="Z21" i="2" s="1"/>
  <c r="Q26" i="1" s="1"/>
  <c r="T39" i="2" a="1"/>
  <c r="T39" i="2" s="1"/>
  <c r="K44" i="1" s="1"/>
  <c r="U62" i="2" a="1"/>
  <c r="U62" i="2" s="1"/>
  <c r="L68" i="1" s="1"/>
  <c r="X51" i="2" a="1"/>
  <c r="X51" i="2" s="1"/>
  <c r="O56" i="1" s="1"/>
  <c r="W17" i="2" a="1"/>
  <c r="W17" i="2" s="1"/>
  <c r="N22" i="1" s="1"/>
  <c r="T56" i="2" a="1"/>
  <c r="T56" i="2" s="1"/>
  <c r="K62" i="1" s="1"/>
  <c r="W24" i="2" a="1"/>
  <c r="W24" i="2" s="1"/>
  <c r="N29" i="1" s="1"/>
  <c r="X41" i="2" a="1"/>
  <c r="X41" i="2" s="1"/>
  <c r="O46" i="1" s="1"/>
  <c r="U59" i="2" a="1"/>
  <c r="U59" i="2" s="1"/>
  <c r="L65" i="1" s="1"/>
  <c r="AA24" i="2" a="1"/>
  <c r="AA24" i="2" s="1"/>
  <c r="T22" i="2" a="1"/>
  <c r="T22" i="2" s="1"/>
  <c r="K27" i="1" s="1"/>
  <c r="U43" i="2" a="1"/>
  <c r="U43" i="2" s="1"/>
  <c r="L48" i="1" s="1"/>
  <c r="U29" i="2" a="1"/>
  <c r="U29" i="2" s="1"/>
  <c r="L34" i="1" s="1"/>
  <c r="W51" i="2" a="1"/>
  <c r="W51" i="2" s="1"/>
  <c r="N56" i="1" s="1"/>
  <c r="X45" i="2" a="1"/>
  <c r="X45" i="2" s="1"/>
  <c r="O50" i="1" s="1"/>
  <c r="T51" i="2" a="1"/>
  <c r="T51" i="2" s="1"/>
  <c r="K56" i="1" s="1"/>
  <c r="T28" i="2" a="1"/>
  <c r="T28" i="2" s="1"/>
  <c r="K33" i="1" s="1"/>
  <c r="U42" i="2" a="1"/>
  <c r="U42" i="2" s="1"/>
  <c r="L47" i="1" s="1"/>
  <c r="W33" i="2" a="1"/>
  <c r="W33" i="2" s="1"/>
  <c r="N38" i="1" s="1"/>
  <c r="U19" i="2" a="1"/>
  <c r="U19" i="2" s="1"/>
  <c r="L24" i="1" s="1"/>
  <c r="AA21" i="2" a="1"/>
  <c r="AA21" i="2" s="1"/>
  <c r="R26" i="1" s="1"/>
  <c r="W42" i="2" a="1"/>
  <c r="W42" i="2" s="1"/>
  <c r="N47" i="1" s="1"/>
  <c r="U17" i="2" a="1"/>
  <c r="U17" i="2" s="1"/>
  <c r="L22" i="1" s="1"/>
  <c r="Z18" i="2" a="1"/>
  <c r="Z18" i="2" s="1"/>
  <c r="Q23" i="1" s="1"/>
  <c r="W40" i="2" a="1"/>
  <c r="W40" i="2" s="1"/>
  <c r="N45" i="1" s="1"/>
  <c r="U26" i="2" a="1"/>
  <c r="U26" i="2" s="1"/>
  <c r="L31" i="1" s="1"/>
  <c r="X33" i="2" a="1"/>
  <c r="X33" i="2" s="1"/>
  <c r="O38" i="1" s="1"/>
  <c r="W67" i="2" a="1"/>
  <c r="W67" i="2" s="1"/>
  <c r="N73" i="1" s="1"/>
  <c r="U46" i="2" a="1"/>
  <c r="U46" i="2" s="1"/>
  <c r="L51" i="1" s="1"/>
  <c r="X43" i="2" a="1"/>
  <c r="X43" i="2" s="1"/>
  <c r="O48" i="1" s="1"/>
  <c r="W65" i="2" a="1"/>
  <c r="W65" i="2" s="1"/>
  <c r="N71" i="1" s="1"/>
  <c r="U44" i="2" a="1"/>
  <c r="U44" i="2" s="1"/>
  <c r="L49" i="1" s="1"/>
  <c r="X30" i="2" a="1"/>
  <c r="X30" i="2" s="1"/>
  <c r="O35" i="1" s="1"/>
  <c r="W63" i="2" a="1"/>
  <c r="W63" i="2" s="1"/>
  <c r="N69" i="1" s="1"/>
  <c r="T23" i="2" a="1"/>
  <c r="T23" i="2" s="1"/>
  <c r="K28" i="1" s="1"/>
  <c r="V44" i="2" a="1"/>
  <c r="V44" i="2" s="1"/>
  <c r="X54" i="2" a="1"/>
  <c r="X54" i="2" s="1"/>
  <c r="O60" i="1" s="1"/>
  <c r="W44" i="2" a="1"/>
  <c r="W44" i="2" s="1"/>
  <c r="N49" i="1" s="1"/>
  <c r="Z14" i="2" a="1"/>
  <c r="Z14" i="2" s="1"/>
  <c r="Q19" i="1" s="1"/>
  <c r="T45" i="2" a="1"/>
  <c r="T45" i="2" s="1"/>
  <c r="K50" i="1" s="1"/>
  <c r="T14" i="2" a="1"/>
  <c r="T14" i="2" s="1"/>
  <c r="K19" i="1" s="1"/>
  <c r="X39" i="2" a="1"/>
  <c r="X39" i="2" s="1"/>
  <c r="O44" i="1" s="1"/>
  <c r="W23" i="2" a="1"/>
  <c r="W23" i="2" s="1"/>
  <c r="N28" i="1" s="1"/>
  <c r="T63" i="2" a="1"/>
  <c r="T63" i="2" s="1"/>
  <c r="K69" i="1" s="1"/>
  <c r="X68" i="2" a="1"/>
  <c r="X68" i="2" s="1"/>
  <c r="O74" i="1" s="1"/>
  <c r="W32" i="2" a="1"/>
  <c r="W32" i="2" s="1"/>
  <c r="N37" i="1" s="1"/>
  <c r="T61" i="2" a="1"/>
  <c r="T61" i="2" s="1"/>
  <c r="K67" i="1" s="1"/>
  <c r="AA20" i="2" a="1"/>
  <c r="AA20" i="2" s="1"/>
  <c r="R25" i="1" s="1"/>
  <c r="W30" i="2" a="1"/>
  <c r="W30" i="2" s="1"/>
  <c r="N35" i="1" s="1"/>
  <c r="U15" i="2" a="1"/>
  <c r="U15" i="2" s="1"/>
  <c r="L20" i="1" s="1"/>
  <c r="X23" i="2" a="1"/>
  <c r="X23" i="2" s="1"/>
  <c r="O28" i="1" s="1"/>
  <c r="W57" i="2" a="1"/>
  <c r="W57" i="2" s="1"/>
  <c r="N63" i="1" s="1"/>
  <c r="U34" i="2" a="1"/>
  <c r="U34" i="2" s="1"/>
  <c r="L39" i="1" s="1"/>
  <c r="X32" i="2" a="1"/>
  <c r="X32" i="2" s="1"/>
  <c r="O37" i="1" s="1"/>
  <c r="W55" i="2" a="1"/>
  <c r="W55" i="2" s="1"/>
  <c r="N61" i="1" s="1"/>
  <c r="U22" i="2" a="1"/>
  <c r="U22" i="2" s="1"/>
  <c r="L27" i="1" s="1"/>
  <c r="X20" i="2" a="1"/>
  <c r="X20" i="2" s="1"/>
  <c r="O25" i="1" s="1"/>
  <c r="X69" i="2" a="1"/>
  <c r="X69" i="2" s="1"/>
  <c r="O75" i="1" s="1"/>
  <c r="T16" i="2" a="1"/>
  <c r="T16" i="2" s="1"/>
  <c r="K21" i="1" s="1"/>
  <c r="T20" i="2" a="1"/>
  <c r="T20" i="2" s="1"/>
  <c r="K25" i="1" s="1"/>
  <c r="W62" i="2" a="1"/>
  <c r="W62" i="2" s="1"/>
  <c r="N68" i="1" s="1"/>
  <c r="V49" i="2" a="1"/>
  <c r="V49" i="2" s="1"/>
  <c r="U27" i="2" a="1"/>
  <c r="U27" i="2" s="1"/>
  <c r="L32" i="1" s="1"/>
  <c r="T44" i="2" a="1"/>
  <c r="T44" i="2" s="1"/>
  <c r="K49" i="1" s="1"/>
  <c r="V39" i="2" a="1"/>
  <c r="V39" i="2" s="1"/>
  <c r="U41" i="2" a="1"/>
  <c r="U41" i="2" s="1"/>
  <c r="L46" i="1" s="1"/>
  <c r="X50" i="2" a="1"/>
  <c r="X50" i="2" s="1"/>
  <c r="O55" i="1" s="1"/>
  <c r="U67" i="2" a="1"/>
  <c r="U67" i="2" s="1"/>
  <c r="L73" i="1" s="1"/>
  <c r="U51" i="2" a="1"/>
  <c r="U51" i="2" s="1"/>
  <c r="L56" i="1" s="1"/>
  <c r="W21" i="2" a="1"/>
  <c r="W21" i="2" s="1"/>
  <c r="N26" i="1" s="1"/>
  <c r="U65" i="2" a="1"/>
  <c r="U65" i="2" s="1"/>
  <c r="L71" i="1" s="1"/>
  <c r="W34" i="2" a="1"/>
  <c r="W34" i="2" s="1"/>
  <c r="N39" i="1" s="1"/>
  <c r="W20" i="2" a="1"/>
  <c r="W20" i="2" s="1"/>
  <c r="N25" i="1" s="1"/>
  <c r="T59" i="2" a="1"/>
  <c r="T59" i="2" s="1"/>
  <c r="K65" i="1" s="1"/>
  <c r="Z26" i="2" a="1"/>
  <c r="Z26" i="2" s="1"/>
  <c r="X61" i="2" a="1"/>
  <c r="X61" i="2" s="1"/>
  <c r="O67" i="1" s="1"/>
  <c r="U24" i="2" a="1"/>
  <c r="U24" i="2" s="1"/>
  <c r="L29" i="1" s="1"/>
  <c r="X21" i="2" a="1"/>
  <c r="X21" i="2" s="1"/>
  <c r="O26" i="1" s="1"/>
  <c r="X60" i="2" a="1"/>
  <c r="X60" i="2" s="1"/>
  <c r="O66" i="1" s="1"/>
  <c r="T67" i="2" a="1"/>
  <c r="T67" i="2" s="1"/>
  <c r="K73" i="1" s="1"/>
  <c r="Z22" i="2" a="1"/>
  <c r="Z22" i="2" s="1"/>
  <c r="Q27" i="1" s="1"/>
  <c r="X59" i="2" a="1"/>
  <c r="X59" i="2" s="1"/>
  <c r="O65" i="1" s="1"/>
  <c r="T19" i="2" a="1"/>
  <c r="T19" i="2" s="1"/>
  <c r="K24" i="1" s="1"/>
  <c r="V50" i="2" a="1"/>
  <c r="V50" i="2" s="1"/>
  <c r="T40" i="2" a="1"/>
  <c r="T40" i="2" s="1"/>
  <c r="K45" i="1" s="1"/>
  <c r="Z19" i="2" a="1"/>
  <c r="Z19" i="2" s="1"/>
  <c r="Q24" i="1" s="1"/>
  <c r="U36" i="2" a="1"/>
  <c r="U36" i="2" s="1"/>
  <c r="L41" i="1" s="1"/>
  <c r="V47" i="2" a="1"/>
  <c r="V47" i="2" s="1"/>
  <c r="U30" i="2" a="1"/>
  <c r="U30" i="2" s="1"/>
  <c r="L35" i="1" s="1"/>
  <c r="X38" i="2" a="1"/>
  <c r="X38" i="2" s="1"/>
  <c r="O43" i="1" s="1"/>
  <c r="U56" i="2" a="1"/>
  <c r="U56" i="2" s="1"/>
  <c r="L62" i="1" s="1"/>
  <c r="U39" i="2" a="1"/>
  <c r="U39" i="2" s="1"/>
  <c r="L44" i="1" s="1"/>
  <c r="X48" i="2" a="1"/>
  <c r="X48" i="2" s="1"/>
  <c r="O53" i="1" s="1"/>
  <c r="W54" i="2" a="1"/>
  <c r="W54" i="2" s="1"/>
  <c r="N60" i="1" s="1"/>
  <c r="U49" i="2" a="1"/>
  <c r="U49" i="2" s="1"/>
  <c r="L54" i="1" s="1"/>
  <c r="X46" i="2" a="1"/>
  <c r="X46" i="2" s="1"/>
  <c r="O51" i="1" s="1"/>
  <c r="U63" i="2" a="1"/>
  <c r="U63" i="2" s="1"/>
  <c r="L69" i="1" s="1"/>
  <c r="Z16" i="2" a="1"/>
  <c r="Z16" i="2" s="1"/>
  <c r="Q21" i="1" s="1"/>
  <c r="W49" i="2" a="1"/>
  <c r="W49" i="2" s="1"/>
  <c r="N54" i="1" s="1"/>
  <c r="T69" i="2" a="1"/>
  <c r="T69" i="2" s="1"/>
  <c r="K75" i="1" s="1"/>
  <c r="Z24" i="2" a="1"/>
  <c r="Z24" i="2" s="1"/>
  <c r="W47" i="2" a="1"/>
  <c r="W47" i="2" s="1"/>
  <c r="N52" i="1" s="1"/>
  <c r="T55" i="2" a="1"/>
  <c r="T55" i="2" s="1"/>
  <c r="K61" i="1" s="1"/>
  <c r="AA25" i="2" a="1"/>
  <c r="AA25" i="2" s="1"/>
  <c r="W45" i="2" a="1"/>
  <c r="W45" i="2" s="1"/>
  <c r="N50" i="1" s="1"/>
  <c r="T32" i="2" a="1"/>
  <c r="T32" i="2" s="1"/>
  <c r="K37" i="1" s="1"/>
  <c r="T27" i="2" a="1"/>
  <c r="T27" i="2" s="1"/>
  <c r="K32" i="1" s="1"/>
  <c r="T26" i="2" a="1"/>
  <c r="T26" i="2" s="1"/>
  <c r="K31" i="1" s="1"/>
  <c r="X55" i="2" a="1"/>
  <c r="X55" i="2" s="1"/>
  <c r="O61" i="1" s="1"/>
  <c r="T31" i="2" a="1"/>
  <c r="T31" i="2" s="1"/>
  <c r="K36" i="1" s="1"/>
  <c r="T38" i="2" a="1"/>
  <c r="T38" i="2" s="1"/>
  <c r="K43" i="1" s="1"/>
  <c r="V46" i="2" a="1"/>
  <c r="V46" i="2" s="1"/>
  <c r="T17" i="2" a="1"/>
  <c r="T17" i="2" s="1"/>
  <c r="K22" i="1" s="1"/>
  <c r="U20" i="2" a="1"/>
  <c r="U20" i="2" s="1"/>
  <c r="L25" i="1" s="1"/>
  <c r="X27" i="2" a="1"/>
  <c r="X27" i="2" s="1"/>
  <c r="O32" i="1" s="1"/>
  <c r="X66" i="2" a="1"/>
  <c r="X66" i="2" s="1"/>
  <c r="O72" i="1" s="1"/>
  <c r="U28" i="2" a="1"/>
  <c r="U28" i="2" s="1"/>
  <c r="L33" i="1" s="1"/>
  <c r="X36" i="2" a="1"/>
  <c r="X36" i="2" s="1"/>
  <c r="O41" i="1" s="1"/>
  <c r="X64" i="2" a="1"/>
  <c r="X64" i="2" s="1"/>
  <c r="O70" i="1" s="1"/>
  <c r="U37" i="2" a="1"/>
  <c r="U37" i="2" s="1"/>
  <c r="L42" i="1" s="1"/>
  <c r="X34" i="2" a="1"/>
  <c r="X34" i="2" s="1"/>
  <c r="O39" i="1" s="1"/>
  <c r="W68" i="2" a="1"/>
  <c r="W68" i="2" s="1"/>
  <c r="N74" i="1" s="1"/>
  <c r="AA18" i="2" a="1"/>
  <c r="AA18" i="2" s="1"/>
  <c r="R23" i="1" s="1"/>
  <c r="W28" i="2" a="1"/>
  <c r="W28" i="2" s="1"/>
  <c r="N33" i="1" s="1"/>
  <c r="T57" i="2" a="1"/>
  <c r="T57" i="2" s="1"/>
  <c r="K63" i="1" s="1"/>
  <c r="AA14" i="2" a="1"/>
  <c r="AA14" i="2" s="1"/>
  <c r="R19" i="1" s="1"/>
  <c r="W37" i="2" a="1"/>
  <c r="W37" i="2" s="1"/>
  <c r="N42" i="1" s="1"/>
  <c r="U60" i="2" a="1"/>
  <c r="U60" i="2" s="1"/>
  <c r="L66" i="1" s="1"/>
  <c r="T65" i="2" a="1"/>
  <c r="T65" i="2" s="1"/>
  <c r="K71" i="1" s="1"/>
  <c r="W35" i="2" a="1"/>
  <c r="W35" i="2" s="1"/>
  <c r="N40" i="1" s="1"/>
  <c r="V45" i="2" a="1"/>
  <c r="V45" i="2" s="1"/>
  <c r="V38" i="2" a="1"/>
  <c r="V38" i="2" s="1"/>
  <c r="T30" i="2" a="1"/>
  <c r="T30" i="2" s="1"/>
  <c r="K35" i="1" s="1"/>
  <c r="V40" i="2" a="1"/>
  <c r="V40" i="2" s="1"/>
  <c r="T36" i="2" a="1"/>
  <c r="T36" i="2" s="1"/>
  <c r="K41" i="1" s="1"/>
  <c r="T64" i="2" a="1"/>
  <c r="T64" i="2" s="1"/>
  <c r="K70" i="1" s="1"/>
  <c r="X17" i="2" a="1"/>
  <c r="X17" i="2" s="1"/>
  <c r="O22" i="1" s="1"/>
  <c r="X56" i="2" a="1"/>
  <c r="X56" i="2" s="1"/>
  <c r="O62" i="1" s="1"/>
  <c r="U18" i="2" a="1"/>
  <c r="U18" i="2" s="1"/>
  <c r="L23" i="1" s="1"/>
  <c r="X26" i="2" a="1"/>
  <c r="X26" i="2" s="1"/>
  <c r="O31" i="1" s="1"/>
  <c r="W14" i="2" a="1"/>
  <c r="W14" i="2" s="1"/>
  <c r="N19" i="1" s="1"/>
  <c r="U16" i="2" a="1"/>
  <c r="U16" i="2" s="1"/>
  <c r="L21" i="1" s="1"/>
  <c r="X24" i="2" a="1"/>
  <c r="X24" i="2" s="1"/>
  <c r="O29" i="1" s="1"/>
  <c r="W58" i="2" a="1"/>
  <c r="W58" i="2" s="1"/>
  <c r="N64" i="1" s="1"/>
  <c r="X58" i="2" a="1"/>
  <c r="X58" i="2" s="1"/>
  <c r="O64" i="1" s="1"/>
  <c r="W18" i="2" a="1"/>
  <c r="W18" i="2" s="1"/>
  <c r="N23" i="1" s="1"/>
  <c r="U61" i="2" a="1"/>
  <c r="U61" i="2" s="1"/>
  <c r="L67" i="1" s="1"/>
  <c r="AA16" i="2" a="1"/>
  <c r="AA16" i="2" s="1"/>
  <c r="R21" i="1" s="1"/>
  <c r="W16" i="2" a="1"/>
  <c r="W16" i="2" s="1"/>
  <c r="N21" i="1" s="1"/>
  <c r="W64" i="2" a="1"/>
  <c r="W64" i="2" s="1"/>
  <c r="N70" i="1" s="1"/>
  <c r="AA23" i="2" a="1"/>
  <c r="AA23" i="2" s="1"/>
  <c r="R28" i="1" s="1"/>
  <c r="W25" i="2" a="1"/>
  <c r="W25" i="2" s="1"/>
  <c r="N30" i="1" s="1"/>
</calcChain>
</file>

<file path=xl/sharedStrings.xml><?xml version="1.0" encoding="utf-8"?>
<sst xmlns="http://schemas.openxmlformats.org/spreadsheetml/2006/main" count="2726" uniqueCount="1123">
  <si>
    <t xml:space="preserve">Длина </t>
  </si>
  <si>
    <t>Высота</t>
  </si>
  <si>
    <t>1-01</t>
  </si>
  <si>
    <t>2-01</t>
  </si>
  <si>
    <t>3-01</t>
  </si>
  <si>
    <t>4-01</t>
  </si>
  <si>
    <t>5-01</t>
  </si>
  <si>
    <t>6-01</t>
  </si>
  <si>
    <t>7-01</t>
  </si>
  <si>
    <t>Тип банана</t>
  </si>
  <si>
    <t>Прямой</t>
  </si>
  <si>
    <t>Ширина бёдер</t>
  </si>
  <si>
    <t>Длина бедра</t>
  </si>
  <si>
    <t>Длина голени</t>
  </si>
  <si>
    <t>Параметр</t>
  </si>
  <si>
    <t>Значение</t>
  </si>
  <si>
    <t>Вводимые параметры с 1го листа</t>
  </si>
  <si>
    <t>Ширина</t>
  </si>
  <si>
    <t>Зазор</t>
  </si>
  <si>
    <t>Фактическое значение</t>
  </si>
  <si>
    <t>мм</t>
  </si>
  <si>
    <t>Подбор ширины коляски</t>
  </si>
  <si>
    <t>Итоговые параметры высот</t>
  </si>
  <si>
    <t>Варианты длины</t>
  </si>
  <si>
    <t>Варианты высоты</t>
  </si>
  <si>
    <t>Уменьшение На</t>
  </si>
  <si>
    <t>Итоговое</t>
  </si>
  <si>
    <t>Баланс</t>
  </si>
  <si>
    <t>Параметры банана</t>
  </si>
  <si>
    <t>Параметры выноса оси</t>
  </si>
  <si>
    <t>270-310</t>
  </si>
  <si>
    <t>Длина</t>
  </si>
  <si>
    <t>LB1</t>
  </si>
  <si>
    <t>LVi</t>
  </si>
  <si>
    <t>HB1</t>
  </si>
  <si>
    <t>330-370</t>
  </si>
  <si>
    <t>400-440</t>
  </si>
  <si>
    <r>
      <t>220</t>
    </r>
    <r>
      <rPr>
        <b/>
        <sz val="11"/>
        <color theme="1"/>
        <rFont val="Calibri"/>
        <family val="2"/>
        <charset val="204"/>
        <scheme val="minor"/>
      </rPr>
      <t>(230)</t>
    </r>
  </si>
  <si>
    <t>Подбор длины коляски</t>
  </si>
  <si>
    <t>Тип коляски</t>
  </si>
  <si>
    <t>значение</t>
  </si>
  <si>
    <t>Номер</t>
  </si>
  <si>
    <t>1/2</t>
  </si>
  <si>
    <t>3/4</t>
  </si>
  <si>
    <t>5/6/7</t>
  </si>
  <si>
    <t>Высота коляски</t>
  </si>
  <si>
    <t>Подбор высоты коялски</t>
  </si>
  <si>
    <t>*-50</t>
  </si>
  <si>
    <t>*-60</t>
  </si>
  <si>
    <t>не дотяг</t>
  </si>
  <si>
    <t>середина руки</t>
  </si>
  <si>
    <t>ФИ ребенка</t>
  </si>
  <si>
    <t>Ширина бедра</t>
  </si>
  <si>
    <t>Длина сидения</t>
  </si>
  <si>
    <t>Высота спины до лопаток</t>
  </si>
  <si>
    <t>От подколенной ямки до начала ступни</t>
  </si>
  <si>
    <t>Высота выбранная</t>
  </si>
  <si>
    <t>1/3/5</t>
  </si>
  <si>
    <t>2/4/6</t>
  </si>
  <si>
    <t>1-02</t>
  </si>
  <si>
    <t>Сужение-П</t>
  </si>
  <si>
    <t>2-02</t>
  </si>
  <si>
    <t>3-02</t>
  </si>
  <si>
    <t>4-02</t>
  </si>
  <si>
    <t>5-02</t>
  </si>
  <si>
    <t>7-02</t>
  </si>
  <si>
    <t>Сужение-Л</t>
  </si>
  <si>
    <t>6-02</t>
  </si>
  <si>
    <t>Введите параметры пользователя:</t>
  </si>
  <si>
    <t>Значние</t>
  </si>
  <si>
    <t>С 1го листа</t>
  </si>
  <si>
    <t>Тип длины</t>
  </si>
  <si>
    <t>Тип высоты</t>
  </si>
  <si>
    <t>Подсчёт совпадений</t>
  </si>
  <si>
    <t>Развёрнутая высота коялски</t>
  </si>
  <si>
    <t>Кол-во</t>
  </si>
  <si>
    <t>Порядковый номер</t>
  </si>
  <si>
    <t>-</t>
  </si>
  <si>
    <t>Прим</t>
  </si>
  <si>
    <t>Код</t>
  </si>
  <si>
    <t>all</t>
  </si>
  <si>
    <t>Для всех</t>
  </si>
  <si>
    <t>Тип Ширины</t>
  </si>
  <si>
    <t>Тип коляски(рамы)</t>
  </si>
  <si>
    <t>Притягивание параметров</t>
  </si>
  <si>
    <t>Для второго банана</t>
  </si>
  <si>
    <t>Колено-1(наличие сужения(если просто цифра то нет) если с -01 то есть))</t>
  </si>
  <si>
    <t>Колено-2 (притягивается номер банана в чистом виде)</t>
  </si>
  <si>
    <t>Параметры общие (всегда подгружается)</t>
  </si>
  <si>
    <t>Для выноса</t>
  </si>
  <si>
    <t>vi1</t>
  </si>
  <si>
    <t>vi3</t>
  </si>
  <si>
    <t>vi5</t>
  </si>
  <si>
    <t>vi2</t>
  </si>
  <si>
    <t>vi4</t>
  </si>
  <si>
    <t>vi7</t>
  </si>
  <si>
    <t>vi6</t>
  </si>
  <si>
    <t>Наимен</t>
  </si>
  <si>
    <t>Полное Наименовнаие</t>
  </si>
  <si>
    <t>Обознач</t>
  </si>
  <si>
    <t>KI.BP.500</t>
  </si>
  <si>
    <t>KI.BP.501</t>
  </si>
  <si>
    <t>KI.BP.502</t>
  </si>
  <si>
    <t>KI.BP.503</t>
  </si>
  <si>
    <t>KI.BP.504</t>
  </si>
  <si>
    <t>KI.BP.505</t>
  </si>
  <si>
    <t>KI.BP.506</t>
  </si>
  <si>
    <t>KI.BP.507</t>
  </si>
  <si>
    <t>KI.BP.508</t>
  </si>
  <si>
    <t>KI.BP.509</t>
  </si>
  <si>
    <t>KI.BP.510</t>
  </si>
  <si>
    <t>KI.BP.511</t>
  </si>
  <si>
    <t>KI.BP.512</t>
  </si>
  <si>
    <t>KI.BP.513</t>
  </si>
  <si>
    <t>KI.BP.514</t>
  </si>
  <si>
    <t>KI.BP.515</t>
  </si>
  <si>
    <t>KI.BP.516</t>
  </si>
  <si>
    <t>KI.BP.517</t>
  </si>
  <si>
    <t>KI.BP.518</t>
  </si>
  <si>
    <t>KI.BP.519</t>
  </si>
  <si>
    <t>KI.BP.520</t>
  </si>
  <si>
    <t>KI.BP.521</t>
  </si>
  <si>
    <t>KI.BP.522</t>
  </si>
  <si>
    <t>KI.BP.523</t>
  </si>
  <si>
    <t>KI.TP.103</t>
  </si>
  <si>
    <t>KI.TP.104</t>
  </si>
  <si>
    <t>Банан 1</t>
  </si>
  <si>
    <t>Банан 1-01</t>
  </si>
  <si>
    <t>Банан 1-02</t>
  </si>
  <si>
    <t>Банан 2</t>
  </si>
  <si>
    <t>Банан 2-01</t>
  </si>
  <si>
    <t>Банан 2-02</t>
  </si>
  <si>
    <t>Банан 3</t>
  </si>
  <si>
    <t>Банан 3-01</t>
  </si>
  <si>
    <t>Банан 3-02</t>
  </si>
  <si>
    <t>Банан 4</t>
  </si>
  <si>
    <t>Банан 4-01</t>
  </si>
  <si>
    <t>Банан 4-02</t>
  </si>
  <si>
    <t>Банан 5</t>
  </si>
  <si>
    <t>Банан 5-01</t>
  </si>
  <si>
    <t>Банан 5-02</t>
  </si>
  <si>
    <t>Банан 6</t>
  </si>
  <si>
    <t>Банан 6-01</t>
  </si>
  <si>
    <t>Банан 6-02</t>
  </si>
  <si>
    <t>Банан 7</t>
  </si>
  <si>
    <t>Банан 7-01</t>
  </si>
  <si>
    <t>Банан 7-02</t>
  </si>
  <si>
    <t>Мост сидения 270</t>
  </si>
  <si>
    <t>Мост сидения 300</t>
  </si>
  <si>
    <t>Мост сидения 330</t>
  </si>
  <si>
    <t>Мост сидения 360</t>
  </si>
  <si>
    <t>Мост сидения 390</t>
  </si>
  <si>
    <t>Мост сидения 420</t>
  </si>
  <si>
    <t>Вынос оси 1/3/5</t>
  </si>
  <si>
    <t>Вынос оси 2/4/6</t>
  </si>
  <si>
    <t>Вынос оси 7</t>
  </si>
  <si>
    <t>Каркас спинки</t>
  </si>
  <si>
    <t>Ось 270</t>
  </si>
  <si>
    <t>Ось 300</t>
  </si>
  <si>
    <t>Ось 330</t>
  </si>
  <si>
    <t>Ось 360</t>
  </si>
  <si>
    <t>Ось 390</t>
  </si>
  <si>
    <t>Ось 420</t>
  </si>
  <si>
    <t>Вынос стакана</t>
  </si>
  <si>
    <t>Стакан переднего колеса</t>
  </si>
  <si>
    <t>Втулка ресивера колеса</t>
  </si>
  <si>
    <t>Идёт ли в спецификацию?</t>
  </si>
  <si>
    <t>Наим</t>
  </si>
  <si>
    <t>Рама</t>
  </si>
  <si>
    <t>Все параметры вводить с шагом 10мм (НР 220 или 230)</t>
  </si>
  <si>
    <t>Для коляски шириной 270</t>
  </si>
  <si>
    <t>Для коляски шириной 300</t>
  </si>
  <si>
    <t>Для коляски шириной 330</t>
  </si>
  <si>
    <t>Для коляски шириной 360</t>
  </si>
  <si>
    <t>Для коляски шириной 390</t>
  </si>
  <si>
    <t>Для коляски шириной 420</t>
  </si>
  <si>
    <t>Для бананов типа: 2/4/6</t>
  </si>
  <si>
    <t>Для бананов типа: 1/3/5</t>
  </si>
  <si>
    <t>Для бананов типа: 7</t>
  </si>
  <si>
    <t>Тип Банана</t>
  </si>
  <si>
    <t>KI.BP.500_Банан 1</t>
  </si>
  <si>
    <t>no</t>
  </si>
  <si>
    <t>KI.BP.500_Банан 1-01</t>
  </si>
  <si>
    <t>KI.BP.500_Банан 1-02</t>
  </si>
  <si>
    <t>KI.BP.501_Банан 2</t>
  </si>
  <si>
    <t>KI.BP.501_Банан 2-01</t>
  </si>
  <si>
    <t>da</t>
  </si>
  <si>
    <t>KI.BP.501_Банан 2-02</t>
  </si>
  <si>
    <t>KI.BP.502_Банан 3</t>
  </si>
  <si>
    <t>KI.BP.502_Банан 3-01</t>
  </si>
  <si>
    <t>KI.BP.502_Банан 3-02</t>
  </si>
  <si>
    <t>KI.BP.503_Банан 4</t>
  </si>
  <si>
    <t>KI.BP.503_Банан 4-01</t>
  </si>
  <si>
    <t>KI.BP.503_Банан 4-02</t>
  </si>
  <si>
    <t>KI.BP.504_Банан 5</t>
  </si>
  <si>
    <t>KI.BP.504_Банан 5-01</t>
  </si>
  <si>
    <t>KI.BP.504_Банан 5-02</t>
  </si>
  <si>
    <t>KI.BP.505_Банан 6</t>
  </si>
  <si>
    <t>KI.BP.505_Банан 6-01</t>
  </si>
  <si>
    <t>KI.BP.505_Банан 6-02</t>
  </si>
  <si>
    <t>KI.BP.506_Банан 7</t>
  </si>
  <si>
    <t>KI.BP.506_Банан 7-01</t>
  </si>
  <si>
    <t>KI.BP.506_Банан 7-02</t>
  </si>
  <si>
    <t>KI.BP.507_Мост сидения 270</t>
  </si>
  <si>
    <t>KI.BP.508_Мост сидения 300</t>
  </si>
  <si>
    <t>KI.BP.509_Мост сидения 330</t>
  </si>
  <si>
    <t>KI.BP.510_Мост сидения 360</t>
  </si>
  <si>
    <t>KI.BP.511_Мост сидения 390</t>
  </si>
  <si>
    <t>KI.BP.512_Мост сидения 420</t>
  </si>
  <si>
    <t>KI.BP.513_Вынос оси 1/3/5</t>
  </si>
  <si>
    <t>KI.BP.514_Вынос оси 2/4/6</t>
  </si>
  <si>
    <t>KI.BP.515_Вынос оси 7</t>
  </si>
  <si>
    <t>KI.BP.516_Каркас спинки</t>
  </si>
  <si>
    <t>KI.BP.517_Ось 270</t>
  </si>
  <si>
    <t>KI.BP.518_Ось 300</t>
  </si>
  <si>
    <t>KI.BP.519_Ось 330</t>
  </si>
  <si>
    <t>KI.BP.520_Ось 360</t>
  </si>
  <si>
    <t>KI.BP.521_Ось 390</t>
  </si>
  <si>
    <t>KI.BP.522_Ось 420</t>
  </si>
  <si>
    <t>KI.BP.523_Вынос стакана</t>
  </si>
  <si>
    <t>KI.TP.103_Стакан переднего колеса</t>
  </si>
  <si>
    <t>KI.TP.104_Втулка ресивера колеса</t>
  </si>
  <si>
    <t>?KI.BP.?</t>
  </si>
  <si>
    <t>KI.BP.399</t>
  </si>
  <si>
    <t>Трубка антиопрокидывателя</t>
  </si>
  <si>
    <t>KI.BP.327</t>
  </si>
  <si>
    <t>Рукоятка AJ</t>
  </si>
  <si>
    <t>KI.BP.327-00M</t>
  </si>
  <si>
    <t>KI.BP.391</t>
  </si>
  <si>
    <t>Вынос вилки</t>
  </si>
  <si>
    <t>KI.BP.402</t>
  </si>
  <si>
    <t>Мост сидения прямой 330</t>
  </si>
  <si>
    <t>KI.BP.406</t>
  </si>
  <si>
    <t>Труба осевая 330</t>
  </si>
  <si>
    <t>KI.BP.411</t>
  </si>
  <si>
    <t>Вертикальная трубка спинки 380</t>
  </si>
  <si>
    <t>s380</t>
  </si>
  <si>
    <t>Высота спинки</t>
  </si>
  <si>
    <t>Тип трубки спинки</t>
  </si>
  <si>
    <t>Ключ</t>
  </si>
  <si>
    <t>KI.BP.412</t>
  </si>
  <si>
    <t>Мост спинки 330</t>
  </si>
  <si>
    <t>KI.BP.414</t>
  </si>
  <si>
    <t>Вынос осевой трубы 2,4,6</t>
  </si>
  <si>
    <t>Пошив :</t>
  </si>
  <si>
    <t>Длина Подушка сидения</t>
  </si>
  <si>
    <t>Длина подушки сидения</t>
  </si>
  <si>
    <t>Длина подушки</t>
  </si>
  <si>
    <t>Предварительная калькуляция( поиск совпадения бананов)</t>
  </si>
  <si>
    <t>Подушка сидения (Ширина Х Длина Х Толщина)</t>
  </si>
  <si>
    <t>Номер заказа</t>
  </si>
  <si>
    <t>Мост сидения прямой 360</t>
  </si>
  <si>
    <t>KI.BP.415</t>
  </si>
  <si>
    <t>KI.BP.416</t>
  </si>
  <si>
    <t>Труба осевая 360</t>
  </si>
  <si>
    <t>Мост спинки 270</t>
  </si>
  <si>
    <t>Мост спинки 360</t>
  </si>
  <si>
    <t>Мост спинки 390</t>
  </si>
  <si>
    <t>Мост спинки 420</t>
  </si>
  <si>
    <t>Мост спинки 300</t>
  </si>
  <si>
    <t>KI.BP.418</t>
  </si>
  <si>
    <t>s280</t>
  </si>
  <si>
    <t>KI.BP.419</t>
  </si>
  <si>
    <t>Вертикальная трубка спинки 280</t>
  </si>
  <si>
    <t>Ключ Крыла</t>
  </si>
  <si>
    <t>kr1</t>
  </si>
  <si>
    <t>kr2</t>
  </si>
  <si>
    <t>kr3</t>
  </si>
  <si>
    <t>kr4</t>
  </si>
  <si>
    <t>kr5</t>
  </si>
  <si>
    <t>kr6</t>
  </si>
  <si>
    <t>kr7</t>
  </si>
  <si>
    <t>KI.SP.312</t>
  </si>
  <si>
    <t>Крыло 4</t>
  </si>
  <si>
    <t>Подряд</t>
  </si>
  <si>
    <t>Пластина сидения 360-3,4</t>
  </si>
  <si>
    <t>Крыло 1</t>
  </si>
  <si>
    <t>Крыло 2</t>
  </si>
  <si>
    <t>Крыло 3</t>
  </si>
  <si>
    <t>Крыло 5</t>
  </si>
  <si>
    <t>Крыло 6</t>
  </si>
  <si>
    <t>Крыло 7</t>
  </si>
  <si>
    <t>Вертикальная трубка спинки 200</t>
  </si>
  <si>
    <t>Вертикальная трубка спинки 220</t>
  </si>
  <si>
    <t>Вертикальная трубка спинки 240</t>
  </si>
  <si>
    <t>Вертикальная трубка спинки 260</t>
  </si>
  <si>
    <t>Вертикальная трубка спинки 300</t>
  </si>
  <si>
    <t>Вертикальная трубка спинки 320</t>
  </si>
  <si>
    <t>Вертикальная трубка спинки 340</t>
  </si>
  <si>
    <t>Вертикальная трубка спинки 360</t>
  </si>
  <si>
    <t>Вертикальная трубка спинки 400</t>
  </si>
  <si>
    <t>Вертикальная трубка спинки 420</t>
  </si>
  <si>
    <t>Вертикальная трубка спинки 440</t>
  </si>
  <si>
    <t>Вертикальная трубка спинки 460</t>
  </si>
  <si>
    <t>s260</t>
  </si>
  <si>
    <t>s200</t>
  </si>
  <si>
    <t>s220</t>
  </si>
  <si>
    <t>s240</t>
  </si>
  <si>
    <t>s300</t>
  </si>
  <si>
    <t>s320</t>
  </si>
  <si>
    <t>s340</t>
  </si>
  <si>
    <t>s360</t>
  </si>
  <si>
    <t>s400</t>
  </si>
  <si>
    <t>s420</t>
  </si>
  <si>
    <t>s440</t>
  </si>
  <si>
    <t>s460</t>
  </si>
  <si>
    <t>Труба осевая 390</t>
  </si>
  <si>
    <t>Труба осевая 420</t>
  </si>
  <si>
    <t>Труба осевая 270</t>
  </si>
  <si>
    <t>Труба осевая 300</t>
  </si>
  <si>
    <t>Мост сидения прямой 270</t>
  </si>
  <si>
    <t>Мост сидения прямой 300</t>
  </si>
  <si>
    <t>Мост сидения прямой 390</t>
  </si>
  <si>
    <t>Мост сидения прямой 420</t>
  </si>
  <si>
    <t>KI.MP.079</t>
  </si>
  <si>
    <t>Вилка кастора АJ</t>
  </si>
  <si>
    <t>KI.MP.079-00M</t>
  </si>
  <si>
    <t>Колесо</t>
  </si>
  <si>
    <t>Delfi 24''</t>
  </si>
  <si>
    <t>KI.FP.103</t>
  </si>
  <si>
    <t>Полукрыло A2</t>
  </si>
  <si>
    <t>Грипса</t>
  </si>
  <si>
    <t>KI.SA.006</t>
  </si>
  <si>
    <t>Колесо кастера</t>
  </si>
  <si>
    <t>KI.TP.010</t>
  </si>
  <si>
    <t>Проставка колеса кастора</t>
  </si>
  <si>
    <t>Пластина сидения 270-1,2</t>
  </si>
  <si>
    <t>Пластина сидения 270-3,4</t>
  </si>
  <si>
    <t>Пластина сидения 270-5,6,7</t>
  </si>
  <si>
    <t>Пластина сидения 300-1,2</t>
  </si>
  <si>
    <t>Пластина сидения 300-3,4</t>
  </si>
  <si>
    <t>Пластина сидения 300-5,6,7</t>
  </si>
  <si>
    <t>Пластина сидения 330-1,2</t>
  </si>
  <si>
    <t>Пластина сидения 330-3,4</t>
  </si>
  <si>
    <t>Пластина сидения 330-5,6,7</t>
  </si>
  <si>
    <t>Пластина сидения 360-1,2</t>
  </si>
  <si>
    <t>Пластина сидения 360-5,6,7</t>
  </si>
  <si>
    <t>Пластина сидения 390-1,2</t>
  </si>
  <si>
    <t>Пластина сидения 390-3,4</t>
  </si>
  <si>
    <t>Пластина сидения 390-5,6,7</t>
  </si>
  <si>
    <t>Пластина сидения 420-1,2</t>
  </si>
  <si>
    <t>Пластина сидения 420-3,4</t>
  </si>
  <si>
    <t>Пластина сидения 420-5,6,7</t>
  </si>
  <si>
    <t>Тканевая подушка сидения 270-1,2</t>
  </si>
  <si>
    <t>Тканевая подушка сидения 270-3,4</t>
  </si>
  <si>
    <t>Тканевая подушка сидения 270-5,6,7</t>
  </si>
  <si>
    <t>Тканевая подушка сидения 300-1,2</t>
  </si>
  <si>
    <t>Тканевая подушка сидения 300-3,4</t>
  </si>
  <si>
    <t>Тканевая подушка сидения 300-5,6,7</t>
  </si>
  <si>
    <t>Тканевая подушка сидения 330-1,2</t>
  </si>
  <si>
    <t>Тканевая подушка сидения 330-3,4</t>
  </si>
  <si>
    <t>Тканевая подушка сидения 330-5,6,7</t>
  </si>
  <si>
    <t>Тканевая подушка сидения 360-1,2</t>
  </si>
  <si>
    <t>Тканевая подушка сидения 360-3,4</t>
  </si>
  <si>
    <t>Тканевая подушка сидения 360-5,6,7</t>
  </si>
  <si>
    <t>Тканевая подушка сидения 390-1,2</t>
  </si>
  <si>
    <t>Тканевая подушка сидения 390-3,4</t>
  </si>
  <si>
    <t>Тканевая подушка сидения 390-5,6,7</t>
  </si>
  <si>
    <t>Тканевая подушка сидения 420-1,2</t>
  </si>
  <si>
    <t>Тканевая подушка сидения 420-3,4</t>
  </si>
  <si>
    <t>Тканевая подушка сидения 420-5,6,7</t>
  </si>
  <si>
    <t>KI.BP.391-00M</t>
  </si>
  <si>
    <t>Вынос осевой трубы 1/3/5</t>
  </si>
  <si>
    <t>Вынос осевой трубы 7</t>
  </si>
  <si>
    <t>Ресивер подножки</t>
  </si>
  <si>
    <t>KI.TP.106</t>
  </si>
  <si>
    <t>Стакан D25 L60</t>
  </si>
  <si>
    <t>Стакан антиопрокидывателя</t>
  </si>
  <si>
    <t>KI.TP.075</t>
  </si>
  <si>
    <t>KI.MP.084_Кронштейн складывания внешний</t>
  </si>
  <si>
    <t>KI.MP.084</t>
  </si>
  <si>
    <t>KI.MP.084-00M</t>
  </si>
  <si>
    <t>Кронштейн складывания внутренний</t>
  </si>
  <si>
    <t>KI.MP.085</t>
  </si>
  <si>
    <t>Пластина кронштейна</t>
  </si>
  <si>
    <t>KI.SP.310</t>
  </si>
  <si>
    <t>KI.SP.310-00M</t>
  </si>
  <si>
    <t>K0342.03105</t>
  </si>
  <si>
    <t>Штифт упорный</t>
  </si>
  <si>
    <t>Хомут 25мм в сборе</t>
  </si>
  <si>
    <t>KI.SA.999</t>
  </si>
  <si>
    <t>KI.SA.999-00M</t>
  </si>
  <si>
    <t>Тормоз в сборе</t>
  </si>
  <si>
    <t>KI.SA.246</t>
  </si>
  <si>
    <t>Антиопрокидыватель A2 в сборе</t>
  </si>
  <si>
    <t>Пружинная кнопка</t>
  </si>
  <si>
    <t>KI.BP.413</t>
  </si>
  <si>
    <t>Подножка АJ сварная 270</t>
  </si>
  <si>
    <t>Подножка АJ сварная 300</t>
  </si>
  <si>
    <t>Проставка D10 L10</t>
  </si>
  <si>
    <t>KI.TP.107</t>
  </si>
  <si>
    <t>KI.TP.008</t>
  </si>
  <si>
    <t>Проставка D8 L11</t>
  </si>
  <si>
    <t>Колесо антиопрокидывателя</t>
  </si>
  <si>
    <t>KI.CP.104</t>
  </si>
  <si>
    <t>Гайка М22х1.5</t>
  </si>
  <si>
    <t>KI.MP.078</t>
  </si>
  <si>
    <t>Ресивер AJ 3 градусов</t>
  </si>
  <si>
    <t>Ременная спинка 270x200</t>
  </si>
  <si>
    <t>Ременная спинка 270x220</t>
  </si>
  <si>
    <t>Ременная спинка 270x240</t>
  </si>
  <si>
    <t>Ременная спинка 270x260</t>
  </si>
  <si>
    <t>Ременная спинка 270x280</t>
  </si>
  <si>
    <t>Ременная спинка 270x300</t>
  </si>
  <si>
    <t>Ременная спинка 270x320</t>
  </si>
  <si>
    <t>Ременная спинка 270x340</t>
  </si>
  <si>
    <t>Ременная спинка 270x360</t>
  </si>
  <si>
    <t>Ременная спинка 270x380</t>
  </si>
  <si>
    <t>Ременная спинка 270x400</t>
  </si>
  <si>
    <t>Ременная спинка 270x420</t>
  </si>
  <si>
    <t>Ременная спинка 270x440</t>
  </si>
  <si>
    <t>Ременная спинка 270x460</t>
  </si>
  <si>
    <t>Ременная спинка 300x200</t>
  </si>
  <si>
    <t>Ременная спинка 300x220</t>
  </si>
  <si>
    <t>Ременная спинка 300x240</t>
  </si>
  <si>
    <t>Ременная спинка 300x260</t>
  </si>
  <si>
    <t>Ременная спинка 300x280</t>
  </si>
  <si>
    <t>Ременная спинка 300x300</t>
  </si>
  <si>
    <t>Ременная спинка 300x320</t>
  </si>
  <si>
    <t>Ременная спинка 300x340</t>
  </si>
  <si>
    <t>Ременная спинка 300x360</t>
  </si>
  <si>
    <t>Ременная спинка 300x380</t>
  </si>
  <si>
    <t>Ременная спинка 300x400</t>
  </si>
  <si>
    <t>Ременная спинка 300x420</t>
  </si>
  <si>
    <t>Ременная спинка 300x440</t>
  </si>
  <si>
    <t>Ременная спинка 300x460</t>
  </si>
  <si>
    <t>Ременная спинка 330x200</t>
  </si>
  <si>
    <t>Ременная спинка 330x220</t>
  </si>
  <si>
    <t>Ременная спинка 330x240</t>
  </si>
  <si>
    <t>Ременная спинка 330x260</t>
  </si>
  <si>
    <t>Ременная спинка 330x280</t>
  </si>
  <si>
    <t>Ременная спинка 330x300</t>
  </si>
  <si>
    <t>Ременная спинка 330x320</t>
  </si>
  <si>
    <t>Ременная спинка 330x340</t>
  </si>
  <si>
    <t>Ременная спинка 330x360</t>
  </si>
  <si>
    <t>Ременная спинка 330x380</t>
  </si>
  <si>
    <t>Ременная спинка 330x400</t>
  </si>
  <si>
    <t>Ременная спинка 330x420</t>
  </si>
  <si>
    <t>Ременная спинка 330x440</t>
  </si>
  <si>
    <t>Ременная спинка 330x460</t>
  </si>
  <si>
    <t>Ременная спинка 360x200</t>
  </si>
  <si>
    <t>Ременная спинка 360x220</t>
  </si>
  <si>
    <t>Ременная спинка 360x240</t>
  </si>
  <si>
    <t>Ременная спинка 360x260</t>
  </si>
  <si>
    <t>Ременная спинка 360x280</t>
  </si>
  <si>
    <t>Ременная спинка 360x300</t>
  </si>
  <si>
    <t>Ременная спинка 360x320</t>
  </si>
  <si>
    <t>Ременная спинка 360x340</t>
  </si>
  <si>
    <t>Ременная спинка 360x360</t>
  </si>
  <si>
    <t>Ременная спинка 360x380</t>
  </si>
  <si>
    <t>Ременная спинка 360x400</t>
  </si>
  <si>
    <t>Ременная спинка 360x420</t>
  </si>
  <si>
    <t>Ременная спинка 360x440</t>
  </si>
  <si>
    <t>Ременная спинка 360x460</t>
  </si>
  <si>
    <t>Ременная спинка 390x200</t>
  </si>
  <si>
    <t>Ременная спинка 390x220</t>
  </si>
  <si>
    <t>Ременная спинка 390x240</t>
  </si>
  <si>
    <t>Ременная спинка 390x260</t>
  </si>
  <si>
    <t>Ременная спинка 390x280</t>
  </si>
  <si>
    <t>Ременная спинка 390x300</t>
  </si>
  <si>
    <t>Ременная спинка 390x320</t>
  </si>
  <si>
    <t>Ременная спинка 390x340</t>
  </si>
  <si>
    <t>Ременная спинка 390x360</t>
  </si>
  <si>
    <t>Ременная спинка 390x380</t>
  </si>
  <si>
    <t>Ременная спинка 390x400</t>
  </si>
  <si>
    <t>Ременная спинка 390x420</t>
  </si>
  <si>
    <t>Ременная спинка 390x440</t>
  </si>
  <si>
    <t>Ременная спинка 390x460</t>
  </si>
  <si>
    <t>Ременная спинка 420x200</t>
  </si>
  <si>
    <t>Ременная спинка 420x220</t>
  </si>
  <si>
    <t>Ременная спинка 420x240</t>
  </si>
  <si>
    <t>Ременная спинка 420x260</t>
  </si>
  <si>
    <t>Ременная спинка 420x280</t>
  </si>
  <si>
    <t>Ременная спинка 420x300</t>
  </si>
  <si>
    <t>Ременная спинка 420x320</t>
  </si>
  <si>
    <t>Ременная спинка 420x340</t>
  </si>
  <si>
    <t>Ременная спинка 420x360</t>
  </si>
  <si>
    <t>Ременная спинка 420x380</t>
  </si>
  <si>
    <t>Ременная спинка 420x400</t>
  </si>
  <si>
    <t>Ременная спинка 420x420</t>
  </si>
  <si>
    <t>Ременная спинка 420x440</t>
  </si>
  <si>
    <t>Ременная спинка 420x460</t>
  </si>
  <si>
    <t>Маркер спинки</t>
  </si>
  <si>
    <t>270x200</t>
  </si>
  <si>
    <t>270x220</t>
  </si>
  <si>
    <t>270x240</t>
  </si>
  <si>
    <t>270x260</t>
  </si>
  <si>
    <t>270x280</t>
  </si>
  <si>
    <t>270x300</t>
  </si>
  <si>
    <t>270x320</t>
  </si>
  <si>
    <t>270x340</t>
  </si>
  <si>
    <t>270x360</t>
  </si>
  <si>
    <t>270x380</t>
  </si>
  <si>
    <t>270x400</t>
  </si>
  <si>
    <t>270x420</t>
  </si>
  <si>
    <t>270x440</t>
  </si>
  <si>
    <t>270x460</t>
  </si>
  <si>
    <t>300x200</t>
  </si>
  <si>
    <t>300x220</t>
  </si>
  <si>
    <t>300x240</t>
  </si>
  <si>
    <t>300x260</t>
  </si>
  <si>
    <t>300x280</t>
  </si>
  <si>
    <t>300x300</t>
  </si>
  <si>
    <t>300x320</t>
  </si>
  <si>
    <t>300x340</t>
  </si>
  <si>
    <t>300x360</t>
  </si>
  <si>
    <t>300x380</t>
  </si>
  <si>
    <t>300x400</t>
  </si>
  <si>
    <t>300x420</t>
  </si>
  <si>
    <t>300x440</t>
  </si>
  <si>
    <t>300x460</t>
  </si>
  <si>
    <t>330x200</t>
  </si>
  <si>
    <t>330x220</t>
  </si>
  <si>
    <t>330x240</t>
  </si>
  <si>
    <t>330x260</t>
  </si>
  <si>
    <t>330x280</t>
  </si>
  <si>
    <t>330x300</t>
  </si>
  <si>
    <t>330x320</t>
  </si>
  <si>
    <t>330x340</t>
  </si>
  <si>
    <t>330x360</t>
  </si>
  <si>
    <t>330x380</t>
  </si>
  <si>
    <t>330x400</t>
  </si>
  <si>
    <t>330x420</t>
  </si>
  <si>
    <t>330x440</t>
  </si>
  <si>
    <t>330x460</t>
  </si>
  <si>
    <t>360x200</t>
  </si>
  <si>
    <t>360x220</t>
  </si>
  <si>
    <t>360x240</t>
  </si>
  <si>
    <t>360x260</t>
  </si>
  <si>
    <t>360x280</t>
  </si>
  <si>
    <t>360x300</t>
  </si>
  <si>
    <t>360x320</t>
  </si>
  <si>
    <t>360x340</t>
  </si>
  <si>
    <t>360x360</t>
  </si>
  <si>
    <t>360x380</t>
  </si>
  <si>
    <t>360x400</t>
  </si>
  <si>
    <t>360x420</t>
  </si>
  <si>
    <t>360x440</t>
  </si>
  <si>
    <t>360x460</t>
  </si>
  <si>
    <t>390x200</t>
  </si>
  <si>
    <t>390x220</t>
  </si>
  <si>
    <t>390x240</t>
  </si>
  <si>
    <t>390x260</t>
  </si>
  <si>
    <t>390x280</t>
  </si>
  <si>
    <t>390x300</t>
  </si>
  <si>
    <t>390x320</t>
  </si>
  <si>
    <t>390x340</t>
  </si>
  <si>
    <t>390x360</t>
  </si>
  <si>
    <t>390x380</t>
  </si>
  <si>
    <t>390x400</t>
  </si>
  <si>
    <t>390x420</t>
  </si>
  <si>
    <t>390x440</t>
  </si>
  <si>
    <t>390x460</t>
  </si>
  <si>
    <t>420x200</t>
  </si>
  <si>
    <t>420x220</t>
  </si>
  <si>
    <t>420x240</t>
  </si>
  <si>
    <t>420x260</t>
  </si>
  <si>
    <t>420x280</t>
  </si>
  <si>
    <t>420x300</t>
  </si>
  <si>
    <t>420x320</t>
  </si>
  <si>
    <t>420x340</t>
  </si>
  <si>
    <t>420x360</t>
  </si>
  <si>
    <t>420x380</t>
  </si>
  <si>
    <t>420x400</t>
  </si>
  <si>
    <t>420x420</t>
  </si>
  <si>
    <t>420x440</t>
  </si>
  <si>
    <t>420x460</t>
  </si>
  <si>
    <t>KI.NP.016</t>
  </si>
  <si>
    <t>KI.NP.014</t>
  </si>
  <si>
    <t>Заглушки</t>
  </si>
  <si>
    <t>Не успел добавить:</t>
  </si>
  <si>
    <t>Метизы</t>
  </si>
  <si>
    <t>Маркер пластины сидения</t>
  </si>
  <si>
    <t>270хPl12</t>
  </si>
  <si>
    <t>300хPl12</t>
  </si>
  <si>
    <t>330хPl12</t>
  </si>
  <si>
    <t>360хPl12</t>
  </si>
  <si>
    <t>390хPl12</t>
  </si>
  <si>
    <t>420хPl12</t>
  </si>
  <si>
    <t>270хPl567</t>
  </si>
  <si>
    <t>270хPl34</t>
  </si>
  <si>
    <t>300хPl34</t>
  </si>
  <si>
    <t>330хPl34</t>
  </si>
  <si>
    <t>360хPl34</t>
  </si>
  <si>
    <t>390хPl34</t>
  </si>
  <si>
    <t>420хPl34</t>
  </si>
  <si>
    <t>300хPl567</t>
  </si>
  <si>
    <t>330хPl567</t>
  </si>
  <si>
    <t>360хPl567</t>
  </si>
  <si>
    <t>390хPl567</t>
  </si>
  <si>
    <t>420хPl567</t>
  </si>
  <si>
    <t>Покупное</t>
  </si>
  <si>
    <t>тип изделия</t>
  </si>
  <si>
    <t>Гибка</t>
  </si>
  <si>
    <t>Листовой</t>
  </si>
  <si>
    <t>Склад</t>
  </si>
  <si>
    <t>Пошив</t>
  </si>
  <si>
    <t>Cклад</t>
  </si>
  <si>
    <t>Сводная заказа</t>
  </si>
  <si>
    <t>KI.BP.408</t>
  </si>
  <si>
    <t>KI.BP.421</t>
  </si>
  <si>
    <t>KI.BP.422</t>
  </si>
  <si>
    <t>KI.BP.423</t>
  </si>
  <si>
    <t>KI.BP.424</t>
  </si>
  <si>
    <t>KI.BP.425</t>
  </si>
  <si>
    <t>Связь бананов 270</t>
  </si>
  <si>
    <t>Подножка листовая 270</t>
  </si>
  <si>
    <t>Подножка листовая 300</t>
  </si>
  <si>
    <t>Подножка листовая перевернутая 270</t>
  </si>
  <si>
    <t>Подножка листовая перевернутая 300</t>
  </si>
  <si>
    <t>KI.SP.319</t>
  </si>
  <si>
    <t>KI.SP.318</t>
  </si>
  <si>
    <t>KI.NP.017</t>
  </si>
  <si>
    <t>Подушка спинки</t>
  </si>
  <si>
    <t>KI.BP.427</t>
  </si>
  <si>
    <t>KI.NP.018</t>
  </si>
  <si>
    <t>KI.BP.428</t>
  </si>
  <si>
    <t>KI.NP.019</t>
  </si>
  <si>
    <t>KI.BP.429</t>
  </si>
  <si>
    <t>KI.BP.430</t>
  </si>
  <si>
    <t>KI.BP.431</t>
  </si>
  <si>
    <t>KI.BP.426</t>
  </si>
  <si>
    <t>KI.NP.020</t>
  </si>
  <si>
    <t>KI.SP.317</t>
  </si>
  <si>
    <t>KI.BP.432</t>
  </si>
  <si>
    <t>KI.BP.433</t>
  </si>
  <si>
    <t>KI.BP.434</t>
  </si>
  <si>
    <t>KI.BP.435</t>
  </si>
  <si>
    <t>Платформа подножки 270</t>
  </si>
  <si>
    <t>Платформа подножки 300</t>
  </si>
  <si>
    <t>1-00</t>
  </si>
  <si>
    <t>2-00</t>
  </si>
  <si>
    <t>3-00</t>
  </si>
  <si>
    <t>4-00</t>
  </si>
  <si>
    <t>5-00</t>
  </si>
  <si>
    <t>6-00</t>
  </si>
  <si>
    <t>7-00</t>
  </si>
  <si>
    <t>KI.SP.322</t>
  </si>
  <si>
    <t>KI.BP.437</t>
  </si>
  <si>
    <t>KI.SP.325</t>
  </si>
  <si>
    <t>KI.BP.438</t>
  </si>
  <si>
    <t>Связь бананов 330-390</t>
  </si>
  <si>
    <t>KI.BP.439</t>
  </si>
  <si>
    <t>KI.SP.326</t>
  </si>
  <si>
    <t>KI.NP.021</t>
  </si>
  <si>
    <t>KI.BP.440</t>
  </si>
  <si>
    <t>KI.SP.327</t>
  </si>
  <si>
    <t>KI.BP.441</t>
  </si>
  <si>
    <t>KI.BP.442</t>
  </si>
  <si>
    <t>KI.NP.022</t>
  </si>
  <si>
    <t>KI.BP.420</t>
  </si>
  <si>
    <t>KI.SP.331</t>
  </si>
  <si>
    <t>KI.NP.023</t>
  </si>
  <si>
    <t>высота ручек 950</t>
  </si>
  <si>
    <t>Подножка листовая 300 удлинённая</t>
  </si>
  <si>
    <t>Подножка листовая 270 удлинённая</t>
  </si>
  <si>
    <t>KI.SP.332</t>
  </si>
  <si>
    <t>Проверка возможности изготовления по длине</t>
  </si>
  <si>
    <t>Проверка возможности изготовления по ширине</t>
  </si>
  <si>
    <t>Проверка ошибок в раме</t>
  </si>
  <si>
    <t>KI.BP.443</t>
  </si>
  <si>
    <t>Связь бананов 300</t>
  </si>
  <si>
    <t>KI.BP.444</t>
  </si>
  <si>
    <t>KI.NP.024</t>
  </si>
  <si>
    <t>Спинка сварная 330х380</t>
  </si>
  <si>
    <t>Спинка сварная 270х200</t>
  </si>
  <si>
    <t>Спинка сварная 270х220</t>
  </si>
  <si>
    <t>Спинка сварная 270х240</t>
  </si>
  <si>
    <t>Спинка сварная 270х260</t>
  </si>
  <si>
    <t>Спинка сварная 270х280</t>
  </si>
  <si>
    <t>Спинка сварная 270х300</t>
  </si>
  <si>
    <t>Спинка сварная 270х320</t>
  </si>
  <si>
    <t>Спинка сварная 270х340</t>
  </si>
  <si>
    <t>Спинка сварная 270х360</t>
  </si>
  <si>
    <t>Спинка сварная 270х380</t>
  </si>
  <si>
    <t>Спинка сварная 270х400</t>
  </si>
  <si>
    <t>Спинка сварная 270х420</t>
  </si>
  <si>
    <t>Спинка сварная 270х440</t>
  </si>
  <si>
    <t>Спинка сварная 270х460</t>
  </si>
  <si>
    <t>Сварка</t>
  </si>
  <si>
    <t>Спинка сварная 300х200</t>
  </si>
  <si>
    <t>Спинка сварная 300х220</t>
  </si>
  <si>
    <t>Спинка сварная 300х240</t>
  </si>
  <si>
    <t>Спинка сварная 300х260</t>
  </si>
  <si>
    <t>Спинка сварная 300х280</t>
  </si>
  <si>
    <t>Спинка сварная 300х300</t>
  </si>
  <si>
    <t>Спинка сварная 300х320</t>
  </si>
  <si>
    <t>Спинка сварная 300х340</t>
  </si>
  <si>
    <t>Спинка сварная 300х360</t>
  </si>
  <si>
    <t>Спинка сварная 300х380</t>
  </si>
  <si>
    <t>Спинка сварная 300х400</t>
  </si>
  <si>
    <t>Спинка сварная 300х420</t>
  </si>
  <si>
    <t>Спинка сварная 300х440</t>
  </si>
  <si>
    <t>Спинка сварная 300х460</t>
  </si>
  <si>
    <t>Спинка сварная 330х200</t>
  </si>
  <si>
    <t>Спинка сварная 330х220</t>
  </si>
  <si>
    <t>Спинка сварная 330х240</t>
  </si>
  <si>
    <t>Спинка сварная 330х260</t>
  </si>
  <si>
    <t>Спинка сварная 330х280</t>
  </si>
  <si>
    <t>Спинка сварная 330х300</t>
  </si>
  <si>
    <t>Спинка сварная 330х320</t>
  </si>
  <si>
    <t>Спинка сварная 330х340</t>
  </si>
  <si>
    <t>Спинка сварная 330х360</t>
  </si>
  <si>
    <t>Спинка сварная 330х400</t>
  </si>
  <si>
    <t>Спинка сварная 330х420</t>
  </si>
  <si>
    <t>Спинка сварная 330х440</t>
  </si>
  <si>
    <t>Спинка сварная 330х460</t>
  </si>
  <si>
    <t>Спинка сварная 360х200</t>
  </si>
  <si>
    <t>Спинка сварная 360х220</t>
  </si>
  <si>
    <t>Спинка сварная 360х240</t>
  </si>
  <si>
    <t>Спинка сварная 360х260</t>
  </si>
  <si>
    <t>Спинка сварная 360х280</t>
  </si>
  <si>
    <t>Спинка сварная 360х300</t>
  </si>
  <si>
    <t>Спинка сварная 360х320</t>
  </si>
  <si>
    <t>Спинка сварная 360х340</t>
  </si>
  <si>
    <t>Спинка сварная 360х360</t>
  </si>
  <si>
    <t>Спинка сварная 360х380</t>
  </si>
  <si>
    <t>Спинка сварная 360х400</t>
  </si>
  <si>
    <t>Спинка сварная 360х420</t>
  </si>
  <si>
    <t>Спинка сварная 360х440</t>
  </si>
  <si>
    <t>Спинка сварная 360х460</t>
  </si>
  <si>
    <t>Спинка сварная 390х200</t>
  </si>
  <si>
    <t>Спинка сварная 390х220</t>
  </si>
  <si>
    <t>Спинка сварная 390х240</t>
  </si>
  <si>
    <t>Спинка сварная 390х260</t>
  </si>
  <si>
    <t>Спинка сварная 390х280</t>
  </si>
  <si>
    <t>Спинка сварная 390х300</t>
  </si>
  <si>
    <t>Спинка сварная 390х320</t>
  </si>
  <si>
    <t>Спинка сварная 390х340</t>
  </si>
  <si>
    <t>Спинка сварная 390х360</t>
  </si>
  <si>
    <t>Спинка сварная 390х380</t>
  </si>
  <si>
    <t>Спинка сварная 390х400</t>
  </si>
  <si>
    <t>Спинка сварная 390х420</t>
  </si>
  <si>
    <t>Спинка сварная 390х440</t>
  </si>
  <si>
    <t>Спинка сварная 390х460</t>
  </si>
  <si>
    <t>Спинка сварная 420х200</t>
  </si>
  <si>
    <t>Спинка сварная 420х220</t>
  </si>
  <si>
    <t>Спинка сварная 420х240</t>
  </si>
  <si>
    <t>Спинка сварная 420х260</t>
  </si>
  <si>
    <t>Спинка сварная 420х280</t>
  </si>
  <si>
    <t>Спинка сварная 420х300</t>
  </si>
  <si>
    <t>Спинка сварная 420х320</t>
  </si>
  <si>
    <t>Спинка сварная 420х340</t>
  </si>
  <si>
    <t>Спинка сварная 420х360</t>
  </si>
  <si>
    <t>Спинка сварная 420х380</t>
  </si>
  <si>
    <t>Спинка сварная 420х400</t>
  </si>
  <si>
    <t>Спинка сварная 420х420</t>
  </si>
  <si>
    <t>Спинка сварная 420х440</t>
  </si>
  <si>
    <t>Спинка сварная 420х460</t>
  </si>
  <si>
    <t>KI.WA.146</t>
  </si>
  <si>
    <t>KI.WA.148</t>
  </si>
  <si>
    <t>KI.WA.151</t>
  </si>
  <si>
    <t>KI.WA.152</t>
  </si>
  <si>
    <t>KI.WA.153</t>
  </si>
  <si>
    <t>KI.WA.158</t>
  </si>
  <si>
    <t>KI.WA.160</t>
  </si>
  <si>
    <t>KI.WA.162</t>
  </si>
  <si>
    <t>KI.WA.164</t>
  </si>
  <si>
    <t>KI.WA.154</t>
  </si>
  <si>
    <t>Рама сварная 330-4</t>
  </si>
  <si>
    <t>Рама сварная 270-1</t>
  </si>
  <si>
    <t>Рама сварная 270-2</t>
  </si>
  <si>
    <t>Рама сварная 270-3</t>
  </si>
  <si>
    <t>Рама сварная 270-4</t>
  </si>
  <si>
    <t>Рама сварная 270-5</t>
  </si>
  <si>
    <t>Рама сварная 270-6</t>
  </si>
  <si>
    <t>Рама сварная 270-7</t>
  </si>
  <si>
    <t>Рама сварная 300-1</t>
  </si>
  <si>
    <t>Рама сварная 300-2</t>
  </si>
  <si>
    <t>Рама сварная 300-3</t>
  </si>
  <si>
    <t>Рама сварная 300-4</t>
  </si>
  <si>
    <t>Рама сварная 300-5</t>
  </si>
  <si>
    <t>Рама сварная 300-6</t>
  </si>
  <si>
    <t>Рама сварная 300-7</t>
  </si>
  <si>
    <t>Рама сварная 330-1</t>
  </si>
  <si>
    <t>Рама сварная 330-2</t>
  </si>
  <si>
    <t>Рама сварная 330-3</t>
  </si>
  <si>
    <t>Рама сварная 330-5</t>
  </si>
  <si>
    <t>Рама сварная 330-6</t>
  </si>
  <si>
    <t>Рама сварная 330-7</t>
  </si>
  <si>
    <t>Рама сварная 360-1</t>
  </si>
  <si>
    <t>Рама сварная 360-2</t>
  </si>
  <si>
    <t>Рама сварная 360-3</t>
  </si>
  <si>
    <t>Рама сварная 360-4</t>
  </si>
  <si>
    <t>Рама сварная 360-5</t>
  </si>
  <si>
    <t>Рама сварная 360-6</t>
  </si>
  <si>
    <t>Рама сварная 360-7</t>
  </si>
  <si>
    <t>Рама сварная 390-1</t>
  </si>
  <si>
    <t>Рама сварная 390-2</t>
  </si>
  <si>
    <t>Рама сварная 390-3</t>
  </si>
  <si>
    <t>Рама сварная 390-4</t>
  </si>
  <si>
    <t>Рама сварная 390-5</t>
  </si>
  <si>
    <t>Рама сварная 390-6</t>
  </si>
  <si>
    <t>Рама сварная 390-7</t>
  </si>
  <si>
    <t>Рама сварная 420-1</t>
  </si>
  <si>
    <t>Рама сварная 420-2</t>
  </si>
  <si>
    <t>Рама сварная 420-3</t>
  </si>
  <si>
    <t>Рама сварная 420-4</t>
  </si>
  <si>
    <t>Рама сварная 420-5</t>
  </si>
  <si>
    <t>Рама сварная 420-6</t>
  </si>
  <si>
    <t>Рама сварная 420-7</t>
  </si>
  <si>
    <t>270-1</t>
  </si>
  <si>
    <t>270-2</t>
  </si>
  <si>
    <t>270-3</t>
  </si>
  <si>
    <t>270-4</t>
  </si>
  <si>
    <t>270-5</t>
  </si>
  <si>
    <t>270-6</t>
  </si>
  <si>
    <t>270-7</t>
  </si>
  <si>
    <t>300-1</t>
  </si>
  <si>
    <t>300-2</t>
  </si>
  <si>
    <t>300-3</t>
  </si>
  <si>
    <t>300-4</t>
  </si>
  <si>
    <t>300-5</t>
  </si>
  <si>
    <t>300-6</t>
  </si>
  <si>
    <t>300-7</t>
  </si>
  <si>
    <t>330-1</t>
  </si>
  <si>
    <t>330-2</t>
  </si>
  <si>
    <t>330-3</t>
  </si>
  <si>
    <t>330-4</t>
  </si>
  <si>
    <t>330-5</t>
  </si>
  <si>
    <t>330-6</t>
  </si>
  <si>
    <t>330-7</t>
  </si>
  <si>
    <t>360-1</t>
  </si>
  <si>
    <t>360-2</t>
  </si>
  <si>
    <t>360-3</t>
  </si>
  <si>
    <t>360-4</t>
  </si>
  <si>
    <t>360-5</t>
  </si>
  <si>
    <t>360-6</t>
  </si>
  <si>
    <t>360-7</t>
  </si>
  <si>
    <t>390-1</t>
  </si>
  <si>
    <t>390-2</t>
  </si>
  <si>
    <t>390-3</t>
  </si>
  <si>
    <t>390-4</t>
  </si>
  <si>
    <t>390-5</t>
  </si>
  <si>
    <t>390-6</t>
  </si>
  <si>
    <t>390-7</t>
  </si>
  <si>
    <t>420-1</t>
  </si>
  <si>
    <t>420-2</t>
  </si>
  <si>
    <t>420-3</t>
  </si>
  <si>
    <t>420-4</t>
  </si>
  <si>
    <t>420-5</t>
  </si>
  <si>
    <t>420-6</t>
  </si>
  <si>
    <t>420-7</t>
  </si>
  <si>
    <t>KI.WA.149</t>
  </si>
  <si>
    <t>Антиопрокидыватель сварной</t>
  </si>
  <si>
    <t>KI.WA.145</t>
  </si>
  <si>
    <t>KI.WA.147</t>
  </si>
  <si>
    <t>KI.WA.150</t>
  </si>
  <si>
    <t>KI.WA.155</t>
  </si>
  <si>
    <t>KI.WA.156</t>
  </si>
  <si>
    <t>KI.WA.157</t>
  </si>
  <si>
    <t>KI.WA.159</t>
  </si>
  <si>
    <t>KI.WA.161</t>
  </si>
  <si>
    <t>KI.WA.163</t>
  </si>
  <si>
    <t>Сварочные:</t>
  </si>
  <si>
    <t>Подушка спинки (Ширина Х Высота Х Толщина)</t>
  </si>
  <si>
    <t>Сарка</t>
  </si>
  <si>
    <t>KI.BP.445</t>
  </si>
  <si>
    <t>KI.BP.446</t>
  </si>
  <si>
    <t>KI.SP.333</t>
  </si>
  <si>
    <t>KI.SP.334</t>
  </si>
  <si>
    <t>Подножка листовая перевернутая 360,420</t>
  </si>
  <si>
    <t>Подножка листовая перевернутая 330,390</t>
  </si>
  <si>
    <t>Подножка листовая 330,390</t>
  </si>
  <si>
    <t>Подножка листовая 360,420</t>
  </si>
  <si>
    <t>Подножка листовая 330,390 удлинённая</t>
  </si>
  <si>
    <t>Подножка листовая 360,420 удлинённая</t>
  </si>
  <si>
    <t>Гибка:</t>
  </si>
  <si>
    <t>Cклад:</t>
  </si>
  <si>
    <t>Листовой:</t>
  </si>
  <si>
    <t>Пошив:</t>
  </si>
  <si>
    <t>KI.SP.316</t>
  </si>
  <si>
    <t>Кроншетейн антиопрокидывателя</t>
  </si>
  <si>
    <t>KI.WA.165</t>
  </si>
  <si>
    <t>Цечоева Халима
(вес 24 кг, 8 лет)</t>
  </si>
  <si>
    <t>270+40</t>
  </si>
  <si>
    <t>290
(длина стопы 270)</t>
  </si>
  <si>
    <t xml:space="preserve">300х330-370 / тип-4 
</t>
  </si>
  <si>
    <t>KI.SP.338</t>
  </si>
  <si>
    <t>Связь бананов 360, 420</t>
  </si>
  <si>
    <t>KI.BP.449</t>
  </si>
  <si>
    <t>KI.BP.454</t>
  </si>
  <si>
    <t>KI.BP.456</t>
  </si>
  <si>
    <t>Подножка АJ сварная 330, 390</t>
  </si>
  <si>
    <t>Подножка АJ сварная 360, 420</t>
  </si>
  <si>
    <t>KI.BP.457</t>
  </si>
  <si>
    <t>KI.BP.417</t>
  </si>
  <si>
    <t>Платформа подножки 330, 390</t>
  </si>
  <si>
    <t>Платформа подножки 360, 420</t>
  </si>
  <si>
    <t>KI.SP.342</t>
  </si>
  <si>
    <t>KI.WA.170</t>
  </si>
  <si>
    <t>KI.WA.171</t>
  </si>
  <si>
    <t>KI.BP.458</t>
  </si>
  <si>
    <t>KI.SP.343</t>
  </si>
  <si>
    <t>KI.NP.028</t>
  </si>
  <si>
    <t>KI.WA.172</t>
  </si>
  <si>
    <t>KI.WA.173</t>
  </si>
  <si>
    <t>KI.NP.029</t>
  </si>
  <si>
    <t>KI.WA.174</t>
  </si>
  <si>
    <t>Развёрнутая длина бедра</t>
  </si>
  <si>
    <t>KI.BP.459</t>
  </si>
  <si>
    <t>KI.SP.345</t>
  </si>
  <si>
    <t>KI.WA.175</t>
  </si>
  <si>
    <t>KI.SP.346</t>
  </si>
  <si>
    <t>KI.BP.460</t>
  </si>
  <si>
    <t>KI.BP.436</t>
  </si>
  <si>
    <t>KI.BP.461</t>
  </si>
  <si>
    <t>KI.NP.031</t>
  </si>
  <si>
    <t>KI.WA.176</t>
  </si>
  <si>
    <t>KI.WA.177</t>
  </si>
  <si>
    <t>Кол-во повторов</t>
  </si>
  <si>
    <t>Тип итог</t>
  </si>
  <si>
    <t>Для вставки текстом:</t>
  </si>
  <si>
    <t>KI.BP.462</t>
  </si>
  <si>
    <t>KI.WA.178</t>
  </si>
  <si>
    <t>KI.NP.032</t>
  </si>
  <si>
    <t>Статус</t>
  </si>
  <si>
    <t>Что стопорит</t>
  </si>
  <si>
    <t>Срок сдачи</t>
  </si>
  <si>
    <t>Ширина стоп</t>
  </si>
  <si>
    <t>Размер коляски</t>
  </si>
  <si>
    <t>Комментарии</t>
  </si>
  <si>
    <t>Лазер</t>
  </si>
  <si>
    <t>Спинка</t>
  </si>
  <si>
    <t>Цвет</t>
  </si>
  <si>
    <t>Подушка</t>
  </si>
  <si>
    <t>Ручки</t>
  </si>
  <si>
    <t>Ремень</t>
  </si>
  <si>
    <t>колеса</t>
  </si>
  <si>
    <t>обручи</t>
  </si>
  <si>
    <t>антиопрокидыватель</t>
  </si>
  <si>
    <t>Крылья</t>
  </si>
  <si>
    <t>покрышки</t>
  </si>
  <si>
    <t>Плательщик</t>
  </si>
  <si>
    <t>KI.NP.033</t>
  </si>
  <si>
    <t>KI.WA.180</t>
  </si>
  <si>
    <t>KI.WA.181</t>
  </si>
  <si>
    <t>KI.BP.464</t>
  </si>
  <si>
    <t>KI.WA.182</t>
  </si>
  <si>
    <t>KI.BP.465</t>
  </si>
  <si>
    <t>KI.WA.183</t>
  </si>
  <si>
    <t>KI.NP.035</t>
  </si>
  <si>
    <t>KI.WA.184</t>
  </si>
  <si>
    <t>KI.WA.185</t>
  </si>
  <si>
    <t>KI.WA.186</t>
  </si>
  <si>
    <t>KI.WA.187</t>
  </si>
  <si>
    <t>KI.NP.036</t>
  </si>
  <si>
    <t>KI.WA.188</t>
  </si>
  <si>
    <t>две ручки</t>
  </si>
  <si>
    <t>есть</t>
  </si>
  <si>
    <t>пластиковые</t>
  </si>
  <si>
    <t>KI.BP.466</t>
  </si>
  <si>
    <t>KI.WA.189</t>
  </si>
  <si>
    <t>KI.WA.190</t>
  </si>
  <si>
    <t>390-430</t>
  </si>
  <si>
    <t>KI.BP.467</t>
  </si>
  <si>
    <t>KI.WA.191</t>
  </si>
  <si>
    <t>KI.WA.192</t>
  </si>
  <si>
    <t>KI.WA.194</t>
  </si>
  <si>
    <t>KI.BP.468</t>
  </si>
  <si>
    <t>KI.BP.469</t>
  </si>
  <si>
    <t>KI.BP.470</t>
  </si>
  <si>
    <t>KI.SP.352</t>
  </si>
  <si>
    <t>KI.SP.353</t>
  </si>
  <si>
    <t>KI.BP.471</t>
  </si>
  <si>
    <t>KI.BP.472</t>
  </si>
  <si>
    <t>KI.BP.473</t>
  </si>
  <si>
    <t>(внутри диапазон длины голени для данной подножки)</t>
  </si>
  <si>
    <t xml:space="preserve">Номер рамы </t>
  </si>
  <si>
    <t>Тип подножкии</t>
  </si>
  <si>
    <t xml:space="preserve">Навесная перевёрнутая
 </t>
  </si>
  <si>
    <t>60-200</t>
  </si>
  <si>
    <t>110-250</t>
  </si>
  <si>
    <t>60-210</t>
  </si>
  <si>
    <t>110-260</t>
  </si>
  <si>
    <t>70-210</t>
  </si>
  <si>
    <t>120-260</t>
  </si>
  <si>
    <t>120-270</t>
  </si>
  <si>
    <t xml:space="preserve">Навсная 
 </t>
  </si>
  <si>
    <t>200-320</t>
  </si>
  <si>
    <t>250-370</t>
  </si>
  <si>
    <t>210-317</t>
  </si>
  <si>
    <t>260-367</t>
  </si>
  <si>
    <t>210-330</t>
  </si>
  <si>
    <t>260-370</t>
  </si>
  <si>
    <t>270-380</t>
  </si>
  <si>
    <t xml:space="preserve">Платформа подножки
 </t>
  </si>
  <si>
    <t>320-380</t>
  </si>
  <si>
    <t>370-430</t>
  </si>
  <si>
    <t>330-390</t>
  </si>
  <si>
    <t>380-440</t>
  </si>
  <si>
    <t>НП</t>
  </si>
  <si>
    <t>Н</t>
  </si>
  <si>
    <t>П</t>
  </si>
  <si>
    <t>Выбор подножки (общ табл)</t>
  </si>
  <si>
    <t>Тип подножки</t>
  </si>
  <si>
    <t>1</t>
  </si>
  <si>
    <t>2</t>
  </si>
  <si>
    <t>3</t>
  </si>
  <si>
    <t>4</t>
  </si>
  <si>
    <t>5</t>
  </si>
  <si>
    <t>6</t>
  </si>
  <si>
    <t>7</t>
  </si>
  <si>
    <t>Нет</t>
  </si>
  <si>
    <t>Нет - не подходит подножка с данным типом</t>
  </si>
  <si>
    <t>Тип Подножки</t>
  </si>
  <si>
    <t>Нx270</t>
  </si>
  <si>
    <t>Пx300</t>
  </si>
  <si>
    <t>Пx270</t>
  </si>
  <si>
    <t>Пx330</t>
  </si>
  <si>
    <t>Пx360</t>
  </si>
  <si>
    <t>Пx390</t>
  </si>
  <si>
    <t>Пx420</t>
  </si>
  <si>
    <t>НПx270</t>
  </si>
  <si>
    <t>НПx300</t>
  </si>
  <si>
    <t>НПx330</t>
  </si>
  <si>
    <t>НПx360</t>
  </si>
  <si>
    <t>НПx390</t>
  </si>
  <si>
    <t>НПx420</t>
  </si>
  <si>
    <t>Нx300</t>
  </si>
  <si>
    <t>Нx330</t>
  </si>
  <si>
    <t>Нx360</t>
  </si>
  <si>
    <t>Нx390</t>
  </si>
  <si>
    <t>Нx420</t>
  </si>
  <si>
    <t xml:space="preserve">НП - навесная перевёрнутая
Н - навесная обычная
П - Платформа сварная </t>
  </si>
  <si>
    <t>НП - навесная перевёрнутая
Н - навесная обычная
П - платформа сварная</t>
  </si>
  <si>
    <t>null</t>
  </si>
  <si>
    <t>KI.SP.354</t>
  </si>
  <si>
    <t>KI.SP.355</t>
  </si>
  <si>
    <t>KI.WA.195</t>
  </si>
  <si>
    <t>KI.SP.356</t>
  </si>
  <si>
    <t>KI.WA.196</t>
  </si>
  <si>
    <t>KI.WA.197</t>
  </si>
  <si>
    <t>KI.TP.114</t>
  </si>
  <si>
    <t>Реал. Знач! Длина бед</t>
  </si>
  <si>
    <t>KI.SP.357</t>
  </si>
  <si>
    <t>KI.WA.198</t>
  </si>
  <si>
    <t>KI.WA.199</t>
  </si>
  <si>
    <t>KI.SP.358</t>
  </si>
  <si>
    <t>KI.SP.359</t>
  </si>
  <si>
    <t>KI.SP.360</t>
  </si>
  <si>
    <t>KI.SP.361</t>
  </si>
  <si>
    <t>KI.SP.362</t>
  </si>
  <si>
    <t>KI.SP.363</t>
  </si>
  <si>
    <t>KI.SP.364</t>
  </si>
  <si>
    <t>KI.SP.365</t>
  </si>
  <si>
    <t>KI.SP.366</t>
  </si>
  <si>
    <t>KI.SP.367</t>
  </si>
  <si>
    <t>KI.SP.368</t>
  </si>
  <si>
    <t>KI.SP.369</t>
  </si>
  <si>
    <t>KI.SP.370</t>
  </si>
  <si>
    <t>KI.SP.371</t>
  </si>
  <si>
    <t>KI.WA.200</t>
  </si>
  <si>
    <t>KI.WA.201</t>
  </si>
  <si>
    <t>KI.WA.202</t>
  </si>
  <si>
    <t>KI.WA.203</t>
  </si>
  <si>
    <t>KI.WA.204</t>
  </si>
  <si>
    <t>KI.WA.205</t>
  </si>
  <si>
    <t>KI.WA.206</t>
  </si>
  <si>
    <t>KI.WA.207</t>
  </si>
  <si>
    <t>KI.WA.208</t>
  </si>
  <si>
    <t>KI.WA.209</t>
  </si>
  <si>
    <t>KI.WA.210</t>
  </si>
  <si>
    <t>KI.WA.211</t>
  </si>
  <si>
    <t>KI.WA.212</t>
  </si>
  <si>
    <t>KI.WA.213</t>
  </si>
  <si>
    <t>KI.WA.214</t>
  </si>
  <si>
    <t>KI.WA.215</t>
  </si>
  <si>
    <t>KI.WA.216</t>
  </si>
  <si>
    <t>KI.WA.217</t>
  </si>
  <si>
    <t>KI.WA.218</t>
  </si>
  <si>
    <t>KI.WA.219</t>
  </si>
  <si>
    <t>Дата оплаты</t>
  </si>
  <si>
    <t>Высота ручек</t>
  </si>
  <si>
    <t>Проставка крыла D14 L9</t>
  </si>
  <si>
    <t>Проставка крыла D14 L2.5</t>
  </si>
  <si>
    <t>KI.TP.110</t>
  </si>
  <si>
    <t>KI.WA.220</t>
  </si>
  <si>
    <t>2/4/6/7</t>
  </si>
  <si>
    <t>KI.CP.113</t>
  </si>
  <si>
    <t>KI.WA.221</t>
  </si>
  <si>
    <t>KI.WA.222</t>
  </si>
  <si>
    <t>KI.WA.223</t>
  </si>
  <si>
    <t>KI.WA.224</t>
  </si>
  <si>
    <t>KI.WA.225</t>
  </si>
  <si>
    <t>Оформление КД</t>
  </si>
  <si>
    <t>поясной</t>
  </si>
  <si>
    <t>красный</t>
  </si>
  <si>
    <t>А2</t>
  </si>
  <si>
    <t>KI.WA.228</t>
  </si>
  <si>
    <t>KI.WA.229</t>
  </si>
  <si>
    <t>kinesis</t>
  </si>
  <si>
    <t>Delphi Light</t>
  </si>
  <si>
    <t>Алюминий</t>
  </si>
  <si>
    <t>KI.WA.230</t>
  </si>
  <si>
    <t>KI.WA.231</t>
  </si>
  <si>
    <t>KI.WA.232</t>
  </si>
  <si>
    <t>KI.WA.233</t>
  </si>
  <si>
    <t>KI.WA.234</t>
  </si>
  <si>
    <t>KI.WA.235</t>
  </si>
  <si>
    <t>KI.WA.236</t>
  </si>
  <si>
    <t>Подножка листовая перевернутая 300 удлинённая</t>
  </si>
  <si>
    <t>Подножка листовая перевернутая 270 удлинённая</t>
  </si>
  <si>
    <t>KI.SP.376</t>
  </si>
  <si>
    <t>KI.WA.237</t>
  </si>
  <si>
    <t>03 октября</t>
  </si>
  <si>
    <t>ООО МРТ</t>
  </si>
  <si>
    <t>KI.WA.238</t>
  </si>
  <si>
    <t>KI.SP.378</t>
  </si>
  <si>
    <t>Подножка листовая перевернутая 330, 390 удлинённая</t>
  </si>
  <si>
    <t>Подножка листовая перевернутая 360, 420 удлинённая</t>
  </si>
  <si>
    <t>KI.SP.379</t>
  </si>
  <si>
    <t>KI.WA.239</t>
  </si>
  <si>
    <t>Фунтиков Егор 
(вес 33 кг, 11 лет)</t>
  </si>
  <si>
    <t>410 правое, 
380 левое</t>
  </si>
  <si>
    <t>230
(длинна стопы 200)</t>
  </si>
  <si>
    <t>Защита на спицы Кинезис №8 (заказать)</t>
  </si>
  <si>
    <t>330х330-370 / тип-4</t>
  </si>
  <si>
    <t>KI.WA.240</t>
  </si>
  <si>
    <t>Цыгульский Артемий
(вес 23 кг, 8 лет)</t>
  </si>
  <si>
    <t>250
(длинна стопы 220)</t>
  </si>
  <si>
    <t>поясной, ремень подножки, нагрудный ремень</t>
  </si>
  <si>
    <t>300х330-370 / тип-3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</si>
</sst>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FF000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theme="1"/>
      <name val="Calibri"/>
      <family val="2"/>
      <scheme val="minor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sz val="10"/>
      <color rgb="FF3D3D3D"/>
      <name val="Arial"/>
      <family val="2"/>
      <charset val="204"/>
    </font>
    <font>
      <sz val="2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FC5E8"/>
        <bgColor indexed="64"/>
      </patternFill>
    </fill>
  </fills>
  <borders count="6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49" fontId="3" fillId="0" borderId="9" xfId="0" applyNumberFormat="1" applyFont="1" applyBorder="1" applyAlignment="1">
      <alignment horizontal="right"/>
    </xf>
    <xf numFmtId="0" fontId="0" fillId="0" borderId="14" xfId="0" applyBorder="1"/>
    <xf numFmtId="0" fontId="0" fillId="0" borderId="7" xfId="0" applyBorder="1" applyAlignment="1">
      <alignment wrapText="1"/>
    </xf>
    <xf numFmtId="0" fontId="1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1" fillId="2" borderId="24" xfId="0" applyFont="1" applyFill="1" applyBorder="1"/>
    <xf numFmtId="0" fontId="0" fillId="2" borderId="25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" borderId="29" xfId="0" applyFill="1" applyBorder="1"/>
    <xf numFmtId="0" fontId="0" fillId="4" borderId="30" xfId="0" applyFill="1" applyBorder="1"/>
    <xf numFmtId="0" fontId="0" fillId="5" borderId="31" xfId="0" applyFill="1" applyBorder="1"/>
    <xf numFmtId="0" fontId="0" fillId="0" borderId="32" xfId="0" applyBorder="1"/>
    <xf numFmtId="0" fontId="0" fillId="2" borderId="33" xfId="0" applyFill="1" applyBorder="1"/>
    <xf numFmtId="0" fontId="0" fillId="0" borderId="34" xfId="0" applyBorder="1"/>
    <xf numFmtId="0" fontId="0" fillId="0" borderId="35" xfId="0" applyBorder="1"/>
    <xf numFmtId="0" fontId="0" fillId="2" borderId="10" xfId="0" applyFill="1" applyBorder="1"/>
    <xf numFmtId="0" fontId="4" fillId="6" borderId="33" xfId="0" applyFont="1" applyFill="1" applyBorder="1"/>
    <xf numFmtId="0" fontId="0" fillId="2" borderId="33" xfId="0" applyFill="1" applyBorder="1" applyAlignment="1">
      <alignment horizontal="right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2" borderId="0" xfId="0" applyFill="1" applyBorder="1"/>
    <xf numFmtId="0" fontId="5" fillId="0" borderId="37" xfId="0" applyFont="1" applyBorder="1" applyAlignment="1">
      <alignment horizontal="center" vertical="center" wrapText="1"/>
    </xf>
    <xf numFmtId="0" fontId="5" fillId="7" borderId="38" xfId="0" applyFont="1" applyFill="1" applyBorder="1" applyAlignment="1">
      <alignment vertical="center" wrapText="1"/>
    </xf>
    <xf numFmtId="0" fontId="5" fillId="7" borderId="39" xfId="0" applyFont="1" applyFill="1" applyBorder="1" applyAlignment="1">
      <alignment vertical="center" wrapText="1"/>
    </xf>
    <xf numFmtId="0" fontId="6" fillId="7" borderId="39" xfId="0" applyFont="1" applyFill="1" applyBorder="1" applyAlignment="1">
      <alignment horizontal="center" vertical="center" wrapText="1"/>
    </xf>
    <xf numFmtId="0" fontId="0" fillId="0" borderId="7" xfId="0" applyNumberFormat="1" applyBorder="1"/>
    <xf numFmtId="49" fontId="0" fillId="0" borderId="7" xfId="0" applyNumberFormat="1" applyBorder="1"/>
    <xf numFmtId="49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7" xfId="0" applyFont="1" applyBorder="1"/>
    <xf numFmtId="49" fontId="3" fillId="0" borderId="7" xfId="0" applyNumberFormat="1" applyFont="1" applyBorder="1"/>
    <xf numFmtId="49" fontId="3" fillId="0" borderId="13" xfId="0" applyNumberFormat="1" applyFont="1" applyBorder="1"/>
    <xf numFmtId="49" fontId="3" fillId="0" borderId="7" xfId="0" applyNumberFormat="1" applyFont="1" applyBorder="1" applyAlignment="1">
      <alignment wrapText="1"/>
    </xf>
    <xf numFmtId="0" fontId="0" fillId="0" borderId="0" xfId="0" applyNumberFormat="1"/>
    <xf numFmtId="0" fontId="3" fillId="0" borderId="7" xfId="0" applyNumberFormat="1" applyFont="1" applyBorder="1"/>
    <xf numFmtId="0" fontId="3" fillId="0" borderId="7" xfId="0" applyNumberFormat="1" applyFont="1" applyBorder="1" applyAlignment="1">
      <alignment horizontal="right"/>
    </xf>
    <xf numFmtId="0" fontId="3" fillId="0" borderId="13" xfId="0" applyNumberFormat="1" applyFont="1" applyBorder="1" applyAlignment="1">
      <alignment horizontal="right"/>
    </xf>
    <xf numFmtId="0" fontId="3" fillId="0" borderId="1" xfId="0" applyFont="1" applyBorder="1" applyAlignment="1">
      <alignment vertical="top" wrapText="1"/>
    </xf>
    <xf numFmtId="0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0" xfId="0" applyNumberFormat="1" applyFont="1" applyBorder="1"/>
    <xf numFmtId="0" fontId="1" fillId="0" borderId="0" xfId="0" applyFont="1" applyAlignment="1">
      <alignment vertical="center" wrapText="1"/>
    </xf>
    <xf numFmtId="0" fontId="3" fillId="0" borderId="2" xfId="0" applyNumberFormat="1" applyFont="1" applyBorder="1" applyAlignment="1">
      <alignment horizontal="right" vertical="top" wrapText="1"/>
    </xf>
    <xf numFmtId="0" fontId="0" fillId="0" borderId="0" xfId="0" applyNumberFormat="1" applyAlignment="1">
      <alignment horizontal="right"/>
    </xf>
    <xf numFmtId="0" fontId="7" fillId="0" borderId="0" xfId="0" applyFont="1"/>
    <xf numFmtId="0" fontId="7" fillId="0" borderId="43" xfId="0" applyFont="1" applyBorder="1"/>
    <xf numFmtId="0" fontId="7" fillId="0" borderId="0" xfId="0" applyFont="1" applyAlignment="1">
      <alignment horizontal="center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0" fontId="0" fillId="0" borderId="7" xfId="0" applyFill="1" applyBorder="1" applyAlignment="1">
      <alignment wrapText="1"/>
    </xf>
    <xf numFmtId="0" fontId="0" fillId="9" borderId="7" xfId="0" applyFont="1" applyFill="1" applyBorder="1"/>
    <xf numFmtId="0" fontId="0" fillId="0" borderId="7" xfId="0" applyFont="1" applyBorder="1"/>
    <xf numFmtId="0" fontId="0" fillId="0" borderId="10" xfId="0" applyNumberFormat="1" applyBorder="1" applyAlignment="1">
      <alignment wrapText="1"/>
    </xf>
    <xf numFmtId="0" fontId="0" fillId="0" borderId="10" xfId="0" applyNumberFormat="1" applyBorder="1"/>
    <xf numFmtId="0" fontId="0" fillId="8" borderId="7" xfId="0" applyNumberFormat="1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0" fillId="0" borderId="12" xfId="0" applyNumberFormat="1" applyBorder="1" applyAlignment="1">
      <alignment wrapText="1"/>
    </xf>
    <xf numFmtId="0" fontId="0" fillId="0" borderId="12" xfId="0" applyNumberFormat="1" applyBorder="1"/>
    <xf numFmtId="0" fontId="2" fillId="0" borderId="2" xfId="0" applyFont="1" applyBorder="1" applyAlignment="1">
      <alignment wrapText="1"/>
    </xf>
    <xf numFmtId="0" fontId="8" fillId="0" borderId="22" xfId="0" applyFont="1" applyBorder="1" applyAlignment="1"/>
    <xf numFmtId="0" fontId="9" fillId="0" borderId="46" xfId="0" applyFont="1" applyBorder="1"/>
    <xf numFmtId="0" fontId="9" fillId="0" borderId="18" xfId="0" applyFont="1" applyBorder="1"/>
    <xf numFmtId="0" fontId="9" fillId="0" borderId="18" xfId="0" applyFont="1" applyBorder="1" applyAlignment="1"/>
    <xf numFmtId="0" fontId="0" fillId="0" borderId="47" xfId="0" applyFill="1" applyBorder="1" applyAlignment="1">
      <alignment wrapText="1"/>
    </xf>
    <xf numFmtId="49" fontId="3" fillId="0" borderId="11" xfId="0" applyNumberFormat="1" applyFont="1" applyBorder="1" applyAlignment="1">
      <alignment horizontal="right"/>
    </xf>
    <xf numFmtId="0" fontId="3" fillId="0" borderId="12" xfId="0" applyNumberFormat="1" applyFont="1" applyBorder="1"/>
    <xf numFmtId="49" fontId="3" fillId="0" borderId="7" xfId="0" applyNumberFormat="1" applyFont="1" applyBorder="1" applyAlignment="1">
      <alignment horizontal="right" wrapText="1"/>
    </xf>
    <xf numFmtId="0" fontId="3" fillId="0" borderId="9" xfId="0" applyNumberFormat="1" applyFont="1" applyBorder="1" applyAlignment="1">
      <alignment horizontal="right"/>
    </xf>
    <xf numFmtId="0" fontId="3" fillId="0" borderId="7" xfId="0" applyNumberFormat="1" applyFont="1" applyBorder="1" applyAlignment="1">
      <alignment wrapText="1"/>
    </xf>
    <xf numFmtId="2" fontId="3" fillId="0" borderId="7" xfId="0" applyNumberFormat="1" applyFont="1" applyBorder="1"/>
    <xf numFmtId="2" fontId="3" fillId="0" borderId="13" xfId="0" applyNumberFormat="1" applyFont="1" applyBorder="1"/>
    <xf numFmtId="0" fontId="3" fillId="0" borderId="13" xfId="0" applyNumberFormat="1" applyFont="1" applyBorder="1"/>
    <xf numFmtId="1" fontId="3" fillId="0" borderId="7" xfId="0" applyNumberFormat="1" applyFont="1" applyBorder="1"/>
    <xf numFmtId="0" fontId="7" fillId="0" borderId="0" xfId="0" applyFont="1" applyFill="1"/>
    <xf numFmtId="0" fontId="5" fillId="0" borderId="39" xfId="0" applyFont="1" applyBorder="1" applyAlignment="1">
      <alignment horizontal="center" vertical="center" wrapText="1"/>
    </xf>
    <xf numFmtId="0" fontId="5" fillId="10" borderId="38" xfId="0" applyFont="1" applyFill="1" applyBorder="1" applyAlignment="1">
      <alignment horizontal="center" vertical="center" wrapText="1"/>
    </xf>
    <xf numFmtId="0" fontId="0" fillId="0" borderId="49" xfId="0" applyBorder="1"/>
    <xf numFmtId="0" fontId="7" fillId="0" borderId="42" xfId="0" applyFont="1" applyFill="1" applyBorder="1" applyAlignment="1">
      <alignment wrapText="1"/>
    </xf>
    <xf numFmtId="0" fontId="7" fillId="0" borderId="52" xfId="0" applyFont="1" applyFill="1" applyBorder="1" applyAlignment="1">
      <alignment wrapText="1"/>
    </xf>
    <xf numFmtId="0" fontId="7" fillId="0" borderId="17" xfId="0" applyFont="1" applyFill="1" applyBorder="1"/>
    <xf numFmtId="0" fontId="7" fillId="0" borderId="34" xfId="0" applyFont="1" applyFill="1" applyBorder="1"/>
    <xf numFmtId="0" fontId="0" fillId="0" borderId="51" xfId="0" applyBorder="1"/>
    <xf numFmtId="0" fontId="0" fillId="0" borderId="42" xfId="0" applyBorder="1"/>
    <xf numFmtId="0" fontId="0" fillId="0" borderId="43" xfId="0" applyBorder="1"/>
    <xf numFmtId="0" fontId="0" fillId="0" borderId="52" xfId="0" applyBorder="1"/>
    <xf numFmtId="0" fontId="0" fillId="0" borderId="56" xfId="0" applyBorder="1"/>
    <xf numFmtId="0" fontId="0" fillId="0" borderId="22" xfId="0" applyBorder="1"/>
    <xf numFmtId="0" fontId="7" fillId="0" borderId="17" xfId="0" applyFont="1" applyBorder="1"/>
    <xf numFmtId="0" fontId="7" fillId="0" borderId="27" xfId="0" applyFont="1" applyBorder="1"/>
    <xf numFmtId="0" fontId="7" fillId="0" borderId="28" xfId="0" applyFont="1" applyBorder="1"/>
    <xf numFmtId="0" fontId="7" fillId="0" borderId="17" xfId="0" applyFont="1" applyBorder="1" applyAlignment="1">
      <alignment horizontal="right"/>
    </xf>
    <xf numFmtId="0" fontId="7" fillId="0" borderId="27" xfId="0" applyFont="1" applyBorder="1" applyAlignment="1">
      <alignment horizontal="right"/>
    </xf>
    <xf numFmtId="0" fontId="7" fillId="0" borderId="28" xfId="0" applyFont="1" applyBorder="1" applyAlignment="1">
      <alignment horizontal="right"/>
    </xf>
    <xf numFmtId="0" fontId="7" fillId="0" borderId="26" xfId="0" applyFont="1" applyBorder="1"/>
    <xf numFmtId="0" fontId="7" fillId="0" borderId="34" xfId="0" applyFont="1" applyBorder="1"/>
    <xf numFmtId="0" fontId="7" fillId="0" borderId="52" xfId="0" applyFont="1" applyBorder="1"/>
    <xf numFmtId="0" fontId="0" fillId="0" borderId="50" xfId="0" applyBorder="1"/>
    <xf numFmtId="0" fontId="11" fillId="0" borderId="18" xfId="0" applyFont="1" applyBorder="1"/>
    <xf numFmtId="0" fontId="12" fillId="0" borderId="18" xfId="0" applyFont="1" applyBorder="1"/>
    <xf numFmtId="0" fontId="11" fillId="0" borderId="23" xfId="0" applyFont="1" applyBorder="1" applyAlignment="1">
      <alignment horizontal="center"/>
    </xf>
    <xf numFmtId="0" fontId="12" fillId="0" borderId="51" xfId="0" applyFont="1" applyBorder="1"/>
    <xf numFmtId="0" fontId="13" fillId="11" borderId="39" xfId="0" applyFont="1" applyFill="1" applyBorder="1" applyAlignment="1">
      <alignment horizontal="center" vertical="center" wrapText="1"/>
    </xf>
    <xf numFmtId="0" fontId="1" fillId="0" borderId="18" xfId="0" applyFont="1" applyBorder="1"/>
    <xf numFmtId="0" fontId="0" fillId="0" borderId="57" xfId="0" applyBorder="1"/>
    <xf numFmtId="0" fontId="0" fillId="0" borderId="58" xfId="0" applyBorder="1"/>
    <xf numFmtId="0" fontId="0" fillId="0" borderId="2" xfId="0" applyBorder="1"/>
    <xf numFmtId="0" fontId="0" fillId="0" borderId="3" xfId="0" applyBorder="1"/>
    <xf numFmtId="0" fontId="0" fillId="0" borderId="15" xfId="0" applyBorder="1" applyAlignment="1">
      <alignment wrapText="1"/>
    </xf>
    <xf numFmtId="0" fontId="0" fillId="0" borderId="20" xfId="0" applyBorder="1"/>
    <xf numFmtId="0" fontId="0" fillId="0" borderId="21" xfId="0" applyBorder="1"/>
    <xf numFmtId="0" fontId="14" fillId="7" borderId="38" xfId="0" applyFont="1" applyFill="1" applyBorder="1" applyAlignment="1">
      <alignment horizontal="center" vertical="center" wrapText="1"/>
    </xf>
    <xf numFmtId="0" fontId="14" fillId="7" borderId="39" xfId="0" applyFont="1" applyFill="1" applyBorder="1" applyAlignment="1">
      <alignment horizontal="center" vertical="center" wrapText="1"/>
    </xf>
    <xf numFmtId="0" fontId="14" fillId="6" borderId="39" xfId="0" applyFont="1" applyFill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5" fillId="0" borderId="60" xfId="0" applyFont="1" applyBorder="1" applyAlignment="1">
      <alignment vertical="center" wrapText="1"/>
    </xf>
    <xf numFmtId="0" fontId="5" fillId="0" borderId="60" xfId="0" applyFont="1" applyBorder="1" applyAlignment="1">
      <alignment wrapText="1"/>
    </xf>
    <xf numFmtId="0" fontId="5" fillId="0" borderId="38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left" vertical="top" wrapText="1"/>
    </xf>
    <xf numFmtId="0" fontId="17" fillId="0" borderId="13" xfId="0" applyFont="1" applyFill="1" applyBorder="1" applyAlignment="1">
      <alignment horizontal="left" vertical="top" wrapText="1"/>
    </xf>
    <xf numFmtId="0" fontId="17" fillId="0" borderId="7" xfId="0" applyFont="1" applyFill="1" applyBorder="1" applyAlignment="1">
      <alignment horizontal="left" vertical="top" wrapText="1"/>
    </xf>
    <xf numFmtId="1" fontId="18" fillId="0" borderId="7" xfId="0" applyNumberFormat="1" applyFont="1" applyFill="1" applyBorder="1" applyAlignment="1">
      <alignment horizontal="left" vertical="top" shrinkToFit="1"/>
    </xf>
    <xf numFmtId="0" fontId="18" fillId="0" borderId="7" xfId="0" applyFont="1" applyFill="1" applyBorder="1" applyAlignment="1">
      <alignment horizontal="left" vertical="top" wrapText="1"/>
    </xf>
    <xf numFmtId="0" fontId="18" fillId="0" borderId="7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0" fillId="0" borderId="0" xfId="0" applyFill="1"/>
    <xf numFmtId="0" fontId="12" fillId="0" borderId="17" xfId="0" applyFont="1" applyBorder="1"/>
    <xf numFmtId="0" fontId="12" fillId="0" borderId="26" xfId="0" applyFont="1" applyBorder="1"/>
    <xf numFmtId="0" fontId="12" fillId="0" borderId="61" xfId="0" applyFont="1" applyBorder="1"/>
    <xf numFmtId="0" fontId="11" fillId="0" borderId="28" xfId="0" applyFont="1" applyBorder="1"/>
    <xf numFmtId="0" fontId="2" fillId="0" borderId="7" xfId="0" applyFont="1" applyBorder="1" applyAlignment="1">
      <alignment wrapText="1"/>
    </xf>
    <xf numFmtId="0" fontId="0" fillId="9" borderId="7" xfId="0" applyFont="1" applyFill="1" applyBorder="1" applyAlignment="1">
      <alignment wrapText="1"/>
    </xf>
    <xf numFmtId="0" fontId="0" fillId="0" borderId="7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7" xfId="0" applyNumberFormat="1" applyFont="1" applyFill="1" applyBorder="1" applyAlignment="1">
      <alignment horizontal="right"/>
    </xf>
    <xf numFmtId="0" fontId="5" fillId="12" borderId="7" xfId="0" applyFont="1" applyFill="1" applyBorder="1" applyAlignment="1">
      <alignment horizontal="center" vertical="center" wrapText="1"/>
    </xf>
    <xf numFmtId="0" fontId="5" fillId="12" borderId="7" xfId="0" applyFont="1" applyFill="1" applyBorder="1" applyAlignment="1">
      <alignment vertical="center" wrapText="1"/>
    </xf>
    <xf numFmtId="0" fontId="0" fillId="12" borderId="7" xfId="0" applyFill="1" applyBorder="1"/>
    <xf numFmtId="0" fontId="20" fillId="13" borderId="39" xfId="0" applyFont="1" applyFill="1" applyBorder="1" applyAlignment="1">
      <alignment horizontal="center" vertical="center" wrapText="1"/>
    </xf>
    <xf numFmtId="0" fontId="21" fillId="0" borderId="0" xfId="0" applyFont="1"/>
    <xf numFmtId="16" fontId="5" fillId="0" borderId="39" xfId="0" applyNumberFormat="1" applyFont="1" applyBorder="1" applyAlignment="1">
      <alignment horizontal="center" vertical="center" wrapText="1"/>
    </xf>
    <xf numFmtId="0" fontId="5" fillId="14" borderId="39" xfId="0" applyFont="1" applyFill="1" applyBorder="1" applyAlignment="1">
      <alignment horizontal="center" vertical="center" wrapText="1"/>
    </xf>
    <xf numFmtId="0" fontId="5" fillId="11" borderId="39" xfId="0" applyFont="1" applyFill="1" applyBorder="1" applyAlignment="1">
      <alignment vertical="center" wrapText="1"/>
    </xf>
    <xf numFmtId="0" fontId="5" fillId="0" borderId="39" xfId="0" applyFont="1" applyBorder="1" applyAlignment="1">
      <alignment wrapText="1"/>
    </xf>
    <xf numFmtId="0" fontId="19" fillId="0" borderId="7" xfId="0" applyFont="1" applyBorder="1"/>
    <xf numFmtId="0" fontId="19" fillId="0" borderId="10" xfId="0" applyFont="1" applyBorder="1"/>
    <xf numFmtId="0" fontId="19" fillId="0" borderId="7" xfId="0" applyFont="1" applyBorder="1" applyAlignment="1">
      <alignment horizontal="center" wrapText="1"/>
    </xf>
    <xf numFmtId="0" fontId="7" fillId="0" borderId="50" xfId="0" applyFont="1" applyBorder="1" applyAlignment="1">
      <alignment horizontal="left" wrapText="1"/>
    </xf>
    <xf numFmtId="0" fontId="7" fillId="0" borderId="66" xfId="0" applyFont="1" applyBorder="1" applyAlignment="1">
      <alignment horizontal="left" wrapText="1"/>
    </xf>
    <xf numFmtId="0" fontId="7" fillId="0" borderId="28" xfId="0" applyFont="1" applyBorder="1" applyAlignment="1">
      <alignment horizontal="left" wrapText="1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12" fillId="0" borderId="56" xfId="0" applyFont="1" applyFill="1" applyBorder="1" applyAlignment="1">
      <alignment horizontal="center"/>
    </xf>
    <xf numFmtId="0" fontId="12" fillId="0" borderId="62" xfId="0" applyFont="1" applyFill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12" fillId="0" borderId="48" xfId="0" applyFont="1" applyBorder="1" applyAlignment="1">
      <alignment horizontal="center"/>
    </xf>
    <xf numFmtId="0" fontId="12" fillId="0" borderId="63" xfId="0" applyFont="1" applyBorder="1" applyAlignment="1">
      <alignment horizontal="center"/>
    </xf>
    <xf numFmtId="0" fontId="12" fillId="0" borderId="6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6" fillId="0" borderId="7" xfId="0" applyFont="1" applyBorder="1" applyAlignment="1">
      <alignment horizontal="center" wrapText="1"/>
    </xf>
    <xf numFmtId="0" fontId="12" fillId="0" borderId="53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1" fillId="0" borderId="65" xfId="0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2" fillId="0" borderId="44" xfId="0" applyFont="1" applyFill="1" applyBorder="1" applyAlignment="1">
      <alignment horizontal="center"/>
    </xf>
    <xf numFmtId="0" fontId="12" fillId="0" borderId="45" xfId="0" applyFont="1" applyFill="1" applyBorder="1" applyAlignment="1">
      <alignment horizontal="center"/>
    </xf>
    <xf numFmtId="0" fontId="12" fillId="0" borderId="42" xfId="0" applyFont="1" applyFill="1" applyBorder="1" applyAlignment="1">
      <alignment horizontal="center"/>
    </xf>
    <xf numFmtId="0" fontId="12" fillId="0" borderId="40" xfId="0" applyFont="1" applyFill="1" applyBorder="1" applyAlignment="1">
      <alignment horizontal="center"/>
    </xf>
    <xf numFmtId="0" fontId="12" fillId="0" borderId="43" xfId="0" applyFont="1" applyFill="1" applyBorder="1" applyAlignment="1">
      <alignment horizontal="center"/>
    </xf>
    <xf numFmtId="0" fontId="12" fillId="0" borderId="41" xfId="0" applyFont="1" applyFill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9" fillId="0" borderId="22" xfId="0" applyFont="1" applyFill="1" applyBorder="1" applyAlignment="1">
      <alignment horizontal="center"/>
    </xf>
    <xf numFmtId="0" fontId="9" fillId="0" borderId="23" xfId="0" applyFont="1" applyFill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9" fillId="0" borderId="55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3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7" fillId="0" borderId="7" xfId="0" applyFont="1" applyFill="1" applyBorder="1" applyAlignment="1">
      <alignment horizontal="center" vertical="top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7" fillId="0" borderId="10" xfId="0" applyFont="1" applyFill="1" applyBorder="1" applyAlignment="1">
      <alignment horizontal="center" vertical="top" wrapText="1"/>
    </xf>
    <xf numFmtId="0" fontId="17" fillId="0" borderId="36" xfId="0" applyFont="1" applyFill="1" applyBorder="1" applyAlignment="1">
      <alignment horizontal="center" vertical="top" wrapText="1"/>
    </xf>
    <xf numFmtId="0" fontId="17" fillId="0" borderId="9" xfId="0" applyFont="1" applyFill="1" applyBorder="1" applyAlignment="1">
      <alignment horizontal="center" vertical="top" wrapText="1"/>
    </xf>
    <xf numFmtId="0" fontId="17" fillId="0" borderId="13" xfId="0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horizontal="center" vertical="top" shrinkToFit="1"/>
    </xf>
  </cellXfs>
  <cellStyles count="1">
    <cellStyle name="Обычный" xfId="0" builtinId="0"/>
  </cellStyles>
  <dxfs count="128">
    <dxf>
      <fill>
        <patternFill>
          <bgColor theme="5" tint="-0.2499465926084170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0" tint="-0.14996795556505021"/>
        </patternFill>
      </fill>
    </dxf>
    <dxf>
      <fill>
        <patternFill>
          <bgColor theme="5" tint="-0.24994659260841701"/>
        </patternFill>
      </fill>
    </dxf>
    <dxf>
      <fill>
        <patternFill patternType="solid">
          <fgColor auto="1"/>
          <bgColor theme="0" tint="-0.14996795556505021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colors>
    <mruColors>
      <color rgb="FFFFC7CE"/>
      <color rgb="FF9C00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0</xdr:colOff>
      <xdr:row>13</xdr:row>
      <xdr:rowOff>85726</xdr:rowOff>
    </xdr:from>
    <xdr:to>
      <xdr:col>43</xdr:col>
      <xdr:colOff>34290</xdr:colOff>
      <xdr:row>20</xdr:row>
      <xdr:rowOff>104776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6BC55D6-4AE3-40E4-AF71-207BE92B9D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211" t="51142" r="1646"/>
        <a:stretch/>
      </xdr:blipFill>
      <xdr:spPr>
        <a:xfrm>
          <a:off x="17602200" y="5162551"/>
          <a:ext cx="1253490" cy="1314450"/>
        </a:xfrm>
        <a:prstGeom prst="rect">
          <a:avLst/>
        </a:prstGeom>
      </xdr:spPr>
    </xdr:pic>
    <xdr:clientData/>
  </xdr:twoCellAnchor>
  <xdr:twoCellAnchor editAs="oneCell">
    <xdr:from>
      <xdr:col>41</xdr:col>
      <xdr:colOff>95250</xdr:colOff>
      <xdr:row>10</xdr:row>
      <xdr:rowOff>723901</xdr:rowOff>
    </xdr:from>
    <xdr:to>
      <xdr:col>42</xdr:col>
      <xdr:colOff>605790</xdr:colOff>
      <xdr:row>12</xdr:row>
      <xdr:rowOff>758191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868B66E-BC28-4538-A8AC-FEAEA4B164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6752" t="16767" r="4458" b="23632"/>
        <a:stretch/>
      </xdr:blipFill>
      <xdr:spPr>
        <a:xfrm>
          <a:off x="17697450" y="3676651"/>
          <a:ext cx="1123950" cy="1272540"/>
        </a:xfrm>
        <a:prstGeom prst="rect">
          <a:avLst/>
        </a:prstGeom>
      </xdr:spPr>
    </xdr:pic>
    <xdr:clientData/>
  </xdr:twoCellAnchor>
  <xdr:twoCellAnchor editAs="oneCell">
    <xdr:from>
      <xdr:col>41</xdr:col>
      <xdr:colOff>142874</xdr:colOff>
      <xdr:row>7</xdr:row>
      <xdr:rowOff>0</xdr:rowOff>
    </xdr:from>
    <xdr:to>
      <xdr:col>42</xdr:col>
      <xdr:colOff>527340</xdr:colOff>
      <xdr:row>10</xdr:row>
      <xdr:rowOff>476251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3312ACF-F547-4446-AC6A-3A119DC3DF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6761" t="17767" r="2340" b="17129"/>
        <a:stretch/>
      </xdr:blipFill>
      <xdr:spPr>
        <a:xfrm>
          <a:off x="17745074" y="2057400"/>
          <a:ext cx="997876" cy="136779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0FAE85-5938-4B73-AF39-78504AC42834}" name="Таблица2" displayName="Таблица2" ref="B1:M416" totalsRowShown="0" headerRowDxfId="56" dataDxfId="54" headerRowBorderDxfId="55" tableBorderDxfId="53" totalsRowBorderDxfId="52">
  <autoFilter ref="B1:M416" xr:uid="{88EA49A6-2542-4439-A897-DC47FC77FE7A}"/>
  <sortState ref="B2:M232">
    <sortCondition ref="B1:B70"/>
  </sortState>
  <tableColumns count="12">
    <tableColumn id="8" xr3:uid="{B67F8D58-0A9F-4B4B-8594-6C4204E3395D}" name="Порядковый номер" dataDxfId="51"/>
    <tableColumn id="1" xr3:uid="{32FA4368-EC15-4C69-AC99-0B411A8523C4}" name="Код" dataDxfId="50"/>
    <tableColumn id="13" xr3:uid="{99C05F03-9D3A-4203-816C-9AC5860A330E}" name="тип изделия" dataDxfId="49"/>
    <tableColumn id="12" xr3:uid="{DDD0D7D3-28FC-4C3E-BDB6-24E066172CF7}" name="Обознач" dataDxfId="48"/>
    <tableColumn id="10" xr3:uid="{C93EDCF0-839A-4413-AE6F-4E49C749F6EC}" name="Наимен" dataDxfId="47"/>
    <tableColumn id="2" xr3:uid="{90BB4C17-8380-47F8-9778-BCC8E588C574}" name="Полное Наименовнаие" dataDxfId="46"/>
    <tableColumn id="5" xr3:uid="{BD0C7220-4C28-49C3-82F4-E1BFF0989D81}" name="Кол-во" dataDxfId="45"/>
    <tableColumn id="3" xr3:uid="{AFFA916D-2391-442B-9215-2D2D2B58729A}" name="Длина " dataDxfId="44"/>
    <tableColumn id="4" xr3:uid="{706A98D1-76C5-409C-9F75-2C4D7C927A5E}" name="Высота" dataDxfId="43"/>
    <tableColumn id="9" xr3:uid="{0DCB8852-19AD-4DE4-8E09-D783C67AA240}" name="Ширина" dataDxfId="42"/>
    <tableColumn id="7" xr3:uid="{E481B615-36B8-491E-80A0-9BD068E54852}" name="Прим" dataDxfId="41"/>
    <tableColumn id="11" xr3:uid="{FABF8AEC-3A31-49CA-91B3-0B5F64C6C400}" name="Идёт ли в спецификацию?" dataDxfId="40">
      <calculatedColumnFormula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25E84E-BAFA-4FDA-A789-F68A931951FC}" name="Таблица7" displayName="Таблица7" ref="N5:P23" totalsRowShown="0" headerRowDxfId="37">
  <autoFilter ref="N5:P23" xr:uid="{65FDB1D2-E833-45DD-A6FD-E587931FD166}"/>
  <tableColumns count="3">
    <tableColumn id="1" xr3:uid="{AEDBACD2-BB4A-44E4-BBF7-EF337C79EDB7}" name="Ширина" dataDxfId="36"/>
    <tableColumn id="2" xr3:uid="{725E87EA-1A38-4108-88E5-59E24F48D977}" name="Фактическое значение" dataDxfId="35">
      <calculatedColumnFormula>Таблица7[[#This Row],[Ширина]]-Таблица7[[#This Row],[Зазор]]</calculatedColumnFormula>
    </tableColumn>
    <tableColumn id="3" xr3:uid="{701365F1-C08C-4FFF-BAFE-AE9FB2E85534}" name="Зазор" dataDxfId="3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160D45-B349-4C9F-A1FB-AAC5A8798F84}" name="Таблица8" displayName="Таблица8" ref="B5:E12" totalsRowShown="0" headerRowBorderDxfId="33" tableBorderDxfId="32" totalsRowBorderDxfId="31">
  <autoFilter ref="B5:E12" xr:uid="{02930558-CF92-4603-989B-89DD2417B142}"/>
  <tableColumns count="4">
    <tableColumn id="1" xr3:uid="{84A032DA-B651-438E-BC95-B3EE8DF3F353}" name="Вводимые параметры с 1го листа" dataDxfId="30"/>
    <tableColumn id="4" xr3:uid="{5D19A7DA-32E9-4A57-84AB-AF155FF65A09}" name="мм" dataDxfId="29"/>
    <tableColumn id="2" xr3:uid="{00C23D6A-4384-4F20-A882-A166C2BDDD69}" name="Ключ" dataDxfId="28"/>
    <tableColumn id="3" xr3:uid="{56E6A366-D913-4057-A279-E37490BBBF67}" name="Тип коляски" dataDxfId="27">
      <calculatedColumnFormula>INDEX($G$16:G21,MATCH($D$7,$H$16:H21,0))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37AA83B-8EE4-4237-AFCE-9B8786D2EF0D}" name="Таблица9" displayName="Таблица9" ref="R5:T24" totalsRowShown="0" headerRowDxfId="26">
  <autoFilter ref="R5:T24" xr:uid="{FA78E702-16B1-49D5-9A4D-F057A40F8DF4}"/>
  <tableColumns count="3">
    <tableColumn id="1" xr3:uid="{DCE920E7-31E6-41E1-AB23-BFBD64F10372}" name="Номер" dataDxfId="25"/>
    <tableColumn id="2" xr3:uid="{504B047C-0437-43DF-A193-2447F29782F5}" name="значение" dataDxfId="24"/>
    <tableColumn id="3" xr3:uid="{784342E4-2F73-4706-A124-2DC461B53B52}" name="Тип коляски" dataDxfId="2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C92676-6E85-4A79-B4B8-825148C220BB}" name="Таблица10" displayName="Таблица10" ref="V5:W23" totalsRowShown="0" headerRowDxfId="22">
  <autoFilter ref="V5:W23" xr:uid="{93828843-C174-41F6-86B5-2D1900C0E5FB}"/>
  <tableColumns count="2">
    <tableColumn id="1" xr3:uid="{592CB020-D7E0-4E71-BAEE-D08F69C71994}" name="Тип коляски" dataDxfId="21"/>
    <tableColumn id="2" xr3:uid="{60425D69-7FAA-47A5-B7C5-6787716D7589}" name="значение" dataDxfId="2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8A1AD7E-E3AD-46C6-96A5-00A306FC9CD5}" name="Таблица11" displayName="Таблица11" ref="Y5:Z52" totalsRowShown="0" headerRowDxfId="19">
  <autoFilter ref="Y5:Z52" xr:uid="{EDC55D79-1055-4351-BCB2-6380B240E786}"/>
  <tableColumns count="2">
    <tableColumn id="1" xr3:uid="{D7B11BB1-4D82-481A-9C0B-1E6FEA1DCCD4}" name="Значние"/>
    <tableColumn id="2" xr3:uid="{6010E925-B9EF-44A4-8BBC-5B93DFA400C5}" name="Тип коляски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4A22C2A-26EE-459A-9924-F4C2B2218BA6}" name="Таблица12" displayName="Таблица12" ref="AB5:AC58" totalsRowShown="0" headerRowDxfId="18" headerRowBorderDxfId="17" tableBorderDxfId="16">
  <autoFilter ref="AB5:AC58" xr:uid="{79961702-71A4-4032-B33F-44B5076D465F}"/>
  <tableColumns count="2">
    <tableColumn id="1" xr3:uid="{AA319271-8669-4B1D-A2BB-70BAB27EA1FA}" name="Значние"/>
    <tableColumn id="2" xr3:uid="{B94EEA85-6358-4867-ACC1-54AC75E85337}" name="Тип коляски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D638B2-4F6D-4550-BE59-25F1BD9C17F3}" name="Таблица112" displayName="Таблица112" ref="AE5:AF32" totalsRowShown="0" headerRowDxfId="15">
  <autoFilter ref="AE5:AF32" xr:uid="{B19E9530-B6DB-4A6A-83D3-80D1BF43558E}"/>
  <tableColumns count="2">
    <tableColumn id="1" xr3:uid="{29D8757A-667A-4D30-9DD4-D4D4ECE4ECD6}" name="Значние"/>
    <tableColumn id="2" xr3:uid="{EFAE4A26-C595-4EFC-BDFE-1AA666C77FDB}" name="Тип трубки спинки" dataDxfId="14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C6C428-A58B-4EB2-AFED-D0B59824BF3A}" name="Таблица1124" displayName="Таблица1124" ref="AH5:AI12" totalsRowShown="0" headerRowDxfId="13">
  <autoFilter ref="AH5:AI12" xr:uid="{A5135C6F-F0B3-4749-8F11-8B894C6E8144}"/>
  <tableColumns count="2">
    <tableColumn id="1" xr3:uid="{11C3BE44-1495-4E0A-9EED-F5B85BD09CD4}" name="Значние" dataDxfId="12"/>
    <tableColumn id="2" xr3:uid="{EB66BD69-8E1F-49C4-BED9-AED7D5D23839}" name="Тип трубки спинки" dataDxfId="11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E93B22-CDE9-4E26-B7C5-7B2AA1BC7335}" name="Таблица6" displayName="Таблица6" ref="AL5:AS44" totalsRowShown="0" headerRowDxfId="10" tableBorderDxfId="9">
  <autoFilter ref="AL5:AS44" xr:uid="{5BDC7D07-9F7A-42B7-99DB-8BBC0F60273A}"/>
  <tableColumns count="8">
    <tableColumn id="1" xr3:uid="{D12403D3-9AA6-4820-922D-F30439B461A8}" name="Длина голени" dataDxfId="8"/>
    <tableColumn id="2" xr3:uid="{06F07EC2-F282-4EE8-A18C-3B6749D4AFE2}" name="1" dataDxfId="7"/>
    <tableColumn id="3" xr3:uid="{9B43FCE2-E76C-41B2-8C6D-8DC00C4681FE}" name="2" dataDxfId="6"/>
    <tableColumn id="4" xr3:uid="{B2F5AD9A-6445-41ED-920B-B4A822FAD2CE}" name="3" dataDxfId="5"/>
    <tableColumn id="5" xr3:uid="{E79678F4-3535-4079-BED0-394DE802CCC3}" name="4" dataDxfId="4"/>
    <tableColumn id="6" xr3:uid="{6A7B4096-E862-4D06-9422-FACBCF27A0D5}" name="5" dataDxfId="3"/>
    <tableColumn id="7" xr3:uid="{E54F679C-3DBD-4449-A657-F6DC0616CC9D}" name="6" dataDxfId="2"/>
    <tableColumn id="8" xr3:uid="{4A13817E-0711-47D2-A36F-19F301DD26D2}" name="7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370B-1366-49B0-B133-C56911D39A07}">
  <dimension ref="A1:AQ20"/>
  <sheetViews>
    <sheetView zoomScale="90" zoomScaleNormal="90" workbookViewId="0">
      <selection activeCell="O2" sqref="O2"/>
    </sheetView>
  </sheetViews>
  <sheetFormatPr defaultRowHeight="14.4" x14ac:dyDescent="0.3"/>
  <cols>
    <col min="3" max="3" width="15.6640625" customWidth="1"/>
    <col min="14" max="14" width="30.88671875" customWidth="1"/>
    <col min="15" max="15" width="18.6640625" customWidth="1"/>
    <col min="16" max="16" width="36.88671875" customWidth="1"/>
    <col min="20" max="20" width="11.5546875" customWidth="1"/>
  </cols>
  <sheetData>
    <row r="1" spans="1:43" ht="72.599999999999994" thickBot="1" x14ac:dyDescent="0.35">
      <c r="A1" s="140"/>
      <c r="B1" s="141" t="s">
        <v>916</v>
      </c>
      <c r="C1" s="141" t="s">
        <v>917</v>
      </c>
      <c r="D1" s="141" t="s">
        <v>1072</v>
      </c>
      <c r="E1" s="142" t="s">
        <v>918</v>
      </c>
      <c r="F1" s="141" t="s">
        <v>51</v>
      </c>
      <c r="G1" s="141" t="s">
        <v>52</v>
      </c>
      <c r="H1" s="141" t="s">
        <v>12</v>
      </c>
      <c r="I1" s="141" t="s">
        <v>1073</v>
      </c>
      <c r="J1" s="141" t="s">
        <v>54</v>
      </c>
      <c r="K1" s="141" t="s">
        <v>13</v>
      </c>
      <c r="L1" s="141" t="s">
        <v>55</v>
      </c>
      <c r="M1" s="141" t="s">
        <v>919</v>
      </c>
      <c r="N1" s="141" t="s">
        <v>45</v>
      </c>
      <c r="O1" s="141" t="s">
        <v>920</v>
      </c>
      <c r="P1" s="143" t="s">
        <v>921</v>
      </c>
      <c r="Q1" s="144" t="s">
        <v>596</v>
      </c>
      <c r="R1" s="144" t="s">
        <v>922</v>
      </c>
      <c r="S1" s="141" t="s">
        <v>923</v>
      </c>
      <c r="T1" s="141" t="s">
        <v>924</v>
      </c>
      <c r="U1" s="141" t="s">
        <v>925</v>
      </c>
      <c r="V1" s="141" t="s">
        <v>926</v>
      </c>
      <c r="W1" s="144" t="s">
        <v>927</v>
      </c>
      <c r="X1" s="144" t="s">
        <v>928</v>
      </c>
      <c r="Y1" s="144" t="s">
        <v>929</v>
      </c>
      <c r="Z1" s="144" t="s">
        <v>930</v>
      </c>
      <c r="AA1" s="144" t="s">
        <v>931</v>
      </c>
      <c r="AB1" s="144" t="s">
        <v>932</v>
      </c>
      <c r="AC1" s="145" t="s">
        <v>933</v>
      </c>
      <c r="AD1" s="146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</row>
    <row r="2" spans="1:43" ht="114.6" customHeight="1" thickBot="1" x14ac:dyDescent="0.35">
      <c r="A2" s="148">
        <v>330</v>
      </c>
      <c r="B2" s="169" t="s">
        <v>1085</v>
      </c>
      <c r="C2" s="174"/>
      <c r="D2" s="171">
        <v>45169</v>
      </c>
      <c r="E2" s="172" t="s">
        <v>1105</v>
      </c>
      <c r="F2" s="172" t="s">
        <v>1119</v>
      </c>
      <c r="G2" s="104">
        <v>260</v>
      </c>
      <c r="H2" s="104">
        <v>400</v>
      </c>
      <c r="I2" s="104">
        <v>950</v>
      </c>
      <c r="J2" s="104">
        <v>300</v>
      </c>
      <c r="K2" s="104">
        <v>350</v>
      </c>
      <c r="L2" s="104" t="s">
        <v>1120</v>
      </c>
      <c r="M2" s="104">
        <v>200</v>
      </c>
      <c r="N2" s="104">
        <v>160</v>
      </c>
      <c r="O2" s="173" t="s">
        <v>1122</v>
      </c>
      <c r="P2" s="104" t="s">
        <v>1116</v>
      </c>
      <c r="Q2" s="174"/>
      <c r="R2" s="174"/>
      <c r="S2" s="104" t="s">
        <v>1091</v>
      </c>
      <c r="T2" s="104" t="s">
        <v>1087</v>
      </c>
      <c r="U2" s="104" t="s">
        <v>1091</v>
      </c>
      <c r="V2" s="104" t="s">
        <v>948</v>
      </c>
      <c r="W2" s="104" t="s">
        <v>1121</v>
      </c>
      <c r="X2" s="104" t="s">
        <v>1092</v>
      </c>
      <c r="Y2" s="104" t="s">
        <v>1093</v>
      </c>
      <c r="Z2" s="104" t="s">
        <v>949</v>
      </c>
      <c r="AA2" s="104" t="s">
        <v>950</v>
      </c>
      <c r="AB2" s="174"/>
      <c r="AC2" s="104" t="s">
        <v>1106</v>
      </c>
      <c r="AD2" s="147"/>
      <c r="AE2" s="147"/>
      <c r="AF2" s="147"/>
      <c r="AG2" s="147"/>
      <c r="AH2" s="147"/>
      <c r="AI2" s="147"/>
      <c r="AJ2" s="147"/>
      <c r="AK2" s="147"/>
      <c r="AL2" s="147"/>
      <c r="AM2" s="147"/>
      <c r="AN2" s="147"/>
      <c r="AO2" s="147"/>
      <c r="AP2" s="147"/>
      <c r="AQ2" s="147"/>
    </row>
    <row r="4" spans="1:43" s="168" customFormat="1" ht="36" customHeight="1" x14ac:dyDescent="0.3">
      <c r="A4" s="166"/>
      <c r="B4" s="167"/>
      <c r="C4" s="166"/>
      <c r="F4" s="166"/>
      <c r="G4" s="166"/>
      <c r="H4" s="166"/>
      <c r="I4" s="166"/>
      <c r="J4" s="166"/>
      <c r="K4" s="166"/>
      <c r="L4" s="166"/>
      <c r="N4" s="167"/>
      <c r="O4" s="167"/>
      <c r="P4" s="167"/>
      <c r="Q4" s="167"/>
      <c r="R4" s="166"/>
      <c r="S4" s="167"/>
      <c r="T4" s="166"/>
      <c r="U4" s="166"/>
      <c r="V4" s="166"/>
      <c r="W4" s="167"/>
      <c r="X4" s="167"/>
      <c r="Y4" s="166"/>
      <c r="Z4" s="166"/>
      <c r="AA4" s="167"/>
      <c r="AB4" s="166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7"/>
    </row>
    <row r="5" spans="1:43" ht="15" thickBot="1" x14ac:dyDescent="0.35"/>
    <row r="6" spans="1:43" ht="106.95" customHeight="1" thickBot="1" x14ac:dyDescent="0.35">
      <c r="A6" s="148">
        <v>330</v>
      </c>
      <c r="B6" s="169" t="s">
        <v>1085</v>
      </c>
      <c r="C6" s="174"/>
      <c r="D6" s="171">
        <v>45169</v>
      </c>
      <c r="E6" s="172" t="s">
        <v>1105</v>
      </c>
      <c r="F6" s="172" t="s">
        <v>1119</v>
      </c>
      <c r="G6" s="104">
        <v>260</v>
      </c>
      <c r="H6" s="104">
        <v>400</v>
      </c>
      <c r="I6" s="104">
        <v>950</v>
      </c>
      <c r="J6" s="104">
        <v>300</v>
      </c>
      <c r="K6" s="104">
        <v>350</v>
      </c>
      <c r="L6" s="104" t="s">
        <v>1120</v>
      </c>
      <c r="M6" s="104">
        <v>200</v>
      </c>
      <c r="N6" s="104">
        <v>160</v>
      </c>
      <c r="O6" s="173" t="s">
        <v>1122</v>
      </c>
      <c r="P6" s="104" t="s">
        <v>1116</v>
      </c>
      <c r="Q6" s="174"/>
      <c r="R6" s="174"/>
      <c r="S6" s="104" t="s">
        <v>1091</v>
      </c>
      <c r="T6" s="104" t="s">
        <v>1087</v>
      </c>
      <c r="U6" s="104" t="s">
        <v>1091</v>
      </c>
      <c r="V6" s="104" t="s">
        <v>948</v>
      </c>
      <c r="W6" s="104" t="s">
        <v>1121</v>
      </c>
      <c r="X6" s="104" t="s">
        <v>1092</v>
      </c>
      <c r="Y6" s="104" t="s">
        <v>1093</v>
      </c>
      <c r="Z6" s="104" t="s">
        <v>949</v>
      </c>
      <c r="AA6" s="104" t="s">
        <v>950</v>
      </c>
      <c r="AB6" s="174"/>
      <c r="AC6" s="104" t="s">
        <v>1106</v>
      </c>
      <c r="AD6" s="147"/>
      <c r="AE6" s="147"/>
      <c r="AF6" s="147"/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7"/>
    </row>
    <row r="8" spans="1:43" ht="21.6" customHeight="1" x14ac:dyDescent="0.4">
      <c r="N8" s="175" t="str">
        <f t="array" ref="N8">'Вводимые параметры'!C11:D11</f>
        <v>300х330-370 / тип-3</v>
      </c>
      <c r="O8" s="176" t="str">
        <f>'Вводимые параметры'!C10</f>
        <v>Пx300</v>
      </c>
      <c r="P8" s="177" t="str">
        <f>'Вводимые параметры'!K8:K10</f>
        <v xml:space="preserve">НП - навесная перевёрнутая
Н - навесная обычная
П - Платформа сварная </v>
      </c>
    </row>
    <row r="9" spans="1:43" ht="14.4" customHeight="1" x14ac:dyDescent="0.3">
      <c r="O9" s="14"/>
      <c r="P9" s="177"/>
    </row>
    <row r="10" spans="1:43" ht="14.4" customHeight="1" x14ac:dyDescent="0.3">
      <c r="O10" s="14"/>
      <c r="P10" s="177"/>
    </row>
    <row r="11" spans="1:43" x14ac:dyDescent="0.3">
      <c r="P11" s="177"/>
    </row>
    <row r="17" spans="1:43" ht="25.8" x14ac:dyDescent="0.5">
      <c r="A17" s="170" t="s">
        <v>1088</v>
      </c>
    </row>
    <row r="18" spans="1:43" ht="15" thickBot="1" x14ac:dyDescent="0.35"/>
    <row r="19" spans="1:43" ht="72.599999999999994" thickBot="1" x14ac:dyDescent="0.35">
      <c r="A19" s="140"/>
      <c r="B19" s="141" t="s">
        <v>916</v>
      </c>
      <c r="C19" s="141" t="s">
        <v>917</v>
      </c>
      <c r="D19" s="141" t="s">
        <v>1072</v>
      </c>
      <c r="E19" s="142" t="s">
        <v>918</v>
      </c>
      <c r="F19" s="141" t="s">
        <v>51</v>
      </c>
      <c r="G19" s="141" t="s">
        <v>52</v>
      </c>
      <c r="H19" s="141" t="s">
        <v>12</v>
      </c>
      <c r="I19" s="141" t="s">
        <v>1073</v>
      </c>
      <c r="J19" s="141" t="s">
        <v>54</v>
      </c>
      <c r="K19" s="141" t="s">
        <v>13</v>
      </c>
      <c r="L19" s="141" t="s">
        <v>55</v>
      </c>
      <c r="M19" s="141" t="s">
        <v>919</v>
      </c>
      <c r="N19" s="141" t="s">
        <v>45</v>
      </c>
      <c r="O19" s="141" t="s">
        <v>920</v>
      </c>
      <c r="P19" s="143" t="s">
        <v>921</v>
      </c>
      <c r="Q19" s="144" t="s">
        <v>596</v>
      </c>
      <c r="R19" s="144" t="s">
        <v>922</v>
      </c>
      <c r="S19" s="141" t="s">
        <v>923</v>
      </c>
      <c r="T19" s="141" t="s">
        <v>924</v>
      </c>
      <c r="U19" s="141" t="s">
        <v>925</v>
      </c>
      <c r="V19" s="141" t="s">
        <v>926</v>
      </c>
      <c r="W19" s="144" t="s">
        <v>927</v>
      </c>
      <c r="X19" s="144" t="s">
        <v>928</v>
      </c>
      <c r="Y19" s="144" t="s">
        <v>929</v>
      </c>
      <c r="Z19" s="144" t="s">
        <v>930</v>
      </c>
      <c r="AA19" s="144" t="s">
        <v>931</v>
      </c>
      <c r="AB19" s="144" t="s">
        <v>932</v>
      </c>
      <c r="AC19" s="145" t="s">
        <v>933</v>
      </c>
      <c r="AD19" s="146"/>
      <c r="AE19" s="147"/>
      <c r="AF19" s="147"/>
      <c r="AG19" s="147"/>
      <c r="AH19" s="147"/>
      <c r="AI19" s="147"/>
      <c r="AJ19" s="147"/>
      <c r="AK19" s="147"/>
      <c r="AL19" s="147"/>
      <c r="AM19" s="147"/>
      <c r="AN19" s="147"/>
      <c r="AO19" s="147"/>
      <c r="AP19" s="147"/>
      <c r="AQ19" s="147"/>
    </row>
    <row r="20" spans="1:43" ht="106.95" customHeight="1" thickBot="1" x14ac:dyDescent="0.35">
      <c r="A20" s="148">
        <v>329</v>
      </c>
      <c r="B20" s="169" t="s">
        <v>1085</v>
      </c>
      <c r="C20" s="174"/>
      <c r="D20" s="171">
        <v>45169</v>
      </c>
      <c r="E20" s="172" t="s">
        <v>1105</v>
      </c>
      <c r="F20" s="172" t="s">
        <v>1113</v>
      </c>
      <c r="G20" s="104">
        <v>290</v>
      </c>
      <c r="H20" s="104" t="s">
        <v>1114</v>
      </c>
      <c r="I20" s="104">
        <v>850</v>
      </c>
      <c r="J20" s="104">
        <v>370</v>
      </c>
      <c r="K20" s="104">
        <v>360</v>
      </c>
      <c r="L20" s="104" t="s">
        <v>1115</v>
      </c>
      <c r="M20" s="104">
        <v>210</v>
      </c>
      <c r="N20" s="104">
        <v>230</v>
      </c>
      <c r="O20" s="173" t="s">
        <v>1117</v>
      </c>
      <c r="P20" s="104" t="s">
        <v>1116</v>
      </c>
      <c r="Q20" s="174"/>
      <c r="R20" s="174"/>
      <c r="S20" s="104" t="s">
        <v>1091</v>
      </c>
      <c r="T20" s="104" t="s">
        <v>1087</v>
      </c>
      <c r="U20" s="104" t="s">
        <v>1091</v>
      </c>
      <c r="V20" s="104" t="s">
        <v>948</v>
      </c>
      <c r="W20" s="104" t="s">
        <v>1086</v>
      </c>
      <c r="X20" s="104" t="s">
        <v>1092</v>
      </c>
      <c r="Y20" s="104" t="s">
        <v>1093</v>
      </c>
      <c r="Z20" s="104" t="s">
        <v>949</v>
      </c>
      <c r="AA20" s="104" t="s">
        <v>950</v>
      </c>
      <c r="AB20" s="174"/>
      <c r="AC20" s="104" t="s">
        <v>1106</v>
      </c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</row>
  </sheetData>
  <mergeCells count="1">
    <mergeCell ref="P8:P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6"/>
  <sheetViews>
    <sheetView tabSelected="1" topLeftCell="B13" zoomScale="85" zoomScaleNormal="85" workbookViewId="0">
      <selection activeCell="D2" sqref="D2"/>
    </sheetView>
  </sheetViews>
  <sheetFormatPr defaultColWidth="8.88671875" defaultRowHeight="15.6" x14ac:dyDescent="0.3"/>
  <cols>
    <col min="1" max="1" width="4.5546875" style="72" customWidth="1"/>
    <col min="2" max="2" width="50.5546875" style="72" customWidth="1"/>
    <col min="3" max="3" width="18.6640625" style="72" customWidth="1"/>
    <col min="4" max="4" width="28.44140625" style="72" customWidth="1"/>
    <col min="5" max="5" width="1.109375" style="72" customWidth="1"/>
    <col min="6" max="6" width="2.88671875" style="72" customWidth="1"/>
    <col min="7" max="7" width="3.6640625" style="72" customWidth="1"/>
    <col min="8" max="8" width="1.88671875" style="72" customWidth="1"/>
    <col min="9" max="9" width="3.44140625" style="72" customWidth="1"/>
    <col min="10" max="10" width="9.5546875" style="72" customWidth="1"/>
    <col min="11" max="11" width="49.44140625" style="72" customWidth="1"/>
    <col min="12" max="12" width="12.33203125" style="72" customWidth="1"/>
    <col min="13" max="13" width="8.88671875" style="72"/>
    <col min="14" max="14" width="46.44140625" style="72" customWidth="1"/>
    <col min="15" max="15" width="8.88671875" style="72"/>
    <col min="16" max="16" width="3.33203125" style="72" customWidth="1"/>
    <col min="17" max="17" width="57" style="72" customWidth="1"/>
    <col min="18" max="16384" width="8.88671875" style="72"/>
  </cols>
  <sheetData>
    <row r="1" spans="2:12" ht="16.2" thickBot="1" x14ac:dyDescent="0.35"/>
    <row r="2" spans="2:12" ht="21.6" thickBot="1" x14ac:dyDescent="0.45">
      <c r="B2" s="127" t="s">
        <v>68</v>
      </c>
      <c r="C2" s="128" t="s">
        <v>250</v>
      </c>
      <c r="D2" s="129" t="str">
        <f>_xlfn.CONCAT("AJ3.",GOOgle!A2)</f>
        <v>AJ3.330</v>
      </c>
    </row>
    <row r="3" spans="2:12" ht="21.6" thickBot="1" x14ac:dyDescent="0.45">
      <c r="B3" s="187" t="s">
        <v>169</v>
      </c>
      <c r="C3" s="193"/>
      <c r="D3" s="188"/>
    </row>
    <row r="4" spans="2:12" ht="21.6" thickBot="1" x14ac:dyDescent="0.45">
      <c r="B4" s="130" t="s">
        <v>14</v>
      </c>
      <c r="C4" s="187" t="s">
        <v>15</v>
      </c>
      <c r="D4" s="188"/>
      <c r="F4" s="192" t="s">
        <v>1034</v>
      </c>
      <c r="G4" s="192"/>
    </row>
    <row r="5" spans="2:12" ht="21.6" customHeight="1" thickBot="1" x14ac:dyDescent="0.45">
      <c r="B5" s="157" t="s">
        <v>11</v>
      </c>
      <c r="C5" s="185">
        <f>GOOgle!G2</f>
        <v>260</v>
      </c>
      <c r="D5" s="186"/>
      <c r="F5" s="192"/>
      <c r="G5" s="192"/>
      <c r="K5" s="183" t="s">
        <v>912</v>
      </c>
      <c r="L5" s="184"/>
    </row>
    <row r="6" spans="2:12" ht="21.6" thickBot="1" x14ac:dyDescent="0.45">
      <c r="B6" s="158" t="s">
        <v>12</v>
      </c>
      <c r="C6" s="200">
        <f>GOOgle!H2</f>
        <v>400</v>
      </c>
      <c r="D6" s="201"/>
      <c r="F6" s="191"/>
      <c r="G6" s="191"/>
      <c r="K6" s="181" t="s">
        <v>1117</v>
      </c>
      <c r="L6" s="182"/>
    </row>
    <row r="7" spans="2:12" ht="21.6" thickBot="1" x14ac:dyDescent="0.45">
      <c r="B7" s="158" t="s">
        <v>13</v>
      </c>
      <c r="C7" s="202">
        <f>GOOgle!K2</f>
        <v>350</v>
      </c>
      <c r="D7" s="203"/>
    </row>
    <row r="8" spans="2:12" ht="21" x14ac:dyDescent="0.4">
      <c r="B8" s="159" t="s">
        <v>45</v>
      </c>
      <c r="C8" s="198">
        <f>GOOgle!N2</f>
        <v>160</v>
      </c>
      <c r="D8" s="199"/>
      <c r="K8" s="178" t="s">
        <v>1024</v>
      </c>
      <c r="L8" s="103"/>
    </row>
    <row r="9" spans="2:12" ht="21.6" thickBot="1" x14ac:dyDescent="0.45">
      <c r="B9" s="159" t="s">
        <v>54</v>
      </c>
      <c r="C9" s="189">
        <f>GOOgle!J2</f>
        <v>300</v>
      </c>
      <c r="D9" s="190"/>
      <c r="K9" s="179"/>
      <c r="L9" s="103"/>
    </row>
    <row r="10" spans="2:12" ht="21.6" thickBot="1" x14ac:dyDescent="0.45">
      <c r="B10" s="127" t="s">
        <v>1005</v>
      </c>
      <c r="C10" s="204" t="str">
        <f>'Рама буфер всех чертежей'!W5</f>
        <v>Пx300</v>
      </c>
      <c r="D10" s="205"/>
      <c r="E10" s="74"/>
      <c r="K10" s="180"/>
      <c r="L10" s="103"/>
    </row>
    <row r="11" spans="2:12" ht="21.6" thickBot="1" x14ac:dyDescent="0.45">
      <c r="B11" s="160" t="s">
        <v>83</v>
      </c>
      <c r="C11" s="196" t="str">
        <f>IF($C$14="ошибка","ОШИБКА!",_xlfn.CONCAT(Буфер!E6,"х",Буфер!E7," / тип-",Буфер!D7))</f>
        <v>300х330-370 / тип-3</v>
      </c>
      <c r="D11" s="197"/>
      <c r="E11" s="74"/>
      <c r="K11" s="103"/>
      <c r="L11" s="103"/>
    </row>
    <row r="12" spans="2:12" ht="16.2" thickBot="1" x14ac:dyDescent="0.35">
      <c r="K12" s="206" t="s">
        <v>244</v>
      </c>
      <c r="L12" s="207"/>
    </row>
    <row r="13" spans="2:12" ht="16.2" thickBot="1" x14ac:dyDescent="0.35">
      <c r="B13" s="90" t="s">
        <v>167</v>
      </c>
      <c r="C13" s="91" t="s">
        <v>75</v>
      </c>
      <c r="D13" s="92" t="s">
        <v>78</v>
      </c>
      <c r="K13" s="107" t="s">
        <v>249</v>
      </c>
      <c r="L13" s="109" t="str">
        <f>_xlfn.CONCAT('Рама буфер всех чертежей'!S3,"x",'Рама буфер всех чертежей'!S5,"x",60)</f>
        <v>300x360x60</v>
      </c>
    </row>
    <row r="14" spans="2:12" ht="16.2" thickBot="1" x14ac:dyDescent="0.35">
      <c r="B14" s="89" t="s">
        <v>168</v>
      </c>
      <c r="C14" s="194" t="str">
        <f>IF(OR('Рама буфер всех чертежей'!$Q$7="ошибка",'Рама буфер всех чертежей'!$Q$8="ошибка"),"ОШИБКА",'Рама буфер всех чертежей'!R5)</f>
        <v>РАСШИРЕНИЕ БАНАНОВ</v>
      </c>
      <c r="D14" s="195"/>
      <c r="K14" s="108" t="s">
        <v>855</v>
      </c>
      <c r="L14" s="110" t="str">
        <f>_xlfn.CONCAT('Рама буфер всех чертежей'!S3,"x",'Рама буфер всех чертежей'!U5-20,"x",30)</f>
        <v>300x280x30</v>
      </c>
    </row>
    <row r="15" spans="2:12" x14ac:dyDescent="0.3">
      <c r="B15" s="117" t="str">
        <f t="array" ref="B1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KI.BP.464_Банан 3</v>
      </c>
      <c r="C15" s="120">
        <f t="array" ref="C15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15" s="117" t="str">
        <f t="array" ref="D15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Прямой</v>
      </c>
    </row>
    <row r="16" spans="2:12" ht="16.2" thickBot="1" x14ac:dyDescent="0.35">
      <c r="B16" s="118" t="str">
        <f t="array" ref="B1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KI.BP.442_Мост сидения прямой 300</v>
      </c>
      <c r="C16" s="121">
        <f t="array" ref="C16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16" s="118" t="str">
        <f t="array" ref="D16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Для коляски шириной 300</v>
      </c>
    </row>
    <row r="17" spans="2:18" ht="16.2" thickBot="1" x14ac:dyDescent="0.35">
      <c r="B17" s="118" t="str">
        <f t="array" ref="B1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KI.BP.408_Вынос осевой трубы 1/3/5</v>
      </c>
      <c r="C17" s="121">
        <f t="array" ref="C17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17" s="118" t="str">
        <f t="array" ref="D17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Для бананов типа: 1/3/5</v>
      </c>
      <c r="K17" s="208" t="s">
        <v>867</v>
      </c>
      <c r="L17" s="209"/>
      <c r="N17" s="208" t="s">
        <v>868</v>
      </c>
      <c r="O17" s="209"/>
      <c r="Q17" s="210" t="s">
        <v>854</v>
      </c>
      <c r="R17" s="211"/>
    </row>
    <row r="18" spans="2:18" ht="16.2" thickBot="1" x14ac:dyDescent="0.35">
      <c r="B18" s="118" t="str">
        <f t="array" ref="B1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KI.BP.391_Каркас спинки</v>
      </c>
      <c r="C18" s="121">
        <f t="array" ref="C18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18" s="118" t="str">
        <f t="array" ref="D18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Для всех</v>
      </c>
      <c r="K18" s="111" t="s">
        <v>167</v>
      </c>
      <c r="L18" s="18" t="s">
        <v>75</v>
      </c>
      <c r="N18" s="116" t="s">
        <v>167</v>
      </c>
      <c r="O18" s="126" t="s">
        <v>75</v>
      </c>
      <c r="Q18" s="18" t="s">
        <v>167</v>
      </c>
      <c r="R18" s="106" t="s">
        <v>75</v>
      </c>
    </row>
    <row r="19" spans="2:18" x14ac:dyDescent="0.3">
      <c r="B19" s="118" t="str">
        <f t="array" ref="B1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KI.BP.432_Труба осевая 300</v>
      </c>
      <c r="C19" s="121">
        <f t="array" ref="C19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19" s="118" t="str">
        <f t="array" ref="D19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Для коляски шириной 300</v>
      </c>
      <c r="K19" s="112" t="str">
        <f>'Рама буфер всех чертежей'!T14</f>
        <v>KI.BP.464_Банан 3</v>
      </c>
      <c r="L19" s="25">
        <f>'Рама буфер всех чертежей'!U14</f>
        <v>2</v>
      </c>
      <c r="N19" s="112" t="str">
        <f>'Рама буфер всех чертежей'!W14</f>
        <v>KI.TP.103_Стакан переднего колеса</v>
      </c>
      <c r="O19" s="17">
        <f>'Рама буфер всех чертежей'!X14</f>
        <v>2</v>
      </c>
      <c r="Q19" s="112" t="str">
        <f>'Рама буфер всех чертежей'!Z14</f>
        <v>KI.WA.162_Спинка сварная 300х300</v>
      </c>
      <c r="R19" s="17">
        <f>'Рама буфер всех чертежей'!AA14</f>
        <v>1</v>
      </c>
    </row>
    <row r="20" spans="2:18" x14ac:dyDescent="0.3">
      <c r="B20" s="118" t="str">
        <f t="array" ref="B2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KI.BP.458_Вынос вилки</v>
      </c>
      <c r="C20" s="121">
        <f t="array" ref="C20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20" s="118" t="str">
        <f t="array" ref="D20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Для всех</v>
      </c>
      <c r="K20" s="113" t="str">
        <f>'Рама буфер всех чертежей'!T15</f>
        <v>KI.BP.442_Мост сидения прямой 300</v>
      </c>
      <c r="L20" s="24">
        <f>'Рама буфер всех чертежей'!U15</f>
        <v>1</v>
      </c>
      <c r="N20" s="113" t="str">
        <f>'Рама буфер всех чертежей'!W15</f>
        <v>KI.TP.104_Втулка ресивера колеса</v>
      </c>
      <c r="O20" s="24">
        <f>'Рама буфер всех чертежей'!X15</f>
        <v>2</v>
      </c>
      <c r="Q20" s="113" t="str">
        <f>'Рама буфер всех чертежей'!Z15</f>
        <v>KI.WA.206_Рама сварная 300-3</v>
      </c>
      <c r="R20" s="24">
        <f>'Рама буфер всех чертежей'!AA15</f>
        <v>1</v>
      </c>
    </row>
    <row r="21" spans="2:18" x14ac:dyDescent="0.3">
      <c r="B21" s="118" t="str">
        <f t="array" ref="B2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KI.TP.103_Стакан переднего колеса</v>
      </c>
      <c r="C21" s="121">
        <f t="array" ref="C21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21" s="118" t="str">
        <f t="array" ref="D21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Для всех</v>
      </c>
      <c r="K21" s="113" t="str">
        <f>'Рама буфер всех чертежей'!T16</f>
        <v>KI.BP.408_Вынос осевой трубы 1/3/5</v>
      </c>
      <c r="L21" s="24">
        <f>'Рама буфер всех чертежей'!U16</f>
        <v>2</v>
      </c>
      <c r="N21" s="113" t="str">
        <f>'Рама буфер всех чертежей'!W16</f>
        <v>KI.MP.079_Вилка кастора АJ</v>
      </c>
      <c r="O21" s="24">
        <f>'Рама буфер всех чертежей'!X16</f>
        <v>1</v>
      </c>
      <c r="Q21" s="113" t="str">
        <f>'Рама буфер всех чертежей'!Z16</f>
        <v>KI.WA.149_Антиопрокидыватель сварной</v>
      </c>
      <c r="R21" s="24">
        <f>'Рама буфер всех чертежей'!AA16</f>
        <v>1</v>
      </c>
    </row>
    <row r="22" spans="2:18" x14ac:dyDescent="0.3">
      <c r="B22" s="118" t="str">
        <f t="array" ref="B2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KI.TP.104_Втулка ресивера колеса</v>
      </c>
      <c r="C22" s="121">
        <f t="array" ref="C22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22" s="118" t="str">
        <f t="array" ref="D22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Для всех</v>
      </c>
      <c r="K22" s="113" t="str">
        <f>'Рама буфер всех чертежей'!T17</f>
        <v>KI.BP.391_Каркас спинки</v>
      </c>
      <c r="L22" s="24">
        <f>'Рама буфер всех чертежей'!U17</f>
        <v>2</v>
      </c>
      <c r="N22" s="113" t="str">
        <f>'Рама буфер всех чертежей'!W17</f>
        <v>KI.MP.079-00M_Вилка кастора АJ</v>
      </c>
      <c r="O22" s="24">
        <f>'Рама буфер всех чертежей'!X17</f>
        <v>1</v>
      </c>
      <c r="Q22" s="113" t="str">
        <f>'Рама буфер всех чертежей'!Z17</f>
        <v xml:space="preserve"> </v>
      </c>
      <c r="R22" s="24" t="str">
        <f>'Рама буфер всех чертежей'!AA17</f>
        <v xml:space="preserve"> </v>
      </c>
    </row>
    <row r="23" spans="2:18" x14ac:dyDescent="0.3">
      <c r="B23" s="118" t="str">
        <f t="array" ref="B2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KI.BP.420_Трубка антиопрокидывателя</v>
      </c>
      <c r="C23" s="121">
        <f t="array" ref="C23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23" s="118" t="str">
        <f t="array" ref="D23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Для всех</v>
      </c>
      <c r="K23" s="113" t="str">
        <f>'Рама буфер всех чертежей'!T18</f>
        <v>KI.BP.432_Труба осевая 300</v>
      </c>
      <c r="L23" s="24">
        <f>'Рама буфер всех чертежей'!U18</f>
        <v>1</v>
      </c>
      <c r="N23" s="113" t="str">
        <f>'Рама буфер всех чертежей'!W18</f>
        <v>Колесо_Delfi 24''</v>
      </c>
      <c r="O23" s="24">
        <f>'Рама буфер всех чертежей'!X18</f>
        <v>2</v>
      </c>
      <c r="Q23" s="113" t="str">
        <f>'Рама буфер всех чертежей'!Z18</f>
        <v xml:space="preserve"> </v>
      </c>
      <c r="R23" s="24" t="str">
        <f>'Рама буфер всех чертежей'!AA18</f>
        <v xml:space="preserve"> </v>
      </c>
    </row>
    <row r="24" spans="2:18" x14ac:dyDescent="0.3">
      <c r="B24" s="118" t="str">
        <f t="array" ref="B2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KI.BP.327_Рукоятка AJ</v>
      </c>
      <c r="C24" s="121">
        <f t="array" ref="C24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24" s="118" t="str">
        <f t="array" ref="D24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Для всех</v>
      </c>
      <c r="K24" s="113" t="str">
        <f>'Рама буфер всех чертежей'!T19</f>
        <v>KI.BP.458_Вынос вилки</v>
      </c>
      <c r="L24" s="24">
        <f>'Рама буфер всех чертежей'!U19</f>
        <v>2</v>
      </c>
      <c r="N24" s="113" t="str">
        <f>'Рама буфер всех чертежей'!W19</f>
        <v>KI.FP.103_Полукрыло A2</v>
      </c>
      <c r="O24" s="24">
        <f>'Рама буфер всех чертежей'!X19</f>
        <v>2</v>
      </c>
      <c r="Q24" s="113" t="str">
        <f>'Рама буфер всех чертежей'!Z19</f>
        <v xml:space="preserve"> </v>
      </c>
      <c r="R24" s="24" t="str">
        <f>'Рама буфер всех чертежей'!AA19</f>
        <v xml:space="preserve"> </v>
      </c>
    </row>
    <row r="25" spans="2:18" x14ac:dyDescent="0.3">
      <c r="B25" s="118" t="str">
        <f t="array" ref="B2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KI.BP.435_Мост спинки 300</v>
      </c>
      <c r="C25" s="121">
        <f t="array" ref="C25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25" s="118" t="str">
        <f t="array" ref="D25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Для коляски шириной 300</v>
      </c>
      <c r="K25" s="113" t="str">
        <f>'Рама буфер всех чертежей'!T20</f>
        <v>KI.BP.420_Трубка антиопрокидывателя</v>
      </c>
      <c r="L25" s="24">
        <f>'Рама буфер всех чертежей'!U20</f>
        <v>1</v>
      </c>
      <c r="N25" s="113" t="str">
        <f>'Рама буфер всех чертежей'!W20</f>
        <v>Грипса_</v>
      </c>
      <c r="O25" s="24">
        <f>'Рама буфер всех чертежей'!X20</f>
        <v>2</v>
      </c>
      <c r="Q25" s="73" t="str">
        <f>'Рама буфер всех чертежей'!Z20</f>
        <v xml:space="preserve"> </v>
      </c>
      <c r="R25" s="123" t="str">
        <f>'Рама буфер всех чертежей'!AA20</f>
        <v xml:space="preserve"> </v>
      </c>
    </row>
    <row r="26" spans="2:18" x14ac:dyDescent="0.3">
      <c r="B26" s="118" t="str">
        <f t="array" ref="B2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KI.SP.322_Крыло 3</v>
      </c>
      <c r="C26" s="121">
        <f t="array" ref="C26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26" s="118" t="str">
        <f t="array" ref="D26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Подряд</v>
      </c>
      <c r="K26" s="113" t="str">
        <f>'Рама буфер всех чертежей'!T21</f>
        <v>KI.BP.327_Рукоятка AJ</v>
      </c>
      <c r="L26" s="24">
        <f>'Рама буфер всех чертежей'!U21</f>
        <v>2</v>
      </c>
      <c r="N26" s="113" t="str">
        <f>'Рама буфер всех чертежей'!W21</f>
        <v>KI.SA.006_Колесо кастера</v>
      </c>
      <c r="O26" s="24">
        <f>'Рама буфер всех чертежей'!X21</f>
        <v>2</v>
      </c>
      <c r="Q26" s="73" t="str">
        <f>'Рама буфер всех чертежей'!Z21</f>
        <v xml:space="preserve"> </v>
      </c>
      <c r="R26" s="123" t="str">
        <f>'Рама буфер всех чертежей'!AA21</f>
        <v xml:space="preserve"> </v>
      </c>
    </row>
    <row r="27" spans="2:18" x14ac:dyDescent="0.3">
      <c r="B27" s="118" t="str">
        <f t="array" ref="B2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KI.MP.079_Вилка кастора АJ</v>
      </c>
      <c r="C27" s="121">
        <f t="array" ref="C27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27" s="118">
        <f t="array" ref="D27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27" s="113" t="str">
        <f>'Рама буфер всех чертежей'!T22</f>
        <v>KI.BP.435_Мост спинки 300</v>
      </c>
      <c r="L27" s="24">
        <f>'Рама буфер всех чертежей'!U22</f>
        <v>1</v>
      </c>
      <c r="N27" s="113" t="str">
        <f>'Рама буфер всех чертежей'!W22</f>
        <v>KI.TP.010_Проставка колеса кастора</v>
      </c>
      <c r="O27" s="24">
        <f>'Рама буфер всех чертежей'!X22</f>
        <v>2</v>
      </c>
      <c r="Q27" s="73" t="str">
        <f>'Рама буфер всех чертежей'!Z22</f>
        <v xml:space="preserve"> </v>
      </c>
      <c r="R27" s="123" t="str">
        <f>'Рама буфер всех чертежей'!AA22</f>
        <v xml:space="preserve"> </v>
      </c>
    </row>
    <row r="28" spans="2:18" ht="16.2" thickBot="1" x14ac:dyDescent="0.35">
      <c r="B28" s="118" t="str">
        <f t="array" ref="B2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KI.MP.079-00M_Вилка кастора АJ</v>
      </c>
      <c r="C28" s="121">
        <f t="array" ref="C28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28" s="118">
        <f t="array" ref="D28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28" s="113" t="str">
        <f>'Рама буфер всех чертежей'!T23</f>
        <v>KI.BP.427_Вертикальная трубка спинки 300</v>
      </c>
      <c r="L28" s="24">
        <f>'Рама буфер всех чертежей'!U23</f>
        <v>2</v>
      </c>
      <c r="N28" s="113" t="str">
        <f>'Рама буфер всех чертежей'!W23</f>
        <v>KI.TP.103_Стакан переднего колеса</v>
      </c>
      <c r="O28" s="24">
        <f>'Рама буфер всех чертежей'!X23</f>
        <v>2</v>
      </c>
      <c r="Q28" s="125" t="str">
        <f>'Рама буфер всех чертежей'!Z23</f>
        <v xml:space="preserve"> </v>
      </c>
      <c r="R28" s="124" t="str">
        <f>'Рама буфер всех чертежей'!AA23</f>
        <v xml:space="preserve"> </v>
      </c>
    </row>
    <row r="29" spans="2:18" x14ac:dyDescent="0.3">
      <c r="B29" s="118" t="str">
        <f t="array" ref="B2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Колесо_Delfi 24''</v>
      </c>
      <c r="C29" s="121">
        <f t="array" ref="C29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29" s="118" t="str">
        <f t="array" ref="D29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Покупное</v>
      </c>
      <c r="K29" s="113" t="str">
        <f>'Рама буфер всех чертежей'!T24</f>
        <v>KI.BP.469_Подножка АJ сварная 300</v>
      </c>
      <c r="L29" s="24">
        <f>'Рама буфер всех чертежей'!U24</f>
        <v>1</v>
      </c>
      <c r="N29" s="113" t="str">
        <f>'Рама буфер всех чертежей'!W24</f>
        <v>KI.CP.113_Ресивер подножки</v>
      </c>
      <c r="O29" s="24">
        <f>'Рама буфер всех чертежей'!X24</f>
        <v>2</v>
      </c>
    </row>
    <row r="30" spans="2:18" x14ac:dyDescent="0.3">
      <c r="B30" s="118" t="str">
        <f t="array" ref="B3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KI.FP.103_Полукрыло A2</v>
      </c>
      <c r="C30" s="121">
        <f t="array" ref="C30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30" s="118">
        <f t="array" ref="D30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30" s="113" t="str">
        <f>'Рама буфер всех чертежей'!T25</f>
        <v xml:space="preserve"> </v>
      </c>
      <c r="L30" s="24" t="str">
        <f>'Рама буфер всех чертежей'!U25</f>
        <v xml:space="preserve"> </v>
      </c>
      <c r="N30" s="113" t="str">
        <f>'Рама буфер всех чертежей'!W25</f>
        <v>KI.TP.106_Стакан D25 L60</v>
      </c>
      <c r="O30" s="24">
        <f>'Рама буфер всех чертежей'!X25</f>
        <v>1</v>
      </c>
    </row>
    <row r="31" spans="2:18" x14ac:dyDescent="0.3">
      <c r="B31" s="118" t="str">
        <f t="array" ref="B3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KI.BP.427_Вертикальная трубка спинки 300</v>
      </c>
      <c r="C31" s="121">
        <f t="array" ref="C31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31" s="118" t="str">
        <f t="array" ref="D31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s=210</v>
      </c>
      <c r="K31" s="113" t="str">
        <f>'Рама буфер всех чертежей'!T26</f>
        <v xml:space="preserve"> </v>
      </c>
      <c r="L31" s="24" t="str">
        <f>'Рама буфер всех чертежей'!U26</f>
        <v xml:space="preserve"> </v>
      </c>
      <c r="N31" s="113" t="str">
        <f>'Рама буфер всех чертежей'!W26</f>
        <v>KI.TP.075_Стакан антиопрокидывателя</v>
      </c>
      <c r="O31" s="24">
        <f>'Рама буфер всех чертежей'!X26</f>
        <v>2</v>
      </c>
    </row>
    <row r="32" spans="2:18" x14ac:dyDescent="0.3">
      <c r="B32" s="118" t="str">
        <f t="array" ref="B3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Грипса_</v>
      </c>
      <c r="C32" s="121">
        <f t="array" ref="C32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32" s="118" t="str">
        <f t="array" ref="D32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Покупное</v>
      </c>
      <c r="K32" s="113" t="str">
        <f>'Рама буфер всех чертежей'!T27</f>
        <v xml:space="preserve"> </v>
      </c>
      <c r="L32" s="24" t="str">
        <f>'Рама буфер всех чертежей'!U27</f>
        <v xml:space="preserve"> </v>
      </c>
      <c r="N32" s="113" t="str">
        <f>'Рама буфер всех чертежей'!W27</f>
        <v>KI.MP.084_KI.MP.084_Кронштейн складывания внешний</v>
      </c>
      <c r="O32" s="24">
        <f>'Рама буфер всех чертежей'!X27</f>
        <v>1</v>
      </c>
    </row>
    <row r="33" spans="2:15" x14ac:dyDescent="0.3">
      <c r="B33" s="118" t="str">
        <f t="array" ref="B3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KI.SA.006_Колесо кастера</v>
      </c>
      <c r="C33" s="121">
        <f t="array" ref="C33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33" s="118">
        <f t="array" ref="D33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33" s="113" t="str">
        <f>'Рама буфер всех чертежей'!T28</f>
        <v xml:space="preserve"> </v>
      </c>
      <c r="L33" s="24" t="str">
        <f>'Рама буфер всех чертежей'!U28</f>
        <v xml:space="preserve"> </v>
      </c>
      <c r="N33" s="113" t="str">
        <f>'Рама буфер всех чертежей'!W28</f>
        <v>KI.MP.084-00M_KI.MP.084_Кронштейн складывания внешний</v>
      </c>
      <c r="O33" s="24">
        <f>'Рама буфер всех чертежей'!X28</f>
        <v>1</v>
      </c>
    </row>
    <row r="34" spans="2:15" x14ac:dyDescent="0.3">
      <c r="B34" s="118" t="str">
        <f t="array" ref="B3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KI.TP.010_Проставка колеса кастора</v>
      </c>
      <c r="C34" s="121">
        <f t="array" ref="C34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34" s="118">
        <f t="array" ref="D34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34" s="113" t="str">
        <f>'Рама буфер всех чертежей'!T29</f>
        <v xml:space="preserve"> </v>
      </c>
      <c r="L34" s="24" t="str">
        <f>'Рама буфер всех чертежей'!U29</f>
        <v xml:space="preserve"> </v>
      </c>
      <c r="N34" s="113" t="str">
        <f>'Рама буфер всех чертежей'!W29</f>
        <v>KI.MP.085_Кронштейн складывания внутренний</v>
      </c>
      <c r="O34" s="24">
        <f>'Рама буфер всех чертежей'!X29</f>
        <v>1</v>
      </c>
    </row>
    <row r="35" spans="2:15" x14ac:dyDescent="0.3">
      <c r="B35" s="118" t="str">
        <f t="array" ref="B3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KI.SP.360_Пластина сидения 300-3,4</v>
      </c>
      <c r="C35" s="121">
        <f t="array" ref="C35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35" s="118">
        <f t="array" ref="D35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35" s="113" t="str">
        <f>'Рама буфер всех чертежей'!T30</f>
        <v xml:space="preserve"> </v>
      </c>
      <c r="L35" s="24" t="str">
        <f>'Рама буфер всех чертежей'!U30</f>
        <v xml:space="preserve"> </v>
      </c>
      <c r="N35" s="113" t="str">
        <f>'Рама буфер всех чертежей'!W30</f>
        <v>KI.MP.085_Кронштейн складывания внутренний</v>
      </c>
      <c r="O35" s="24">
        <f>'Рама буфер всех чертежей'!X30</f>
        <v>1</v>
      </c>
    </row>
    <row r="36" spans="2:15" x14ac:dyDescent="0.3">
      <c r="B36" s="118" t="str">
        <f t="array" ref="B3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?KI.BP.?_Тканевая подушка сидения 300-3,4</v>
      </c>
      <c r="C36" s="121">
        <f t="array" ref="C36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36" s="118">
        <f t="array" ref="D36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36" s="113" t="str">
        <f>'Рама буфер всех чертежей'!T31</f>
        <v xml:space="preserve"> </v>
      </c>
      <c r="L36" s="24" t="str">
        <f>'Рама буфер всех чертежей'!U31</f>
        <v xml:space="preserve"> </v>
      </c>
      <c r="N36" s="113" t="str">
        <f>'Рама буфер всех чертежей'!W31</f>
        <v>KI.SP.310_Пластина кронштейна</v>
      </c>
      <c r="O36" s="24">
        <f>'Рама буфер всех чертежей'!X31</f>
        <v>1</v>
      </c>
    </row>
    <row r="37" spans="2:15" x14ac:dyDescent="0.3">
      <c r="B37" s="118" t="str">
        <f t="array" ref="B3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KI.TP.103_Стакан переднего колеса</v>
      </c>
      <c r="C37" s="121">
        <f t="array" ref="C37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37" s="118">
        <f t="array" ref="D37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37" s="113" t="str">
        <f>'Рама буфер всех чертежей'!T32</f>
        <v xml:space="preserve"> </v>
      </c>
      <c r="L37" s="24" t="str">
        <f>'Рама буфер всех чертежей'!U32</f>
        <v xml:space="preserve"> </v>
      </c>
      <c r="N37" s="113" t="str">
        <f>'Рама буфер всех чертежей'!W32</f>
        <v>KI.SP.310-00M_Пластина кронштейна</v>
      </c>
      <c r="O37" s="24">
        <f>'Рама буфер всех чертежей'!X32</f>
        <v>1</v>
      </c>
    </row>
    <row r="38" spans="2:15" x14ac:dyDescent="0.3">
      <c r="B38" s="118" t="str">
        <f t="array" ref="B3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KI.CP.113_Ресивер подножки</v>
      </c>
      <c r="C38" s="121">
        <f t="array" ref="C38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38" s="118">
        <f t="array" ref="D38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38" s="113" t="str">
        <f>'Рама буфер всех чертежей'!T33</f>
        <v xml:space="preserve"> </v>
      </c>
      <c r="L38" s="24" t="str">
        <f>'Рама буфер всех чертежей'!U33</f>
        <v xml:space="preserve"> </v>
      </c>
      <c r="N38" s="113" t="str">
        <f>'Рама буфер всех чертежей'!W33</f>
        <v>K0342.03105_Штифт упорный</v>
      </c>
      <c r="O38" s="24">
        <f>'Рама буфер всех чертежей'!X33</f>
        <v>2</v>
      </c>
    </row>
    <row r="39" spans="2:15" x14ac:dyDescent="0.3">
      <c r="B39" s="118" t="str">
        <f t="array" ref="B3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KI.TP.106_Стакан D25 L60</v>
      </c>
      <c r="C39" s="121">
        <f t="array" ref="C39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39" s="118">
        <f t="array" ref="D39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39" s="113" t="str">
        <f>'Рама буфер всех чертежей'!T34</f>
        <v xml:space="preserve"> </v>
      </c>
      <c r="L39" s="24" t="str">
        <f>'Рама буфер всех чертежей'!U34</f>
        <v xml:space="preserve"> </v>
      </c>
      <c r="N39" s="113" t="str">
        <f>'Рама буфер всех чертежей'!W34</f>
        <v>_Хомут 25мм в сборе</v>
      </c>
      <c r="O39" s="24">
        <f>'Рама буфер всех чертежей'!X34</f>
        <v>3</v>
      </c>
    </row>
    <row r="40" spans="2:15" x14ac:dyDescent="0.3">
      <c r="B40" s="118" t="str">
        <f t="array" ref="B4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KI.TP.075_Стакан антиопрокидывателя</v>
      </c>
      <c r="C40" s="121">
        <f t="array" ref="C40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40" s="118">
        <f t="array" ref="D40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40" s="113" t="str">
        <f>'Рама буфер всех чертежей'!T35</f>
        <v xml:space="preserve"> </v>
      </c>
      <c r="L40" s="24" t="str">
        <f>'Рама буфер всех чертежей'!U35</f>
        <v xml:space="preserve"> </v>
      </c>
      <c r="N40" s="113" t="str">
        <f>'Рама буфер всех чертежей'!W35</f>
        <v>KI.SA.999_Тормоз в сборе</v>
      </c>
      <c r="O40" s="24">
        <f>'Рама буфер всех чертежей'!X35</f>
        <v>1</v>
      </c>
    </row>
    <row r="41" spans="2:15" x14ac:dyDescent="0.3">
      <c r="B41" s="118" t="str">
        <f t="array" ref="B4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KI.MP.084_KI.MP.084_Кронштейн складывания внешний</v>
      </c>
      <c r="C41" s="121">
        <f t="array" ref="C41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41" s="118">
        <f t="array" ref="D41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41" s="113" t="str">
        <f>'Рама буфер всех чертежей'!T36</f>
        <v xml:space="preserve"> </v>
      </c>
      <c r="L41" s="24" t="str">
        <f>'Рама буфер всех чертежей'!U36</f>
        <v xml:space="preserve"> </v>
      </c>
      <c r="N41" s="113" t="str">
        <f>'Рама буфер всех чертежей'!W36</f>
        <v>KI.SA.999-00M_Тормоз в сборе</v>
      </c>
      <c r="O41" s="24">
        <f>'Рама буфер всех чертежей'!X36</f>
        <v>1</v>
      </c>
    </row>
    <row r="42" spans="2:15" x14ac:dyDescent="0.3">
      <c r="B42" s="118" t="str">
        <f t="array" ref="B4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KI.MP.084-00M_KI.MP.084_Кронштейн складывания внешний</v>
      </c>
      <c r="C42" s="121">
        <f t="array" ref="C42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42" s="118">
        <f t="array" ref="D42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42" s="113" t="str">
        <f>'Рама буфер всех чертежей'!T37</f>
        <v xml:space="preserve"> </v>
      </c>
      <c r="L42" s="24" t="str">
        <f>'Рама буфер всех чертежей'!U37</f>
        <v xml:space="preserve"> </v>
      </c>
      <c r="N42" s="113" t="str">
        <f>'Рама буфер всех чертежей'!W37</f>
        <v>KI.SA.246_Антиопрокидыватель A2 в сборе</v>
      </c>
      <c r="O42" s="24">
        <f>'Рама буфер всех чертежей'!X37</f>
        <v>1</v>
      </c>
    </row>
    <row r="43" spans="2:15" x14ac:dyDescent="0.3">
      <c r="B43" s="118" t="str">
        <f t="array" ref="B4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KI.MP.085_Кронштейн складывания внутренний</v>
      </c>
      <c r="C43" s="121">
        <f t="array" ref="C43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43" s="118">
        <f t="array" ref="D43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43" s="113" t="str">
        <f>'Рама буфер всех чертежей'!T38</f>
        <v xml:space="preserve"> </v>
      </c>
      <c r="L43" s="24" t="str">
        <f>'Рама буфер всех чертежей'!U38</f>
        <v xml:space="preserve"> </v>
      </c>
      <c r="N43" s="113" t="str">
        <f>'Рама буфер всех чертежей'!W38</f>
        <v>_Пружинная кнопка</v>
      </c>
      <c r="O43" s="24">
        <f>'Рама буфер всех чертежей'!X38</f>
        <v>3</v>
      </c>
    </row>
    <row r="44" spans="2:15" x14ac:dyDescent="0.3">
      <c r="B44" s="118" t="str">
        <f t="array" ref="B4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KI.MP.085_Кронштейн складывания внутренний</v>
      </c>
      <c r="C44" s="121">
        <f t="array" ref="C44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44" s="118">
        <f t="array" ref="D44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44" s="113" t="str">
        <f>'Рама буфер всех чертежей'!T39</f>
        <v xml:space="preserve"> </v>
      </c>
      <c r="L44" s="24" t="str">
        <f>'Рама буфер всех чертежей'!U39</f>
        <v xml:space="preserve"> </v>
      </c>
      <c r="N44" s="113" t="str">
        <f>'Рама буфер всех чертежей'!W39</f>
        <v>KI.TP.107_Проставка D10 L10</v>
      </c>
      <c r="O44" s="24">
        <f>'Рама буфер всех чертежей'!X39</f>
        <v>2</v>
      </c>
    </row>
    <row r="45" spans="2:15" x14ac:dyDescent="0.3">
      <c r="B45" s="118" t="str">
        <f t="array" ref="B4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KI.SP.310_Пластина кронштейна</v>
      </c>
      <c r="C45" s="121">
        <f t="array" ref="C45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45" s="118">
        <f t="array" ref="D45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45" s="113" t="str">
        <f>'Рама буфер всех чертежей'!T40</f>
        <v xml:space="preserve"> </v>
      </c>
      <c r="L45" s="24" t="str">
        <f>'Рама буфер всех чертежей'!U40</f>
        <v xml:space="preserve"> </v>
      </c>
      <c r="N45" s="113" t="str">
        <f>'Рама буфер всех чертежей'!W40</f>
        <v>KI.TP.008_Проставка D8 L11</v>
      </c>
      <c r="O45" s="24">
        <f>'Рама буфер всех чертежей'!X40</f>
        <v>2</v>
      </c>
    </row>
    <row r="46" spans="2:15" x14ac:dyDescent="0.3">
      <c r="B46" s="118" t="str">
        <f t="array" ref="B4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KI.SP.310-00M_Пластина кронштейна</v>
      </c>
      <c r="C46" s="121">
        <f t="array" ref="C46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46" s="118">
        <f t="array" ref="D46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46" s="113" t="str">
        <f>'Рама буфер всех чертежей'!T41</f>
        <v xml:space="preserve"> </v>
      </c>
      <c r="L46" s="24" t="str">
        <f>'Рама буфер всех чертежей'!U41</f>
        <v xml:space="preserve"> </v>
      </c>
      <c r="N46" s="113" t="str">
        <f>'Рама буфер всех чертежей'!W41</f>
        <v>_Колесо антиопрокидывателя</v>
      </c>
      <c r="O46" s="24">
        <f>'Рама буфер всех чертежей'!X41</f>
        <v>1</v>
      </c>
    </row>
    <row r="47" spans="2:15" x14ac:dyDescent="0.3">
      <c r="B47" s="118" t="str">
        <f t="array" ref="B4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K0342.03105_Штифт упорный</v>
      </c>
      <c r="C47" s="121">
        <f t="array" ref="C47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47" s="118" t="str">
        <f t="array" ref="D47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Покупное</v>
      </c>
      <c r="K47" s="113" t="str">
        <f>'Рама буфер всех чертежей'!T42</f>
        <v xml:space="preserve"> </v>
      </c>
      <c r="L47" s="24" t="str">
        <f>'Рама буфер всех чертежей'!U42</f>
        <v xml:space="preserve"> </v>
      </c>
      <c r="N47" s="113" t="str">
        <f>'Рама буфер всех чертежей'!W42</f>
        <v>KI.TP.114_Проставка крыла D14 L9</v>
      </c>
      <c r="O47" s="24">
        <f>'Рама буфер всех чертежей'!X42</f>
        <v>4</v>
      </c>
    </row>
    <row r="48" spans="2:15" x14ac:dyDescent="0.3">
      <c r="B48" s="118" t="str">
        <f t="array" ref="B4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_Хомут 25мм в сборе</v>
      </c>
      <c r="C48" s="121">
        <f t="array" ref="C48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3</v>
      </c>
      <c r="D48" s="118" t="str">
        <f t="array" ref="D48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Покупное</v>
      </c>
      <c r="K48" s="113" t="str">
        <f>'Рама буфер всех чертежей'!T43</f>
        <v xml:space="preserve"> </v>
      </c>
      <c r="L48" s="24" t="str">
        <f>'Рама буфер всех чертежей'!U43</f>
        <v xml:space="preserve"> </v>
      </c>
      <c r="N48" s="113" t="str">
        <f>'Рама буфер всех чертежей'!W43</f>
        <v>KI.CP.104_Гайка М22х1.5</v>
      </c>
      <c r="O48" s="24">
        <f>'Рама буфер всех чертежей'!X43</f>
        <v>2</v>
      </c>
    </row>
    <row r="49" spans="2:15" x14ac:dyDescent="0.3">
      <c r="B49" s="118" t="str">
        <f t="array" ref="B4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KI.SA.999_Тормоз в сборе</v>
      </c>
      <c r="C49" s="121">
        <f t="array" ref="C49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49" s="118">
        <f t="array" ref="D49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49" s="113" t="str">
        <f>'Рама буфер всех чертежей'!T44</f>
        <v xml:space="preserve"> </v>
      </c>
      <c r="L49" s="24" t="str">
        <f>'Рама буфер всех чертежей'!U44</f>
        <v xml:space="preserve"> </v>
      </c>
      <c r="N49" s="113" t="str">
        <f>'Рама буфер всех чертежей'!W44</f>
        <v>KI.TP.104_Втулка ресивера колеса</v>
      </c>
      <c r="O49" s="24">
        <f>'Рама буфер всех чертежей'!X44</f>
        <v>2</v>
      </c>
    </row>
    <row r="50" spans="2:15" x14ac:dyDescent="0.3">
      <c r="B50" s="118" t="str">
        <f t="array" ref="B5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KI.SA.999-00M_Тормоз в сборе</v>
      </c>
      <c r="C50" s="121">
        <f t="array" ref="C50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50" s="118">
        <f t="array" ref="D50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50" s="113" t="str">
        <f>'Рама буфер всех чертежей'!T45</f>
        <v xml:space="preserve"> </v>
      </c>
      <c r="L50" s="24" t="str">
        <f>'Рама буфер всех чертежей'!U45</f>
        <v xml:space="preserve"> </v>
      </c>
      <c r="N50" s="113" t="str">
        <f>'Рама буфер всех чертежей'!W45</f>
        <v>KI.MP.078_Ресивер AJ 3 градусов</v>
      </c>
      <c r="O50" s="24">
        <f>'Рама буфер всех чертежей'!X45</f>
        <v>2</v>
      </c>
    </row>
    <row r="51" spans="2:15" x14ac:dyDescent="0.3">
      <c r="B51" s="118" t="str">
        <f t="array" ref="B5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KI.SA.246_Антиопрокидыватель A2 в сборе</v>
      </c>
      <c r="C51" s="121">
        <f t="array" ref="C51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51" s="118">
        <f t="array" ref="D51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51" s="113" t="str">
        <f>'Рама буфер всех чертежей'!T46</f>
        <v xml:space="preserve"> </v>
      </c>
      <c r="L51" s="24" t="str">
        <f>'Рама буфер всех чертежей'!U46</f>
        <v xml:space="preserve"> </v>
      </c>
      <c r="N51" s="113" t="str">
        <f>'Рама буфер всех чертежей'!W46</f>
        <v>KI.TP.110_Проставка крыла D14 L2.5</v>
      </c>
      <c r="O51" s="24">
        <f>'Рама буфер всех чертежей'!X46</f>
        <v>6</v>
      </c>
    </row>
    <row r="52" spans="2:15" x14ac:dyDescent="0.3">
      <c r="B52" s="118" t="str">
        <f t="array" ref="B5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_Пружинная кнопка</v>
      </c>
      <c r="C52" s="121">
        <f t="array" ref="C52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3</v>
      </c>
      <c r="D52" s="118" t="str">
        <f t="array" ref="D52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Покупное</v>
      </c>
      <c r="K52" s="113" t="str">
        <f>'Рама буфер всех чертежей'!T47</f>
        <v xml:space="preserve"> </v>
      </c>
      <c r="L52" s="24" t="str">
        <f>'Рама буфер всех чертежей'!U47</f>
        <v xml:space="preserve"> </v>
      </c>
      <c r="N52" s="113" t="str">
        <f>'Рама буфер всех чертежей'!W47</f>
        <v xml:space="preserve"> </v>
      </c>
      <c r="O52" s="24" t="str">
        <f>'Рама буфер всех чертежей'!X47</f>
        <v xml:space="preserve"> </v>
      </c>
    </row>
    <row r="53" spans="2:15" x14ac:dyDescent="0.3">
      <c r="B53" s="118" t="str">
        <f t="array" ref="B5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KI.BP.469_Подножка АJ сварная 300</v>
      </c>
      <c r="C53" s="121">
        <f t="array" ref="C53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53" s="118">
        <f t="array" ref="D53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53" s="113" t="str">
        <f>'Рама буфер всех чертежей'!T48</f>
        <v xml:space="preserve"> </v>
      </c>
      <c r="L53" s="24" t="str">
        <f>'Рама буфер всех чертежей'!U48</f>
        <v xml:space="preserve"> </v>
      </c>
      <c r="N53" s="113" t="str">
        <f>'Рама буфер всех чертежей'!W48</f>
        <v xml:space="preserve"> </v>
      </c>
      <c r="O53" s="24" t="str">
        <f>'Рама буфер всех чертежей'!X48</f>
        <v xml:space="preserve"> </v>
      </c>
    </row>
    <row r="54" spans="2:15" x14ac:dyDescent="0.3">
      <c r="B54" s="118" t="str">
        <f t="array" ref="B5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KI.SP.352_Платформа подножки 300</v>
      </c>
      <c r="C54" s="121">
        <f t="array" ref="C54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54" s="118">
        <f t="array" ref="D54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54" s="113" t="str">
        <f>'Рама буфер всех чертежей'!T49</f>
        <v xml:space="preserve"> </v>
      </c>
      <c r="L54" s="24" t="str">
        <f>'Рама буфер всех чертежей'!U49</f>
        <v xml:space="preserve"> </v>
      </c>
      <c r="N54" s="113" t="str">
        <f>'Рама буфер всех чертежей'!W49</f>
        <v xml:space="preserve"> </v>
      </c>
      <c r="O54" s="24" t="str">
        <f>'Рама буфер всех чертежей'!X49</f>
        <v xml:space="preserve"> </v>
      </c>
    </row>
    <row r="55" spans="2:15" x14ac:dyDescent="0.3">
      <c r="B55" s="118" t="str">
        <f t="array" ref="B5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KI.TP.107_Проставка D10 L10</v>
      </c>
      <c r="C55" s="121">
        <f t="array" ref="C55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55" s="118">
        <f t="array" ref="D55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55" s="113" t="str">
        <f>'Рама буфер всех чертежей'!T50</f>
        <v xml:space="preserve"> </v>
      </c>
      <c r="L55" s="24" t="str">
        <f>'Рама буфер всех чертежей'!U50</f>
        <v xml:space="preserve"> </v>
      </c>
      <c r="N55" s="113" t="str">
        <f>'Рама буфер всех чертежей'!W50</f>
        <v xml:space="preserve"> </v>
      </c>
      <c r="O55" s="24" t="str">
        <f>'Рама буфер всех чертежей'!X50</f>
        <v xml:space="preserve"> </v>
      </c>
    </row>
    <row r="56" spans="2:15" ht="16.2" thickBot="1" x14ac:dyDescent="0.35">
      <c r="B56" s="118" t="str">
        <f t="array" ref="B5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KI.TP.008_Проставка D8 L11</v>
      </c>
      <c r="C56" s="121">
        <f t="array" ref="C56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56" s="118">
        <f t="array" ref="D56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56" s="114" t="str">
        <f>'Рама буфер всех чертежей'!T51</f>
        <v xml:space="preserve"> </v>
      </c>
      <c r="L56" s="32" t="str">
        <f>'Рама буфер всех чертежей'!U51</f>
        <v xml:space="preserve"> </v>
      </c>
      <c r="N56" s="114" t="str">
        <f>'Рама буфер всех чертежей'!W51</f>
        <v xml:space="preserve"> </v>
      </c>
      <c r="O56" s="32" t="str">
        <f>'Рама буфер всех чертежей'!X51</f>
        <v xml:space="preserve"> </v>
      </c>
    </row>
    <row r="57" spans="2:15" ht="16.2" thickBot="1" x14ac:dyDescent="0.35">
      <c r="B57" s="118" t="str">
        <f t="array" ref="B5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_Колесо антиопрокидывателя</v>
      </c>
      <c r="C57" s="121">
        <f t="array" ref="C57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57" s="118" t="str">
        <f t="array" ref="D57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Покупное</v>
      </c>
    </row>
    <row r="58" spans="2:15" ht="16.2" thickBot="1" x14ac:dyDescent="0.35">
      <c r="B58" s="118" t="str">
        <f t="array" ref="B5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KI.TP.114_Проставка крыла D14 L9</v>
      </c>
      <c r="C58" s="121">
        <f t="array" ref="C58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4</v>
      </c>
      <c r="D58" s="118">
        <f t="array" ref="D58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58" s="212" t="s">
        <v>869</v>
      </c>
      <c r="L58" s="213"/>
      <c r="N58" s="212" t="s">
        <v>870</v>
      </c>
      <c r="O58" s="213"/>
    </row>
    <row r="59" spans="2:15" ht="16.2" thickBot="1" x14ac:dyDescent="0.35">
      <c r="B59" s="118" t="str">
        <f t="array" ref="B5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KI.CP.104_Гайка М22х1.5</v>
      </c>
      <c r="C59" s="121">
        <f t="array" ref="C59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59" s="118">
        <f t="array" ref="D59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59" s="111" t="s">
        <v>167</v>
      </c>
      <c r="L59" s="18" t="s">
        <v>75</v>
      </c>
      <c r="N59" s="111" t="s">
        <v>167</v>
      </c>
      <c r="O59" s="18" t="s">
        <v>75</v>
      </c>
    </row>
    <row r="60" spans="2:15" x14ac:dyDescent="0.3">
      <c r="B60" s="118" t="str">
        <f t="array" ref="B6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KI.TP.104_Втулка ресивера колеса</v>
      </c>
      <c r="C60" s="121">
        <f t="array" ref="C60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60" s="118">
        <f t="array" ref="D60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60" s="115" t="str">
        <f>'Рама буфер всех чертежей'!T54</f>
        <v>KI.SP.322_Крыло 3</v>
      </c>
      <c r="L60" s="17">
        <f>'Рама буфер всех чертежей'!U54</f>
        <v>2</v>
      </c>
      <c r="N60" s="115" t="str">
        <f>'Рама буфер всех чертежей'!W54</f>
        <v>?KI.BP.?_Тканевая подушка сидения 300-3,4</v>
      </c>
      <c r="O60" s="17">
        <f>'Рама буфер всех чертежей'!X54</f>
        <v>1</v>
      </c>
    </row>
    <row r="61" spans="2:15" x14ac:dyDescent="0.3">
      <c r="B61" s="118" t="str">
        <f t="array" ref="B6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KI.MP.078_Ресивер AJ 3 градусов</v>
      </c>
      <c r="C61" s="121">
        <f t="array" ref="C61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2</v>
      </c>
      <c r="D61" s="118">
        <f t="array" ref="D61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61" s="113" t="str">
        <f>'Рама буфер всех чертежей'!T55</f>
        <v>KI.SP.360_Пластина сидения 300-3,4</v>
      </c>
      <c r="L61" s="24">
        <f>'Рама буфер всех чертежей'!U55</f>
        <v>1</v>
      </c>
      <c r="N61" s="113" t="str">
        <f>'Рама буфер всех чертежей'!W55</f>
        <v>KI.NP.023_Ременная спинка 300x300</v>
      </c>
      <c r="O61" s="24">
        <f>'Рама буфер всех чертежей'!X55</f>
        <v>1</v>
      </c>
    </row>
    <row r="62" spans="2:15" x14ac:dyDescent="0.3">
      <c r="B62" s="118" t="str">
        <f t="array" ref="B6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KI.TP.110_Проставка крыла D14 L2.5</v>
      </c>
      <c r="C62" s="121">
        <f t="array" ref="C62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6</v>
      </c>
      <c r="D62" s="118">
        <f t="array" ref="D62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62" s="113" t="str">
        <f>'Рама буфер всех чертежей'!T56</f>
        <v>KI.SP.352_Платформа подножки 300</v>
      </c>
      <c r="L62" s="24">
        <f>'Рама буфер всех чертежей'!U56</f>
        <v>1</v>
      </c>
      <c r="N62" s="113" t="str">
        <f>'Рама буфер всех чертежей'!W56</f>
        <v xml:space="preserve"> </v>
      </c>
      <c r="O62" s="24" t="str">
        <f>'Рама буфер всех чертежей'!X56</f>
        <v xml:space="preserve"> </v>
      </c>
    </row>
    <row r="63" spans="2:15" x14ac:dyDescent="0.3">
      <c r="B63" s="118" t="str">
        <f t="array" ref="B6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KI.NP.023_Ременная спинка 300x300</v>
      </c>
      <c r="C63" s="121">
        <f t="array" ref="C63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63" s="118">
        <f t="array" ref="D63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63" s="113" t="str">
        <f>'Рама буфер всех чертежей'!T57</f>
        <v>KI.SP.316_Кроншетейн антиопрокидывателя</v>
      </c>
      <c r="L63" s="24">
        <f>'Рама буфер всех чертежей'!U57</f>
        <v>1</v>
      </c>
      <c r="N63" s="113" t="str">
        <f>'Рама буфер всех чертежей'!W57</f>
        <v xml:space="preserve"> </v>
      </c>
      <c r="O63" s="24" t="str">
        <f>'Рама буфер всех чертежей'!X57</f>
        <v xml:space="preserve"> </v>
      </c>
    </row>
    <row r="64" spans="2:15" x14ac:dyDescent="0.3">
      <c r="B64" s="118" t="str">
        <f t="array" ref="B6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KI.WA.162_Спинка сварная 300х300</v>
      </c>
      <c r="C64" s="121">
        <f t="array" ref="C64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64" s="118">
        <f t="array" ref="D64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64" s="113" t="str">
        <f>'Рама буфер всех чертежей'!T58</f>
        <v xml:space="preserve"> </v>
      </c>
      <c r="L64" s="24" t="str">
        <f>'Рама буфер всех чертежей'!U58</f>
        <v xml:space="preserve"> </v>
      </c>
      <c r="N64" s="113" t="str">
        <f>'Рама буфер всех чертежей'!W58</f>
        <v xml:space="preserve"> </v>
      </c>
      <c r="O64" s="24" t="str">
        <f>'Рама буфер всех чертежей'!X58</f>
        <v xml:space="preserve"> </v>
      </c>
    </row>
    <row r="65" spans="2:15" x14ac:dyDescent="0.3">
      <c r="B65" s="118" t="str">
        <f t="array" ref="B6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KI.WA.206_Рама сварная 300-3</v>
      </c>
      <c r="C65" s="121">
        <f t="array" ref="C65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65" s="118">
        <f t="array" ref="D65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65" s="113" t="str">
        <f>'Рама буфер всех чертежей'!T59</f>
        <v xml:space="preserve"> </v>
      </c>
      <c r="L65" s="24" t="str">
        <f>'Рама буфер всех чертежей'!U59</f>
        <v xml:space="preserve"> </v>
      </c>
      <c r="N65" s="113" t="str">
        <f>'Рама буфер всех чертежей'!W59</f>
        <v xml:space="preserve"> </v>
      </c>
      <c r="O65" s="24" t="str">
        <f>'Рама буфер всех чертежей'!X59</f>
        <v xml:space="preserve"> </v>
      </c>
    </row>
    <row r="66" spans="2:15" x14ac:dyDescent="0.3">
      <c r="B66" s="118" t="str">
        <f t="array" ref="B6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KI.WA.149_Антиопрокидыватель сварной</v>
      </c>
      <c r="C66" s="121">
        <f t="array" ref="C66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66" s="118">
        <f t="array" ref="D66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66" s="113" t="str">
        <f>'Рама буфер всех чертежей'!T60</f>
        <v xml:space="preserve"> </v>
      </c>
      <c r="L66" s="24" t="str">
        <f>'Рама буфер всех чертежей'!U60</f>
        <v xml:space="preserve"> </v>
      </c>
      <c r="N66" s="113" t="str">
        <f>'Рама буфер всех чертежей'!W60</f>
        <v xml:space="preserve"> </v>
      </c>
      <c r="O66" s="24" t="str">
        <f>'Рама буфер всех чертежей'!X60</f>
        <v xml:space="preserve"> </v>
      </c>
    </row>
    <row r="67" spans="2:15" x14ac:dyDescent="0.3">
      <c r="B67" s="118" t="str">
        <f t="array" ref="B6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>KI.SP.316_Кроншетейн антиопрокидывателя</v>
      </c>
      <c r="C67" s="121">
        <f t="array" ref="C67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>1</v>
      </c>
      <c r="D67" s="118">
        <f t="array" ref="D67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>0</v>
      </c>
      <c r="K67" s="113" t="str">
        <f>'Рама буфер всех чертежей'!T61</f>
        <v xml:space="preserve"> </v>
      </c>
      <c r="L67" s="24" t="str">
        <f>'Рама буфер всех чертежей'!U61</f>
        <v xml:space="preserve"> </v>
      </c>
      <c r="N67" s="113" t="str">
        <f>'Рама буфер всех чертежей'!W61</f>
        <v xml:space="preserve"> </v>
      </c>
      <c r="O67" s="24" t="str">
        <f>'Рама буфер всех чертежей'!X61</f>
        <v xml:space="preserve"> </v>
      </c>
    </row>
    <row r="68" spans="2:15" x14ac:dyDescent="0.3">
      <c r="B68" s="118" t="str">
        <f t="array" ref="B6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68" s="121" t="str">
        <f t="array" ref="C68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68" s="118" t="str">
        <f t="array" ref="D68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  <c r="K68" s="113" t="str">
        <f>'Рама буфер всех чертежей'!T62</f>
        <v xml:space="preserve"> </v>
      </c>
      <c r="L68" s="24" t="str">
        <f>'Рама буфер всех чертежей'!U62</f>
        <v xml:space="preserve"> </v>
      </c>
      <c r="N68" s="113" t="str">
        <f>'Рама буфер всех чертежей'!W62</f>
        <v xml:space="preserve"> </v>
      </c>
      <c r="O68" s="24" t="str">
        <f>'Рама буфер всех чертежей'!X62</f>
        <v xml:space="preserve"> </v>
      </c>
    </row>
    <row r="69" spans="2:15" x14ac:dyDescent="0.3">
      <c r="B69" s="118" t="str">
        <f t="array" ref="B6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69" s="121" t="str">
        <f t="array" ref="C69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69" s="118" t="str">
        <f t="array" ref="D69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  <c r="K69" s="113" t="str">
        <f>'Рама буфер всех чертежей'!T63</f>
        <v xml:space="preserve"> </v>
      </c>
      <c r="L69" s="24" t="str">
        <f>'Рама буфер всех чертежей'!U63</f>
        <v xml:space="preserve"> </v>
      </c>
      <c r="N69" s="113" t="str">
        <f>'Рама буфер всех чертежей'!W63</f>
        <v xml:space="preserve"> </v>
      </c>
      <c r="O69" s="24" t="str">
        <f>'Рама буфер всех чертежей'!X63</f>
        <v xml:space="preserve"> </v>
      </c>
    </row>
    <row r="70" spans="2:15" x14ac:dyDescent="0.3">
      <c r="B70" s="118" t="str">
        <f t="array" ref="B7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70" s="121" t="str">
        <f t="array" ref="C70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70" s="118" t="str">
        <f t="array" ref="D70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  <c r="K70" s="113" t="str">
        <f>'Рама буфер всех чертежей'!T64</f>
        <v xml:space="preserve"> </v>
      </c>
      <c r="L70" s="24" t="str">
        <f>'Рама буфер всех чертежей'!U64</f>
        <v xml:space="preserve"> </v>
      </c>
      <c r="N70" s="113" t="str">
        <f>'Рама буфер всех чертежей'!W64</f>
        <v xml:space="preserve"> </v>
      </c>
      <c r="O70" s="24" t="str">
        <f>'Рама буфер всех чертежей'!X64</f>
        <v xml:space="preserve"> </v>
      </c>
    </row>
    <row r="71" spans="2:15" x14ac:dyDescent="0.3">
      <c r="B71" s="118" t="str">
        <f t="array" ref="B7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71" s="121" t="str">
        <f t="array" ref="C71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71" s="118" t="str">
        <f t="array" ref="D71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  <c r="K71" s="113" t="str">
        <f>'Рама буфер всех чертежей'!T65</f>
        <v xml:space="preserve"> </v>
      </c>
      <c r="L71" s="24" t="str">
        <f>'Рама буфер всех чертежей'!U65</f>
        <v xml:space="preserve"> </v>
      </c>
      <c r="N71" s="113" t="str">
        <f>'Рама буфер всех чертежей'!W65</f>
        <v xml:space="preserve"> </v>
      </c>
      <c r="O71" s="24" t="str">
        <f>'Рама буфер всех чертежей'!X65</f>
        <v xml:space="preserve"> </v>
      </c>
    </row>
    <row r="72" spans="2:15" x14ac:dyDescent="0.3">
      <c r="B72" s="118" t="str">
        <f t="array" ref="B7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72" s="121" t="str">
        <f t="array" ref="C72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72" s="118" t="str">
        <f t="array" ref="D72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  <c r="K72" s="113" t="str">
        <f>'Рама буфер всех чертежей'!T66</f>
        <v xml:space="preserve"> </v>
      </c>
      <c r="L72" s="24" t="str">
        <f>'Рама буфер всех чертежей'!U66</f>
        <v xml:space="preserve"> </v>
      </c>
      <c r="N72" s="113" t="str">
        <f>'Рама буфер всех чертежей'!W66</f>
        <v xml:space="preserve"> </v>
      </c>
      <c r="O72" s="24" t="str">
        <f>'Рама буфер всех чертежей'!X66</f>
        <v xml:space="preserve"> </v>
      </c>
    </row>
    <row r="73" spans="2:15" x14ac:dyDescent="0.3">
      <c r="B73" s="118" t="str">
        <f t="array" ref="B7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73" s="121" t="str">
        <f t="array" ref="C73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73" s="118" t="str">
        <f t="array" ref="D73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  <c r="K73" s="113" t="str">
        <f>'Рама буфер всех чертежей'!T67</f>
        <v xml:space="preserve"> </v>
      </c>
      <c r="L73" s="24" t="str">
        <f>'Рама буфер всех чертежей'!U67</f>
        <v xml:space="preserve"> </v>
      </c>
      <c r="N73" s="113" t="str">
        <f>'Рама буфер всех чертежей'!W67</f>
        <v xml:space="preserve"> </v>
      </c>
      <c r="O73" s="24" t="str">
        <f>'Рама буфер всех чертежей'!X67</f>
        <v xml:space="preserve"> </v>
      </c>
    </row>
    <row r="74" spans="2:15" x14ac:dyDescent="0.3">
      <c r="B74" s="118" t="str">
        <f t="array" ref="B7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74" s="121" t="str">
        <f t="array" ref="C74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74" s="118" t="str">
        <f t="array" ref="D74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  <c r="K74" s="113" t="str">
        <f>'Рама буфер всех чертежей'!T68</f>
        <v xml:space="preserve"> </v>
      </c>
      <c r="L74" s="24" t="str">
        <f>'Рама буфер всех чертежей'!U68</f>
        <v xml:space="preserve"> </v>
      </c>
      <c r="N74" s="113" t="str">
        <f>'Рама буфер всех чертежей'!W68</f>
        <v xml:space="preserve"> </v>
      </c>
      <c r="O74" s="24" t="str">
        <f>'Рама буфер всех чертежей'!X68</f>
        <v xml:space="preserve"> </v>
      </c>
    </row>
    <row r="75" spans="2:15" ht="16.2" thickBot="1" x14ac:dyDescent="0.35">
      <c r="B75" s="118" t="str">
        <f t="array" ref="B7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75" s="121" t="str">
        <f t="array" ref="C75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75" s="118" t="str">
        <f t="array" ref="D75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  <c r="K75" s="114" t="str">
        <f>'Рама буфер всех чертежей'!T69</f>
        <v xml:space="preserve"> </v>
      </c>
      <c r="L75" s="32" t="str">
        <f>'Рама буфер всех чертежей'!U69</f>
        <v xml:space="preserve"> </v>
      </c>
      <c r="N75" s="114" t="str">
        <f>'Рама буфер всех чертежей'!W69</f>
        <v xml:space="preserve"> </v>
      </c>
      <c r="O75" s="32" t="str">
        <f>'Рама буфер всех чертежей'!X69</f>
        <v xml:space="preserve"> </v>
      </c>
    </row>
    <row r="76" spans="2:15" x14ac:dyDescent="0.3">
      <c r="B76" s="118" t="str">
        <f t="array" ref="B7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76" s="121" t="str">
        <f t="array" ref="C76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76" s="118" t="str">
        <f t="array" ref="D76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77" spans="2:15" x14ac:dyDescent="0.3">
      <c r="B77" s="118" t="str">
        <f t="array" ref="B7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77" s="121" t="str">
        <f t="array" ref="C77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77" s="118" t="str">
        <f t="array" ref="D77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78" spans="2:15" x14ac:dyDescent="0.3">
      <c r="B78" s="118" t="str">
        <f t="array" ref="B7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78" s="121" t="str">
        <f t="array" ref="C78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78" s="118" t="str">
        <f t="array" ref="D78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79" spans="2:15" x14ac:dyDescent="0.3">
      <c r="B79" s="118" t="str">
        <f t="array" ref="B7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79" s="121" t="str">
        <f t="array" ref="C79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79" s="118" t="str">
        <f t="array" ref="D79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80" spans="2:15" x14ac:dyDescent="0.3">
      <c r="B80" s="118" t="str">
        <f t="array" ref="B8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80" s="121" t="str">
        <f t="array" ref="C80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80" s="118" t="str">
        <f t="array" ref="D80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81" spans="2:4" x14ac:dyDescent="0.3">
      <c r="B81" s="118" t="str">
        <f t="array" ref="B8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81" s="121" t="str">
        <f t="array" ref="C81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81" s="118" t="str">
        <f t="array" ref="D81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82" spans="2:4" x14ac:dyDescent="0.3">
      <c r="B82" s="118" t="str">
        <f t="array" ref="B8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82" s="121" t="str">
        <f t="array" ref="C82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82" s="118" t="str">
        <f t="array" ref="D82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83" spans="2:4" x14ac:dyDescent="0.3">
      <c r="B83" s="118" t="str">
        <f t="array" ref="B8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83" s="121" t="str">
        <f t="array" ref="C83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83" s="118" t="str">
        <f t="array" ref="D83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84" spans="2:4" x14ac:dyDescent="0.3">
      <c r="B84" s="118" t="str">
        <f t="array" ref="B8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84" s="121" t="str">
        <f t="array" ref="C84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84" s="118" t="str">
        <f t="array" ref="D84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85" spans="2:4" x14ac:dyDescent="0.3">
      <c r="B85" s="118" t="str">
        <f t="array" ref="B8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85" s="121" t="str">
        <f t="array" ref="C85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85" s="118" t="str">
        <f t="array" ref="D85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86" spans="2:4" x14ac:dyDescent="0.3">
      <c r="B86" s="118" t="str">
        <f t="array" ref="B8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86" s="121" t="str">
        <f t="array" ref="C86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86" s="118" t="str">
        <f t="array" ref="D86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87" spans="2:4" x14ac:dyDescent="0.3">
      <c r="B87" s="118" t="str">
        <f t="array" ref="B8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87" s="121" t="str">
        <f t="array" ref="C87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87" s="118" t="str">
        <f t="array" ref="D87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88" spans="2:4" x14ac:dyDescent="0.3">
      <c r="B88" s="118" t="str">
        <f t="array" ref="B8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88" s="121" t="str">
        <f t="array" ref="C88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88" s="118" t="str">
        <f t="array" ref="D88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89" spans="2:4" x14ac:dyDescent="0.3">
      <c r="B89" s="118" t="str">
        <f t="array" ref="B8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89" s="121" t="str">
        <f t="array" ref="C89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89" s="118" t="str">
        <f t="array" ref="D89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90" spans="2:4" x14ac:dyDescent="0.3">
      <c r="B90" s="118" t="str">
        <f t="array" ref="B9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90" s="121" t="str">
        <f t="array" ref="C90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90" s="118" t="str">
        <f t="array" ref="D90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91" spans="2:4" x14ac:dyDescent="0.3">
      <c r="B91" s="118" t="str">
        <f t="array" ref="B9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91" s="121" t="str">
        <f t="array" ref="C91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91" s="118" t="str">
        <f t="array" ref="D91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92" spans="2:4" x14ac:dyDescent="0.3">
      <c r="B92" s="118" t="str">
        <f t="array" ref="B9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92" s="121" t="str">
        <f t="array" ref="C92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92" s="118" t="str">
        <f t="array" ref="D92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93" spans="2:4" x14ac:dyDescent="0.3">
      <c r="B93" s="118" t="str">
        <f t="array" ref="B9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93" s="121" t="str">
        <f t="array" ref="C93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93" s="118" t="str">
        <f t="array" ref="D93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94" spans="2:4" x14ac:dyDescent="0.3">
      <c r="B94" s="118" t="str">
        <f t="array" ref="B9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94" s="121" t="str">
        <f t="array" ref="C94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94" s="118" t="str">
        <f t="array" ref="D94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95" spans="2:4" x14ac:dyDescent="0.3">
      <c r="B95" s="118" t="str">
        <f t="array" ref="B9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95" s="121" t="str">
        <f t="array" ref="C95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95" s="118" t="str">
        <f t="array" ref="D95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96" spans="2:4" x14ac:dyDescent="0.3">
      <c r="B96" s="118" t="str">
        <f t="array" ref="B9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96" s="121" t="str">
        <f t="array" ref="C96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96" s="118" t="str">
        <f t="array" ref="D96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97" spans="2:4" x14ac:dyDescent="0.3">
      <c r="B97" s="118" t="str">
        <f t="array" ref="B9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97" s="121" t="str">
        <f t="array" ref="C97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97" s="118" t="str">
        <f t="array" ref="D97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98" spans="2:4" x14ac:dyDescent="0.3">
      <c r="B98" s="118" t="str">
        <f t="array" ref="B9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98" s="121" t="str">
        <f t="array" ref="C98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98" s="118" t="str">
        <f t="array" ref="D98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99" spans="2:4" x14ac:dyDescent="0.3">
      <c r="B99" s="118" t="str">
        <f t="array" ref="B9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99" s="121" t="str">
        <f t="array" ref="C99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99" s="118" t="str">
        <f t="array" ref="D99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100" spans="2:4" x14ac:dyDescent="0.3">
      <c r="B100" s="118" t="str">
        <f t="array" ref="B10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100" s="121" t="str">
        <f t="array" ref="C100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100" s="118" t="str">
        <f t="array" ref="D100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101" spans="2:4" x14ac:dyDescent="0.3">
      <c r="B101" s="118" t="str">
        <f t="array" ref="B10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101" s="121" t="str">
        <f t="array" ref="C101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101" s="118" t="str">
        <f t="array" ref="D101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102" spans="2:4" x14ac:dyDescent="0.3">
      <c r="B102" s="118" t="str">
        <f t="array" ref="B10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102" s="121" t="str">
        <f t="array" ref="C102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102" s="118" t="str">
        <f t="array" ref="D102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103" spans="2:4" x14ac:dyDescent="0.3">
      <c r="B103" s="118" t="str">
        <f t="array" ref="B10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103" s="121" t="str">
        <f t="array" ref="C103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103" s="118" t="str">
        <f t="array" ref="D103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104" spans="2:4" x14ac:dyDescent="0.3">
      <c r="B104" s="118" t="str">
        <f t="array" ref="B10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104" s="121" t="str">
        <f t="array" ref="C104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104" s="118" t="str">
        <f t="array" ref="D104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105" spans="2:4" x14ac:dyDescent="0.3">
      <c r="B105" s="118" t="str">
        <f t="array" ref="B10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105" s="121" t="str">
        <f t="array" ref="C105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105" s="118" t="str">
        <f t="array" ref="D105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  <row r="106" spans="2:4" ht="16.2" thickBot="1" x14ac:dyDescent="0.35">
      <c r="B106" s="119" t="str">
        <f t="array" ref="B10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чертежей'!$M$2)+1),ROW()-ROW($B$15)+1))," ")</f>
        <v xml:space="preserve"> </v>
      </c>
      <c r="C106" s="122" t="str">
        <f t="array" ref="C106">IFERROR(INDEX(Таблица2[Кол-во],SMALL(IF(Таблица2[Идёт ли в спецификацию?]="da",ROW(Таблица2[Идёт ли в спецификацию?])-ROW('Рама буфер всех чертежей'!$M$2)+1),ROW()-ROW($C$15)+1))," ")</f>
        <v xml:space="preserve"> </v>
      </c>
      <c r="D106" s="119" t="str">
        <f t="array" ref="D106">IFERROR(INDEX(Таблица2[Прим],SMALL(IF(Таблица2[Идёт ли в спецификацию?]="da",ROW(Таблица2[Идёт ли в спецификацию?])-ROW('Рама буфер всех чертежей'!$M$2)+1),ROW()-ROW($D$15)+1))," ")</f>
        <v xml:space="preserve"> </v>
      </c>
    </row>
  </sheetData>
  <mergeCells count="21">
    <mergeCell ref="K12:L12"/>
    <mergeCell ref="K17:L17"/>
    <mergeCell ref="N17:O17"/>
    <mergeCell ref="Q17:R17"/>
    <mergeCell ref="K58:L58"/>
    <mergeCell ref="N58:O58"/>
    <mergeCell ref="B3:D3"/>
    <mergeCell ref="C14:D14"/>
    <mergeCell ref="C11:D11"/>
    <mergeCell ref="C8:D8"/>
    <mergeCell ref="C6:D6"/>
    <mergeCell ref="C7:D7"/>
    <mergeCell ref="C10:D10"/>
    <mergeCell ref="K8:K10"/>
    <mergeCell ref="K6:L6"/>
    <mergeCell ref="K5:L5"/>
    <mergeCell ref="C5:D5"/>
    <mergeCell ref="C4:D4"/>
    <mergeCell ref="C9:D9"/>
    <mergeCell ref="F6:G6"/>
    <mergeCell ref="F4:G5"/>
  </mergeCells>
  <conditionalFormatting sqref="A1:XFD2 A3:B3 E3:XFD3 N17 Q17 S17:XFD17 A107:XFD1048576 N58 A13:XFD15 A12:K12 M12:XFD12 E16:XFD16 E88:XFD106 E17:K17 A16:D106 E18:L57 N18:O29 N30:XFD57 Q18:XFD29 K58 E76:L87 E58:J75 K60:L75 N76:XFD87 P58:XFD75 N60:O75 M5:XFD5 H5:K6 A6:F6 A5:E5 A4:F4 H4:XFD4 A8:J9 B11:XFD11 A10:A11 E10:J10 B10 M6 A7:M7 O6:XFD7 L8:XFD10 N3:O10">
    <cfRule type="containsText" dxfId="127" priority="30" operator="containsText" text="?KI.BP.?">
      <formula>NOT(ISERROR(SEARCH("?KI.BP.?",A1)))</formula>
    </cfRule>
  </conditionalFormatting>
  <conditionalFormatting sqref="C14:D14">
    <cfRule type="containsText" dxfId="126" priority="28" operator="containsText" text="ОШИБКА">
      <formula>NOT(ISERROR(SEARCH("ОШИБКА",C14)))</formula>
    </cfRule>
  </conditionalFormatting>
  <conditionalFormatting sqref="C5:D5">
    <cfRule type="cellIs" dxfId="125" priority="26" operator="lessThan">
      <formula>220</formula>
    </cfRule>
    <cfRule type="cellIs" dxfId="124" priority="27" operator="greaterThan">
      <formula>390</formula>
    </cfRule>
  </conditionalFormatting>
  <conditionalFormatting sqref="C6:D6">
    <cfRule type="cellIs" dxfId="123" priority="24" operator="greaterThan">
      <formula>480</formula>
    </cfRule>
    <cfRule type="cellIs" dxfId="122" priority="25" operator="lessThan">
      <formula>290</formula>
    </cfRule>
  </conditionalFormatting>
  <conditionalFormatting sqref="C8:D8">
    <cfRule type="cellIs" dxfId="121" priority="22" operator="lessThan">
      <formula>100</formula>
    </cfRule>
    <cfRule type="cellIs" dxfId="120" priority="23" operator="greaterThan">
      <formula>270</formula>
    </cfRule>
  </conditionalFormatting>
  <conditionalFormatting sqref="P17:P29">
    <cfRule type="containsText" dxfId="119" priority="21" operator="containsText" text="?KI.BP.?">
      <formula>NOT(ISERROR(SEARCH("?KI.BP.?",P17)))</formula>
    </cfRule>
  </conditionalFormatting>
  <conditionalFormatting sqref="M17:M87">
    <cfRule type="containsText" dxfId="118" priority="20" operator="containsText" text="?KI.BP.?">
      <formula>NOT(ISERROR(SEARCH("?KI.BP.?",M17)))</formula>
    </cfRule>
  </conditionalFormatting>
  <conditionalFormatting sqref="K59:L59">
    <cfRule type="containsText" dxfId="117" priority="19" operator="containsText" text="?KI.BP.?">
      <formula>NOT(ISERROR(SEARCH("?KI.BP.?",K59)))</formula>
    </cfRule>
  </conditionalFormatting>
  <conditionalFormatting sqref="N59:O59">
    <cfRule type="containsText" dxfId="116" priority="18" operator="containsText" text="?KI.BP.?">
      <formula>NOT(ISERROR(SEARCH("?KI.BP.?",N59)))</formula>
    </cfRule>
  </conditionalFormatting>
  <conditionalFormatting sqref="C11:D11">
    <cfRule type="cellIs" dxfId="115" priority="10" operator="equal">
      <formula>"ОШИБКА!"</formula>
    </cfRule>
    <cfRule type="cellIs" dxfId="114" priority="11" operator="notEqual">
      <formula>" "</formula>
    </cfRule>
  </conditionalFormatting>
  <conditionalFormatting sqref="M5:XFD5 H5:K6 A6:F6 A5:E5 A1:XFD3 A4:F4 H4:XFD4 A8:J9 A11:XFD1048576 E10:J10 A10:B10 M6 A7:M7 O6:XFD7 L8:XFD10 N3:O10">
    <cfRule type="cellIs" dxfId="113" priority="17" operator="equal">
      <formula>""</formula>
    </cfRule>
  </conditionalFormatting>
  <conditionalFormatting sqref="K8">
    <cfRule type="containsText" dxfId="112" priority="5" operator="containsText" text="?KI.BP.?">
      <formula>NOT(ISERROR(SEARCH("?KI.BP.?",K8)))</formula>
    </cfRule>
  </conditionalFormatting>
  <conditionalFormatting sqref="K8">
    <cfRule type="cellIs" dxfId="111" priority="4" operator="equal">
      <formula>""</formula>
    </cfRule>
  </conditionalFormatting>
  <conditionalFormatting sqref="C10:D10">
    <cfRule type="cellIs" dxfId="110" priority="3" operator="equal">
      <formula>"ОШИБКА!"</formula>
    </cfRule>
  </conditionalFormatting>
  <conditionalFormatting sqref="C7:D7">
    <cfRule type="cellIs" dxfId="109" priority="1" operator="greaterThan">
      <formula>440</formula>
    </cfRule>
    <cfRule type="cellIs" dxfId="108" priority="2" operator="lessThan">
      <formula>60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907E-3F53-4659-A4CC-75F2D6AA2359}">
  <dimension ref="B1:AA416"/>
  <sheetViews>
    <sheetView topLeftCell="A276" zoomScale="80" zoomScaleNormal="80" workbookViewId="0">
      <selection activeCell="D323" sqref="D323"/>
    </sheetView>
  </sheetViews>
  <sheetFormatPr defaultRowHeight="14.4" x14ac:dyDescent="0.3"/>
  <cols>
    <col min="2" max="2" width="9.33203125" customWidth="1"/>
    <col min="3" max="3" width="11.5546875" style="60" customWidth="1"/>
    <col min="4" max="4" width="12.88671875" style="71" customWidth="1"/>
    <col min="5" max="5" width="16" style="71" customWidth="1"/>
    <col min="6" max="6" width="53.44140625" style="60" customWidth="1"/>
    <col min="7" max="7" width="55.33203125" customWidth="1"/>
    <col min="12" max="12" width="18.88671875" customWidth="1"/>
    <col min="13" max="13" width="16.44140625" customWidth="1"/>
    <col min="14" max="14" width="4" customWidth="1"/>
    <col min="15" max="15" width="14" customWidth="1"/>
    <col min="16" max="16" width="33.5546875" customWidth="1"/>
    <col min="17" max="17" width="20.44140625" customWidth="1"/>
    <col min="18" max="18" width="29.6640625" customWidth="1"/>
    <col min="19" max="19" width="10.6640625" customWidth="1"/>
    <col min="20" max="20" width="45.33203125" customWidth="1"/>
    <col min="21" max="21" width="17.109375" customWidth="1"/>
    <col min="22" max="22" width="11.33203125" customWidth="1"/>
    <col min="23" max="23" width="45.33203125" customWidth="1"/>
    <col min="24" max="24" width="19" customWidth="1"/>
    <col min="25" max="25" width="7.6640625" customWidth="1"/>
    <col min="26" max="26" width="39.5546875" customWidth="1"/>
    <col min="27" max="27" width="11.33203125" customWidth="1"/>
  </cols>
  <sheetData>
    <row r="1" spans="2:27" ht="59.4" customHeight="1" x14ac:dyDescent="0.3">
      <c r="B1" s="64" t="s">
        <v>76</v>
      </c>
      <c r="C1" s="65" t="s">
        <v>79</v>
      </c>
      <c r="D1" s="70" t="s">
        <v>592</v>
      </c>
      <c r="E1" s="70" t="s">
        <v>99</v>
      </c>
      <c r="F1" s="65" t="s">
        <v>97</v>
      </c>
      <c r="G1" s="66" t="s">
        <v>98</v>
      </c>
      <c r="H1" s="66" t="s">
        <v>75</v>
      </c>
      <c r="I1" s="66" t="s">
        <v>0</v>
      </c>
      <c r="J1" s="66" t="s">
        <v>1</v>
      </c>
      <c r="K1" s="66" t="s">
        <v>17</v>
      </c>
      <c r="L1" s="66" t="s">
        <v>78</v>
      </c>
      <c r="M1" s="67" t="s">
        <v>166</v>
      </c>
    </row>
    <row r="2" spans="2:27" ht="43.2" x14ac:dyDescent="0.3">
      <c r="B2" s="97"/>
      <c r="C2" s="62" t="s">
        <v>630</v>
      </c>
      <c r="D2" s="62" t="s">
        <v>593</v>
      </c>
      <c r="E2" s="62" t="s">
        <v>600</v>
      </c>
      <c r="F2" s="57" t="s">
        <v>126</v>
      </c>
      <c r="G2" s="61" t="str">
        <f>_xlfn.CONCAT(Таблица2[[#This Row],[Обознач]],"_",Таблица2[[#This Row],[Наимен]])</f>
        <v>KI.BP.421_Банан 1</v>
      </c>
      <c r="H2" s="61">
        <v>2</v>
      </c>
      <c r="I2" s="57"/>
      <c r="J2" s="57"/>
      <c r="K2" s="57" t="s">
        <v>77</v>
      </c>
      <c r="L2" s="57" t="s">
        <v>10</v>
      </c>
      <c r="M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O2" s="214" t="s">
        <v>84</v>
      </c>
      <c r="P2" s="13" t="s">
        <v>9</v>
      </c>
      <c r="Q2" s="13" t="s">
        <v>85</v>
      </c>
      <c r="R2" s="13" t="s">
        <v>89</v>
      </c>
      <c r="S2" s="13" t="s">
        <v>17</v>
      </c>
      <c r="T2" s="77" t="s">
        <v>237</v>
      </c>
      <c r="U2" s="13" t="s">
        <v>88</v>
      </c>
      <c r="V2" s="13" t="s">
        <v>572</v>
      </c>
      <c r="W2" s="13" t="s">
        <v>572</v>
      </c>
    </row>
    <row r="3" spans="2:27" x14ac:dyDescent="0.3">
      <c r="B3" s="97"/>
      <c r="C3" s="62" t="s">
        <v>2</v>
      </c>
      <c r="D3" s="62" t="s">
        <v>593</v>
      </c>
      <c r="E3" s="62" t="s">
        <v>906</v>
      </c>
      <c r="F3" s="57" t="s">
        <v>127</v>
      </c>
      <c r="G3" s="61" t="str">
        <f>_xlfn.CONCAT(Таблица2[[#This Row],[Обознач]],"_",Таблица2[[#This Row],[Наимен]])</f>
        <v>KI.BP.461_Банан 1-01</v>
      </c>
      <c r="H3" s="61">
        <v>2</v>
      </c>
      <c r="I3" s="57"/>
      <c r="J3" s="57"/>
      <c r="K3" s="57" t="s">
        <v>77</v>
      </c>
      <c r="L3" s="57" t="s">
        <v>60</v>
      </c>
      <c r="M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O3" s="214"/>
      <c r="P3" s="82" t="str">
        <f>IF($P$5="yes",(_xlfn.CONCAT($Q$5,"-01")),_xlfn.CONCAT($Q$5,"-00"))</f>
        <v>3-00</v>
      </c>
      <c r="Q3" s="82">
        <f>IF($P$5="yes",(_xlfn.CONCAT($Q$5,"-02")),$Q$5)</f>
        <v>3</v>
      </c>
      <c r="R3" s="82" t="str">
        <f>_xlfn.CONCAT("vi",$Q$5)</f>
        <v>vi3</v>
      </c>
      <c r="S3" s="83">
        <f>Буфер!E6</f>
        <v>300</v>
      </c>
      <c r="T3" s="83" t="str">
        <f>_xlfn.CONCAT("s",Буфер!D10)</f>
        <v>s300</v>
      </c>
      <c r="U3" s="82" t="s">
        <v>80</v>
      </c>
      <c r="V3" s="82" t="str">
        <f>_xlfn.CONCAT($S$3,"х",IF(OR(Q5=1,Q5=2),("Pl12"),IF(OR(Q5=3,Q5=4),("Pl34"),IF(OR(Q5=5,Q5=6,Q5=7),("Pl567")))))</f>
        <v>300хPl34</v>
      </c>
      <c r="W3" s="82" t="str">
        <f>_xlfn.CONCAT($S$3,"-",Q5)</f>
        <v>300-3</v>
      </c>
    </row>
    <row r="4" spans="2:27" ht="58.2" customHeight="1" x14ac:dyDescent="0.3">
      <c r="B4" s="97"/>
      <c r="C4" s="62" t="s">
        <v>1026</v>
      </c>
      <c r="D4" s="62" t="s">
        <v>593</v>
      </c>
      <c r="E4" s="62" t="s">
        <v>906</v>
      </c>
      <c r="F4" s="57" t="s">
        <v>128</v>
      </c>
      <c r="G4" s="61" t="str">
        <f>_xlfn.CONCAT(Таблица2[[#This Row],[Обознач]],"_",Таблица2[[#This Row],[Наимен]])</f>
        <v>KI.BP.461_Банан 1-02</v>
      </c>
      <c r="H4" s="61">
        <v>0</v>
      </c>
      <c r="I4" s="57"/>
      <c r="J4" s="57"/>
      <c r="K4" s="57" t="s">
        <v>77</v>
      </c>
      <c r="L4" s="57" t="s">
        <v>66</v>
      </c>
      <c r="M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O4" s="214"/>
      <c r="P4" s="13" t="s">
        <v>86</v>
      </c>
      <c r="Q4" s="75" t="s">
        <v>87</v>
      </c>
      <c r="R4" s="13" t="s">
        <v>179</v>
      </c>
      <c r="S4" s="13" t="s">
        <v>245</v>
      </c>
      <c r="T4" s="93" t="s">
        <v>264</v>
      </c>
      <c r="U4" s="77" t="s">
        <v>237</v>
      </c>
      <c r="V4" s="77" t="s">
        <v>482</v>
      </c>
      <c r="W4" s="13" t="s">
        <v>995</v>
      </c>
    </row>
    <row r="5" spans="2:27" x14ac:dyDescent="0.3">
      <c r="B5" s="97"/>
      <c r="C5" s="62" t="s">
        <v>631</v>
      </c>
      <c r="D5" s="62" t="s">
        <v>593</v>
      </c>
      <c r="E5" s="62" t="s">
        <v>955</v>
      </c>
      <c r="F5" s="57" t="s">
        <v>129</v>
      </c>
      <c r="G5" s="61" t="str">
        <f>_xlfn.CONCAT(Таблица2[[#This Row],[Обознач]],"_",Таблица2[[#This Row],[Наимен]])</f>
        <v>KI.BP.467_Банан 2</v>
      </c>
      <c r="H5" s="61">
        <v>2</v>
      </c>
      <c r="I5" s="57"/>
      <c r="J5" s="57"/>
      <c r="K5" s="57" t="s">
        <v>77</v>
      </c>
      <c r="L5" s="57" t="s">
        <v>10</v>
      </c>
      <c r="M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O5" s="214"/>
      <c r="P5" s="84" t="str">
        <f>IF(OR($S$3=390,$S$3=420),"yes","no")</f>
        <v>no</v>
      </c>
      <c r="Q5" s="85">
        <f>typebanan</f>
        <v>3</v>
      </c>
      <c r="R5" s="83" t="str">
        <f>IF(OR('Рама буфер всех чертежей'!$S$3=270,'Рама буфер всех чертежей'!$S$3=300),"РАСШИРЕНИЕ БАНАНОВ",IF(OR('Рама буфер всех чертежей'!$S$3=330,'Рама буфер всех чертежей'!$S$3=360),"ПРЯМЫЕ БАНАНЫ",IF(OR('Рама буфер всех чертежей'!$S$3=390,'Рама буфер всех чертежей'!$S$3=420),"СУЖЕНИЕ БАНАНОВ","ОШИБКА")))</f>
        <v>РАСШИРЕНИЕ БАНАНОВ</v>
      </c>
      <c r="S5" s="82">
        <f>Буфер!D12</f>
        <v>360</v>
      </c>
      <c r="T5" s="82" t="str">
        <f>_xlfn.CONCAT("kr",$Q$5)</f>
        <v>kr3</v>
      </c>
      <c r="U5" s="83">
        <f>Буфер!D10</f>
        <v>300</v>
      </c>
      <c r="V5" s="83" t="str">
        <f>_xlfn.CONCAT($S$3,"x",$U$5)</f>
        <v>300x300</v>
      </c>
      <c r="W5" s="82" t="str">
        <f>_xlfn.IFNA(IF(OR(Буфер!D9="НП",Буфер!D9="Н",Буфер!D9="П"),_xlfn.CONCAT(Буфер!D9,"x",S3),"ОШИБКА!"),"ОШИБКА!")</f>
        <v>Пx300</v>
      </c>
    </row>
    <row r="6" spans="2:27" ht="28.8" x14ac:dyDescent="0.3">
      <c r="B6" s="97"/>
      <c r="C6" s="62" t="s">
        <v>3</v>
      </c>
      <c r="D6" s="62" t="s">
        <v>593</v>
      </c>
      <c r="E6" s="62" t="s">
        <v>638</v>
      </c>
      <c r="F6" s="57" t="s">
        <v>130</v>
      </c>
      <c r="G6" s="61" t="str">
        <f>_xlfn.CONCAT(Таблица2[[#This Row],[Обознач]],"_",Таблица2[[#This Row],[Наимен]])</f>
        <v>KI.BP.437_Банан 2-01</v>
      </c>
      <c r="H6" s="61">
        <v>2</v>
      </c>
      <c r="I6" s="57"/>
      <c r="J6" s="57"/>
      <c r="K6" s="57" t="s">
        <v>77</v>
      </c>
      <c r="L6" s="57" t="s">
        <v>60</v>
      </c>
      <c r="M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O6" s="69"/>
      <c r="P6" s="13"/>
      <c r="Q6" s="13" t="s">
        <v>659</v>
      </c>
    </row>
    <row r="7" spans="2:27" ht="43.2" x14ac:dyDescent="0.3">
      <c r="B7" s="97"/>
      <c r="C7" s="62" t="s">
        <v>1026</v>
      </c>
      <c r="D7" s="62" t="s">
        <v>593</v>
      </c>
      <c r="E7" s="62" t="s">
        <v>638</v>
      </c>
      <c r="F7" s="57" t="s">
        <v>131</v>
      </c>
      <c r="G7" s="61" t="str">
        <f>_xlfn.CONCAT(Таблица2[[#This Row],[Обознач]],"_",Таблица2[[#This Row],[Наимен]])</f>
        <v>KI.BP.437_Банан 2-02</v>
      </c>
      <c r="H7" s="61">
        <v>0</v>
      </c>
      <c r="I7" s="57"/>
      <c r="J7" s="57"/>
      <c r="K7" s="57" t="s">
        <v>77</v>
      </c>
      <c r="L7" s="57" t="s">
        <v>66</v>
      </c>
      <c r="M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O7" s="69"/>
      <c r="P7" s="82" t="s">
        <v>658</v>
      </c>
      <c r="Q7" s="82" t="str">
        <f>IF(OR($S$3=270,$S$3=300,$S$3=330,$S$3=360,$S$3=390,$S$3=420),"Ок","ОШИБКА")</f>
        <v>Ок</v>
      </c>
      <c r="W7" s="76" t="s">
        <v>1024</v>
      </c>
    </row>
    <row r="8" spans="2:27" ht="28.8" x14ac:dyDescent="0.3">
      <c r="B8" s="97"/>
      <c r="C8" s="62" t="s">
        <v>632</v>
      </c>
      <c r="D8" s="62" t="s">
        <v>593</v>
      </c>
      <c r="E8" s="62" t="s">
        <v>937</v>
      </c>
      <c r="F8" s="57" t="s">
        <v>132</v>
      </c>
      <c r="G8" s="61" t="str">
        <f>_xlfn.CONCAT(Таблица2[[#This Row],[Обознач]],"_",Таблица2[[#This Row],[Наимен]])</f>
        <v>KI.BP.464_Банан 3</v>
      </c>
      <c r="H8" s="61">
        <v>2</v>
      </c>
      <c r="I8" s="57"/>
      <c r="J8" s="57"/>
      <c r="K8" s="57" t="s">
        <v>77</v>
      </c>
      <c r="L8" s="57" t="s">
        <v>10</v>
      </c>
      <c r="M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8" s="82" t="s">
        <v>657</v>
      </c>
      <c r="Q8" s="82" t="str">
        <f>_xlfn.IFNA(IF(OR($Q$5=1,$Q$5=2,$Q$5=3,$Q$5=4,$Q$5=5,$Q$5=6,$Q$5=7),"Ок","ОШИБКА"),"ОШИБКА")</f>
        <v>Ок</v>
      </c>
    </row>
    <row r="9" spans="2:27" x14ac:dyDescent="0.3">
      <c r="B9" s="97"/>
      <c r="C9" s="62" t="s">
        <v>4</v>
      </c>
      <c r="D9" s="62" t="s">
        <v>593</v>
      </c>
      <c r="E9" s="62" t="s">
        <v>905</v>
      </c>
      <c r="F9" s="57" t="s">
        <v>133</v>
      </c>
      <c r="G9" s="61" t="str">
        <f>_xlfn.CONCAT(Таблица2[[#This Row],[Обознач]],"_",Таблица2[[#This Row],[Наимен]])</f>
        <v>KI.BP.436_Банан 3-01</v>
      </c>
      <c r="H9" s="61">
        <v>2</v>
      </c>
      <c r="I9" s="57"/>
      <c r="J9" s="57"/>
      <c r="K9" s="57" t="s">
        <v>77</v>
      </c>
      <c r="L9" s="57" t="s">
        <v>60</v>
      </c>
      <c r="M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0" spans="2:27" x14ac:dyDescent="0.3">
      <c r="B10" s="97"/>
      <c r="C10" s="62" t="s">
        <v>1026</v>
      </c>
      <c r="D10" s="62" t="s">
        <v>593</v>
      </c>
      <c r="E10" s="62" t="s">
        <v>905</v>
      </c>
      <c r="F10" s="57" t="s">
        <v>134</v>
      </c>
      <c r="G10" s="61" t="str">
        <f>_xlfn.CONCAT(Таблица2[[#This Row],[Обознач]],"_",Таблица2[[#This Row],[Наимен]])</f>
        <v>KI.BP.436_Банан 3-02</v>
      </c>
      <c r="H10" s="61">
        <v>0</v>
      </c>
      <c r="I10" s="57"/>
      <c r="J10" s="57"/>
      <c r="K10" s="57" t="s">
        <v>77</v>
      </c>
      <c r="L10" s="57" t="s">
        <v>66</v>
      </c>
      <c r="M1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1" spans="2:27" x14ac:dyDescent="0.3">
      <c r="B11" s="97"/>
      <c r="C11" s="62" t="s">
        <v>633</v>
      </c>
      <c r="D11" s="62" t="s">
        <v>593</v>
      </c>
      <c r="E11" s="62" t="s">
        <v>223</v>
      </c>
      <c r="F11" s="57" t="s">
        <v>135</v>
      </c>
      <c r="G11" s="61" t="str">
        <f>_xlfn.CONCAT(Таблица2[[#This Row],[Обознач]],"_",Таблица2[[#This Row],[Наимен]])</f>
        <v>KI.BP.399_Банан 4</v>
      </c>
      <c r="H11" s="61">
        <v>2</v>
      </c>
      <c r="I11" s="57"/>
      <c r="J11" s="57"/>
      <c r="K11" s="57" t="s">
        <v>77</v>
      </c>
      <c r="L11" s="57" t="s">
        <v>10</v>
      </c>
      <c r="M1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2" spans="2:27" x14ac:dyDescent="0.3">
      <c r="B12" s="97"/>
      <c r="C12" s="62" t="s">
        <v>5</v>
      </c>
      <c r="D12" s="62" t="s">
        <v>593</v>
      </c>
      <c r="E12" s="62" t="s">
        <v>959</v>
      </c>
      <c r="F12" s="57" t="s">
        <v>136</v>
      </c>
      <c r="G12" s="61" t="str">
        <f>_xlfn.CONCAT(Таблица2[[#This Row],[Обознач]],"_",Таблица2[[#This Row],[Наимен]])</f>
        <v>KI.BP.468_Банан 4-01</v>
      </c>
      <c r="H12" s="61">
        <v>2</v>
      </c>
      <c r="I12" s="57"/>
      <c r="J12" s="57"/>
      <c r="K12" s="57" t="s">
        <v>77</v>
      </c>
      <c r="L12" s="57" t="s">
        <v>60</v>
      </c>
      <c r="M1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12" s="14" t="s">
        <v>598</v>
      </c>
      <c r="T12" s="14" t="s">
        <v>593</v>
      </c>
      <c r="W12" s="14" t="s">
        <v>597</v>
      </c>
      <c r="Z12" s="14" t="s">
        <v>856</v>
      </c>
    </row>
    <row r="13" spans="2:27" ht="15" thickBot="1" x14ac:dyDescent="0.35">
      <c r="B13" s="97"/>
      <c r="C13" s="62" t="s">
        <v>1026</v>
      </c>
      <c r="D13" s="62" t="s">
        <v>593</v>
      </c>
      <c r="E13" s="62" t="s">
        <v>959</v>
      </c>
      <c r="F13" s="57" t="s">
        <v>137</v>
      </c>
      <c r="G13" s="61" t="str">
        <f>_xlfn.CONCAT(Таблица2[[#This Row],[Обознач]],"_",Таблица2[[#This Row],[Наимен]])</f>
        <v>KI.BP.468_Банан 4-02</v>
      </c>
      <c r="H13" s="61">
        <v>0</v>
      </c>
      <c r="I13" s="57"/>
      <c r="J13" s="57"/>
      <c r="K13" s="57" t="s">
        <v>77</v>
      </c>
      <c r="L13" s="57" t="s">
        <v>66</v>
      </c>
      <c r="M1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T13" t="s">
        <v>167</v>
      </c>
      <c r="U13" t="s">
        <v>75</v>
      </c>
      <c r="W13" t="s">
        <v>167</v>
      </c>
      <c r="X13" t="s">
        <v>75</v>
      </c>
      <c r="Z13" t="s">
        <v>167</v>
      </c>
      <c r="AA13" t="s">
        <v>75</v>
      </c>
    </row>
    <row r="14" spans="2:27" ht="15" thickBot="1" x14ac:dyDescent="0.35">
      <c r="B14" s="97"/>
      <c r="C14" s="62" t="s">
        <v>634</v>
      </c>
      <c r="D14" s="62" t="s">
        <v>593</v>
      </c>
      <c r="E14" s="62" t="s">
        <v>882</v>
      </c>
      <c r="F14" s="57" t="s">
        <v>138</v>
      </c>
      <c r="G14" s="61" t="str">
        <f>_xlfn.CONCAT(Таблица2[[#This Row],[Обознач]],"_",Таблица2[[#This Row],[Наимен]])</f>
        <v>KI.BP.456_Банан 5</v>
      </c>
      <c r="H14" s="61">
        <v>2</v>
      </c>
      <c r="I14" s="57"/>
      <c r="J14" s="57"/>
      <c r="K14" s="57" t="s">
        <v>77</v>
      </c>
      <c r="L14" s="57" t="s">
        <v>10</v>
      </c>
      <c r="M1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14" s="18" t="str">
        <f t="array" ref="P1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KI.BP.464_Банан 3</v>
      </c>
      <c r="Q14" s="18">
        <f t="array" ref="Q1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14" s="18" t="str">
        <f t="array" ref="R1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14" s="7" t="str">
        <f t="array" ref="T14">IFERROR(INDEX($P$14:$P$101,SMALL(IF($R$14:$R$101="Гибка",ROW($R$14:$R$101)-ROW($R$14)+1),ROW()-ROW($T$14)+1))," ")</f>
        <v>KI.BP.464_Банан 3</v>
      </c>
      <c r="U14" s="7">
        <f t="array" ref="U14">IFERROR(INDEX($Q$14:$Q$101,SMALL(IF($R$14:$R$101="Гибка",ROW($R$14:$R$101)-ROW($R$14)+1),ROW()-ROW($U$14)+1))," ")</f>
        <v>2</v>
      </c>
      <c r="W14" s="7" t="str">
        <f t="array" ref="W14">IFERROR(INDEX($P$14:$P$101,SMALL(IF($R$14:$R$101="Склад",ROW($R$14:$R$101)-ROW($R$14)+1),ROW()-ROW($W$14)+1))," ")</f>
        <v>KI.TP.103_Стакан переднего колеса</v>
      </c>
      <c r="X14" s="7">
        <f t="array" ref="X14">IFERROR(INDEX($Q$14:$Q$101,SMALL(IF($R$14:$R$101="Склад",ROW($R$14:$R$101)-ROW($R$14)+1),ROW()-ROW($W$14)+1))," ")</f>
        <v>2</v>
      </c>
      <c r="Z14" s="7" t="str">
        <f t="array" ref="Z14">IFERROR(INDEX($P$14:$P$101,SMALL(IF($R$14:$R$101="Сварка",ROW($R$14:$R$101)-ROW($R$14)+1),ROW()-ROW($Z$14)+1))," ")</f>
        <v>KI.WA.162_Спинка сварная 300х300</v>
      </c>
      <c r="AA14" s="7">
        <f t="array" ref="AA14">IFERROR(INDEX($Q$14:$Q$101,SMALL(IF($R$14:$R$101="сварка",ROW($R$14:$R$101)-ROW($R$14)+1),ROW()-ROW($Z$14)+1))," ")</f>
        <v>1</v>
      </c>
    </row>
    <row r="15" spans="2:27" ht="15" thickBot="1" x14ac:dyDescent="0.35">
      <c r="B15" s="97"/>
      <c r="C15" s="62" t="s">
        <v>6</v>
      </c>
      <c r="D15" s="62" t="s">
        <v>593</v>
      </c>
      <c r="E15" s="62" t="s">
        <v>904</v>
      </c>
      <c r="F15" s="57" t="s">
        <v>139</v>
      </c>
      <c r="G15" s="61" t="str">
        <f>_xlfn.CONCAT(Таблица2[[#This Row],[Обознач]],"_",Таблица2[[#This Row],[Наимен]])</f>
        <v>KI.BP.460_Банан 5-01</v>
      </c>
      <c r="H15" s="61">
        <v>2</v>
      </c>
      <c r="I15" s="57"/>
      <c r="J15" s="57"/>
      <c r="K15" s="57" t="s">
        <v>77</v>
      </c>
      <c r="L15" s="57" t="s">
        <v>60</v>
      </c>
      <c r="M1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15" s="18" t="str">
        <f t="array" ref="P1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KI.BP.442_Мост сидения прямой 300</v>
      </c>
      <c r="Q15" s="18">
        <f t="array" ref="Q1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15" s="18" t="str">
        <f t="array" ref="R1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15" s="7" t="str">
        <f t="array" ref="T15">IFERROR(INDEX($P$14:$P$101,SMALL(IF($R$14:$R$101="Гибка",ROW($R$14:$R$101)-ROW($R$14)+1),ROW()-ROW($T$14)+1))," ")</f>
        <v>KI.BP.442_Мост сидения прямой 300</v>
      </c>
      <c r="U15" s="7">
        <f t="array" ref="U15">IFERROR(INDEX($Q$14:$Q$101,SMALL(IF($R$14:$R$101="Гибка",ROW($R$14:$R$101)-ROW($R$14)+1),ROW()-ROW($U$14)+1))," ")</f>
        <v>1</v>
      </c>
      <c r="W15" s="7" t="str">
        <f t="array" ref="W15">IFERROR(INDEX($P$14:$P$101,SMALL(IF($R$14:$R$101="Склад",ROW($R$14:$R$101)-ROW($R$14)+1),ROW()-ROW($W$14)+1))," ")</f>
        <v>KI.TP.104_Втулка ресивера колеса</v>
      </c>
      <c r="X15" s="7">
        <f t="array" ref="X15">IFERROR(INDEX($Q$14:$Q$101,SMALL(IF($R$14:$R$101="Склад",ROW($R$14:$R$101)-ROW($R$14)+1),ROW()-ROW($W$14)+1))," ")</f>
        <v>2</v>
      </c>
      <c r="Z15" s="7" t="str">
        <f t="array" ref="Z15">IFERROR(INDEX($P$14:$P$101,SMALL(IF($R$14:$R$101="Сварка",ROW($R$14:$R$101)-ROW($R$14)+1),ROW()-ROW($Z$14)+1))," ")</f>
        <v>KI.WA.206_Рама сварная 300-3</v>
      </c>
      <c r="AA15" s="7">
        <f t="array" ref="AA15">IFERROR(INDEX($Q$14:$Q$101,SMALL(IF($R$14:$R$101="сварка",ROW($R$14:$R$101)-ROW($R$14)+1),ROW()-ROW($Z$14)+1))," ")</f>
        <v>1</v>
      </c>
    </row>
    <row r="16" spans="2:27" ht="15" thickBot="1" x14ac:dyDescent="0.35">
      <c r="B16" s="97"/>
      <c r="C16" s="62" t="s">
        <v>1026</v>
      </c>
      <c r="D16" s="62" t="s">
        <v>593</v>
      </c>
      <c r="E16" s="62" t="s">
        <v>904</v>
      </c>
      <c r="F16" s="57" t="s">
        <v>140</v>
      </c>
      <c r="G16" s="61" t="str">
        <f>_xlfn.CONCAT(Таблица2[[#This Row],[Обознач]],"_",Таблица2[[#This Row],[Наимен]])</f>
        <v>KI.BP.460_Банан 5-02</v>
      </c>
      <c r="H16" s="61">
        <v>0</v>
      </c>
      <c r="I16" s="57"/>
      <c r="J16" s="57"/>
      <c r="K16" s="57" t="s">
        <v>77</v>
      </c>
      <c r="L16" s="57" t="s">
        <v>66</v>
      </c>
      <c r="M1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16" s="18" t="str">
        <f t="array" ref="P1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KI.BP.408_Вынос осевой трубы 1/3/5</v>
      </c>
      <c r="Q16" s="18">
        <f t="array" ref="Q1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16" s="18" t="str">
        <f t="array" ref="R1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16" s="7" t="str">
        <f t="array" ref="T16">IFERROR(INDEX($P$14:$P$101,SMALL(IF($R$14:$R$101="Гибка",ROW($R$14:$R$101)-ROW($R$14)+1),ROW()-ROW($T$14)+1))," ")</f>
        <v>KI.BP.408_Вынос осевой трубы 1/3/5</v>
      </c>
      <c r="U16" s="7">
        <f t="array" ref="U16">IFERROR(INDEX($Q$14:$Q$101,SMALL(IF($R$14:$R$101="Гибка",ROW($R$14:$R$101)-ROW($R$14)+1),ROW()-ROW($U$14)+1))," ")</f>
        <v>2</v>
      </c>
      <c r="W16" s="7" t="str">
        <f t="array" ref="W16">IFERROR(INDEX($P$14:$P$101,SMALL(IF($R$14:$R$101="Склад",ROW($R$14:$R$101)-ROW($R$14)+1),ROW()-ROW($W$14)+1))," ")</f>
        <v>KI.MP.079_Вилка кастора АJ</v>
      </c>
      <c r="X16" s="7">
        <f t="array" ref="X16">IFERROR(INDEX($Q$14:$Q$101,SMALL(IF($R$14:$R$101="Склад",ROW($R$14:$R$101)-ROW($R$14)+1),ROW()-ROW($W$14)+1))," ")</f>
        <v>1</v>
      </c>
      <c r="Z16" s="7" t="str">
        <f t="array" ref="Z16">IFERROR(INDEX($P$14:$P$101,SMALL(IF($R$14:$R$101="Сварка",ROW($R$14:$R$101)-ROW($R$14)+1),ROW()-ROW($Z$14)+1))," ")</f>
        <v>KI.WA.149_Антиопрокидыватель сварной</v>
      </c>
      <c r="AA16" s="7">
        <f t="array" ref="AA16">IFERROR(INDEX($Q$14:$Q$101,SMALL(IF($R$14:$R$101="сварка",ROW($R$14:$R$101)-ROW($R$14)+1),ROW()-ROW($Z$14)+1))," ")</f>
        <v>1</v>
      </c>
    </row>
    <row r="17" spans="2:27" ht="15" thickBot="1" x14ac:dyDescent="0.35">
      <c r="B17" s="97"/>
      <c r="C17" s="62" t="s">
        <v>635</v>
      </c>
      <c r="D17" s="62" t="s">
        <v>593</v>
      </c>
      <c r="E17" s="62" t="s">
        <v>647</v>
      </c>
      <c r="F17" s="57" t="s">
        <v>141</v>
      </c>
      <c r="G17" s="61" t="str">
        <f>_xlfn.CONCAT(Таблица2[[#This Row],[Обознач]],"_",Таблица2[[#This Row],[Наимен]])</f>
        <v>KI.BP.441_Банан 6</v>
      </c>
      <c r="H17" s="61">
        <v>2</v>
      </c>
      <c r="I17" s="57"/>
      <c r="J17" s="57"/>
      <c r="K17" s="57" t="s">
        <v>77</v>
      </c>
      <c r="L17" s="57" t="s">
        <v>10</v>
      </c>
      <c r="M1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17" s="18" t="str">
        <f t="array" ref="P1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KI.BP.391_Каркас спинки</v>
      </c>
      <c r="Q17" s="18">
        <f t="array" ref="Q1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17" s="18" t="str">
        <f t="array" ref="R1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17" s="7" t="str">
        <f t="array" ref="T17">IFERROR(INDEX($P$14:$P$101,SMALL(IF($R$14:$R$101="Гибка",ROW($R$14:$R$101)-ROW($R$14)+1),ROW()-ROW($T$14)+1))," ")</f>
        <v>KI.BP.391_Каркас спинки</v>
      </c>
      <c r="U17" s="7">
        <f t="array" ref="U17">IFERROR(INDEX($Q$14:$Q$101,SMALL(IF($R$14:$R$101="Гибка",ROW($R$14:$R$101)-ROW($R$14)+1),ROW()-ROW($U$14)+1))," ")</f>
        <v>2</v>
      </c>
      <c r="W17" s="7" t="str">
        <f t="array" ref="W17">IFERROR(INDEX($P$14:$P$101,SMALL(IF($R$14:$R$101="Склад",ROW($R$14:$R$101)-ROW($R$14)+1),ROW()-ROW($W$14)+1))," ")</f>
        <v>KI.MP.079-00M_Вилка кастора АJ</v>
      </c>
      <c r="X17" s="7">
        <f t="array" ref="X17">IFERROR(INDEX($Q$14:$Q$101,SMALL(IF($R$14:$R$101="Склад",ROW($R$14:$R$101)-ROW($R$14)+1),ROW()-ROW($W$14)+1))," ")</f>
        <v>1</v>
      </c>
      <c r="Z17" s="7" t="str">
        <f t="array" ref="Z17">IFERROR(INDEX($P$14:$P$101,SMALL(IF($R$14:$R$101="Сварка",ROW($R$14:$R$101)-ROW($R$14)+1),ROW()-ROW($Z$14)+1))," ")</f>
        <v xml:space="preserve"> </v>
      </c>
      <c r="AA17" s="7" t="str">
        <f t="array" ref="AA17">IFERROR(INDEX($Q$14:$Q$101,SMALL(IF($R$14:$R$101="сварка",ROW($R$14:$R$101)-ROW($R$14)+1),ROW()-ROW($Z$14)+1))," ")</f>
        <v xml:space="preserve"> </v>
      </c>
    </row>
    <row r="18" spans="2:27" ht="15" thickBot="1" x14ac:dyDescent="0.35">
      <c r="B18" s="97"/>
      <c r="C18" s="62" t="s">
        <v>7</v>
      </c>
      <c r="D18" s="62" t="s">
        <v>593</v>
      </c>
      <c r="E18" s="62" t="s">
        <v>645</v>
      </c>
      <c r="F18" s="57" t="s">
        <v>142</v>
      </c>
      <c r="G18" s="61" t="str">
        <f>_xlfn.CONCAT(Таблица2[[#This Row],[Обознач]],"_",Таблица2[[#This Row],[Наимен]])</f>
        <v>KI.BP.440_Банан 6-01</v>
      </c>
      <c r="H18" s="61">
        <v>2</v>
      </c>
      <c r="I18" s="57"/>
      <c r="J18" s="57"/>
      <c r="K18" s="57" t="s">
        <v>77</v>
      </c>
      <c r="L18" s="57" t="s">
        <v>60</v>
      </c>
      <c r="M1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18" s="18" t="str">
        <f t="array" ref="P1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KI.BP.432_Труба осевая 300</v>
      </c>
      <c r="Q18" s="18">
        <f t="array" ref="Q1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18" s="18" t="str">
        <f t="array" ref="R1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18" s="7" t="str">
        <f t="array" ref="T18">IFERROR(INDEX($P$14:$P$101,SMALL(IF($R$14:$R$101="Гибка",ROW($R$14:$R$101)-ROW($R$14)+1),ROW()-ROW($T$14)+1))," ")</f>
        <v>KI.BP.432_Труба осевая 300</v>
      </c>
      <c r="U18" s="7">
        <f t="array" ref="U18">IFERROR(INDEX($Q$14:$Q$101,SMALL(IF($R$14:$R$101="Гибка",ROW($R$14:$R$101)-ROW($R$14)+1),ROW()-ROW($U$14)+1))," ")</f>
        <v>1</v>
      </c>
      <c r="W18" s="7" t="str">
        <f t="array" ref="W18">IFERROR(INDEX($P$14:$P$101,SMALL(IF($R$14:$R$101="Склад",ROW($R$14:$R$101)-ROW($R$14)+1),ROW()-ROW($W$14)+1))," ")</f>
        <v>Колесо_Delfi 24''</v>
      </c>
      <c r="X18" s="7">
        <f t="array" ref="X18">IFERROR(INDEX($Q$14:$Q$101,SMALL(IF($R$14:$R$101="Склад",ROW($R$14:$R$101)-ROW($R$14)+1),ROW()-ROW($W$14)+1))," ")</f>
        <v>2</v>
      </c>
      <c r="Z18" s="7" t="str">
        <f t="array" ref="Z18">IFERROR(INDEX($P$14:$P$101,SMALL(IF($R$14:$R$101="Сварка",ROW($R$14:$R$101)-ROW($R$14)+1),ROW()-ROW($Z$14)+1))," ")</f>
        <v xml:space="preserve"> </v>
      </c>
      <c r="AA18" s="7" t="str">
        <f t="array" ref="AA18">IFERROR(INDEX($Q$14:$Q$101,SMALL(IF($R$14:$R$101="сварка",ROW($R$14:$R$101)-ROW($R$14)+1),ROW()-ROW($Z$14)+1))," ")</f>
        <v xml:space="preserve"> </v>
      </c>
    </row>
    <row r="19" spans="2:27" ht="15" thickBot="1" x14ac:dyDescent="0.35">
      <c r="B19" s="97"/>
      <c r="C19" s="62" t="s">
        <v>1026</v>
      </c>
      <c r="D19" s="62" t="s">
        <v>593</v>
      </c>
      <c r="E19" s="62" t="s">
        <v>645</v>
      </c>
      <c r="F19" s="57" t="s">
        <v>143</v>
      </c>
      <c r="G19" s="61" t="str">
        <f>_xlfn.CONCAT(Таблица2[[#This Row],[Обознач]],"_",Таблица2[[#This Row],[Наимен]])</f>
        <v>KI.BP.440_Банан 6-02</v>
      </c>
      <c r="H19" s="61">
        <v>0</v>
      </c>
      <c r="I19" s="57"/>
      <c r="J19" s="57"/>
      <c r="K19" s="57" t="s">
        <v>77</v>
      </c>
      <c r="L19" s="57" t="s">
        <v>66</v>
      </c>
      <c r="M1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19" s="18" t="str">
        <f t="array" ref="P1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KI.BP.458_Вынос вилки</v>
      </c>
      <c r="Q19" s="18">
        <f t="array" ref="Q1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19" s="18" t="str">
        <f t="array" ref="R1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19" s="7" t="str">
        <f t="array" ref="T19">IFERROR(INDEX($P$14:$P$101,SMALL(IF($R$14:$R$101="Гибка",ROW($R$14:$R$101)-ROW($R$14)+1),ROW()-ROW($T$14)+1))," ")</f>
        <v>KI.BP.458_Вынос вилки</v>
      </c>
      <c r="U19" s="7">
        <f t="array" ref="U19">IFERROR(INDEX($Q$14:$Q$101,SMALL(IF($R$14:$R$101="Гибка",ROW($R$14:$R$101)-ROW($R$14)+1),ROW()-ROW($U$14)+1))," ")</f>
        <v>2</v>
      </c>
      <c r="W19" s="7" t="str">
        <f t="array" ref="W19">IFERROR(INDEX($P$14:$P$101,SMALL(IF($R$14:$R$101="Склад",ROW($R$14:$R$101)-ROW($R$14)+1),ROW()-ROW($W$14)+1))," ")</f>
        <v>KI.FP.103_Полукрыло A2</v>
      </c>
      <c r="X19" s="7">
        <f t="array" ref="X19">IFERROR(INDEX($Q$14:$Q$101,SMALL(IF($R$14:$R$101="Склад",ROW($R$14:$R$101)-ROW($R$14)+1),ROW()-ROW($W$14)+1))," ")</f>
        <v>2</v>
      </c>
      <c r="Z19" s="7" t="str">
        <f t="array" ref="Z19">IFERROR(INDEX($P$14:$P$101,SMALL(IF($R$14:$R$101="Сварка",ROW($R$14:$R$101)-ROW($R$14)+1),ROW()-ROW($Z$14)+1))," ")</f>
        <v xml:space="preserve"> </v>
      </c>
      <c r="AA19" s="7" t="str">
        <f t="array" ref="AA19">IFERROR(INDEX($Q$14:$Q$101,SMALL(IF($R$14:$R$101="сварка",ROW($R$14:$R$101)-ROW($R$14)+1),ROW()-ROW($Z$14)+1))," ")</f>
        <v xml:space="preserve"> </v>
      </c>
    </row>
    <row r="20" spans="2:27" ht="15" thickBot="1" x14ac:dyDescent="0.35">
      <c r="B20" s="97"/>
      <c r="C20" s="62" t="s">
        <v>636</v>
      </c>
      <c r="D20" s="62" t="s">
        <v>593</v>
      </c>
      <c r="E20" s="62" t="s">
        <v>913</v>
      </c>
      <c r="F20" s="57" t="s">
        <v>144</v>
      </c>
      <c r="G20" s="61" t="str">
        <f>_xlfn.CONCAT(Таблица2[[#This Row],[Обознач]],"_",Таблица2[[#This Row],[Наимен]])</f>
        <v>KI.BP.462_Банан 7</v>
      </c>
      <c r="H20" s="61">
        <v>2</v>
      </c>
      <c r="I20" s="57"/>
      <c r="J20" s="57"/>
      <c r="K20" s="57" t="s">
        <v>77</v>
      </c>
      <c r="L20" s="57" t="s">
        <v>10</v>
      </c>
      <c r="M2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0" s="18" t="str">
        <f t="array" ref="P2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KI.TP.103_Стакан переднего колеса</v>
      </c>
      <c r="Q20" s="18">
        <f t="array" ref="Q2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20" s="18" t="str">
        <f t="array" ref="R2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20" s="7" t="str">
        <f t="array" ref="T20">IFERROR(INDEX($P$14:$P$101,SMALL(IF($R$14:$R$101="Гибка",ROW($R$14:$R$101)-ROW($R$14)+1),ROW()-ROW($T$14)+1))," ")</f>
        <v>KI.BP.420_Трубка антиопрокидывателя</v>
      </c>
      <c r="U20" s="7">
        <f t="array" ref="U20">IFERROR(INDEX($Q$14:$Q$101,SMALL(IF($R$14:$R$101="Гибка",ROW($R$14:$R$101)-ROW($R$14)+1),ROW()-ROW($U$14)+1))," ")</f>
        <v>1</v>
      </c>
      <c r="W20" s="7" t="str">
        <f t="array" ref="W20">IFERROR(INDEX($P$14:$P$101,SMALL(IF($R$14:$R$101="Склад",ROW($R$14:$R$101)-ROW($R$14)+1),ROW()-ROW($W$14)+1))," ")</f>
        <v>Грипса_</v>
      </c>
      <c r="X20" s="7">
        <f t="array" ref="X20">IFERROR(INDEX($Q$14:$Q$101,SMALL(IF($R$14:$R$101="Склад",ROW($R$14:$R$101)-ROW($R$14)+1),ROW()-ROW($W$14)+1))," ")</f>
        <v>2</v>
      </c>
      <c r="Z20" s="7" t="str">
        <f t="array" ref="Z20">IFERROR(INDEX($P$14:$P$101,SMALL(IF($R$14:$R$101="Сварка",ROW($R$14:$R$101)-ROW($R$14)+1),ROW()-ROW($Z$14)+1))," ")</f>
        <v xml:space="preserve"> </v>
      </c>
      <c r="AA20" s="7" t="str">
        <f t="array" ref="AA20">IFERROR(INDEX($Q$14:$Q$101,SMALL(IF($R$14:$R$101="сварка",ROW($R$14:$R$101)-ROW($R$14)+1),ROW()-ROW($Z$14)+1))," ")</f>
        <v xml:space="preserve"> </v>
      </c>
    </row>
    <row r="21" spans="2:27" ht="15" thickBot="1" x14ac:dyDescent="0.35">
      <c r="B21" s="97"/>
      <c r="C21" s="62" t="s">
        <v>8</v>
      </c>
      <c r="D21" s="62" t="s">
        <v>593</v>
      </c>
      <c r="E21" s="62" t="s">
        <v>964</v>
      </c>
      <c r="F21" s="57" t="s">
        <v>145</v>
      </c>
      <c r="G21" s="61" t="str">
        <f>_xlfn.CONCAT(Таблица2[[#This Row],[Обознач]],"_",Таблица2[[#This Row],[Наимен]])</f>
        <v>KI.BP.471_Банан 7-01</v>
      </c>
      <c r="H21" s="61">
        <v>2</v>
      </c>
      <c r="I21" s="57"/>
      <c r="J21" s="57"/>
      <c r="K21" s="57" t="s">
        <v>77</v>
      </c>
      <c r="L21" s="57" t="s">
        <v>60</v>
      </c>
      <c r="M2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1" s="18" t="str">
        <f t="array" ref="P2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KI.TP.104_Втулка ресивера колеса</v>
      </c>
      <c r="Q21" s="18">
        <f t="array" ref="Q2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21" s="18" t="str">
        <f t="array" ref="R2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21" s="7" t="str">
        <f t="array" ref="T21">IFERROR(INDEX($P$14:$P$101,SMALL(IF($R$14:$R$101="Гибка",ROW($R$14:$R$101)-ROW($R$14)+1),ROW()-ROW($T$14)+1))," ")</f>
        <v>KI.BP.327_Рукоятка AJ</v>
      </c>
      <c r="U21" s="7">
        <f t="array" ref="U21">IFERROR(INDEX($Q$14:$Q$101,SMALL(IF($R$14:$R$101="Гибка",ROW($R$14:$R$101)-ROW($R$14)+1),ROW()-ROW($U$14)+1))," ")</f>
        <v>2</v>
      </c>
      <c r="W21" s="7" t="str">
        <f t="array" ref="W21">IFERROR(INDEX($P$14:$P$101,SMALL(IF($R$14:$R$101="Склад",ROW($R$14:$R$101)-ROW($R$14)+1),ROW()-ROW($W$14)+1))," ")</f>
        <v>KI.SA.006_Колесо кастера</v>
      </c>
      <c r="X21" s="7">
        <f t="array" ref="X21">IFERROR(INDEX($Q$14:$Q$101,SMALL(IF($R$14:$R$101="Склад",ROW($R$14:$R$101)-ROW($R$14)+1),ROW()-ROW($W$14)+1))," ")</f>
        <v>2</v>
      </c>
      <c r="Z21" s="7" t="str">
        <f t="array" ref="Z21">IFERROR(INDEX($P$14:$P$101,SMALL(IF($R$14:$R$101="Сварка",ROW($R$14:$R$101)-ROW($R$14)+1),ROW()-ROW($Z$14)+1))," ")</f>
        <v xml:space="preserve"> </v>
      </c>
      <c r="AA21" s="7" t="str">
        <f t="array" ref="AA21">IFERROR(INDEX($Q$14:$Q$101,SMALL(IF($R$14:$R$101="сварка",ROW($R$14:$R$101)-ROW($R$14)+1),ROW()-ROW($Z$14)+1))," ")</f>
        <v xml:space="preserve"> </v>
      </c>
    </row>
    <row r="22" spans="2:27" ht="15" thickBot="1" x14ac:dyDescent="0.35">
      <c r="B22" s="97"/>
      <c r="C22" s="62" t="s">
        <v>1026</v>
      </c>
      <c r="D22" s="62" t="s">
        <v>593</v>
      </c>
      <c r="E22" s="62" t="s">
        <v>964</v>
      </c>
      <c r="F22" s="57" t="s">
        <v>146</v>
      </c>
      <c r="G22" s="61" t="str">
        <f>_xlfn.CONCAT(Таблица2[[#This Row],[Обознач]],"_",Таблица2[[#This Row],[Наимен]])</f>
        <v>KI.BP.471_Банан 7-02</v>
      </c>
      <c r="H22" s="61">
        <v>0</v>
      </c>
      <c r="I22" s="57"/>
      <c r="J22" s="57"/>
      <c r="K22" s="57" t="s">
        <v>77</v>
      </c>
      <c r="L22" s="57" t="s">
        <v>66</v>
      </c>
      <c r="M2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2" s="18" t="str">
        <f t="array" ref="P2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KI.BP.420_Трубка антиопрокидывателя</v>
      </c>
      <c r="Q22" s="18">
        <f t="array" ref="Q2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22" s="18" t="str">
        <f t="array" ref="R2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22" s="7" t="str">
        <f t="array" ref="T22">IFERROR(INDEX($P$14:$P$101,SMALL(IF($R$14:$R$101="Гибка",ROW($R$14:$R$101)-ROW($R$14)+1),ROW()-ROW($T$14)+1))," ")</f>
        <v>KI.BP.435_Мост спинки 300</v>
      </c>
      <c r="U22" s="7">
        <f t="array" ref="U22">IFERROR(INDEX($Q$14:$Q$101,SMALL(IF($R$14:$R$101="Гибка",ROW($R$14:$R$101)-ROW($R$14)+1),ROW()-ROW($U$14)+1))," ")</f>
        <v>1</v>
      </c>
      <c r="W22" s="7" t="str">
        <f t="array" ref="W22">IFERROR(INDEX($P$14:$P$101,SMALL(IF($R$14:$R$101="Склад",ROW($R$14:$R$101)-ROW($R$14)+1),ROW()-ROW($W$14)+1))," ")</f>
        <v>KI.TP.010_Проставка колеса кастора</v>
      </c>
      <c r="X22" s="7">
        <f t="array" ref="X22">IFERROR(INDEX($Q$14:$Q$101,SMALL(IF($R$14:$R$101="Склад",ROW($R$14:$R$101)-ROW($R$14)+1),ROW()-ROW($W$14)+1))," ")</f>
        <v>2</v>
      </c>
      <c r="Z22" s="7" t="str">
        <f t="array" ref="Z22">IFERROR(INDEX($P$14:$P$101,SMALL(IF($R$14:$R$101="Сварка",ROW($R$14:$R$101)-ROW($R$14)+1),ROW()-ROW($Z$14)+1))," ")</f>
        <v xml:space="preserve"> </v>
      </c>
      <c r="AA22" s="7" t="str">
        <f t="array" ref="AA22">IFERROR(INDEX($Q$14:$Q$101,SMALL(IF($R$14:$R$101="сварка",ROW($R$14:$R$101)-ROW($R$14)+1),ROW()-ROW($Z$14)+1))," ")</f>
        <v xml:space="preserve"> </v>
      </c>
    </row>
    <row r="23" spans="2:27" ht="29.4" thickBot="1" x14ac:dyDescent="0.35">
      <c r="B23" s="97"/>
      <c r="C23" s="61">
        <v>270</v>
      </c>
      <c r="D23" s="62" t="s">
        <v>593</v>
      </c>
      <c r="E23" s="62" t="s">
        <v>601</v>
      </c>
      <c r="F23" s="57" t="s">
        <v>310</v>
      </c>
      <c r="G23" s="61" t="str">
        <f>_xlfn.CONCAT(Таблица2[[#This Row],[Обознач]],"_",Таблица2[[#This Row],[Наимен]])</f>
        <v>KI.BP.422_Мост сидения прямой 270</v>
      </c>
      <c r="H23" s="61">
        <v>1</v>
      </c>
      <c r="I23" s="57" t="s">
        <v>77</v>
      </c>
      <c r="J23" s="57" t="s">
        <v>77</v>
      </c>
      <c r="K23" s="57"/>
      <c r="L23" s="59" t="s">
        <v>170</v>
      </c>
      <c r="M2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3" s="18" t="str">
        <f t="array" ref="P2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KI.BP.327_Рукоятка AJ</v>
      </c>
      <c r="Q23" s="18">
        <f t="array" ref="Q2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23" s="18" t="str">
        <f t="array" ref="R2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23" s="7" t="str">
        <f t="array" ref="T23">IFERROR(INDEX($P$14:$P$101,SMALL(IF($R$14:$R$101="Гибка",ROW($R$14:$R$101)-ROW($R$14)+1),ROW()-ROW($T$14)+1))," ")</f>
        <v>KI.BP.427_Вертикальная трубка спинки 300</v>
      </c>
      <c r="U23" s="7">
        <f t="array" ref="U23">IFERROR(INDEX($Q$14:$Q$101,SMALL(IF($R$14:$R$101="Гибка",ROW($R$14:$R$101)-ROW($R$14)+1),ROW()-ROW($U$14)+1))," ")</f>
        <v>2</v>
      </c>
      <c r="W23" s="7" t="str">
        <f t="array" ref="W23">IFERROR(INDEX($P$14:$P$101,SMALL(IF($R$14:$R$101="Склад",ROW($R$14:$R$101)-ROW($R$14)+1),ROW()-ROW($W$14)+1))," ")</f>
        <v>KI.TP.103_Стакан переднего колеса</v>
      </c>
      <c r="X23" s="7">
        <f t="array" ref="X23">IFERROR(INDEX($Q$14:$Q$101,SMALL(IF($R$14:$R$101="Склад",ROW($R$14:$R$101)-ROW($R$14)+1),ROW()-ROW($W$14)+1))," ")</f>
        <v>2</v>
      </c>
      <c r="Z23" s="7" t="str">
        <f t="array" ref="Z23">IFERROR(INDEX($P$14:$P$101,SMALL(IF($R$14:$R$101="Сварка",ROW($R$14:$R$101)-ROW($R$14)+1),ROW()-ROW($Z$14)+1))," ")</f>
        <v xml:space="preserve"> </v>
      </c>
      <c r="AA23" s="7" t="str">
        <f t="array" ref="AA23">IFERROR(INDEX($Q$14:$Q$101,SMALL(IF($R$14:$R$101="сварка",ROW($R$14:$R$101)-ROW($R$14)+1),ROW()-ROW($Z$14)+1))," ")</f>
        <v xml:space="preserve"> </v>
      </c>
    </row>
    <row r="24" spans="2:27" ht="29.4" thickBot="1" x14ac:dyDescent="0.35">
      <c r="B24" s="97"/>
      <c r="C24" s="61">
        <v>300</v>
      </c>
      <c r="D24" s="62" t="s">
        <v>593</v>
      </c>
      <c r="E24" s="62" t="s">
        <v>648</v>
      </c>
      <c r="F24" s="57" t="s">
        <v>311</v>
      </c>
      <c r="G24" s="61" t="str">
        <f>_xlfn.CONCAT(Таблица2[[#This Row],[Обознач]],"_",Таблица2[[#This Row],[Наимен]])</f>
        <v>KI.BP.442_Мост сидения прямой 300</v>
      </c>
      <c r="H24" s="61">
        <v>1</v>
      </c>
      <c r="I24" s="57" t="s">
        <v>77</v>
      </c>
      <c r="J24" s="57" t="s">
        <v>77</v>
      </c>
      <c r="K24" s="57"/>
      <c r="L24" s="59" t="s">
        <v>171</v>
      </c>
      <c r="M2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24" s="18" t="str">
        <f t="array" ref="P2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KI.BP.435_Мост спинки 300</v>
      </c>
      <c r="Q24" s="18">
        <f t="array" ref="Q2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24" s="18" t="str">
        <f t="array" ref="R2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24" s="7" t="str">
        <f t="array" ref="T24">IFERROR(INDEX($P$14:$P$101,SMALL(IF($R$14:$R$101="Гибка",ROW($R$14:$R$101)-ROW($R$14)+1),ROW()-ROW($T$14)+1))," ")</f>
        <v>KI.BP.469_Подножка АJ сварная 300</v>
      </c>
      <c r="U24" s="7">
        <f t="array" ref="U24">IFERROR(INDEX($Q$14:$Q$101,SMALL(IF($R$14:$R$101="Гибка",ROW($R$14:$R$101)-ROW($R$14)+1),ROW()-ROW($U$14)+1))," ")</f>
        <v>1</v>
      </c>
      <c r="W24" s="7" t="str">
        <f t="array" ref="W24">IFERROR(INDEX($P$14:$P$101,SMALL(IF($R$14:$R$101="Склад",ROW($R$14:$R$101)-ROW($R$14)+1),ROW()-ROW($W$14)+1))," ")</f>
        <v>KI.CP.113_Ресивер подножки</v>
      </c>
      <c r="X24" s="7">
        <f t="array" ref="X24">IFERROR(INDEX($Q$14:$Q$101,SMALL(IF($R$14:$R$101="Склад",ROW($R$14:$R$101)-ROW($R$14)+1),ROW()-ROW($W$14)+1))," ")</f>
        <v>2</v>
      </c>
      <c r="Z24" s="7" t="str">
        <f t="array" ref="Z24">IFERROR(INDEX($P$14:$P$101,SMALL(IF($R$14:$R$101="Сварка",ROW($R$14:$R$101)-ROW($R$14)+1),ROW()-ROW($Z$14)+1))," ")</f>
        <v xml:space="preserve"> </v>
      </c>
      <c r="AA24" s="7" t="str">
        <f t="array" ref="AA24">IFERROR(INDEX($Q$14:$Q$101,SMALL(IF($R$14:$R$101="сварка",ROW($R$14:$R$101)-ROW($R$14)+1),ROW()-ROW($Z$14)+1))," ")</f>
        <v xml:space="preserve"> </v>
      </c>
    </row>
    <row r="25" spans="2:27" ht="29.4" thickBot="1" x14ac:dyDescent="0.35">
      <c r="B25" s="97"/>
      <c r="C25" s="61">
        <v>330</v>
      </c>
      <c r="D25" s="62" t="s">
        <v>593</v>
      </c>
      <c r="E25" s="62" t="s">
        <v>230</v>
      </c>
      <c r="F25" s="57" t="s">
        <v>231</v>
      </c>
      <c r="G25" s="61" t="str">
        <f>_xlfn.CONCAT(Таблица2[[#This Row],[Обознач]],"_",Таблица2[[#This Row],[Наимен]])</f>
        <v>KI.BP.402_Мост сидения прямой 330</v>
      </c>
      <c r="H25" s="61">
        <v>1</v>
      </c>
      <c r="I25" s="57" t="s">
        <v>77</v>
      </c>
      <c r="J25" s="57" t="s">
        <v>77</v>
      </c>
      <c r="K25" s="57"/>
      <c r="L25" s="59" t="s">
        <v>172</v>
      </c>
      <c r="M2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5" s="18" t="str">
        <f t="array" ref="P2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KI.SP.322_Крыло 3</v>
      </c>
      <c r="Q25" s="18">
        <f t="array" ref="Q2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25" s="18" t="str">
        <f t="array" ref="R2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Листовой</v>
      </c>
      <c r="T25" s="7" t="str">
        <f t="array" ref="T25">IFERROR(INDEX($P$14:$P$101,SMALL(IF($R$14:$R$101="Гибка",ROW($R$14:$R$101)-ROW($R$14)+1),ROW()-ROW($T$14)+1))," ")</f>
        <v xml:space="preserve"> </v>
      </c>
      <c r="U25" s="7" t="str">
        <f t="array" ref="U25">IFERROR(INDEX($Q$14:$Q$101,SMALL(IF($R$14:$R$101="Гибка",ROW($R$14:$R$101)-ROW($R$14)+1),ROW()-ROW($U$14)+1))," ")</f>
        <v xml:space="preserve"> </v>
      </c>
      <c r="W25" s="7" t="str">
        <f t="array" ref="W25">IFERROR(INDEX($P$14:$P$101,SMALL(IF($R$14:$R$101="Склад",ROW($R$14:$R$101)-ROW($R$14)+1),ROW()-ROW($W$14)+1))," ")</f>
        <v>KI.TP.106_Стакан D25 L60</v>
      </c>
      <c r="X25" s="7">
        <f t="array" ref="X25">IFERROR(INDEX($Q$14:$Q$101,SMALL(IF($R$14:$R$101="Склад",ROW($R$14:$R$101)-ROW($R$14)+1),ROW()-ROW($W$14)+1))," ")</f>
        <v>1</v>
      </c>
      <c r="Z25" s="7" t="str">
        <f t="array" ref="Z25">IFERROR(INDEX($P$14:$P$101,SMALL(IF($R$14:$R$101="Сварка",ROW($R$14:$R$101)-ROW($R$14)+1),ROW()-ROW($Z$14)+1))," ")</f>
        <v xml:space="preserve"> </v>
      </c>
      <c r="AA25" s="7" t="str">
        <f t="array" ref="AA25">IFERROR(INDEX($Q$14:$Q$101,SMALL(IF($R$14:$R$101="сварка",ROW($R$14:$R$101)-ROW($R$14)+1),ROW()-ROW($Z$14)+1))," ")</f>
        <v xml:space="preserve"> </v>
      </c>
    </row>
    <row r="26" spans="2:27" ht="29.4" thickBot="1" x14ac:dyDescent="0.35">
      <c r="B26" s="97"/>
      <c r="C26" s="61">
        <v>360</v>
      </c>
      <c r="D26" s="62" t="s">
        <v>593</v>
      </c>
      <c r="E26" s="62" t="s">
        <v>252</v>
      </c>
      <c r="F26" s="57" t="s">
        <v>251</v>
      </c>
      <c r="G26" s="61" t="str">
        <f>_xlfn.CONCAT(Таблица2[[#This Row],[Обознач]],"_",Таблица2[[#This Row],[Наимен]])</f>
        <v>KI.BP.415_Мост сидения прямой 360</v>
      </c>
      <c r="H26" s="61">
        <v>1</v>
      </c>
      <c r="I26" s="57" t="s">
        <v>77</v>
      </c>
      <c r="J26" s="57" t="s">
        <v>77</v>
      </c>
      <c r="K26" s="57"/>
      <c r="L26" s="59" t="s">
        <v>173</v>
      </c>
      <c r="M2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6" s="18" t="str">
        <f t="array" ref="P2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KI.MP.079_Вилка кастора АJ</v>
      </c>
      <c r="Q26" s="18">
        <f t="array" ref="Q2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26" s="18" t="str">
        <f t="array" ref="R2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26" s="7" t="str">
        <f t="array" ref="T26">IFERROR(INDEX($P$14:$P$101,SMALL(IF($R$14:$R$101="Гибка",ROW($R$14:$R$101)-ROW($R$14)+1),ROW()-ROW($T$14)+1))," ")</f>
        <v xml:space="preserve"> </v>
      </c>
      <c r="U26" s="7" t="str">
        <f t="array" ref="U26">IFERROR(INDEX($Q$14:$Q$101,SMALL(IF($R$14:$R$101="Гибка",ROW($R$14:$R$101)-ROW($R$14)+1),ROW()-ROW($U$14)+1))," ")</f>
        <v xml:space="preserve"> </v>
      </c>
      <c r="W26" s="7" t="str">
        <f t="array" ref="W26">IFERROR(INDEX($P$14:$P$101,SMALL(IF($R$14:$R$101="Склад",ROW($R$14:$R$101)-ROW($R$14)+1),ROW()-ROW($W$14)+1))," ")</f>
        <v>KI.TP.075_Стакан антиопрокидывателя</v>
      </c>
      <c r="X26" s="7">
        <f t="array" ref="X26">IFERROR(INDEX($Q$14:$Q$101,SMALL(IF($R$14:$R$101="Склад",ROW($R$14:$R$101)-ROW($R$14)+1),ROW()-ROW($W$14)+1))," ")</f>
        <v>2</v>
      </c>
      <c r="Z26" s="7" t="str">
        <f t="array" ref="Z26">IFERROR(INDEX($P$14:$P$101,SMALL(IF($R$14:$R$101="Сварка",ROW($R$14:$R$101)-ROW($R$14)+1),ROW()-ROW($Z$14)+1))," ")</f>
        <v xml:space="preserve"> </v>
      </c>
      <c r="AA26" s="7" t="str">
        <f t="array" ref="AA26">IFERROR(INDEX($Q$14:$Q$101,SMALL(IF($R$14:$R$101="сварка",ROW($R$14:$R$101)-ROW($R$14)+1),ROW()-ROW($Z$14)+1))," ")</f>
        <v xml:space="preserve"> </v>
      </c>
    </row>
    <row r="27" spans="2:27" ht="29.4" thickBot="1" x14ac:dyDescent="0.35">
      <c r="B27" s="97"/>
      <c r="C27" s="61">
        <v>390</v>
      </c>
      <c r="D27" s="62" t="s">
        <v>593</v>
      </c>
      <c r="E27" s="62" t="s">
        <v>619</v>
      </c>
      <c r="F27" s="57" t="s">
        <v>312</v>
      </c>
      <c r="G27" s="61" t="str">
        <f>_xlfn.CONCAT(Таблица2[[#This Row],[Обознач]],"_",Таблица2[[#This Row],[Наимен]])</f>
        <v>KI.BP.430_Мост сидения прямой 390</v>
      </c>
      <c r="H27" s="61">
        <v>1</v>
      </c>
      <c r="I27" s="57" t="s">
        <v>77</v>
      </c>
      <c r="J27" s="57" t="s">
        <v>77</v>
      </c>
      <c r="K27" s="57"/>
      <c r="L27" s="59" t="s">
        <v>174</v>
      </c>
      <c r="M2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7" s="18" t="str">
        <f t="array" ref="P2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KI.MP.079-00M_Вилка кастора АJ</v>
      </c>
      <c r="Q27" s="18">
        <f t="array" ref="Q2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27" s="18" t="str">
        <f t="array" ref="R2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27" s="7" t="str">
        <f t="array" ref="T27">IFERROR(INDEX($P$14:$P$101,SMALL(IF($R$14:$R$101="Гибка",ROW($R$14:$R$101)-ROW($R$14)+1),ROW()-ROW($T$14)+1))," ")</f>
        <v xml:space="preserve"> </v>
      </c>
      <c r="U27" s="7" t="str">
        <f t="array" ref="U27">IFERROR(INDEX($Q$14:$Q$101,SMALL(IF($R$14:$R$101="Гибка",ROW($R$14:$R$101)-ROW($R$14)+1),ROW()-ROW($U$14)+1))," ")</f>
        <v xml:space="preserve"> </v>
      </c>
      <c r="W27" s="7" t="str">
        <f t="array" ref="W27">IFERROR(INDEX($P$14:$P$101,SMALL(IF($R$14:$R$101="Склад",ROW($R$14:$R$101)-ROW($R$14)+1),ROW()-ROW($W$14)+1))," ")</f>
        <v>KI.MP.084_KI.MP.084_Кронштейн складывания внешний</v>
      </c>
      <c r="X27" s="7">
        <f t="array" ref="X27">IFERROR(INDEX($Q$14:$Q$101,SMALL(IF($R$14:$R$101="Склад",ROW($R$14:$R$101)-ROW($R$14)+1),ROW()-ROW($W$14)+1))," ")</f>
        <v>1</v>
      </c>
    </row>
    <row r="28" spans="2:27" ht="29.4" thickBot="1" x14ac:dyDescent="0.35">
      <c r="B28" s="97"/>
      <c r="C28" s="61">
        <v>420</v>
      </c>
      <c r="D28" s="62" t="s">
        <v>593</v>
      </c>
      <c r="E28" s="62" t="s">
        <v>857</v>
      </c>
      <c r="F28" s="57" t="s">
        <v>313</v>
      </c>
      <c r="G28" s="61" t="str">
        <f>_xlfn.CONCAT(Таблица2[[#This Row],[Обознач]],"_",Таблица2[[#This Row],[Наимен]])</f>
        <v>KI.BP.445_Мост сидения прямой 420</v>
      </c>
      <c r="H28" s="61">
        <v>1</v>
      </c>
      <c r="I28" s="57" t="s">
        <v>77</v>
      </c>
      <c r="J28" s="57" t="s">
        <v>77</v>
      </c>
      <c r="K28" s="57"/>
      <c r="L28" s="59" t="s">
        <v>175</v>
      </c>
      <c r="M2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8" s="18" t="str">
        <f t="array" ref="P2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Колесо_Delfi 24''</v>
      </c>
      <c r="Q28" s="18">
        <f t="array" ref="Q2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28" s="18" t="str">
        <f t="array" ref="R2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28" s="7" t="str">
        <f t="array" ref="T28">IFERROR(INDEX($P$14:$P$101,SMALL(IF($R$14:$R$101="Гибка",ROW($R$14:$R$101)-ROW($R$14)+1),ROW()-ROW($T$14)+1))," ")</f>
        <v xml:space="preserve"> </v>
      </c>
      <c r="U28" s="7" t="str">
        <f t="array" ref="U28">IFERROR(INDEX($Q$14:$Q$101,SMALL(IF($R$14:$R$101="Гибка",ROW($R$14:$R$101)-ROW($R$14)+1),ROW()-ROW($U$14)+1))," ")</f>
        <v xml:space="preserve"> </v>
      </c>
      <c r="W28" s="7" t="str">
        <f t="array" ref="W28">IFERROR(INDEX($P$14:$P$101,SMALL(IF($R$14:$R$101="Склад",ROW($R$14:$R$101)-ROW($R$14)+1),ROW()-ROW($W$14)+1))," ")</f>
        <v>KI.MP.084-00M_KI.MP.084_Кронштейн складывания внешний</v>
      </c>
      <c r="X28" s="7">
        <f t="array" ref="X28">IFERROR(INDEX($Q$14:$Q$101,SMALL(IF($R$14:$R$101="Склад",ROW($R$14:$R$101)-ROW($R$14)+1),ROW()-ROW($W$14)+1))," ")</f>
        <v>1</v>
      </c>
    </row>
    <row r="29" spans="2:27" ht="29.4" thickBot="1" x14ac:dyDescent="0.35">
      <c r="B29" s="97"/>
      <c r="C29" s="62">
        <v>1</v>
      </c>
      <c r="D29" s="62" t="s">
        <v>593</v>
      </c>
      <c r="E29" s="62" t="s">
        <v>599</v>
      </c>
      <c r="F29" s="57" t="s">
        <v>362</v>
      </c>
      <c r="G29" s="61" t="str">
        <f>_xlfn.CONCAT(Таблица2[[#This Row],[Обознач]],"_",Таблица2[[#This Row],[Наимен]])</f>
        <v>KI.BP.408_Вынос осевой трубы 1/3/5</v>
      </c>
      <c r="H29" s="61">
        <v>2</v>
      </c>
      <c r="I29" s="57" t="s">
        <v>77</v>
      </c>
      <c r="J29" s="61">
        <v>72</v>
      </c>
      <c r="K29" s="57" t="s">
        <v>77</v>
      </c>
      <c r="L29" s="59" t="s">
        <v>177</v>
      </c>
      <c r="M2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9" s="18" t="str">
        <f t="array" ref="P2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KI.FP.103_Полукрыло A2</v>
      </c>
      <c r="Q29" s="18">
        <f t="array" ref="Q2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29" s="18" t="str">
        <f t="array" ref="R2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29" s="7" t="str">
        <f t="array" ref="T29">IFERROR(INDEX($P$14:$P$101,SMALL(IF($R$14:$R$101="Гибка",ROW($R$14:$R$101)-ROW($R$14)+1),ROW()-ROW($T$14)+1))," ")</f>
        <v xml:space="preserve"> </v>
      </c>
      <c r="U29" s="7" t="str">
        <f t="array" ref="U29">IFERROR(INDEX($Q$14:$Q$101,SMALL(IF($R$14:$R$101="Гибка",ROW($R$14:$R$101)-ROW($R$14)+1),ROW()-ROW($U$14)+1))," ")</f>
        <v xml:space="preserve"> </v>
      </c>
      <c r="W29" s="7" t="str">
        <f t="array" ref="W29">IFERROR(INDEX($P$14:$P$101,SMALL(IF($R$14:$R$101="Склад",ROW($R$14:$R$101)-ROW($R$14)+1),ROW()-ROW($W$14)+1))," ")</f>
        <v>KI.MP.085_Кронштейн складывания внутренний</v>
      </c>
      <c r="X29" s="7">
        <f t="array" ref="X29">IFERROR(INDEX($Q$14:$Q$101,SMALL(IF($R$14:$R$101="Склад",ROW($R$14:$R$101)-ROW($R$14)+1),ROW()-ROW($W$14)+1))," ")</f>
        <v>1</v>
      </c>
    </row>
    <row r="30" spans="2:27" ht="29.4" thickBot="1" x14ac:dyDescent="0.35">
      <c r="B30" s="97"/>
      <c r="C30" s="62">
        <v>3</v>
      </c>
      <c r="D30" s="62" t="s">
        <v>593</v>
      </c>
      <c r="E30" s="62" t="s">
        <v>599</v>
      </c>
      <c r="F30" s="57" t="s">
        <v>362</v>
      </c>
      <c r="G30" s="61" t="str">
        <f>_xlfn.CONCAT(Таблица2[[#This Row],[Обознач]],"_",Таблица2[[#This Row],[Наимен]])</f>
        <v>KI.BP.408_Вынос осевой трубы 1/3/5</v>
      </c>
      <c r="H30" s="61">
        <v>2</v>
      </c>
      <c r="I30" s="57" t="s">
        <v>77</v>
      </c>
      <c r="J30" s="61">
        <v>72</v>
      </c>
      <c r="K30" s="57" t="s">
        <v>77</v>
      </c>
      <c r="L30" s="59" t="s">
        <v>177</v>
      </c>
      <c r="M3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30" s="18" t="str">
        <f t="array" ref="P3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KI.BP.427_Вертикальная трубка спинки 300</v>
      </c>
      <c r="Q30" s="18">
        <f t="array" ref="Q3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0" s="18" t="str">
        <f t="array" ref="R3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  <c r="T30" s="7" t="str">
        <f t="array" ref="T30">IFERROR(INDEX($P$14:$P$101,SMALL(IF($R$14:$R$101="Гибка",ROW($R$14:$R$101)-ROW($R$14)+1),ROW()-ROW($T$14)+1))," ")</f>
        <v xml:space="preserve"> </v>
      </c>
      <c r="U30" s="7" t="str">
        <f t="array" ref="U30">IFERROR(INDEX($Q$14:$Q$101,SMALL(IF($R$14:$R$101="Гибка",ROW($R$14:$R$101)-ROW($R$14)+1),ROW()-ROW($U$14)+1))," ")</f>
        <v xml:space="preserve"> </v>
      </c>
      <c r="W30" s="7" t="str">
        <f t="array" ref="W30">IFERROR(INDEX($P$14:$P$101,SMALL(IF($R$14:$R$101="Склад",ROW($R$14:$R$101)-ROW($R$14)+1),ROW()-ROW($W$14)+1))," ")</f>
        <v>KI.MP.085_Кронштейн складывания внутренний</v>
      </c>
      <c r="X30" s="7">
        <f t="array" ref="X30">IFERROR(INDEX($Q$14:$Q$101,SMALL(IF($R$14:$R$101="Склад",ROW($R$14:$R$101)-ROW($R$14)+1),ROW()-ROW($W$14)+1))," ")</f>
        <v>1</v>
      </c>
    </row>
    <row r="31" spans="2:27" ht="29.4" thickBot="1" x14ac:dyDescent="0.35">
      <c r="B31" s="97"/>
      <c r="C31" s="62">
        <v>5</v>
      </c>
      <c r="D31" s="62" t="s">
        <v>593</v>
      </c>
      <c r="E31" s="62" t="s">
        <v>599</v>
      </c>
      <c r="F31" s="57" t="s">
        <v>362</v>
      </c>
      <c r="G31" s="61" t="str">
        <f>_xlfn.CONCAT(Таблица2[[#This Row],[Обознач]],"_",Таблица2[[#This Row],[Наимен]])</f>
        <v>KI.BP.408_Вынос осевой трубы 1/3/5</v>
      </c>
      <c r="H31" s="61">
        <v>2</v>
      </c>
      <c r="I31" s="57" t="s">
        <v>77</v>
      </c>
      <c r="J31" s="61">
        <v>72</v>
      </c>
      <c r="K31" s="57" t="s">
        <v>77</v>
      </c>
      <c r="L31" s="59" t="s">
        <v>177</v>
      </c>
      <c r="M3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31" s="18" t="str">
        <f t="array" ref="P3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Грипса_</v>
      </c>
      <c r="Q31" s="18">
        <f t="array" ref="Q3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1" s="18" t="str">
        <f t="array" ref="R3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1" s="7" t="str">
        <f t="array" ref="T31">IFERROR(INDEX($P$14:$P$101,SMALL(IF($R$14:$R$101="Гибка",ROW($R$14:$R$101)-ROW($R$14)+1),ROW()-ROW($T$14)+1))," ")</f>
        <v xml:space="preserve"> </v>
      </c>
      <c r="U31" s="7" t="str">
        <f t="array" ref="U31">IFERROR(INDEX($Q$14:$Q$101,SMALL(IF($R$14:$R$101="Гибка",ROW($R$14:$R$101)-ROW($R$14)+1),ROW()-ROW($U$14)+1))," ")</f>
        <v xml:space="preserve"> </v>
      </c>
      <c r="W31" s="7" t="str">
        <f t="array" ref="W31">IFERROR(INDEX($P$14:$P$101,SMALL(IF($R$14:$R$101="Склад",ROW($R$14:$R$101)-ROW($R$14)+1),ROW()-ROW($W$14)+1))," ")</f>
        <v>KI.SP.310_Пластина кронштейна</v>
      </c>
      <c r="X31" s="7">
        <f t="array" ref="X31">IFERROR(INDEX($Q$14:$Q$101,SMALL(IF($R$14:$R$101="Склад",ROW($R$14:$R$101)-ROW($R$14)+1),ROW()-ROW($W$14)+1))," ")</f>
        <v>1</v>
      </c>
    </row>
    <row r="32" spans="2:27" ht="29.4" thickBot="1" x14ac:dyDescent="0.35">
      <c r="B32" s="97"/>
      <c r="C32" s="62">
        <v>2</v>
      </c>
      <c r="D32" s="62" t="s">
        <v>593</v>
      </c>
      <c r="E32" s="62" t="s">
        <v>242</v>
      </c>
      <c r="F32" s="57" t="s">
        <v>243</v>
      </c>
      <c r="G32" s="61" t="str">
        <f>_xlfn.CONCAT(Таблица2[[#This Row],[Обознач]],"_",Таблица2[[#This Row],[Наимен]])</f>
        <v>KI.BP.414_Вынос осевой трубы 2,4,6</v>
      </c>
      <c r="H32" s="61">
        <v>2</v>
      </c>
      <c r="I32" s="57" t="s">
        <v>77</v>
      </c>
      <c r="J32" s="61">
        <v>122</v>
      </c>
      <c r="K32" s="57" t="s">
        <v>77</v>
      </c>
      <c r="L32" s="59" t="s">
        <v>176</v>
      </c>
      <c r="M3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32" s="18" t="str">
        <f t="array" ref="P3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KI.SA.006_Колесо кастера</v>
      </c>
      <c r="Q32" s="18">
        <f t="array" ref="Q3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2" s="18" t="str">
        <f t="array" ref="R3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2" s="7" t="str">
        <f t="array" ref="T32">IFERROR(INDEX($P$14:$P$101,SMALL(IF($R$14:$R$101="Гибка",ROW($R$14:$R$101)-ROW($R$14)+1),ROW()-ROW($T$14)+1))," ")</f>
        <v xml:space="preserve"> </v>
      </c>
      <c r="U32" s="7" t="str">
        <f t="array" ref="U32">IFERROR(INDEX($Q$14:$Q$101,SMALL(IF($R$14:$R$101="Гибка",ROW($R$14:$R$101)-ROW($R$14)+1),ROW()-ROW($U$14)+1))," ")</f>
        <v xml:space="preserve"> </v>
      </c>
      <c r="W32" s="7" t="str">
        <f t="array" ref="W32">IFERROR(INDEX($P$14:$P$101,SMALL(IF($R$14:$R$101="Склад",ROW($R$14:$R$101)-ROW($R$14)+1),ROW()-ROW($W$14)+1))," ")</f>
        <v>KI.SP.310-00M_Пластина кронштейна</v>
      </c>
      <c r="X32" s="7">
        <f t="array" ref="X32">IFERROR(INDEX($Q$14:$Q$101,SMALL(IF($R$14:$R$101="Склад",ROW($R$14:$R$101)-ROW($R$14)+1),ROW()-ROW($W$14)+1))," ")</f>
        <v>1</v>
      </c>
    </row>
    <row r="33" spans="2:24" ht="29.4" thickBot="1" x14ac:dyDescent="0.35">
      <c r="B33" s="97"/>
      <c r="C33" s="62">
        <v>4</v>
      </c>
      <c r="D33" s="62" t="s">
        <v>593</v>
      </c>
      <c r="E33" s="62" t="s">
        <v>242</v>
      </c>
      <c r="F33" s="57" t="s">
        <v>243</v>
      </c>
      <c r="G33" s="61" t="str">
        <f>_xlfn.CONCAT(Таблица2[[#This Row],[Обознач]],"_",Таблица2[[#This Row],[Наимен]])</f>
        <v>KI.BP.414_Вынос осевой трубы 2,4,6</v>
      </c>
      <c r="H33" s="61">
        <v>2</v>
      </c>
      <c r="I33" s="57" t="s">
        <v>77</v>
      </c>
      <c r="J33" s="61">
        <v>122</v>
      </c>
      <c r="K33" s="57" t="s">
        <v>77</v>
      </c>
      <c r="L33" s="59" t="s">
        <v>176</v>
      </c>
      <c r="M3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33" s="18" t="str">
        <f t="array" ref="P3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KI.TP.010_Проставка колеса кастора</v>
      </c>
      <c r="Q33" s="18">
        <f t="array" ref="Q3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3" s="18" t="str">
        <f t="array" ref="R3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3" s="7" t="str">
        <f t="array" ref="T33">IFERROR(INDEX($P$14:$P$101,SMALL(IF($R$14:$R$101="Гибка",ROW($R$14:$R$101)-ROW($R$14)+1),ROW()-ROW($T$14)+1))," ")</f>
        <v xml:space="preserve"> </v>
      </c>
      <c r="U33" s="7" t="str">
        <f t="array" ref="U33">IFERROR(INDEX($Q$14:$Q$101,SMALL(IF($R$14:$R$101="Гибка",ROW($R$14:$R$101)-ROW($R$14)+1),ROW()-ROW($U$14)+1))," ")</f>
        <v xml:space="preserve"> </v>
      </c>
      <c r="W33" s="7" t="str">
        <f t="array" ref="W33">IFERROR(INDEX($P$14:$P$101,SMALL(IF($R$14:$R$101="Склад",ROW($R$14:$R$101)-ROW($R$14)+1),ROW()-ROW($W$14)+1))," ")</f>
        <v>K0342.03105_Штифт упорный</v>
      </c>
      <c r="X33" s="7">
        <f t="array" ref="X33">IFERROR(INDEX($Q$14:$Q$101,SMALL(IF($R$14:$R$101="Склад",ROW($R$14:$R$101)-ROW($R$14)+1),ROW()-ROW($W$14)+1))," ")</f>
        <v>2</v>
      </c>
    </row>
    <row r="34" spans="2:24" ht="29.4" thickBot="1" x14ac:dyDescent="0.35">
      <c r="B34" s="97"/>
      <c r="C34" s="62">
        <v>6</v>
      </c>
      <c r="D34" s="62" t="s">
        <v>593</v>
      </c>
      <c r="E34" s="62" t="s">
        <v>242</v>
      </c>
      <c r="F34" s="57" t="s">
        <v>243</v>
      </c>
      <c r="G34" s="61" t="str">
        <f>_xlfn.CONCAT(Таблица2[[#This Row],[Обознач]],"_",Таблица2[[#This Row],[Наимен]])</f>
        <v>KI.BP.414_Вынос осевой трубы 2,4,6</v>
      </c>
      <c r="H34" s="61">
        <v>2</v>
      </c>
      <c r="I34" s="57" t="s">
        <v>77</v>
      </c>
      <c r="J34" s="61">
        <v>122</v>
      </c>
      <c r="K34" s="57" t="s">
        <v>77</v>
      </c>
      <c r="L34" s="59" t="s">
        <v>176</v>
      </c>
      <c r="M3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34" s="18" t="str">
        <f t="array" ref="P3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KI.SP.360_Пластина сидения 300-3,4</v>
      </c>
      <c r="Q34" s="18">
        <f t="array" ref="Q3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34" s="18" t="str">
        <f t="array" ref="R3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Листовой</v>
      </c>
      <c r="T34" s="7" t="str">
        <f t="array" ref="T34">IFERROR(INDEX($P$14:$P$101,SMALL(IF($R$14:$R$101="Гибка",ROW($R$14:$R$101)-ROW($R$14)+1),ROW()-ROW($T$14)+1))," ")</f>
        <v xml:space="preserve"> </v>
      </c>
      <c r="U34" s="7" t="str">
        <f t="array" ref="U34">IFERROR(INDEX($Q$14:$Q$101,SMALL(IF($R$14:$R$101="Гибка",ROW($R$14:$R$101)-ROW($R$14)+1),ROW()-ROW($U$14)+1))," ")</f>
        <v xml:space="preserve"> </v>
      </c>
      <c r="W34" s="7" t="str">
        <f t="array" ref="W34">IFERROR(INDEX($P$14:$P$101,SMALL(IF($R$14:$R$101="Склад",ROW($R$14:$R$101)-ROW($R$14)+1),ROW()-ROW($W$14)+1))," ")</f>
        <v>_Хомут 25мм в сборе</v>
      </c>
      <c r="X34" s="7">
        <f t="array" ref="X34">IFERROR(INDEX($Q$14:$Q$101,SMALL(IF($R$14:$R$101="Склад",ROW($R$14:$R$101)-ROW($R$14)+1),ROW()-ROW($W$14)+1))," ")</f>
        <v>3</v>
      </c>
    </row>
    <row r="35" spans="2:24" ht="15.6" customHeight="1" thickBot="1" x14ac:dyDescent="0.35">
      <c r="B35" s="97"/>
      <c r="C35" s="62">
        <v>7</v>
      </c>
      <c r="D35" s="62" t="s">
        <v>593</v>
      </c>
      <c r="E35" s="62" t="s">
        <v>626</v>
      </c>
      <c r="F35" s="57" t="s">
        <v>363</v>
      </c>
      <c r="G35" s="61" t="str">
        <f>_xlfn.CONCAT(Таблица2[[#This Row],[Обознач]],"_",Таблица2[[#This Row],[Наимен]])</f>
        <v>KI.BP.434_Вынос осевой трубы 7</v>
      </c>
      <c r="H35" s="61">
        <v>2</v>
      </c>
      <c r="I35" s="57" t="s">
        <v>77</v>
      </c>
      <c r="J35" s="57"/>
      <c r="K35" s="57" t="s">
        <v>77</v>
      </c>
      <c r="L35" s="59" t="s">
        <v>178</v>
      </c>
      <c r="M3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35" s="18" t="str">
        <f t="array" ref="P3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?KI.BP.?_Тканевая подушка сидения 300-3,4</v>
      </c>
      <c r="Q35" s="18">
        <f t="array" ref="Q3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35" s="18" t="str">
        <f t="array" ref="R3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Пошив</v>
      </c>
      <c r="T35" s="7" t="str">
        <f t="array" ref="T35">IFERROR(INDEX($P$14:$P$101,SMALL(IF($R$14:$R$101="Гибка",ROW($R$14:$R$101)-ROW($R$14)+1),ROW()-ROW($T$14)+1))," ")</f>
        <v xml:space="preserve"> </v>
      </c>
      <c r="U35" s="7" t="str">
        <f t="array" ref="U35">IFERROR(INDEX($Q$14:$Q$101,SMALL(IF($R$14:$R$101="Гибка",ROW($R$14:$R$101)-ROW($R$14)+1),ROW()-ROW($U$14)+1))," ")</f>
        <v xml:space="preserve"> </v>
      </c>
      <c r="W35" s="7" t="str">
        <f t="array" ref="W35">IFERROR(INDEX($P$14:$P$101,SMALL(IF($R$14:$R$101="Склад",ROW($R$14:$R$101)-ROW($R$14)+1),ROW()-ROW($W$14)+1))," ")</f>
        <v>KI.SA.999_Тормоз в сборе</v>
      </c>
      <c r="X35" s="7">
        <f t="array" ref="X35">IFERROR(INDEX($Q$14:$Q$101,SMALL(IF($R$14:$R$101="Склад",ROW($R$14:$R$101)-ROW($R$14)+1),ROW()-ROW($W$14)+1))," ")</f>
        <v>1</v>
      </c>
    </row>
    <row r="36" spans="2:24" ht="15" thickBot="1" x14ac:dyDescent="0.35">
      <c r="B36" s="97"/>
      <c r="C36" s="62" t="s">
        <v>80</v>
      </c>
      <c r="D36" s="62" t="s">
        <v>593</v>
      </c>
      <c r="E36" s="62" t="s">
        <v>228</v>
      </c>
      <c r="F36" s="57" t="s">
        <v>156</v>
      </c>
      <c r="G36" s="61" t="str">
        <f>_xlfn.CONCAT(Таблица2[[#This Row],[Обознач]],"_",Таблица2[[#This Row],[Наимен]])</f>
        <v>KI.BP.391_Каркас спинки</v>
      </c>
      <c r="H36" s="61">
        <v>2</v>
      </c>
      <c r="I36" s="57"/>
      <c r="J36" s="57"/>
      <c r="K36" s="57"/>
      <c r="L36" s="59" t="s">
        <v>81</v>
      </c>
      <c r="M3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36" s="18" t="str">
        <f t="array" ref="P3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KI.TP.103_Стакан переднего колеса</v>
      </c>
      <c r="Q36" s="18">
        <f t="array" ref="Q3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6" s="18" t="str">
        <f t="array" ref="R3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6" s="7" t="str">
        <f t="array" ref="T36">IFERROR(INDEX($P$14:$P$101,SMALL(IF($R$14:$R$101="Гибка",ROW($R$14:$R$101)-ROW($R$14)+1),ROW()-ROW($T$14)+1))," ")</f>
        <v xml:space="preserve"> </v>
      </c>
      <c r="U36" s="7" t="str">
        <f t="array" ref="U36">IFERROR(INDEX($Q$14:$Q$101,SMALL(IF($R$14:$R$101="Гибка",ROW($R$14:$R$101)-ROW($R$14)+1),ROW()-ROW($U$14)+1))," ")</f>
        <v xml:space="preserve"> </v>
      </c>
      <c r="W36" s="7" t="str">
        <f t="array" ref="W36">IFERROR(INDEX($P$14:$P$101,SMALL(IF($R$14:$R$101="Склад",ROW($R$14:$R$101)-ROW($R$14)+1),ROW()-ROW($W$14)+1))," ")</f>
        <v>KI.SA.999-00M_Тормоз в сборе</v>
      </c>
      <c r="X36" s="7">
        <f t="array" ref="X36">IFERROR(INDEX($Q$14:$Q$101,SMALL(IF($R$14:$R$101="Склад",ROW($R$14:$R$101)-ROW($R$14)+1),ROW()-ROW($W$14)+1))," ")</f>
        <v>1</v>
      </c>
    </row>
    <row r="37" spans="2:24" ht="15" thickBot="1" x14ac:dyDescent="0.35">
      <c r="B37" s="11"/>
      <c r="C37" s="62" t="s">
        <v>1026</v>
      </c>
      <c r="D37" s="62" t="s">
        <v>593</v>
      </c>
      <c r="E37" s="62" t="s">
        <v>361</v>
      </c>
      <c r="F37" s="57" t="s">
        <v>156</v>
      </c>
      <c r="G37" s="61" t="str">
        <f>_xlfn.CONCAT(Таблица2[[#This Row],[Обознач]],"_",Таблица2[[#This Row],[Наимен]])</f>
        <v>KI.BP.391-00M_Каркас спинки</v>
      </c>
      <c r="H37" s="61">
        <v>0</v>
      </c>
      <c r="I37" s="57"/>
      <c r="J37" s="57"/>
      <c r="K37" s="57"/>
      <c r="L37" s="59" t="s">
        <v>81</v>
      </c>
      <c r="M3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37" s="18" t="str">
        <f t="array" ref="P3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KI.CP.113_Ресивер подножки</v>
      </c>
      <c r="Q37" s="18">
        <f t="array" ref="Q3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7" s="18" t="str">
        <f t="array" ref="R3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7" s="7" t="str">
        <f t="array" ref="T37">IFERROR(INDEX($P$14:$P$101,SMALL(IF($R$14:$R$101="Гибка",ROW($R$14:$R$101)-ROW($R$14)+1),ROW()-ROW($T$14)+1))," ")</f>
        <v xml:space="preserve"> </v>
      </c>
      <c r="U37" s="7" t="str">
        <f t="array" ref="U37">IFERROR(INDEX($Q$14:$Q$101,SMALL(IF($R$14:$R$101="Гибка",ROW($R$14:$R$101)-ROW($R$14)+1),ROW()-ROW($U$14)+1))," ")</f>
        <v xml:space="preserve"> </v>
      </c>
      <c r="W37" s="7" t="str">
        <f t="array" ref="W37">IFERROR(INDEX($P$14:$P$101,SMALL(IF($R$14:$R$101="Склад",ROW($R$14:$R$101)-ROW($R$14)+1),ROW()-ROW($W$14)+1))," ")</f>
        <v>KI.SA.246_Антиопрокидыватель A2 в сборе</v>
      </c>
      <c r="X37" s="7">
        <f t="array" ref="X37">IFERROR(INDEX($Q$14:$Q$101,SMALL(IF($R$14:$R$101="Склад",ROW($R$14:$R$101)-ROW($R$14)+1),ROW()-ROW($W$14)+1))," ")</f>
        <v>1</v>
      </c>
    </row>
    <row r="38" spans="2:24" ht="29.4" thickBot="1" x14ac:dyDescent="0.35">
      <c r="B38" s="97"/>
      <c r="C38" s="61">
        <v>270</v>
      </c>
      <c r="D38" s="62" t="s">
        <v>593</v>
      </c>
      <c r="E38" s="62" t="s">
        <v>602</v>
      </c>
      <c r="F38" s="57" t="s">
        <v>308</v>
      </c>
      <c r="G38" s="61" t="str">
        <f>_xlfn.CONCAT(Таблица2[[#This Row],[Обознач]],"_",Таблица2[[#This Row],[Наимен]])</f>
        <v>KI.BP.423_Труба осевая 270</v>
      </c>
      <c r="H38" s="61">
        <v>1</v>
      </c>
      <c r="I38" s="57"/>
      <c r="J38" s="57"/>
      <c r="K38" s="57"/>
      <c r="L38" s="59" t="s">
        <v>170</v>
      </c>
      <c r="M3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38" s="18" t="str">
        <f t="array" ref="P3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KI.TP.106_Стакан D25 L60</v>
      </c>
      <c r="Q38" s="18">
        <f t="array" ref="Q3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38" s="18" t="str">
        <f t="array" ref="R3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8" s="7" t="str">
        <f t="array" ref="T38">IFERROR(INDEX($P$14:$P$101,SMALL(IF($R$14:$R$101="Гибка",ROW($R$14:$R$101)-ROW($R$14)+1),ROW()-ROW($T$14)+1))," ")</f>
        <v xml:space="preserve"> </v>
      </c>
      <c r="U38" s="7" t="str">
        <f t="array" ref="U38">IFERROR(INDEX($Q$14:$Q$101,SMALL(IF($R$14:$R$101="Гибка",ROW($R$14:$R$101)-ROW($R$14)+1),ROW()-ROW($U$14)+1))," ")</f>
        <v xml:space="preserve"> </v>
      </c>
      <c r="V38" t="str">
        <f t="array" ref="V38">IFERROR(INDEX(P38:P125,SMALL(IF(R38:R125="Склад",ROW(R38:R125)-ROW($R$14)+1),ROW()-ROW($W$14)+1)),"")</f>
        <v/>
      </c>
      <c r="W38" s="7" t="str">
        <f t="array" ref="W38">IFERROR(INDEX($P$14:$P$101,SMALL(IF($R$14:$R$101="Склад",ROW($R$14:$R$101)-ROW($R$14)+1),ROW()-ROW($W$14)+1))," ")</f>
        <v>_Пружинная кнопка</v>
      </c>
      <c r="X38" s="7">
        <f t="array" ref="X38">IFERROR(INDEX($Q$14:$Q$101,SMALL(IF($R$14:$R$101="Склад",ROW($R$14:$R$101)-ROW($R$14)+1),ROW()-ROW($W$14)+1))," ")</f>
        <v>3</v>
      </c>
    </row>
    <row r="39" spans="2:24" ht="29.4" thickBot="1" x14ac:dyDescent="0.35">
      <c r="B39" s="97"/>
      <c r="C39" s="61">
        <v>300</v>
      </c>
      <c r="D39" s="62" t="s">
        <v>593</v>
      </c>
      <c r="E39" s="62" t="s">
        <v>624</v>
      </c>
      <c r="F39" s="57" t="s">
        <v>309</v>
      </c>
      <c r="G39" s="61" t="str">
        <f>_xlfn.CONCAT(Таблица2[[#This Row],[Обознач]],"_",Таблица2[[#This Row],[Наимен]])</f>
        <v>KI.BP.432_Труба осевая 300</v>
      </c>
      <c r="H39" s="61">
        <v>1</v>
      </c>
      <c r="I39" s="57"/>
      <c r="J39" s="57"/>
      <c r="K39" s="57"/>
      <c r="L39" s="59" t="s">
        <v>171</v>
      </c>
      <c r="M3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39" s="18" t="str">
        <f t="array" ref="P3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KI.TP.075_Стакан антиопрокидывателя</v>
      </c>
      <c r="Q39" s="18">
        <f t="array" ref="Q3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39" s="18" t="str">
        <f t="array" ref="R3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39" s="7" t="str">
        <f t="array" ref="T39">IFERROR(INDEX($P$14:$P$101,SMALL(IF($R$14:$R$101="Гибка",ROW($R$14:$R$101)-ROW($R$14)+1),ROW()-ROW($T$14)+1))," ")</f>
        <v xml:space="preserve"> </v>
      </c>
      <c r="U39" s="7" t="str">
        <f t="array" ref="U39">IFERROR(INDEX($Q$14:$Q$101,SMALL(IF($R$14:$R$101="Гибка",ROW($R$14:$R$101)-ROW($R$14)+1),ROW()-ROW($U$14)+1))," ")</f>
        <v xml:space="preserve"> </v>
      </c>
      <c r="V39" t="str">
        <f t="array" ref="V39">IFERROR(INDEX(P39:P126,SMALL(IF(R39:R126="Склад",ROW(R39:R126)-ROW($R$14)+1),ROW()-ROW($W$14)+1)),"")</f>
        <v/>
      </c>
      <c r="W39" s="7" t="str">
        <f t="array" ref="W39">IFERROR(INDEX($P$14:$P$101,SMALL(IF($R$14:$R$101="Склад",ROW($R$14:$R$101)-ROW($R$14)+1),ROW()-ROW($W$14)+1))," ")</f>
        <v>KI.TP.107_Проставка D10 L10</v>
      </c>
      <c r="X39" s="7">
        <f t="array" ref="X39">IFERROR(INDEX($Q$14:$Q$101,SMALL(IF($R$14:$R$101="Склад",ROW($R$14:$R$101)-ROW($R$14)+1),ROW()-ROW($W$14)+1))," ")</f>
        <v>2</v>
      </c>
    </row>
    <row r="40" spans="2:24" ht="29.4" thickBot="1" x14ac:dyDescent="0.35">
      <c r="B40" s="97"/>
      <c r="C40" s="61">
        <v>330</v>
      </c>
      <c r="D40" s="62" t="s">
        <v>593</v>
      </c>
      <c r="E40" s="62" t="s">
        <v>232</v>
      </c>
      <c r="F40" s="57" t="s">
        <v>233</v>
      </c>
      <c r="G40" s="61" t="str">
        <f>_xlfn.CONCAT(Таблица2[[#This Row],[Обознач]],"_",Таблица2[[#This Row],[Наимен]])</f>
        <v>KI.BP.406_Труба осевая 330</v>
      </c>
      <c r="H40" s="61">
        <v>1</v>
      </c>
      <c r="I40" s="57"/>
      <c r="J40" s="57"/>
      <c r="K40" s="57"/>
      <c r="L40" s="59" t="s">
        <v>172</v>
      </c>
      <c r="M4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40" s="18" t="str">
        <f t="array" ref="P4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KI.MP.084_KI.MP.084_Кронштейн складывания внешний</v>
      </c>
      <c r="Q40" s="18">
        <f t="array" ref="Q4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0" s="18" t="str">
        <f t="array" ref="R4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0" s="7" t="str">
        <f t="array" ref="T40">IFERROR(INDEX($P$14:$P$101,SMALL(IF($R$14:$R$101="Гибка",ROW($R$14:$R$101)-ROW($R$14)+1),ROW()-ROW($T$14)+1))," ")</f>
        <v xml:space="preserve"> </v>
      </c>
      <c r="U40" s="7" t="str">
        <f t="array" ref="U40">IFERROR(INDEX($Q$14:$Q$101,SMALL(IF($R$14:$R$101="Гибка",ROW($R$14:$R$101)-ROW($R$14)+1),ROW()-ROW($U$14)+1))," ")</f>
        <v xml:space="preserve"> </v>
      </c>
      <c r="V40" t="str">
        <f t="array" ref="V40">IFERROR(INDEX(P40:P127,SMALL(IF(R40:R127="Склад",ROW(R40:R127)-ROW($R$14)+1),ROW()-ROW($W$14)+1)),"")</f>
        <v/>
      </c>
      <c r="W40" s="7" t="str">
        <f t="array" ref="W40">IFERROR(INDEX($P$14:$P$101,SMALL(IF($R$14:$R$101="Склад",ROW($R$14:$R$101)-ROW($R$14)+1),ROW()-ROW($W$14)+1))," ")</f>
        <v>KI.TP.008_Проставка D8 L11</v>
      </c>
      <c r="X40" s="7">
        <f t="array" ref="X40">IFERROR(INDEX($Q$14:$Q$101,SMALL(IF($R$14:$R$101="Склад",ROW($R$14:$R$101)-ROW($R$14)+1),ROW()-ROW($W$14)+1))," ")</f>
        <v>2</v>
      </c>
    </row>
    <row r="41" spans="2:24" ht="29.4" thickBot="1" x14ac:dyDescent="0.35">
      <c r="B41" s="97"/>
      <c r="C41" s="61">
        <v>360</v>
      </c>
      <c r="D41" s="62" t="s">
        <v>593</v>
      </c>
      <c r="E41" s="62" t="s">
        <v>253</v>
      </c>
      <c r="F41" s="57" t="s">
        <v>254</v>
      </c>
      <c r="G41" s="61" t="str">
        <f>_xlfn.CONCAT(Таблица2[[#This Row],[Обознач]],"_",Таблица2[[#This Row],[Наимен]])</f>
        <v>KI.BP.416_Труба осевая 360</v>
      </c>
      <c r="H41" s="61">
        <v>1</v>
      </c>
      <c r="I41" s="57"/>
      <c r="J41" s="57"/>
      <c r="K41" s="57"/>
      <c r="L41" s="59" t="s">
        <v>173</v>
      </c>
      <c r="M4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41" s="18" t="str">
        <f t="array" ref="P4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KI.MP.084-00M_KI.MP.084_Кронштейн складывания внешний</v>
      </c>
      <c r="Q41" s="18">
        <f t="array" ref="Q4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1" s="18" t="str">
        <f t="array" ref="R4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1" s="7" t="str">
        <f t="array" ref="T41">IFERROR(INDEX($P$14:$P$101,SMALL(IF($R$14:$R$101="Гибка",ROW($R$14:$R$101)-ROW($R$14)+1),ROW()-ROW($T$14)+1))," ")</f>
        <v xml:space="preserve"> </v>
      </c>
      <c r="U41" s="7" t="str">
        <f t="array" ref="U41">IFERROR(INDEX($Q$14:$Q$101,SMALL(IF($R$14:$R$101="Гибка",ROW($R$14:$R$101)-ROW($R$14)+1),ROW()-ROW($U$14)+1))," ")</f>
        <v xml:space="preserve"> </v>
      </c>
      <c r="V41" t="str">
        <f t="array" ref="V41">IFERROR(INDEX(P41:P128,SMALL(IF(R41:R128="Склад",ROW(R41:R128)-ROW($R$14)+1),ROW()-ROW($W$14)+1)),"")</f>
        <v/>
      </c>
      <c r="W41" s="7" t="str">
        <f t="array" ref="W41">IFERROR(INDEX($P$14:$P$101,SMALL(IF($R$14:$R$101="Склад",ROW($R$14:$R$101)-ROW($R$14)+1),ROW()-ROW($W$14)+1))," ")</f>
        <v>_Колесо антиопрокидывателя</v>
      </c>
      <c r="X41" s="7">
        <f t="array" ref="X41">IFERROR(INDEX($Q$14:$Q$101,SMALL(IF($R$14:$R$101="Склад",ROW($R$14:$R$101)-ROW($R$14)+1),ROW()-ROW($W$14)+1))," ")</f>
        <v>1</v>
      </c>
    </row>
    <row r="42" spans="2:24" ht="29.4" thickBot="1" x14ac:dyDescent="0.35">
      <c r="B42" s="97"/>
      <c r="C42" s="61">
        <v>390</v>
      </c>
      <c r="D42" s="62" t="s">
        <v>593</v>
      </c>
      <c r="E42" s="62" t="s">
        <v>618</v>
      </c>
      <c r="F42" s="57" t="s">
        <v>306</v>
      </c>
      <c r="G42" s="61" t="str">
        <f>_xlfn.CONCAT(Таблица2[[#This Row],[Обознач]],"_",Таблица2[[#This Row],[Наимен]])</f>
        <v>KI.BP.429_Труба осевая 390</v>
      </c>
      <c r="H42" s="61">
        <v>1</v>
      </c>
      <c r="I42" s="57"/>
      <c r="J42" s="57"/>
      <c r="K42" s="57"/>
      <c r="L42" s="59" t="s">
        <v>174</v>
      </c>
      <c r="M4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42" s="18" t="str">
        <f t="array" ref="P4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KI.MP.085_Кронштейн складывания внутренний</v>
      </c>
      <c r="Q42" s="18">
        <f t="array" ref="Q4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2" s="18" t="str">
        <f t="array" ref="R4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2" s="7" t="str">
        <f t="array" ref="T42">IFERROR(INDEX($P$14:$P$101,SMALL(IF($R$14:$R$101="Гибка",ROW($R$14:$R$101)-ROW($R$14)+1),ROW()-ROW($T$14)+1))," ")</f>
        <v xml:space="preserve"> </v>
      </c>
      <c r="U42" s="7" t="str">
        <f t="array" ref="U42">IFERROR(INDEX($Q$14:$Q$101,SMALL(IF($R$14:$R$101="Гибка",ROW($R$14:$R$101)-ROW($R$14)+1),ROW()-ROW($U$14)+1))," ")</f>
        <v xml:space="preserve"> </v>
      </c>
      <c r="V42" t="str">
        <f t="array" ref="V42">IFERROR(INDEX(P42:P129,SMALL(IF(R42:R129="Склад",ROW(R42:R129)-ROW($R$14)+1),ROW()-ROW($W$14)+1)),"")</f>
        <v/>
      </c>
      <c r="W42" s="7" t="str">
        <f t="array" ref="W42">IFERROR(INDEX($P$14:$P$101,SMALL(IF($R$14:$R$101="Склад",ROW($R$14:$R$101)-ROW($R$14)+1),ROW()-ROW($W$14)+1))," ")</f>
        <v>KI.TP.114_Проставка крыла D14 L9</v>
      </c>
      <c r="X42" s="7">
        <f t="array" ref="X42">IFERROR(INDEX($Q$14:$Q$101,SMALL(IF($R$14:$R$101="Склад",ROW($R$14:$R$101)-ROW($R$14)+1),ROW()-ROW($W$14)+1))," ")</f>
        <v>4</v>
      </c>
    </row>
    <row r="43" spans="2:24" ht="29.4" thickBot="1" x14ac:dyDescent="0.35">
      <c r="B43" s="97"/>
      <c r="C43" s="61">
        <v>420</v>
      </c>
      <c r="D43" s="62" t="s">
        <v>593</v>
      </c>
      <c r="E43" s="62" t="s">
        <v>625</v>
      </c>
      <c r="F43" s="57" t="s">
        <v>307</v>
      </c>
      <c r="G43" s="61" t="str">
        <f>_xlfn.CONCAT(Таблица2[[#This Row],[Обознач]],"_",Таблица2[[#This Row],[Наимен]])</f>
        <v>KI.BP.433_Труба осевая 420</v>
      </c>
      <c r="H43" s="61">
        <v>1</v>
      </c>
      <c r="I43" s="57"/>
      <c r="J43" s="57"/>
      <c r="K43" s="57"/>
      <c r="L43" s="59" t="s">
        <v>175</v>
      </c>
      <c r="M4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43" s="18" t="str">
        <f t="array" ref="P4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KI.MP.085_Кронштейн складывания внутренний</v>
      </c>
      <c r="Q43" s="18">
        <f t="array" ref="Q4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3" s="18" t="str">
        <f t="array" ref="R4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3" s="7" t="str">
        <f t="array" ref="T43">IFERROR(INDEX($P$14:$P$101,SMALL(IF($R$14:$R$101="Гибка",ROW($R$14:$R$101)-ROW($R$14)+1),ROW()-ROW($T$14)+1))," ")</f>
        <v xml:space="preserve"> </v>
      </c>
      <c r="U43" s="7" t="str">
        <f t="array" ref="U43">IFERROR(INDEX($Q$14:$Q$101,SMALL(IF($R$14:$R$101="Гибка",ROW($R$14:$R$101)-ROW($R$14)+1),ROW()-ROW($U$14)+1))," ")</f>
        <v xml:space="preserve"> </v>
      </c>
      <c r="V43" t="str">
        <f t="array" ref="V43">IFERROR(INDEX(P43:P130,SMALL(IF(R43:R130="Склад",ROW(R43:R130)-ROW($R$14)+1),ROW()-ROW($W$14)+1)),"")</f>
        <v/>
      </c>
      <c r="W43" s="7" t="str">
        <f t="array" ref="W43">IFERROR(INDEX($P$14:$P$101,SMALL(IF($R$14:$R$101="Склад",ROW($R$14:$R$101)-ROW($R$14)+1),ROW()-ROW($W$14)+1))," ")</f>
        <v>KI.CP.104_Гайка М22х1.5</v>
      </c>
      <c r="X43" s="7">
        <f t="array" ref="X43">IFERROR(INDEX($Q$14:$Q$101,SMALL(IF($R$14:$R$101="Склад",ROW($R$14:$R$101)-ROW($R$14)+1),ROW()-ROW($W$14)+1))," ")</f>
        <v>2</v>
      </c>
    </row>
    <row r="44" spans="2:24" ht="15" thickBot="1" x14ac:dyDescent="0.35">
      <c r="B44" s="97"/>
      <c r="C44" s="62" t="s">
        <v>80</v>
      </c>
      <c r="D44" s="62" t="s">
        <v>593</v>
      </c>
      <c r="E44" s="62" t="s">
        <v>892</v>
      </c>
      <c r="F44" s="57" t="s">
        <v>229</v>
      </c>
      <c r="G44" s="61" t="str">
        <f>_xlfn.CONCAT(Таблица2[[#This Row],[Обознач]],"_",Таблица2[[#This Row],[Наимен]])</f>
        <v>KI.BP.458_Вынос вилки</v>
      </c>
      <c r="H44" s="61">
        <v>2</v>
      </c>
      <c r="I44" s="57" t="s">
        <v>77</v>
      </c>
      <c r="J44" s="57" t="s">
        <v>77</v>
      </c>
      <c r="K44" s="57" t="s">
        <v>77</v>
      </c>
      <c r="L44" s="59" t="s">
        <v>81</v>
      </c>
      <c r="M4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44" s="18" t="str">
        <f t="array" ref="P4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KI.SP.310_Пластина кронштейна</v>
      </c>
      <c r="Q44" s="18">
        <f t="array" ref="Q4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4" s="18" t="str">
        <f t="array" ref="R4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4" s="7" t="str">
        <f t="array" ref="T44">IFERROR(INDEX($P$14:$P$101,SMALL(IF($R$14:$R$101="Гибка",ROW($R$14:$R$101)-ROW($R$14)+1),ROW()-ROW($T$14)+1))," ")</f>
        <v xml:space="preserve"> </v>
      </c>
      <c r="U44" s="7" t="str">
        <f t="array" ref="U44">IFERROR(INDEX($Q$14:$Q$101,SMALL(IF($R$14:$R$101="Гибка",ROW($R$14:$R$101)-ROW($R$14)+1),ROW()-ROW($U$14)+1))," ")</f>
        <v xml:space="preserve"> </v>
      </c>
      <c r="V44" t="str">
        <f t="array" ref="V44">IFERROR(INDEX(P44:P131,SMALL(IF(R44:R131="Склад",ROW(R44:R131)-ROW($R$14)+1),ROW()-ROW($W$14)+1)),"")</f>
        <v/>
      </c>
      <c r="W44" s="7" t="str">
        <f t="array" ref="W44">IFERROR(INDEX($P$14:$P$101,SMALL(IF($R$14:$R$101="Склад",ROW($R$14:$R$101)-ROW($R$14)+1),ROW()-ROW($W$14)+1))," ")</f>
        <v>KI.TP.104_Втулка ресивера колеса</v>
      </c>
      <c r="X44" s="7">
        <f t="array" ref="X44">IFERROR(INDEX($Q$14:$Q$101,SMALL(IF($R$14:$R$101="Склад",ROW($R$14:$R$101)-ROW($R$14)+1),ROW()-ROW($W$14)+1))," ")</f>
        <v>2</v>
      </c>
    </row>
    <row r="45" spans="2:24" ht="15" thickBot="1" x14ac:dyDescent="0.35">
      <c r="B45" s="97"/>
      <c r="C45" s="62" t="s">
        <v>80</v>
      </c>
      <c r="D45" s="62" t="s">
        <v>595</v>
      </c>
      <c r="E45" s="62" t="s">
        <v>124</v>
      </c>
      <c r="F45" s="59" t="s">
        <v>164</v>
      </c>
      <c r="G45" s="61" t="str">
        <f>_xlfn.CONCAT(Таблица2[[#This Row],[Обознач]],"_",Таблица2[[#This Row],[Наимен]])</f>
        <v>KI.TP.103_Стакан переднего колеса</v>
      </c>
      <c r="H45" s="61">
        <v>2</v>
      </c>
      <c r="I45" s="57" t="s">
        <v>77</v>
      </c>
      <c r="J45" s="57" t="s">
        <v>77</v>
      </c>
      <c r="K45" s="57" t="s">
        <v>77</v>
      </c>
      <c r="L45" s="59" t="s">
        <v>81</v>
      </c>
      <c r="M4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45" s="18" t="str">
        <f t="array" ref="P4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KI.SP.310-00M_Пластина кронштейна</v>
      </c>
      <c r="Q45" s="18">
        <f t="array" ref="Q4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5" s="18" t="str">
        <f t="array" ref="R4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5" s="7" t="str">
        <f t="array" ref="T45">IFERROR(INDEX($P$14:$P$101,SMALL(IF($R$14:$R$101="Гибка",ROW($R$14:$R$101)-ROW($R$14)+1),ROW()-ROW($T$14)+1))," ")</f>
        <v xml:space="preserve"> </v>
      </c>
      <c r="U45" s="7" t="str">
        <f t="array" ref="U45">IFERROR(INDEX($Q$14:$Q$101,SMALL(IF($R$14:$R$101="Гибка",ROW($R$14:$R$101)-ROW($R$14)+1),ROW()-ROW($U$14)+1))," ")</f>
        <v xml:space="preserve"> </v>
      </c>
      <c r="V45" t="str">
        <f t="array" ref="V45">IFERROR(INDEX(P45:P132,SMALL(IF(R45:R132="Склад",ROW(R45:R132)-ROW($R$14)+1),ROW()-ROW($W$14)+1)),"")</f>
        <v/>
      </c>
      <c r="W45" s="7" t="str">
        <f t="array" ref="W45">IFERROR(INDEX($P$14:$P$101,SMALL(IF($R$14:$R$101="Склад",ROW($R$14:$R$101)-ROW($R$14)+1),ROW()-ROW($W$14)+1))," ")</f>
        <v>KI.MP.078_Ресивер AJ 3 градусов</v>
      </c>
      <c r="X45" s="7">
        <f t="array" ref="X45">IFERROR(INDEX($Q$14:$Q$101,SMALL(IF($R$14:$R$101="Склад",ROW($R$14:$R$101)-ROW($R$14)+1),ROW()-ROW($W$14)+1))," ")</f>
        <v>2</v>
      </c>
    </row>
    <row r="46" spans="2:24" ht="15" thickBot="1" x14ac:dyDescent="0.35">
      <c r="B46" s="97"/>
      <c r="C46" s="62" t="s">
        <v>80</v>
      </c>
      <c r="D46" s="62" t="s">
        <v>595</v>
      </c>
      <c r="E46" s="62" t="s">
        <v>125</v>
      </c>
      <c r="F46" s="57" t="s">
        <v>165</v>
      </c>
      <c r="G46" s="61" t="str">
        <f>_xlfn.CONCAT(Таблица2[[#This Row],[Обознач]],"_",Таблица2[[#This Row],[Наимен]])</f>
        <v>KI.TP.104_Втулка ресивера колеса</v>
      </c>
      <c r="H46" s="61">
        <v>2</v>
      </c>
      <c r="I46" s="57" t="s">
        <v>77</v>
      </c>
      <c r="J46" s="57" t="s">
        <v>77</v>
      </c>
      <c r="K46" s="57" t="s">
        <v>77</v>
      </c>
      <c r="L46" s="59" t="s">
        <v>81</v>
      </c>
      <c r="M4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46" s="18" t="str">
        <f t="array" ref="P4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K0342.03105_Штифт упорный</v>
      </c>
      <c r="Q46" s="18">
        <f t="array" ref="Q4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46" s="18" t="str">
        <f t="array" ref="R4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6" s="7" t="str">
        <f t="array" ref="T46">IFERROR(INDEX($P$14:$P$101,SMALL(IF($R$14:$R$101="Гибка",ROW($R$14:$R$101)-ROW($R$14)+1),ROW()-ROW($T$14)+1))," ")</f>
        <v xml:space="preserve"> </v>
      </c>
      <c r="U46" s="7" t="str">
        <f t="array" ref="U46">IFERROR(INDEX($Q$14:$Q$101,SMALL(IF($R$14:$R$101="Гибка",ROW($R$14:$R$101)-ROW($R$14)+1),ROW()-ROW($U$14)+1))," ")</f>
        <v xml:space="preserve"> </v>
      </c>
      <c r="V46" t="str">
        <f t="array" ref="V46">IFERROR(INDEX(P46:P133,SMALL(IF(R46:R133="Склад",ROW(R46:R133)-ROW($R$14)+1),ROW()-ROW($W$14)+1)),"")</f>
        <v/>
      </c>
      <c r="W46" s="7" t="str">
        <f t="array" ref="W46">IFERROR(INDEX($P$14:$P$101,SMALL(IF($R$14:$R$101="Склад",ROW($R$14:$R$101)-ROW($R$14)+1),ROW()-ROW($W$14)+1))," ")</f>
        <v>KI.TP.110_Проставка крыла D14 L2.5</v>
      </c>
      <c r="X46" s="7">
        <f t="array" ref="X46">IFERROR(INDEX($Q$14:$Q$101,SMALL(IF($R$14:$R$101="Склад",ROW($R$14:$R$101)-ROW($R$14)+1),ROW()-ROW($W$14)+1))," ")</f>
        <v>6</v>
      </c>
    </row>
    <row r="47" spans="2:24" ht="15" thickBot="1" x14ac:dyDescent="0.35">
      <c r="B47" s="97"/>
      <c r="C47" s="62" t="s">
        <v>80</v>
      </c>
      <c r="D47" s="62" t="s">
        <v>593</v>
      </c>
      <c r="E47" s="62" t="s">
        <v>650</v>
      </c>
      <c r="F47" s="57" t="s">
        <v>224</v>
      </c>
      <c r="G47" s="61" t="str">
        <f>_xlfn.CONCAT(Таблица2[[#This Row],[Обознач]],"_",Таблица2[[#This Row],[Наимен]])</f>
        <v>KI.BP.420_Трубка антиопрокидывателя</v>
      </c>
      <c r="H47" s="61">
        <v>1</v>
      </c>
      <c r="I47" s="57" t="s">
        <v>77</v>
      </c>
      <c r="J47" s="57" t="s">
        <v>77</v>
      </c>
      <c r="K47" s="57" t="s">
        <v>77</v>
      </c>
      <c r="L47" s="59" t="s">
        <v>81</v>
      </c>
      <c r="M4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47" s="18" t="str">
        <f t="array" ref="P4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_Хомут 25мм в сборе</v>
      </c>
      <c r="Q47" s="18">
        <f t="array" ref="Q4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3</v>
      </c>
      <c r="R47" s="18" t="str">
        <f t="array" ref="R4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7" s="7" t="str">
        <f t="array" ref="T47">IFERROR(INDEX($P$14:$P$101,SMALL(IF($R$14:$R$101="Гибка",ROW($R$14:$R$101)-ROW($R$14)+1),ROW()-ROW($T$14)+1))," ")</f>
        <v xml:space="preserve"> </v>
      </c>
      <c r="U47" s="7" t="str">
        <f t="array" ref="U47">IFERROR(INDEX($Q$14:$Q$101,SMALL(IF($R$14:$R$101="Гибка",ROW($R$14:$R$101)-ROW($R$14)+1),ROW()-ROW($U$14)+1))," ")</f>
        <v xml:space="preserve"> </v>
      </c>
      <c r="V47" t="str">
        <f t="array" ref="V47">IFERROR(INDEX(P47:P134,SMALL(IF(R47:R134="Склад",ROW(R47:R134)-ROW($R$14)+1),ROW()-ROW($W$14)+1)),"")</f>
        <v/>
      </c>
      <c r="W47" s="7" t="str">
        <f t="array" ref="W47">IFERROR(INDEX($P$14:$P$101,SMALL(IF($R$14:$R$101="Склад",ROW($R$14:$R$101)-ROW($R$14)+1),ROW()-ROW($W$14)+1))," ")</f>
        <v xml:space="preserve"> </v>
      </c>
      <c r="X47" s="7" t="str">
        <f t="array" ref="X47">IFERROR(INDEX($Q$14:$Q$101,SMALL(IF($R$14:$R$101="Склад",ROW($R$14:$R$101)-ROW($R$14)+1),ROW()-ROW($W$14)+1))," ")</f>
        <v xml:space="preserve"> </v>
      </c>
    </row>
    <row r="48" spans="2:24" ht="15" thickBot="1" x14ac:dyDescent="0.35">
      <c r="B48" s="97"/>
      <c r="C48" s="62" t="s">
        <v>80</v>
      </c>
      <c r="D48" s="62" t="s">
        <v>593</v>
      </c>
      <c r="E48" s="62" t="s">
        <v>225</v>
      </c>
      <c r="F48" s="57" t="s">
        <v>226</v>
      </c>
      <c r="G48" s="61" t="str">
        <f>_xlfn.CONCAT(Таблица2[[#This Row],[Обознач]],"_",Таблица2[[#This Row],[Наимен]])</f>
        <v>KI.BP.327_Рукоятка AJ</v>
      </c>
      <c r="H48" s="61">
        <v>2</v>
      </c>
      <c r="I48" s="57" t="s">
        <v>77</v>
      </c>
      <c r="J48" s="57" t="s">
        <v>77</v>
      </c>
      <c r="K48" s="57" t="s">
        <v>77</v>
      </c>
      <c r="L48" s="59" t="s">
        <v>81</v>
      </c>
      <c r="M4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48" s="18" t="str">
        <f t="array" ref="P4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KI.SA.999_Тормоз в сборе</v>
      </c>
      <c r="Q48" s="18">
        <f t="array" ref="Q4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8" s="18" t="str">
        <f t="array" ref="R4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8" s="7" t="str">
        <f t="array" ref="T48">IFERROR(INDEX($P$14:$P$101,SMALL(IF($R$14:$R$101="Гибка",ROW($R$14:$R$101)-ROW($R$14)+1),ROW()-ROW($T$14)+1))," ")</f>
        <v xml:space="preserve"> </v>
      </c>
      <c r="U48" s="7" t="str">
        <f t="array" ref="U48">IFERROR(INDEX($Q$14:$Q$101,SMALL(IF($R$14:$R$101="Гибка",ROW($R$14:$R$101)-ROW($R$14)+1),ROW()-ROW($U$14)+1))," ")</f>
        <v xml:space="preserve"> </v>
      </c>
      <c r="V48" t="str">
        <f t="array" ref="V48">IFERROR(INDEX(P48:P135,SMALL(IF(R48:R135="Склад",ROW(R48:R135)-ROW($R$14)+1),ROW()-ROW($W$14)+1)),"")</f>
        <v/>
      </c>
      <c r="W48" s="7" t="str">
        <f t="array" ref="W48">IFERROR(INDEX($P$14:$P$101,SMALL(IF($R$14:$R$101="Склад",ROW($R$14:$R$101)-ROW($R$14)+1),ROW()-ROW($W$14)+1))," ")</f>
        <v xml:space="preserve"> </v>
      </c>
      <c r="X48" s="7" t="str">
        <f t="array" ref="X48">IFERROR(INDEX($Q$14:$Q$101,SMALL(IF($R$14:$R$101="Склад",ROW($R$14:$R$101)-ROW($R$14)+1),ROW()-ROW($W$14)+1))," ")</f>
        <v xml:space="preserve"> </v>
      </c>
    </row>
    <row r="49" spans="2:24" ht="15" thickBot="1" x14ac:dyDescent="0.35">
      <c r="B49" s="97"/>
      <c r="C49" s="62" t="s">
        <v>1026</v>
      </c>
      <c r="D49" s="62" t="s">
        <v>593</v>
      </c>
      <c r="E49" s="62" t="s">
        <v>227</v>
      </c>
      <c r="F49" s="57" t="s">
        <v>226</v>
      </c>
      <c r="G49" s="61" t="str">
        <f>_xlfn.CONCAT(Таблица2[[#This Row],[Обознач]],"_",Таблица2[[#This Row],[Наимен]])</f>
        <v>KI.BP.327-00M_Рукоятка AJ</v>
      </c>
      <c r="H49" s="61">
        <v>0</v>
      </c>
      <c r="I49" s="57" t="s">
        <v>77</v>
      </c>
      <c r="J49" s="57" t="s">
        <v>77</v>
      </c>
      <c r="K49" s="57" t="s">
        <v>77</v>
      </c>
      <c r="L49" s="59" t="s">
        <v>81</v>
      </c>
      <c r="M4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49" s="18" t="str">
        <f t="array" ref="P4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KI.SA.999-00M_Тормоз в сборе</v>
      </c>
      <c r="Q49" s="18">
        <f t="array" ref="Q4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49" s="18" t="str">
        <f t="array" ref="R4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49" s="7" t="str">
        <f t="array" ref="T49">IFERROR(INDEX($P$14:$P$101,SMALL(IF($R$14:$R$101="Гибка",ROW($R$14:$R$101)-ROW($R$14)+1),ROW()-ROW($T$14)+1))," ")</f>
        <v xml:space="preserve"> </v>
      </c>
      <c r="U49" s="7" t="str">
        <f t="array" ref="U49">IFERROR(INDEX($Q$14:$Q$101,SMALL(IF($R$14:$R$101="Гибка",ROW($R$14:$R$101)-ROW($R$14)+1),ROW()-ROW($U$14)+1))," ")</f>
        <v xml:space="preserve"> </v>
      </c>
      <c r="V49" t="str">
        <f t="array" ref="V49">IFERROR(INDEX(P49:P136,SMALL(IF(R49:R136="Склад",ROW(R49:R136)-ROW($R$14)+1),ROW()-ROW($W$14)+1)),"")</f>
        <v/>
      </c>
      <c r="W49" s="7" t="str">
        <f t="array" ref="W49">IFERROR(INDEX($P$14:$P$101,SMALL(IF($R$14:$R$101="Склад",ROW($R$14:$R$101)-ROW($R$14)+1),ROW()-ROW($W$14)+1))," ")</f>
        <v xml:space="preserve"> </v>
      </c>
      <c r="X49" s="7" t="str">
        <f t="array" ref="X49">IFERROR(INDEX($Q$14:$Q$101,SMALL(IF($R$14:$R$101="Склад",ROW($R$14:$R$101)-ROW($R$14)+1),ROW()-ROW($W$14)+1))," ")</f>
        <v xml:space="preserve"> </v>
      </c>
    </row>
    <row r="50" spans="2:24" ht="29.4" thickBot="1" x14ac:dyDescent="0.35">
      <c r="B50" s="97"/>
      <c r="C50" s="62">
        <v>270</v>
      </c>
      <c r="D50" s="62" t="s">
        <v>593</v>
      </c>
      <c r="E50" s="62" t="s">
        <v>603</v>
      </c>
      <c r="F50" s="96" t="s">
        <v>255</v>
      </c>
      <c r="G50" s="61" t="str">
        <f>_xlfn.CONCAT(Таблица2[[#This Row],[Обознач]],"_",Таблица2[[#This Row],[Наимен]])</f>
        <v>KI.BP.424_Мост спинки 270</v>
      </c>
      <c r="H50" s="61">
        <v>1</v>
      </c>
      <c r="I50" s="57" t="s">
        <v>77</v>
      </c>
      <c r="J50" s="57" t="s">
        <v>77</v>
      </c>
      <c r="K50" s="57"/>
      <c r="L50" s="59" t="s">
        <v>170</v>
      </c>
      <c r="M5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50" s="18" t="str">
        <f t="array" ref="P5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KI.SA.246_Антиопрокидыватель A2 в сборе</v>
      </c>
      <c r="Q50" s="18">
        <f t="array" ref="Q5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50" s="18" t="str">
        <f t="array" ref="R5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0" s="7" t="str">
        <f t="array" ref="T50">IFERROR(INDEX($P$14:$P$101,SMALL(IF($R$14:$R$101="Гибка",ROW($R$14:$R$101)-ROW($R$14)+1),ROW()-ROW($T$14)+1))," ")</f>
        <v xml:space="preserve"> </v>
      </c>
      <c r="U50" s="7" t="str">
        <f t="array" ref="U50">IFERROR(INDEX($Q$14:$Q$101,SMALL(IF($R$14:$R$101="Гибка",ROW($R$14:$R$101)-ROW($R$14)+1),ROW()-ROW($U$14)+1))," ")</f>
        <v xml:space="preserve"> </v>
      </c>
      <c r="V50" t="str">
        <f t="array" ref="V50">IFERROR(INDEX(P50:P137,SMALL(IF(R50:R137="Склад",ROW(R50:R137)-ROW($R$14)+1),ROW()-ROW($W$14)+1)),"")</f>
        <v/>
      </c>
      <c r="W50" s="7" t="str">
        <f t="array" ref="W50">IFERROR(INDEX($P$14:$P$101,SMALL(IF($R$14:$R$101="Склад",ROW($R$14:$R$101)-ROW($R$14)+1),ROW()-ROW($W$14)+1))," ")</f>
        <v xml:space="preserve"> </v>
      </c>
      <c r="X50" s="7" t="str">
        <f t="array" ref="X50">IFERROR(INDEX($Q$14:$Q$101,SMALL(IF($R$14:$R$101="Склад",ROW($R$14:$R$101)-ROW($R$14)+1),ROW()-ROW($W$14)+1))," ")</f>
        <v xml:space="preserve"> </v>
      </c>
    </row>
    <row r="51" spans="2:24" ht="29.4" thickBot="1" x14ac:dyDescent="0.35">
      <c r="B51" s="97"/>
      <c r="C51" s="62">
        <v>300</v>
      </c>
      <c r="D51" s="62" t="s">
        <v>593</v>
      </c>
      <c r="E51" s="62" t="s">
        <v>627</v>
      </c>
      <c r="F51" s="62" t="s">
        <v>259</v>
      </c>
      <c r="G51" s="57" t="str">
        <f>_xlfn.CONCAT(Таблица2[[#This Row],[Обознач]],"_",Таблица2[[#This Row],[Наимен]])</f>
        <v>KI.BP.435_Мост спинки 300</v>
      </c>
      <c r="H51" s="61">
        <v>1</v>
      </c>
      <c r="I51" s="57"/>
      <c r="J51" s="57"/>
      <c r="K51" s="57"/>
      <c r="L51" s="59" t="s">
        <v>171</v>
      </c>
      <c r="M5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51" s="18" t="str">
        <f t="array" ref="P5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_Пружинная кнопка</v>
      </c>
      <c r="Q51" s="18">
        <f t="array" ref="Q5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3</v>
      </c>
      <c r="R51" s="18" t="str">
        <f t="array" ref="R5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1" s="7" t="str">
        <f t="array" ref="T51">IFERROR(INDEX($P$14:$P$101,SMALL(IF($R$14:$R$101="Гибка",ROW($R$14:$R$101)-ROW($R$14)+1),ROW()-ROW($T$14)+1))," ")</f>
        <v xml:space="preserve"> </v>
      </c>
      <c r="U51" s="7" t="str">
        <f t="array" ref="U51">IFERROR(INDEX($Q$14:$Q$101,SMALL(IF($R$14:$R$101="Гибка",ROW($R$14:$R$101)-ROW($R$14)+1),ROW()-ROW($U$14)+1))," ")</f>
        <v xml:space="preserve"> </v>
      </c>
      <c r="W51" s="7" t="str">
        <f t="array" ref="W51">IFERROR(INDEX($P$14:$P$101,SMALL(IF($R$14:$R$101="Склад",ROW($R$14:$R$101)-ROW($R$14)+1),ROW()-ROW($W$14)+1))," ")</f>
        <v xml:space="preserve"> </v>
      </c>
      <c r="X51" s="7" t="str">
        <f t="array" ref="X51">IFERROR(INDEX($Q$14:$Q$101,SMALL(IF($R$14:$R$101="Склад",ROW($R$14:$R$101)-ROW($R$14)+1),ROW()-ROW($W$14)+1))," ")</f>
        <v xml:space="preserve"> </v>
      </c>
    </row>
    <row r="52" spans="2:24" ht="29.4" thickBot="1" x14ac:dyDescent="0.35">
      <c r="B52" s="97"/>
      <c r="C52" s="62">
        <v>330</v>
      </c>
      <c r="D52" s="62" t="s">
        <v>593</v>
      </c>
      <c r="E52" s="62" t="s">
        <v>240</v>
      </c>
      <c r="F52" s="62" t="s">
        <v>241</v>
      </c>
      <c r="G52" s="57" t="str">
        <f>_xlfn.CONCAT(Таблица2[[#This Row],[Обознач]],"_",Таблица2[[#This Row],[Наимен]])</f>
        <v>KI.BP.412_Мост спинки 330</v>
      </c>
      <c r="H52" s="61">
        <v>1</v>
      </c>
      <c r="I52" s="59"/>
      <c r="J52" s="59"/>
      <c r="K52" s="98">
        <v>282</v>
      </c>
      <c r="L52" s="59" t="s">
        <v>172</v>
      </c>
      <c r="M5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52" s="18" t="str">
        <f t="array" ref="P5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KI.BP.469_Подножка АJ сварная 300</v>
      </c>
      <c r="Q52" s="18">
        <f t="array" ref="Q5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52" s="18" t="str">
        <f t="array" ref="R5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Гибка</v>
      </c>
    </row>
    <row r="53" spans="2:24" ht="29.4" thickBot="1" x14ac:dyDescent="0.35">
      <c r="B53" s="97"/>
      <c r="C53" s="62">
        <v>360</v>
      </c>
      <c r="D53" s="62" t="s">
        <v>593</v>
      </c>
      <c r="E53" s="62" t="s">
        <v>260</v>
      </c>
      <c r="F53" s="62" t="s">
        <v>256</v>
      </c>
      <c r="G53" s="57" t="str">
        <f>_xlfn.CONCAT(Таблица2[[#This Row],[Обознач]],"_",Таблица2[[#This Row],[Наимен]])</f>
        <v>KI.BP.418_Мост спинки 360</v>
      </c>
      <c r="H53" s="61">
        <v>1</v>
      </c>
      <c r="I53" s="57" t="s">
        <v>77</v>
      </c>
      <c r="J53" s="57" t="s">
        <v>77</v>
      </c>
      <c r="K53" s="61">
        <v>312</v>
      </c>
      <c r="L53" s="59" t="s">
        <v>173</v>
      </c>
      <c r="M5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53" s="18" t="str">
        <f t="array" ref="P5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KI.SP.352_Платформа подножки 300</v>
      </c>
      <c r="Q53" s="18">
        <f t="array" ref="Q5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53" s="18" t="str">
        <f t="array" ref="R5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Листовой</v>
      </c>
      <c r="T53" s="14" t="s">
        <v>594</v>
      </c>
      <c r="W53" s="14" t="s">
        <v>596</v>
      </c>
    </row>
    <row r="54" spans="2:24" ht="29.4" thickBot="1" x14ac:dyDescent="0.35">
      <c r="B54" s="97"/>
      <c r="C54" s="62">
        <v>390</v>
      </c>
      <c r="D54" s="62" t="s">
        <v>593</v>
      </c>
      <c r="E54" s="62" t="s">
        <v>620</v>
      </c>
      <c r="F54" s="62" t="s">
        <v>257</v>
      </c>
      <c r="G54" s="57" t="str">
        <f>_xlfn.CONCAT(Таблица2[[#This Row],[Обознач]],"_",Таблица2[[#This Row],[Наимен]])</f>
        <v>KI.BP.431_Мост спинки 390</v>
      </c>
      <c r="H54" s="61">
        <v>1</v>
      </c>
      <c r="I54" s="57" t="s">
        <v>77</v>
      </c>
      <c r="J54" s="57" t="s">
        <v>77</v>
      </c>
      <c r="K54" s="57"/>
      <c r="L54" s="59" t="s">
        <v>174</v>
      </c>
      <c r="M5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54" s="18" t="str">
        <f t="array" ref="P5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KI.TP.107_Проставка D10 L10</v>
      </c>
      <c r="Q54" s="18">
        <f t="array" ref="Q5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54" s="18" t="str">
        <f t="array" ref="R5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4" s="7" t="str">
        <f t="array" ref="T54">IFERROR(INDEX($P$14:$P$101,SMALL(IF($R$14:$R$101="Листовой",ROW($R$14:$R$101)-ROW($R$14)+1),ROW()-ROW($T$54)+1))," ")</f>
        <v>KI.SP.322_Крыло 3</v>
      </c>
      <c r="U54" s="7">
        <f t="array" ref="U54">IFERROR(INDEX($Q$14:$Q$101,SMALL(IF($R$14:$R$101="Листовой",ROW($R$14:$R$101)-ROW($R$14)+1),ROW()-ROW($U$54)+1))," ")</f>
        <v>2</v>
      </c>
      <c r="W54" s="7" t="str">
        <f t="array" ref="W54">IFERROR(INDEX($P$14:$P$101,SMALL(IF($R$14:$R$101="Пошив",ROW($R$14:$R$101)-ROW($R$14)+1),ROW()-ROW($W$54)+1))," ")</f>
        <v>?KI.BP.?_Тканевая подушка сидения 300-3,4</v>
      </c>
      <c r="X54" s="7">
        <f t="array" ref="X54">IFERROR(INDEX($Q$14:$Q$101,SMALL(IF($R$14:$R$101="Пошив",ROW($R$14:$R$101)-ROW($R$14)+1),ROW()-ROW($X$54)+1))," ")</f>
        <v>1</v>
      </c>
    </row>
    <row r="55" spans="2:24" ht="29.4" thickBot="1" x14ac:dyDescent="0.35">
      <c r="B55" s="97"/>
      <c r="C55" s="62">
        <v>420</v>
      </c>
      <c r="D55" s="62" t="s">
        <v>593</v>
      </c>
      <c r="E55" s="62" t="s">
        <v>858</v>
      </c>
      <c r="F55" s="62" t="s">
        <v>258</v>
      </c>
      <c r="G55" s="57" t="str">
        <f>_xlfn.CONCAT(Таблица2[[#This Row],[Обознач]],"_",Таблица2[[#This Row],[Наимен]])</f>
        <v>KI.BP.446_Мост спинки 420</v>
      </c>
      <c r="H55" s="61">
        <v>1</v>
      </c>
      <c r="I55" s="57" t="s">
        <v>77</v>
      </c>
      <c r="J55" s="57" t="s">
        <v>77</v>
      </c>
      <c r="K55" s="57"/>
      <c r="L55" s="59" t="s">
        <v>175</v>
      </c>
      <c r="M5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55" s="18" t="str">
        <f t="array" ref="P5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KI.TP.008_Проставка D8 L11</v>
      </c>
      <c r="Q55" s="18">
        <f t="array" ref="Q5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55" s="18" t="str">
        <f t="array" ref="R5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5" s="7" t="str">
        <f t="array" ref="T55">IFERROR(INDEX($P$14:$P$101,SMALL(IF($R$14:$R$101="Листовой",ROW($R$14:$R$101)-ROW($R$14)+1),ROW()-ROW($T$54)+1))," ")</f>
        <v>KI.SP.360_Пластина сидения 300-3,4</v>
      </c>
      <c r="U55" s="7">
        <f t="array" ref="U55">IFERROR(INDEX($Q$14:$Q$101,SMALL(IF($R$14:$R$101="Листовой",ROW($R$14:$R$101)-ROW($R$14)+1),ROW()-ROW($U$54)+1))," ")</f>
        <v>1</v>
      </c>
      <c r="W55" s="7" t="str">
        <f t="array" ref="W55">IFERROR(INDEX($P$14:$P$101,SMALL(IF($R$14:$R$101="Пошив",ROW($R$14:$R$101)-ROW($R$14)+1),ROW()-ROW($W$54)+1))," ")</f>
        <v>KI.NP.023_Ременная спинка 300x300</v>
      </c>
      <c r="X55" s="7">
        <f t="array" ref="X55">IFERROR(INDEX($Q$14:$Q$101,SMALL(IF($R$14:$R$101="Пошив",ROW($R$14:$R$101)-ROW($R$14)+1),ROW()-ROW($X$54)+1))," ")</f>
        <v>1</v>
      </c>
    </row>
    <row r="56" spans="2:24" ht="15" thickBot="1" x14ac:dyDescent="0.35">
      <c r="B56" s="97"/>
      <c r="C56" s="62" t="s">
        <v>265</v>
      </c>
      <c r="D56" s="62" t="s">
        <v>594</v>
      </c>
      <c r="E56" s="62" t="s">
        <v>610</v>
      </c>
      <c r="F56" s="63" t="s">
        <v>276</v>
      </c>
      <c r="G56" s="61" t="str">
        <f>_xlfn.CONCAT(Таблица2[[#This Row],[Обознач]],"_",Таблица2[[#This Row],[Наимен]])</f>
        <v>KI.SP.319_Крыло 1</v>
      </c>
      <c r="H56" s="61">
        <v>2</v>
      </c>
      <c r="I56" s="57"/>
      <c r="J56" s="57"/>
      <c r="K56" s="57"/>
      <c r="L56" s="58" t="s">
        <v>274</v>
      </c>
      <c r="M5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56" s="18" t="str">
        <f t="array" ref="P5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_Колесо антиопрокидывателя</v>
      </c>
      <c r="Q56" s="18">
        <f t="array" ref="Q5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56" s="18" t="str">
        <f t="array" ref="R5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6" s="7" t="str">
        <f t="array" ref="T56">IFERROR(INDEX($P$14:$P$101,SMALL(IF($R$14:$R$101="Листовой",ROW($R$14:$R$101)-ROW($R$14)+1),ROW()-ROW($T$54)+1))," ")</f>
        <v>KI.SP.352_Платформа подножки 300</v>
      </c>
      <c r="U56" s="7">
        <f t="array" ref="U56">IFERROR(INDEX($Q$14:$Q$101,SMALL(IF($R$14:$R$101="Листовой",ROW($R$14:$R$101)-ROW($R$14)+1),ROW()-ROW($U$54)+1))," ")</f>
        <v>1</v>
      </c>
      <c r="W56" s="7" t="str">
        <f t="array" ref="W56">IFERROR(INDEX($P$14:$P$101,SMALL(IF($R$14:$R$101="Пошив",ROW($R$14:$R$101)-ROW($R$14)+1),ROW()-ROW($W$54)+1))," ")</f>
        <v xml:space="preserve"> </v>
      </c>
      <c r="X56" s="7" t="str">
        <f t="array" ref="X56">IFERROR(INDEX($Q$14:$Q$101,SMALL(IF($R$14:$R$101="Пошив",ROW($R$14:$R$101)-ROW($R$14)+1),ROW()-ROW($X$54)+1))," ")</f>
        <v xml:space="preserve"> </v>
      </c>
    </row>
    <row r="57" spans="2:24" ht="15" thickBot="1" x14ac:dyDescent="0.35">
      <c r="B57" s="97"/>
      <c r="C57" s="62" t="s">
        <v>266</v>
      </c>
      <c r="D57" s="62" t="s">
        <v>594</v>
      </c>
      <c r="E57" s="62" t="s">
        <v>639</v>
      </c>
      <c r="F57" s="63" t="s">
        <v>277</v>
      </c>
      <c r="G57" s="61" t="str">
        <f>_xlfn.CONCAT(Таблица2[[#This Row],[Обознач]],"_",Таблица2[[#This Row],[Наимен]])</f>
        <v>KI.SP.325_Крыло 2</v>
      </c>
      <c r="H57" s="61">
        <v>2</v>
      </c>
      <c r="I57" s="57"/>
      <c r="J57" s="57"/>
      <c r="K57" s="57"/>
      <c r="L57" s="58" t="s">
        <v>274</v>
      </c>
      <c r="M5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57" s="18" t="str">
        <f t="array" ref="P5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KI.TP.114_Проставка крыла D14 L9</v>
      </c>
      <c r="Q57" s="18">
        <f t="array" ref="Q5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4</v>
      </c>
      <c r="R57" s="18" t="str">
        <f t="array" ref="R5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7" s="7" t="str">
        <f t="array" ref="T57">IFERROR(INDEX($P$14:$P$101,SMALL(IF($R$14:$R$101="Листовой",ROW($R$14:$R$101)-ROW($R$14)+1),ROW()-ROW($T$54)+1))," ")</f>
        <v>KI.SP.316_Кроншетейн антиопрокидывателя</v>
      </c>
      <c r="U57" s="7">
        <f t="array" ref="U57">IFERROR(INDEX($Q$14:$Q$101,SMALL(IF($R$14:$R$101="Листовой",ROW($R$14:$R$101)-ROW($R$14)+1),ROW()-ROW($U$54)+1))," ")</f>
        <v>1</v>
      </c>
      <c r="W57" s="7" t="str">
        <f t="array" ref="W57">IFERROR(INDEX($P$14:$P$101,SMALL(IF($R$14:$R$101="Пошив",ROW($R$14:$R$101)-ROW($R$14)+1),ROW()-ROW($W$54)+1))," ")</f>
        <v xml:space="preserve"> </v>
      </c>
      <c r="X57" s="7" t="str">
        <f t="array" ref="X57">IFERROR(INDEX($Q$14:$Q$101,SMALL(IF($R$14:$R$101="Пошив",ROW($R$14:$R$101)-ROW($R$14)+1),ROW()-ROW($X$54)+1))," ")</f>
        <v xml:space="preserve"> </v>
      </c>
    </row>
    <row r="58" spans="2:24" ht="15" thickBot="1" x14ac:dyDescent="0.35">
      <c r="B58" s="97"/>
      <c r="C58" s="62" t="s">
        <v>267</v>
      </c>
      <c r="D58" s="62" t="s">
        <v>594</v>
      </c>
      <c r="E58" s="62" t="s">
        <v>637</v>
      </c>
      <c r="F58" s="63" t="s">
        <v>278</v>
      </c>
      <c r="G58" s="61" t="str">
        <f>_xlfn.CONCAT(Таблица2[[#This Row],[Обознач]],"_",Таблица2[[#This Row],[Наимен]])</f>
        <v>KI.SP.322_Крыло 3</v>
      </c>
      <c r="H58" s="61">
        <v>2</v>
      </c>
      <c r="I58" s="57"/>
      <c r="J58" s="57"/>
      <c r="K58" s="57"/>
      <c r="L58" s="58" t="s">
        <v>274</v>
      </c>
      <c r="M5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58" s="18" t="str">
        <f t="array" ref="P5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KI.CP.104_Гайка М22х1.5</v>
      </c>
      <c r="Q58" s="18">
        <f t="array" ref="Q5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58" s="18" t="str">
        <f t="array" ref="R5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8" s="7" t="str">
        <f t="array" ref="T58">IFERROR(INDEX($P$14:$P$101,SMALL(IF($R$14:$R$101="Листовой",ROW($R$14:$R$101)-ROW($R$14)+1),ROW()-ROW($T$54)+1))," ")</f>
        <v xml:space="preserve"> </v>
      </c>
      <c r="U58" s="7" t="str">
        <f t="array" ref="U58">IFERROR(INDEX($Q$14:$Q$101,SMALL(IF($R$14:$R$101="Листовой",ROW($R$14:$R$101)-ROW($R$14)+1),ROW()-ROW($U$54)+1))," ")</f>
        <v xml:space="preserve"> </v>
      </c>
      <c r="W58" s="7" t="str">
        <f t="array" ref="W58">IFERROR(INDEX($P$14:$P$101,SMALL(IF($R$14:$R$101="Пошив",ROW($R$14:$R$101)-ROW($R$14)+1),ROW()-ROW($W$54)+1))," ")</f>
        <v xml:space="preserve"> </v>
      </c>
      <c r="X58" s="7" t="str">
        <f t="array" ref="X58">IFERROR(INDEX($Q$14:$Q$101,SMALL(IF($R$14:$R$101="Пошив",ROW($R$14:$R$101)-ROW($R$14)+1),ROW()-ROW($X$54)+1))," ")</f>
        <v xml:space="preserve"> </v>
      </c>
    </row>
    <row r="59" spans="2:24" ht="15" thickBot="1" x14ac:dyDescent="0.35">
      <c r="B59" s="97"/>
      <c r="C59" s="62" t="s">
        <v>268</v>
      </c>
      <c r="D59" s="62" t="s">
        <v>594</v>
      </c>
      <c r="E59" s="62" t="s">
        <v>272</v>
      </c>
      <c r="F59" s="63" t="s">
        <v>273</v>
      </c>
      <c r="G59" s="61" t="str">
        <f>_xlfn.CONCAT(Таблица2[[#This Row],[Обознач]],"_",Таблица2[[#This Row],[Наимен]])</f>
        <v>KI.SP.312_Крыло 4</v>
      </c>
      <c r="H59" s="61">
        <v>2</v>
      </c>
      <c r="I59" s="58" t="s">
        <v>77</v>
      </c>
      <c r="J59" s="58" t="s">
        <v>77</v>
      </c>
      <c r="K59" s="58" t="s">
        <v>77</v>
      </c>
      <c r="L59" s="58" t="s">
        <v>274</v>
      </c>
      <c r="M5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59" s="18" t="str">
        <f t="array" ref="P5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KI.TP.104_Втулка ресивера колеса</v>
      </c>
      <c r="Q59" s="18">
        <f t="array" ref="Q5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59" s="18" t="str">
        <f t="array" ref="R5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59" s="7" t="str">
        <f t="array" ref="T59">IFERROR(INDEX($P$14:$P$101,SMALL(IF($R$14:$R$101="Листовой",ROW($R$14:$R$101)-ROW($R$14)+1),ROW()-ROW($T$54)+1))," ")</f>
        <v xml:space="preserve"> </v>
      </c>
      <c r="U59" s="7" t="str">
        <f t="array" ref="U59">IFERROR(INDEX($Q$14:$Q$101,SMALL(IF($R$14:$R$101="Листовой",ROW($R$14:$R$101)-ROW($R$14)+1),ROW()-ROW($U$54)+1))," ")</f>
        <v xml:space="preserve"> </v>
      </c>
      <c r="W59" s="7" t="str">
        <f t="array" ref="W59">IFERROR(INDEX($P$14:$P$101,SMALL(IF($R$14:$R$101="Пошив",ROW($R$14:$R$101)-ROW($R$14)+1),ROW()-ROW($W$54)+1))," ")</f>
        <v xml:space="preserve"> </v>
      </c>
      <c r="X59" s="7" t="str">
        <f t="array" ref="X59">IFERROR(INDEX($Q$14:$Q$101,SMALL(IF($R$14:$R$101="Пошив",ROW($R$14:$R$101)-ROW($R$14)+1),ROW()-ROW($X$54)+1))," ")</f>
        <v xml:space="preserve"> </v>
      </c>
    </row>
    <row r="60" spans="2:24" ht="15" thickBot="1" x14ac:dyDescent="0.35">
      <c r="B60" s="97"/>
      <c r="C60" s="62" t="s">
        <v>269</v>
      </c>
      <c r="D60" s="62" t="s">
        <v>594</v>
      </c>
      <c r="E60" s="62" t="s">
        <v>859</v>
      </c>
      <c r="F60" s="63" t="s">
        <v>279</v>
      </c>
      <c r="G60" s="61" t="str">
        <f>_xlfn.CONCAT(Таблица2[[#This Row],[Обознач]],"_",Таблица2[[#This Row],[Наимен]])</f>
        <v>KI.SP.333_Крыло 5</v>
      </c>
      <c r="H60" s="61">
        <v>2</v>
      </c>
      <c r="I60" s="58"/>
      <c r="J60" s="58"/>
      <c r="K60" s="58"/>
      <c r="L60" s="58" t="s">
        <v>274</v>
      </c>
      <c r="M6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60" s="18" t="str">
        <f t="array" ref="P6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KI.MP.078_Ресивер AJ 3 градусов</v>
      </c>
      <c r="Q60" s="18">
        <f t="array" ref="Q6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2</v>
      </c>
      <c r="R60" s="18" t="str">
        <f t="array" ref="R6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60" s="7" t="str">
        <f t="array" ref="T60">IFERROR(INDEX($P$14:$P$101,SMALL(IF($R$14:$R$101="Листовой",ROW($R$14:$R$101)-ROW($R$14)+1),ROW()-ROW($T$54)+1))," ")</f>
        <v xml:space="preserve"> </v>
      </c>
      <c r="U60" s="7" t="str">
        <f t="array" ref="U60">IFERROR(INDEX($Q$14:$Q$101,SMALL(IF($R$14:$R$101="Листовой",ROW($R$14:$R$101)-ROW($R$14)+1),ROW()-ROW($U$54)+1))," ")</f>
        <v xml:space="preserve"> </v>
      </c>
      <c r="W60" s="7" t="str">
        <f t="array" ref="W60">IFERROR(INDEX($P$14:$P$101,SMALL(IF($R$14:$R$101="Пошив",ROW($R$14:$R$101)-ROW($R$14)+1),ROW()-ROW($W$54)+1))," ")</f>
        <v xml:space="preserve"> </v>
      </c>
      <c r="X60" s="7" t="str">
        <f t="array" ref="X60">IFERROR(INDEX($Q$14:$Q$101,SMALL(IF($R$14:$R$101="Пошив",ROW($R$14:$R$101)-ROW($R$14)+1),ROW()-ROW($X$54)+1))," ")</f>
        <v xml:space="preserve"> </v>
      </c>
    </row>
    <row r="61" spans="2:24" ht="15" thickBot="1" x14ac:dyDescent="0.35">
      <c r="B61" s="97"/>
      <c r="C61" s="62" t="s">
        <v>270</v>
      </c>
      <c r="D61" s="62" t="s">
        <v>594</v>
      </c>
      <c r="E61" s="62" t="s">
        <v>646</v>
      </c>
      <c r="F61" s="63" t="s">
        <v>280</v>
      </c>
      <c r="G61" s="61" t="str">
        <f>_xlfn.CONCAT(Таблица2[[#This Row],[Обознач]],"_",Таблица2[[#This Row],[Наимен]])</f>
        <v>KI.SP.327_Крыло 6</v>
      </c>
      <c r="H61" s="61">
        <v>2</v>
      </c>
      <c r="I61" s="58"/>
      <c r="J61" s="58"/>
      <c r="K61" s="58"/>
      <c r="L61" s="58" t="s">
        <v>274</v>
      </c>
      <c r="M6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61" s="18" t="str">
        <f t="array" ref="P6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KI.TP.110_Проставка крыла D14 L2.5</v>
      </c>
      <c r="Q61" s="18">
        <f t="array" ref="Q6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6</v>
      </c>
      <c r="R61" s="18" t="str">
        <f t="array" ref="R6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Склад</v>
      </c>
      <c r="T61" s="7" t="str">
        <f t="array" ref="T61">IFERROR(INDEX($P$14:$P$101,SMALL(IF($R$14:$R$101="Листовой",ROW($R$14:$R$101)-ROW($R$14)+1),ROW()-ROW($T$54)+1))," ")</f>
        <v xml:space="preserve"> </v>
      </c>
      <c r="U61" s="7" t="str">
        <f t="array" ref="U61">IFERROR(INDEX($Q$14:$Q$101,SMALL(IF($R$14:$R$101="Листовой",ROW($R$14:$R$101)-ROW($R$14)+1),ROW()-ROW($U$54)+1))," ")</f>
        <v xml:space="preserve"> </v>
      </c>
      <c r="W61" s="7" t="str">
        <f t="array" ref="W61">IFERROR(INDEX($P$14:$P$101,SMALL(IF($R$14:$R$101="Пошив",ROW($R$14:$R$101)-ROW($R$14)+1),ROW()-ROW($W$54)+1))," ")</f>
        <v xml:space="preserve"> </v>
      </c>
      <c r="X61" s="7" t="str">
        <f t="array" ref="X61">IFERROR(INDEX($Q$14:$Q$101,SMALL(IF($R$14:$R$101="Пошив",ROW($R$14:$R$101)-ROW($R$14)+1),ROW()-ROW($X$54)+1))," ")</f>
        <v xml:space="preserve"> </v>
      </c>
    </row>
    <row r="62" spans="2:24" ht="15" thickBot="1" x14ac:dyDescent="0.35">
      <c r="B62" s="97"/>
      <c r="C62" s="62" t="s">
        <v>271</v>
      </c>
      <c r="D62" s="62" t="s">
        <v>594</v>
      </c>
      <c r="E62" s="62" t="s">
        <v>860</v>
      </c>
      <c r="F62" s="63" t="s">
        <v>281</v>
      </c>
      <c r="G62" s="61" t="str">
        <f>_xlfn.CONCAT(Таблица2[[#This Row],[Обознач]],"_",Таблица2[[#This Row],[Наимен]])</f>
        <v>KI.SP.334_Крыло 7</v>
      </c>
      <c r="H62" s="61">
        <v>2</v>
      </c>
      <c r="I62" s="57"/>
      <c r="J62" s="57"/>
      <c r="K62" s="57"/>
      <c r="L62" s="58" t="s">
        <v>274</v>
      </c>
      <c r="M6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62" s="18" t="str">
        <f t="array" ref="P6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KI.NP.023_Ременная спинка 300x300</v>
      </c>
      <c r="Q62" s="18">
        <f t="array" ref="Q6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62" s="18" t="str">
        <f t="array" ref="R6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Пошив</v>
      </c>
      <c r="T62" s="7" t="str">
        <f t="array" ref="T62">IFERROR(INDEX($P$14:$P$101,SMALL(IF($R$14:$R$101="Листовой",ROW($R$14:$R$101)-ROW($R$14)+1),ROW()-ROW($T$54)+1))," ")</f>
        <v xml:space="preserve"> </v>
      </c>
      <c r="U62" s="7" t="str">
        <f t="array" ref="U62">IFERROR(INDEX($Q$14:$Q$101,SMALL(IF($R$14:$R$101="Листовой",ROW($R$14:$R$101)-ROW($R$14)+1),ROW()-ROW($U$54)+1))," ")</f>
        <v xml:space="preserve"> </v>
      </c>
      <c r="W62" s="7" t="str">
        <f t="array" ref="W62">IFERROR(INDEX($P$14:$P$101,SMALL(IF($R$14:$R$101="Пошив",ROW($R$14:$R$101)-ROW($R$14)+1),ROW()-ROW($W$54)+1))," ")</f>
        <v xml:space="preserve"> </v>
      </c>
      <c r="X62" s="7" t="str">
        <f t="array" ref="X62">IFERROR(INDEX($Q$14:$Q$101,SMALL(IF($R$14:$R$101="Пошив",ROW($R$14:$R$101)-ROW($R$14)+1),ROW()-ROW($X$54)+1))," ")</f>
        <v xml:space="preserve"> </v>
      </c>
    </row>
    <row r="63" spans="2:24" ht="15" thickBot="1" x14ac:dyDescent="0.35">
      <c r="B63" s="97"/>
      <c r="C63" s="63" t="s">
        <v>80</v>
      </c>
      <c r="D63" s="62" t="s">
        <v>595</v>
      </c>
      <c r="E63" s="62" t="s">
        <v>314</v>
      </c>
      <c r="F63" s="63" t="s">
        <v>315</v>
      </c>
      <c r="G63" s="61" t="str">
        <f>_xlfn.CONCAT(Таблица2[[#This Row],[Обознач]],"_",Таблица2[[#This Row],[Наимен]])</f>
        <v>KI.MP.079_Вилка кастора АJ</v>
      </c>
      <c r="H63" s="101">
        <v>1</v>
      </c>
      <c r="I63" s="58"/>
      <c r="J63" s="58"/>
      <c r="K63" s="58"/>
      <c r="L63" s="58"/>
      <c r="M6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63" s="18" t="str">
        <f t="array" ref="P6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KI.WA.162_Спинка сварная 300х300</v>
      </c>
      <c r="Q63" s="18">
        <f t="array" ref="Q6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63" s="18" t="str">
        <f t="array" ref="R6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Сварка</v>
      </c>
      <c r="T63" s="7" t="str">
        <f t="array" ref="T63">IFERROR(INDEX($P$14:$P$101,SMALL(IF($R$14:$R$101="Листовой",ROW($R$14:$R$101)-ROW($R$14)+1),ROW()-ROW($T$54)+1))," ")</f>
        <v xml:space="preserve"> </v>
      </c>
      <c r="U63" s="7" t="str">
        <f t="array" ref="U63">IFERROR(INDEX($Q$14:$Q$101,SMALL(IF($R$14:$R$101="Листовой",ROW($R$14:$R$101)-ROW($R$14)+1),ROW()-ROW($U$54)+1))," ")</f>
        <v xml:space="preserve"> </v>
      </c>
      <c r="W63" s="7" t="str">
        <f t="array" ref="W63">IFERROR(INDEX($P$14:$P$101,SMALL(IF($R$14:$R$101="Пошив",ROW($R$14:$R$101)-ROW($R$14)+1),ROW()-ROW($W$54)+1))," ")</f>
        <v xml:space="preserve"> </v>
      </c>
      <c r="X63" s="7" t="str">
        <f t="array" ref="X63">IFERROR(INDEX($Q$14:$Q$101,SMALL(IF($R$14:$R$101="Пошив",ROW($R$14:$R$101)-ROW($R$14)+1),ROW()-ROW($X$54)+1))," ")</f>
        <v xml:space="preserve"> </v>
      </c>
    </row>
    <row r="64" spans="2:24" ht="15" thickBot="1" x14ac:dyDescent="0.35">
      <c r="B64" s="97"/>
      <c r="C64" s="63" t="s">
        <v>80</v>
      </c>
      <c r="D64" s="62" t="s">
        <v>595</v>
      </c>
      <c r="E64" s="62" t="s">
        <v>316</v>
      </c>
      <c r="F64" s="63" t="s">
        <v>315</v>
      </c>
      <c r="G64" s="61" t="str">
        <f>_xlfn.CONCAT(Таблица2[[#This Row],[Обознач]],"_",Таблица2[[#This Row],[Наимен]])</f>
        <v>KI.MP.079-00M_Вилка кастора АJ</v>
      </c>
      <c r="H64" s="101">
        <v>1</v>
      </c>
      <c r="I64" s="61"/>
      <c r="J64" s="61"/>
      <c r="K64" s="61"/>
      <c r="L64" s="58"/>
      <c r="M6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64" s="18" t="str">
        <f t="array" ref="P6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KI.WA.206_Рама сварная 300-3</v>
      </c>
      <c r="Q64" s="18">
        <f t="array" ref="Q6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64" s="18" t="str">
        <f t="array" ref="R6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Сварка</v>
      </c>
      <c r="T64" s="7" t="str">
        <f t="array" ref="T64">IFERROR(INDEX($P$14:$P$101,SMALL(IF($R$14:$R$101="Листовой",ROW($R$14:$R$101)-ROW($R$14)+1),ROW()-ROW($T$54)+1))," ")</f>
        <v xml:space="preserve"> </v>
      </c>
      <c r="U64" s="7" t="str">
        <f t="array" ref="U64">IFERROR(INDEX($Q$14:$Q$101,SMALL(IF($R$14:$R$101="Листовой",ROW($R$14:$R$101)-ROW($R$14)+1),ROW()-ROW($U$54)+1))," ")</f>
        <v xml:space="preserve"> </v>
      </c>
      <c r="W64" s="7" t="str">
        <f t="array" ref="W64">IFERROR(INDEX($P$14:$P$101,SMALL(IF($R$14:$R$101="Пошив",ROW($R$14:$R$101)-ROW($R$14)+1),ROW()-ROW($W$54)+1))," ")</f>
        <v xml:space="preserve"> </v>
      </c>
      <c r="X64" s="7" t="str">
        <f t="array" ref="X64">IFERROR(INDEX($Q$14:$Q$101,SMALL(IF($R$14:$R$101="Пошив",ROW($R$14:$R$101)-ROW($R$14)+1),ROW()-ROW($X$54)+1))," ")</f>
        <v xml:space="preserve"> </v>
      </c>
    </row>
    <row r="65" spans="2:24" ht="15" thickBot="1" x14ac:dyDescent="0.35">
      <c r="B65" s="97"/>
      <c r="C65" s="62" t="s">
        <v>80</v>
      </c>
      <c r="D65" s="62" t="s">
        <v>595</v>
      </c>
      <c r="E65" s="62" t="s">
        <v>317</v>
      </c>
      <c r="F65" s="62" t="s">
        <v>318</v>
      </c>
      <c r="G65" s="61" t="str">
        <f>_xlfn.CONCAT(Таблица2[[#This Row],[Обознач]],"_",Таблица2[[#This Row],[Наимен]])</f>
        <v>Колесо_Delfi 24''</v>
      </c>
      <c r="H65" s="101">
        <v>2</v>
      </c>
      <c r="I65" s="57"/>
      <c r="J65" s="57"/>
      <c r="K65" s="57"/>
      <c r="L65" s="57" t="s">
        <v>591</v>
      </c>
      <c r="M6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65" s="18" t="str">
        <f t="array" ref="P6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KI.WA.149_Антиопрокидыватель сварной</v>
      </c>
      <c r="Q65" s="18">
        <f t="array" ref="Q6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65" s="18" t="str">
        <f t="array" ref="R6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Сварка</v>
      </c>
      <c r="T65" s="7" t="str">
        <f t="array" ref="T65">IFERROR(INDEX($P$14:$P$101,SMALL(IF($R$14:$R$101="Листовой",ROW($R$14:$R$101)-ROW($R$14)+1),ROW()-ROW($T$54)+1))," ")</f>
        <v xml:space="preserve"> </v>
      </c>
      <c r="U65" s="7" t="str">
        <f t="array" ref="U65">IFERROR(INDEX($Q$14:$Q$101,SMALL(IF($R$14:$R$101="Листовой",ROW($R$14:$R$101)-ROW($R$14)+1),ROW()-ROW($U$54)+1))," ")</f>
        <v xml:space="preserve"> </v>
      </c>
      <c r="W65" s="7" t="str">
        <f t="array" ref="W65">IFERROR(INDEX($P$14:$P$101,SMALL(IF($R$14:$R$101="Пошив",ROW($R$14:$R$101)-ROW($R$14)+1),ROW()-ROW($W$54)+1))," ")</f>
        <v xml:space="preserve"> </v>
      </c>
      <c r="X65" s="7" t="str">
        <f t="array" ref="X65">IFERROR(INDEX($Q$14:$Q$101,SMALL(IF($R$14:$R$101="Пошив",ROW($R$14:$R$101)-ROW($R$14)+1),ROW()-ROW($X$54)+1))," ")</f>
        <v xml:space="preserve"> </v>
      </c>
    </row>
    <row r="66" spans="2:24" ht="15" thickBot="1" x14ac:dyDescent="0.35">
      <c r="B66" s="97"/>
      <c r="C66" s="62" t="s">
        <v>80</v>
      </c>
      <c r="D66" s="62" t="s">
        <v>595</v>
      </c>
      <c r="E66" s="62" t="s">
        <v>319</v>
      </c>
      <c r="F66" s="62" t="s">
        <v>320</v>
      </c>
      <c r="G66" s="61" t="str">
        <f>_xlfn.CONCAT(Таблица2[[#This Row],[Обознач]],"_",Таблица2[[#This Row],[Наимен]])</f>
        <v>KI.FP.103_Полукрыло A2</v>
      </c>
      <c r="H66" s="101">
        <v>2</v>
      </c>
      <c r="I66" s="57"/>
      <c r="J66" s="57"/>
      <c r="K66" s="57"/>
      <c r="L66" s="57"/>
      <c r="M6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66" s="18" t="str">
        <f t="array" ref="P6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>KI.SP.316_Кроншетейн антиопрокидывателя</v>
      </c>
      <c r="Q66" s="18">
        <f t="array" ref="Q6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>1</v>
      </c>
      <c r="R66" s="18" t="str">
        <f t="array" ref="R6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>Листовой</v>
      </c>
      <c r="T66" s="7" t="str">
        <f t="array" ref="T66">IFERROR(INDEX($P$14:$P$101,SMALL(IF($R$14:$R$101="Листовой",ROW($R$14:$R$101)-ROW($R$14)+1),ROW()-ROW($T$54)+1))," ")</f>
        <v xml:space="preserve"> </v>
      </c>
      <c r="U66" s="7" t="str">
        <f t="array" ref="U66">IFERROR(INDEX($Q$14:$Q$101,SMALL(IF($R$14:$R$101="Листовой",ROW($R$14:$R$101)-ROW($R$14)+1),ROW()-ROW($U$54)+1))," ")</f>
        <v xml:space="preserve"> </v>
      </c>
      <c r="W66" s="7" t="str">
        <f t="array" ref="W66">IFERROR(INDEX($P$14:$P$101,SMALL(IF($R$14:$R$101="Пошив",ROW($R$14:$R$101)-ROW($R$14)+1),ROW()-ROW($W$54)+1))," ")</f>
        <v xml:space="preserve"> </v>
      </c>
      <c r="X66" s="7" t="str">
        <f t="array" ref="X66">IFERROR(INDEX($Q$14:$Q$101,SMALL(IF($R$14:$R$101="Пошив",ROW($R$14:$R$101)-ROW($R$14)+1),ROW()-ROW($X$54)+1))," ")</f>
        <v xml:space="preserve"> </v>
      </c>
    </row>
    <row r="67" spans="2:24" ht="15" thickBot="1" x14ac:dyDescent="0.35">
      <c r="B67" s="97"/>
      <c r="C67" s="62" t="s">
        <v>295</v>
      </c>
      <c r="D67" s="62" t="s">
        <v>593</v>
      </c>
      <c r="E67" s="96" t="s">
        <v>900</v>
      </c>
      <c r="F67" s="96" t="s">
        <v>282</v>
      </c>
      <c r="G67" s="61" t="str">
        <f>_xlfn.CONCAT(Таблица2[[#This Row],[Обознач]],"_",Таблица2[[#This Row],[Наимен]])</f>
        <v>KI.BP.459_Вертикальная трубка спинки 200</v>
      </c>
      <c r="H67" s="98">
        <v>2</v>
      </c>
      <c r="I67" s="61">
        <v>110</v>
      </c>
      <c r="J67" s="58" t="s">
        <v>77</v>
      </c>
      <c r="K67" s="58" t="s">
        <v>77</v>
      </c>
      <c r="L67" s="98" t="str">
        <f>_xlfn.CONCAT("s=",Таблица2[[#This Row],[Длина ]])</f>
        <v>s=110</v>
      </c>
      <c r="M6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67" s="18" t="str">
        <f t="array" ref="P6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67" s="18" t="str">
        <f t="array" ref="Q6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67" s="18" t="str">
        <f t="array" ref="R6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T67" s="7" t="str">
        <f t="array" ref="T67">IFERROR(INDEX($P$14:$P$101,SMALL(IF($R$14:$R$101="Листовой",ROW($R$14:$R$101)-ROW($R$14)+1),ROW()-ROW($T$54)+1))," ")</f>
        <v xml:space="preserve"> </v>
      </c>
      <c r="U67" s="7" t="str">
        <f t="array" ref="U67">IFERROR(INDEX($Q$14:$Q$101,SMALL(IF($R$14:$R$101="Листовой",ROW($R$14:$R$101)-ROW($R$14)+1),ROW()-ROW($U$54)+1))," ")</f>
        <v xml:space="preserve"> </v>
      </c>
      <c r="W67" s="7" t="str">
        <f t="array" ref="W67">IFERROR(INDEX($P$14:$P$101,SMALL(IF($R$14:$R$101="Пошив",ROW($R$14:$R$101)-ROW($R$14)+1),ROW()-ROW($W$54)+1))," ")</f>
        <v xml:space="preserve"> </v>
      </c>
      <c r="X67" s="7" t="str">
        <f t="array" ref="X67">IFERROR(INDEX($Q$14:$Q$101,SMALL(IF($R$14:$R$101="Пошив",ROW($R$14:$R$101)-ROW($R$14)+1),ROW()-ROW($X$54)+1))," ")</f>
        <v xml:space="preserve"> </v>
      </c>
    </row>
    <row r="68" spans="2:24" ht="15" thickBot="1" x14ac:dyDescent="0.35">
      <c r="B68" s="97"/>
      <c r="C68" s="62" t="s">
        <v>296</v>
      </c>
      <c r="D68" s="62" t="s">
        <v>593</v>
      </c>
      <c r="E68" s="62" t="s">
        <v>660</v>
      </c>
      <c r="F68" s="96" t="s">
        <v>283</v>
      </c>
      <c r="G68" s="61" t="str">
        <f>_xlfn.CONCAT(Таблица2[[#This Row],[Обознач]],"_",Таблица2[[#This Row],[Наимен]])</f>
        <v>KI.BP.443_Вертикальная трубка спинки 220</v>
      </c>
      <c r="H68" s="98">
        <v>2</v>
      </c>
      <c r="I68" s="61">
        <v>130</v>
      </c>
      <c r="J68" s="58" t="s">
        <v>77</v>
      </c>
      <c r="K68" s="58" t="s">
        <v>77</v>
      </c>
      <c r="L68" s="98" t="str">
        <f>_xlfn.CONCAT("s=",Таблица2[[#This Row],[Длина ]])</f>
        <v>s=130</v>
      </c>
      <c r="M6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68" s="18" t="str">
        <f t="array" ref="P6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68" s="18" t="str">
        <f t="array" ref="Q6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68" s="18" t="str">
        <f t="array" ref="R6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T68" s="7" t="str">
        <f t="array" ref="T68">IFERROR(INDEX($P$14:$P$101,SMALL(IF($R$14:$R$101="Листовой",ROW($R$14:$R$101)-ROW($R$14)+1),ROW()-ROW($T$54)+1))," ")</f>
        <v xml:space="preserve"> </v>
      </c>
      <c r="U68" s="7" t="str">
        <f t="array" ref="U68">IFERROR(INDEX($Q$14:$Q$101,SMALL(IF($R$14:$R$101="Листовой",ROW($R$14:$R$101)-ROW($R$14)+1),ROW()-ROW($U$54)+1))," ")</f>
        <v xml:space="preserve"> </v>
      </c>
      <c r="W68" s="7" t="str">
        <f t="array" ref="W68">IFERROR(INDEX($P$14:$P$101,SMALL(IF($R$14:$R$101="Пошив",ROW($R$14:$R$101)-ROW($R$14)+1),ROW()-ROW($W$54)+1))," ")</f>
        <v xml:space="preserve"> </v>
      </c>
      <c r="X68" s="7" t="str">
        <f t="array" ref="X68">IFERROR(INDEX($Q$14:$Q$101,SMALL(IF($R$14:$R$101="Пошив",ROW($R$14:$R$101)-ROW($R$14)+1),ROW()-ROW($X$54)+1))," ")</f>
        <v xml:space="preserve"> </v>
      </c>
    </row>
    <row r="69" spans="2:24" ht="15" thickBot="1" x14ac:dyDescent="0.35">
      <c r="B69" s="97"/>
      <c r="C69" s="62" t="s">
        <v>297</v>
      </c>
      <c r="D69" s="62" t="s">
        <v>593</v>
      </c>
      <c r="E69" s="62" t="s">
        <v>604</v>
      </c>
      <c r="F69" s="96" t="s">
        <v>284</v>
      </c>
      <c r="G69" s="61" t="str">
        <f>_xlfn.CONCAT(Таблица2[[#This Row],[Обознач]],"_",Таблица2[[#This Row],[Наимен]])</f>
        <v>KI.BP.425_Вертикальная трубка спинки 240</v>
      </c>
      <c r="H69" s="98">
        <v>2</v>
      </c>
      <c r="I69" s="61">
        <v>150</v>
      </c>
      <c r="J69" s="58" t="s">
        <v>77</v>
      </c>
      <c r="K69" s="58" t="s">
        <v>77</v>
      </c>
      <c r="L69" s="98" t="str">
        <f>_xlfn.CONCAT("s=",Таблица2[[#This Row],[Длина ]])</f>
        <v>s=150</v>
      </c>
      <c r="M6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69" s="18" t="str">
        <f t="array" ref="P6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69" s="18" t="str">
        <f t="array" ref="Q6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69" s="18" t="str">
        <f t="array" ref="R6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T69" s="7" t="str">
        <f t="array" ref="T69">IFERROR(INDEX($P$14:$P$101,SMALL(IF($R$14:$R$101="Листовой",ROW($R$14:$R$101)-ROW($R$14)+1),ROW()-ROW($T$54)+1))," ")</f>
        <v xml:space="preserve"> </v>
      </c>
      <c r="U69" s="7" t="str">
        <f t="array" ref="U69">IFERROR(INDEX($Q$14:$Q$101,SMALL(IF($R$14:$R$101="Листовой",ROW($R$14:$R$101)-ROW($R$14)+1),ROW()-ROW($U$54)+1))," ")</f>
        <v xml:space="preserve"> </v>
      </c>
      <c r="W69" s="7" t="str">
        <f t="array" ref="W69">IFERROR(INDEX($P$14:$P$101,SMALL(IF($R$14:$R$101="Пошив",ROW($R$14:$R$101)-ROW($R$14)+1),ROW()-ROW($W$54)+1))," ")</f>
        <v xml:space="preserve"> </v>
      </c>
      <c r="X69" s="7" t="str">
        <f t="array" ref="X69">IFERROR(INDEX($Q$14:$Q$101,SMALL(IF($R$14:$R$101="Пошив",ROW($R$14:$R$101)-ROW($R$14)+1),ROW()-ROW($X$54)+1))," ")</f>
        <v xml:space="preserve"> </v>
      </c>
    </row>
    <row r="70" spans="2:24" ht="15" thickBot="1" x14ac:dyDescent="0.35">
      <c r="B70" s="97"/>
      <c r="C70" s="62" t="s">
        <v>294</v>
      </c>
      <c r="D70" s="62" t="s">
        <v>593</v>
      </c>
      <c r="E70" s="62" t="s">
        <v>939</v>
      </c>
      <c r="F70" s="96" t="s">
        <v>285</v>
      </c>
      <c r="G70" s="61" t="str">
        <f>_xlfn.CONCAT(Таблица2[[#This Row],[Обознач]],"_",Таблица2[[#This Row],[Наимен]])</f>
        <v>KI.BP.465_Вертикальная трубка спинки 260</v>
      </c>
      <c r="H70" s="98">
        <v>2</v>
      </c>
      <c r="I70" s="61">
        <v>170</v>
      </c>
      <c r="J70" s="58" t="s">
        <v>77</v>
      </c>
      <c r="K70" s="58" t="s">
        <v>77</v>
      </c>
      <c r="L70" s="98" t="str">
        <f>_xlfn.CONCAT("s=",Таблица2[[#This Row],[Длина ]])</f>
        <v>s=170</v>
      </c>
      <c r="M7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70" s="18" t="str">
        <f t="array" ref="P7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0" s="18" t="str">
        <f t="array" ref="Q7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0" s="18" t="str">
        <f t="array" ref="R7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1" spans="2:24" ht="15" thickBot="1" x14ac:dyDescent="0.35">
      <c r="B71" s="11"/>
      <c r="C71" s="62" t="s">
        <v>261</v>
      </c>
      <c r="D71" s="62" t="s">
        <v>593</v>
      </c>
      <c r="E71" s="62" t="s">
        <v>262</v>
      </c>
      <c r="F71" s="96" t="s">
        <v>263</v>
      </c>
      <c r="G71" s="61" t="str">
        <f>_xlfn.CONCAT(Таблица2[[#This Row],[Обознач]],"_",Таблица2[[#This Row],[Наимен]])</f>
        <v>KI.BP.419_Вертикальная трубка спинки 280</v>
      </c>
      <c r="H71" s="98">
        <v>2</v>
      </c>
      <c r="I71" s="61">
        <v>190</v>
      </c>
      <c r="J71" s="57" t="s">
        <v>77</v>
      </c>
      <c r="K71" s="57" t="s">
        <v>77</v>
      </c>
      <c r="L71" s="98" t="str">
        <f>_xlfn.CONCAT("s=",Таблица2[[#This Row],[Длина ]])</f>
        <v>s=190</v>
      </c>
      <c r="M7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71" s="18" t="str">
        <f t="array" ref="P7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1" s="18" t="str">
        <f t="array" ref="Q7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1" s="18" t="str">
        <f t="array" ref="R7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2" spans="2:24" ht="15" thickBot="1" x14ac:dyDescent="0.35">
      <c r="B72" s="97"/>
      <c r="C72" s="62" t="s">
        <v>298</v>
      </c>
      <c r="D72" s="62" t="s">
        <v>593</v>
      </c>
      <c r="E72" s="62" t="s">
        <v>614</v>
      </c>
      <c r="F72" s="96" t="s">
        <v>286</v>
      </c>
      <c r="G72" s="61" t="str">
        <f>_xlfn.CONCAT(Таблица2[[#This Row],[Обознач]],"_",Таблица2[[#This Row],[Наимен]])</f>
        <v>KI.BP.427_Вертикальная трубка спинки 300</v>
      </c>
      <c r="H72" s="98">
        <v>2</v>
      </c>
      <c r="I72" s="61">
        <v>210</v>
      </c>
      <c r="J72" s="58" t="s">
        <v>77</v>
      </c>
      <c r="K72" s="58" t="s">
        <v>77</v>
      </c>
      <c r="L72" s="98" t="str">
        <f>_xlfn.CONCAT("s=",Таблица2[[#This Row],[Длина ]])</f>
        <v>s=210</v>
      </c>
      <c r="M7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72" s="18" t="str">
        <f t="array" ref="P7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2" s="18" t="str">
        <f t="array" ref="Q7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2" s="18" t="str">
        <f t="array" ref="R7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3" spans="2:24" ht="15" thickBot="1" x14ac:dyDescent="0.35">
      <c r="B73" s="97"/>
      <c r="C73" s="62" t="s">
        <v>299</v>
      </c>
      <c r="D73" s="62" t="s">
        <v>593</v>
      </c>
      <c r="E73" s="62" t="s">
        <v>640</v>
      </c>
      <c r="F73" s="96" t="s">
        <v>287</v>
      </c>
      <c r="G73" s="61" t="str">
        <f>_xlfn.CONCAT(Таблица2[[#This Row],[Обознач]],"_",Таблица2[[#This Row],[Наимен]])</f>
        <v>KI.BP.438_Вертикальная трубка спинки 320</v>
      </c>
      <c r="H73" s="98">
        <v>2</v>
      </c>
      <c r="I73" s="61">
        <v>230</v>
      </c>
      <c r="J73" s="58" t="s">
        <v>77</v>
      </c>
      <c r="K73" s="58" t="s">
        <v>77</v>
      </c>
      <c r="L73" s="98" t="str">
        <f>_xlfn.CONCAT("s=",Таблица2[[#This Row],[Длина ]])</f>
        <v>s=230</v>
      </c>
      <c r="M7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73" s="18" t="str">
        <f t="array" ref="P7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3" s="18" t="str">
        <f t="array" ref="Q7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3" s="18" t="str">
        <f t="array" ref="R7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4" spans="2:24" ht="15" thickBot="1" x14ac:dyDescent="0.35">
      <c r="B74" s="97"/>
      <c r="C74" s="62" t="s">
        <v>300</v>
      </c>
      <c r="D74" s="62" t="s">
        <v>593</v>
      </c>
      <c r="E74" s="62" t="s">
        <v>881</v>
      </c>
      <c r="F74" s="96" t="s">
        <v>288</v>
      </c>
      <c r="G74" s="61" t="str">
        <f>_xlfn.CONCAT(Таблица2[[#This Row],[Обознач]],"_",Таблица2[[#This Row],[Наимен]])</f>
        <v>KI.BP.454_Вертикальная трубка спинки 340</v>
      </c>
      <c r="H74" s="98">
        <v>2</v>
      </c>
      <c r="I74" s="61">
        <v>250</v>
      </c>
      <c r="J74" s="58" t="s">
        <v>77</v>
      </c>
      <c r="K74" s="58" t="s">
        <v>77</v>
      </c>
      <c r="L74" s="98" t="str">
        <f>_xlfn.CONCAT("s=",Таблица2[[#This Row],[Длина ]])</f>
        <v>s=250</v>
      </c>
      <c r="M7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74" s="18" t="str">
        <f t="array" ref="P7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4" s="18" t="str">
        <f t="array" ref="Q7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4" s="18" t="str">
        <f t="array" ref="R7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5" spans="2:24" ht="15" thickBot="1" x14ac:dyDescent="0.35">
      <c r="B75" s="97"/>
      <c r="C75" s="62" t="s">
        <v>301</v>
      </c>
      <c r="D75" s="62" t="s">
        <v>593</v>
      </c>
      <c r="E75" s="96" t="s">
        <v>616</v>
      </c>
      <c r="F75" s="96" t="s">
        <v>289</v>
      </c>
      <c r="G75" s="61" t="str">
        <f>_xlfn.CONCAT(Таблица2[[#This Row],[Обознач]],"_",Таблица2[[#This Row],[Наимен]])</f>
        <v>KI.BP.428_Вертикальная трубка спинки 360</v>
      </c>
      <c r="H75" s="98">
        <v>2</v>
      </c>
      <c r="I75" s="61">
        <v>270</v>
      </c>
      <c r="J75" s="58" t="s">
        <v>77</v>
      </c>
      <c r="K75" s="58" t="s">
        <v>77</v>
      </c>
      <c r="L75" s="98" t="str">
        <f>_xlfn.CONCAT("s=",Таблица2[[#This Row],[Длина ]])</f>
        <v>s=270</v>
      </c>
      <c r="M7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75" s="18" t="str">
        <f t="array" ref="P7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5" s="18" t="str">
        <f t="array" ref="Q7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5" s="18" t="str">
        <f t="array" ref="R7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6" spans="2:24" ht="15" thickBot="1" x14ac:dyDescent="0.35">
      <c r="B76" s="11"/>
      <c r="C76" s="62" t="s">
        <v>236</v>
      </c>
      <c r="D76" s="62" t="s">
        <v>593</v>
      </c>
      <c r="E76" s="96" t="s">
        <v>234</v>
      </c>
      <c r="F76" s="96" t="s">
        <v>235</v>
      </c>
      <c r="G76" s="61" t="str">
        <f>_xlfn.CONCAT(Таблица2[[#This Row],[Обознач]],"_",Таблица2[[#This Row],[Наимен]])</f>
        <v>KI.BP.411_Вертикальная трубка спинки 380</v>
      </c>
      <c r="H76" s="98">
        <v>2</v>
      </c>
      <c r="I76" s="98">
        <v>290</v>
      </c>
      <c r="J76" s="57" t="s">
        <v>77</v>
      </c>
      <c r="K76" s="57" t="s">
        <v>77</v>
      </c>
      <c r="L76" s="98" t="str">
        <f>_xlfn.CONCAT("s=",Таблица2[[#This Row],[Длина ]])</f>
        <v>s=290</v>
      </c>
      <c r="M7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76" s="18" t="str">
        <f t="array" ref="P7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6" s="18" t="str">
        <f t="array" ref="Q7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6" s="18" t="str">
        <f t="array" ref="R7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7" spans="2:24" ht="15" thickBot="1" x14ac:dyDescent="0.35">
      <c r="B77" s="97"/>
      <c r="C77" s="62" t="s">
        <v>302</v>
      </c>
      <c r="D77" s="62" t="s">
        <v>593</v>
      </c>
      <c r="E77" s="96" t="s">
        <v>951</v>
      </c>
      <c r="F77" s="96" t="s">
        <v>290</v>
      </c>
      <c r="G77" s="61" t="str">
        <f>_xlfn.CONCAT(Таблица2[[#This Row],[Обознач]],"_",Таблица2[[#This Row],[Наимен]])</f>
        <v>KI.BP.466_Вертикальная трубка спинки 400</v>
      </c>
      <c r="H77" s="98">
        <v>2</v>
      </c>
      <c r="I77" s="100">
        <v>310</v>
      </c>
      <c r="J77" s="58" t="s">
        <v>77</v>
      </c>
      <c r="K77" s="58" t="s">
        <v>77</v>
      </c>
      <c r="L77" s="98" t="str">
        <f>_xlfn.CONCAT("s=",Таблица2[[#This Row],[Длина ]])</f>
        <v>s=310</v>
      </c>
      <c r="M77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77" s="18" t="str">
        <f t="array" ref="P7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7" s="18" t="str">
        <f t="array" ref="Q7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7" s="18" t="str">
        <f t="array" ref="R7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8" spans="2:24" ht="15" thickBot="1" x14ac:dyDescent="0.35">
      <c r="B78" s="97"/>
      <c r="C78" s="62" t="s">
        <v>303</v>
      </c>
      <c r="D78" s="62" t="s">
        <v>593</v>
      </c>
      <c r="E78" s="96" t="s">
        <v>885</v>
      </c>
      <c r="F78" s="96" t="s">
        <v>291</v>
      </c>
      <c r="G78" s="61" t="str">
        <f>_xlfn.CONCAT(Таблица2[[#This Row],[Обознач]],"_",Таблица2[[#This Row],[Наимен]])</f>
        <v>KI.BP.457_Вертикальная трубка спинки 420</v>
      </c>
      <c r="H78" s="98">
        <v>2</v>
      </c>
      <c r="I78" s="99">
        <v>330</v>
      </c>
      <c r="J78" s="58" t="s">
        <v>77</v>
      </c>
      <c r="K78" s="58" t="s">
        <v>77</v>
      </c>
      <c r="L78" s="98" t="str">
        <f>_xlfn.CONCAT("s=",Таблица2[[#This Row],[Длина ]])</f>
        <v>s=330</v>
      </c>
      <c r="M7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78" s="18" t="str">
        <f t="array" ref="P7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8" s="18" t="str">
        <f t="array" ref="Q7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8" s="18" t="str">
        <f t="array" ref="R7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79" spans="2:24" ht="15" thickBot="1" x14ac:dyDescent="0.35">
      <c r="B79" s="97"/>
      <c r="C79" s="62" t="s">
        <v>304</v>
      </c>
      <c r="D79" s="62" t="s">
        <v>593</v>
      </c>
      <c r="E79" s="96" t="s">
        <v>965</v>
      </c>
      <c r="F79" s="96" t="s">
        <v>292</v>
      </c>
      <c r="G79" s="61" t="str">
        <f>_xlfn.CONCAT(Таблица2[[#This Row],[Обознач]],"_",Таблица2[[#This Row],[Наимен]])</f>
        <v>KI.BP.472_Вертикальная трубка спинки 440</v>
      </c>
      <c r="H79" s="98">
        <v>2</v>
      </c>
      <c r="I79" s="100">
        <v>350</v>
      </c>
      <c r="J79" s="58" t="s">
        <v>77</v>
      </c>
      <c r="K79" s="58" t="s">
        <v>77</v>
      </c>
      <c r="L79" s="98" t="str">
        <f>_xlfn.CONCAT("s=",Таблица2[[#This Row],[Длина ]])</f>
        <v>s=350</v>
      </c>
      <c r="M7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79" s="18" t="str">
        <f t="array" ref="P7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79" s="18" t="str">
        <f t="array" ref="Q7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79" s="18" t="str">
        <f t="array" ref="R7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0" spans="2:24" ht="15" thickBot="1" x14ac:dyDescent="0.35">
      <c r="B80" s="97"/>
      <c r="C80" s="62" t="s">
        <v>305</v>
      </c>
      <c r="D80" s="62" t="s">
        <v>593</v>
      </c>
      <c r="E80" s="96" t="s">
        <v>966</v>
      </c>
      <c r="F80" s="96" t="s">
        <v>293</v>
      </c>
      <c r="G80" s="61" t="str">
        <f>_xlfn.CONCAT(Таблица2[[#This Row],[Обознач]],"_",Таблица2[[#This Row],[Наимен]])</f>
        <v>KI.BP.473_Вертикальная трубка спинки 460</v>
      </c>
      <c r="H80" s="98">
        <v>2</v>
      </c>
      <c r="I80" s="99">
        <v>370</v>
      </c>
      <c r="J80" s="58" t="s">
        <v>77</v>
      </c>
      <c r="K80" s="58" t="s">
        <v>77</v>
      </c>
      <c r="L80" s="98" t="str">
        <f>_xlfn.CONCAT("s=",Таблица2[[#This Row],[Длина ]])</f>
        <v>s=370</v>
      </c>
      <c r="M8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80" s="18" t="str">
        <f t="array" ref="P80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0" s="18" t="str">
        <f t="array" ref="Q80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0" s="18" t="str">
        <f t="array" ref="R80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1" spans="2:18" ht="15" thickBot="1" x14ac:dyDescent="0.35">
      <c r="B81" s="97"/>
      <c r="C81" s="62" t="s">
        <v>80</v>
      </c>
      <c r="D81" s="62" t="s">
        <v>595</v>
      </c>
      <c r="E81" s="62" t="s">
        <v>321</v>
      </c>
      <c r="F81" s="62"/>
      <c r="G81" s="61" t="str">
        <f>_xlfn.CONCAT(Таблица2[[#This Row],[Обознач]],"_",Таблица2[[#This Row],[Наимен]])</f>
        <v>Грипса_</v>
      </c>
      <c r="H81" s="61">
        <v>2</v>
      </c>
      <c r="I81" s="99"/>
      <c r="J81" s="99"/>
      <c r="K81" s="99"/>
      <c r="L81" s="57" t="s">
        <v>591</v>
      </c>
      <c r="M8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81" s="18" t="str">
        <f t="array" ref="P81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1" s="18" t="str">
        <f t="array" ref="Q81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1" s="18" t="str">
        <f t="array" ref="R81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2" spans="2:18" ht="15" thickBot="1" x14ac:dyDescent="0.35">
      <c r="B82" s="97"/>
      <c r="C82" s="62" t="s">
        <v>80</v>
      </c>
      <c r="D82" s="62" t="s">
        <v>595</v>
      </c>
      <c r="E82" s="62" t="s">
        <v>322</v>
      </c>
      <c r="F82" s="62" t="s">
        <v>323</v>
      </c>
      <c r="G82" s="61" t="str">
        <f>_xlfn.CONCAT(Таблица2[[#This Row],[Обознач]],"_",Таблица2[[#This Row],[Наимен]])</f>
        <v>KI.SA.006_Колесо кастера</v>
      </c>
      <c r="H82" s="102">
        <v>2</v>
      </c>
      <c r="I82" s="99"/>
      <c r="J82" s="99"/>
      <c r="K82" s="99"/>
      <c r="L82" s="57"/>
      <c r="M8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82" s="18" t="str">
        <f t="array" ref="P82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2" s="18" t="str">
        <f t="array" ref="Q82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2" s="18" t="str">
        <f t="array" ref="R82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3" spans="2:18" ht="15" thickBot="1" x14ac:dyDescent="0.35">
      <c r="B83" s="97"/>
      <c r="C83" s="62" t="s">
        <v>80</v>
      </c>
      <c r="D83" s="62" t="s">
        <v>595</v>
      </c>
      <c r="E83" s="62" t="s">
        <v>324</v>
      </c>
      <c r="F83" s="62" t="s">
        <v>325</v>
      </c>
      <c r="G83" s="61" t="str">
        <f>_xlfn.CONCAT(Таблица2[[#This Row],[Обознач]],"_",Таблица2[[#This Row],[Наимен]])</f>
        <v>KI.TP.010_Проставка колеса кастора</v>
      </c>
      <c r="H83" s="102">
        <v>2</v>
      </c>
      <c r="I83" s="99"/>
      <c r="J83" s="99"/>
      <c r="K83" s="99"/>
      <c r="L83" s="57"/>
      <c r="M8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83" s="18" t="str">
        <f t="array" ref="P83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3" s="18" t="str">
        <f t="array" ref="Q83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3" s="18" t="str">
        <f t="array" ref="R83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4" spans="2:18" ht="15" thickBot="1" x14ac:dyDescent="0.35">
      <c r="B84" s="97"/>
      <c r="C84" s="62" t="s">
        <v>573</v>
      </c>
      <c r="D84" s="62" t="s">
        <v>594</v>
      </c>
      <c r="E84" s="62" t="s">
        <v>1028</v>
      </c>
      <c r="F84" s="62" t="s">
        <v>326</v>
      </c>
      <c r="G84" s="61" t="str">
        <f>_xlfn.CONCAT(Таблица2[[#This Row],[Обознач]],"_",Таблица2[[#This Row],[Наимен]])</f>
        <v>KI.SP.355_Пластина сидения 270-1,2</v>
      </c>
      <c r="H84" s="102">
        <v>1</v>
      </c>
      <c r="I84" s="99"/>
      <c r="J84" s="99"/>
      <c r="K84" s="99"/>
      <c r="L84" s="57"/>
      <c r="M8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84" s="18" t="str">
        <f t="array" ref="P84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4" s="18" t="str">
        <f t="array" ref="Q84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4" s="18" t="str">
        <f t="array" ref="R84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5" spans="2:18" ht="15" thickBot="1" x14ac:dyDescent="0.35">
      <c r="B85" s="97"/>
      <c r="C85" s="62" t="s">
        <v>580</v>
      </c>
      <c r="D85" s="62" t="s">
        <v>594</v>
      </c>
      <c r="E85" s="62" t="s">
        <v>1038</v>
      </c>
      <c r="F85" s="62" t="s">
        <v>327</v>
      </c>
      <c r="G85" s="61" t="str">
        <f>_xlfn.CONCAT(Таблица2[[#This Row],[Обознач]],"_",Таблица2[[#This Row],[Наимен]])</f>
        <v>KI.SP.358_Пластина сидения 270-3,4</v>
      </c>
      <c r="H85" s="102">
        <v>1</v>
      </c>
      <c r="I85" s="99"/>
      <c r="J85" s="99"/>
      <c r="K85" s="99"/>
      <c r="L85" s="57"/>
      <c r="M8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85" s="18" t="str">
        <f t="array" ref="P85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5" s="18" t="str">
        <f t="array" ref="Q85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5" s="18" t="str">
        <f t="array" ref="R85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6" spans="2:18" ht="15" thickBot="1" x14ac:dyDescent="0.35">
      <c r="B86" s="97"/>
      <c r="C86" s="62" t="s">
        <v>579</v>
      </c>
      <c r="D86" s="62" t="s">
        <v>594</v>
      </c>
      <c r="E86" s="62" t="s">
        <v>1039</v>
      </c>
      <c r="F86" s="62" t="s">
        <v>328</v>
      </c>
      <c r="G86" s="61" t="str">
        <f>_xlfn.CONCAT(Таблица2[[#This Row],[Обознач]],"_",Таблица2[[#This Row],[Наимен]])</f>
        <v>KI.SP.359_Пластина сидения 270-5,6,7</v>
      </c>
      <c r="H86" s="102">
        <v>1</v>
      </c>
      <c r="I86" s="99"/>
      <c r="J86" s="99"/>
      <c r="K86" s="99"/>
      <c r="L86" s="57"/>
      <c r="M8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86" s="18" t="str">
        <f t="array" ref="P86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6" s="18" t="str">
        <f t="array" ref="Q86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6" s="18" t="str">
        <f t="array" ref="R86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7" spans="2:18" ht="15" thickBot="1" x14ac:dyDescent="0.35">
      <c r="B87" s="97"/>
      <c r="C87" s="62" t="s">
        <v>574</v>
      </c>
      <c r="D87" s="62" t="s">
        <v>594</v>
      </c>
      <c r="E87" s="62" t="s">
        <v>1027</v>
      </c>
      <c r="F87" s="62" t="s">
        <v>329</v>
      </c>
      <c r="G87" s="61" t="str">
        <f>_xlfn.CONCAT(Таблица2[[#This Row],[Обознач]],"_",Таблица2[[#This Row],[Наимен]])</f>
        <v>KI.SP.354_Пластина сидения 300-1,2</v>
      </c>
      <c r="H87" s="102">
        <v>1</v>
      </c>
      <c r="I87" s="99"/>
      <c r="J87" s="99"/>
      <c r="K87" s="99"/>
      <c r="L87" s="57"/>
      <c r="M8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87" s="18" t="str">
        <f t="array" ref="P87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7" s="18" t="str">
        <f t="array" ref="Q87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7" s="18" t="str">
        <f t="array" ref="R87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8" spans="2:18" ht="15" thickBot="1" x14ac:dyDescent="0.35">
      <c r="B88" s="97"/>
      <c r="C88" s="62" t="s">
        <v>581</v>
      </c>
      <c r="D88" s="62" t="s">
        <v>594</v>
      </c>
      <c r="E88" s="62" t="s">
        <v>1040</v>
      </c>
      <c r="F88" s="62" t="s">
        <v>330</v>
      </c>
      <c r="G88" s="61" t="str">
        <f>_xlfn.CONCAT(Таблица2[[#This Row],[Обознач]],"_",Таблица2[[#This Row],[Наимен]])</f>
        <v>KI.SP.360_Пластина сидения 300-3,4</v>
      </c>
      <c r="H88" s="102">
        <v>1</v>
      </c>
      <c r="I88" s="99"/>
      <c r="J88" s="99"/>
      <c r="K88" s="99"/>
      <c r="L88" s="57"/>
      <c r="M8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  <c r="P88" s="18" t="str">
        <f t="array" ref="P88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8" s="18" t="str">
        <f t="array" ref="Q88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8" s="18" t="str">
        <f t="array" ref="R88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89" spans="2:18" ht="15" thickBot="1" x14ac:dyDescent="0.35">
      <c r="B89" s="97"/>
      <c r="C89" s="62" t="s">
        <v>586</v>
      </c>
      <c r="D89" s="62" t="s">
        <v>594</v>
      </c>
      <c r="E89" s="62" t="s">
        <v>1041</v>
      </c>
      <c r="F89" s="62" t="s">
        <v>331</v>
      </c>
      <c r="G89" s="61" t="str">
        <f>_xlfn.CONCAT(Таблица2[[#This Row],[Обознач]],"_",Таблица2[[#This Row],[Наимен]])</f>
        <v>KI.SP.361_Пластина сидения 300-5,6,7</v>
      </c>
      <c r="H89" s="102">
        <v>1</v>
      </c>
      <c r="I89" s="99"/>
      <c r="J89" s="99"/>
      <c r="K89" s="99"/>
      <c r="L89" s="57"/>
      <c r="M8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89" s="18" t="str">
        <f t="array" ref="P89">IFERROR(INDEX(Таблица2[Полное Наименовнаие],SMALL(IF(Таблица2[Идёт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  <c r="Q89" s="18" t="str">
        <f t="array" ref="Q89">IFERROR(INDEX(Таблица2[Кол-во],SMALL(IF(Таблица2[Идёт ли в спецификацию?]="da",ROW(Таблица2[Идёт ли в спецификацию?])-ROW('Рама буфер всех чертежей'!$M$2)+1),ROW()-ROW($Q$14)+1))," ")</f>
        <v xml:space="preserve"> </v>
      </c>
      <c r="R89" s="18" t="str">
        <f t="array" ref="R89">IFERROR(INDEX(Таблица2[тип изделия],SMALL(IF(Таблица2[Идёт ли в спецификацию?]="da",ROW(Таблица2[Идёт ли в спецификацию?])-ROW('Рама буфер всех чертежей'!$M$2)+1),ROW()-ROW($P$14)+1))," ")</f>
        <v xml:space="preserve"> </v>
      </c>
    </row>
    <row r="90" spans="2:18" x14ac:dyDescent="0.3">
      <c r="B90" s="97"/>
      <c r="C90" s="62" t="s">
        <v>575</v>
      </c>
      <c r="D90" s="62" t="s">
        <v>594</v>
      </c>
      <c r="E90" s="62" t="s">
        <v>1035</v>
      </c>
      <c r="F90" s="62" t="s">
        <v>332</v>
      </c>
      <c r="G90" s="61" t="str">
        <f>_xlfn.CONCAT(Таблица2[[#This Row],[Обознач]],"_",Таблица2[[#This Row],[Наимен]])</f>
        <v>KI.SP.357_Пластина сидения 330-1,2</v>
      </c>
      <c r="H90" s="102">
        <v>1</v>
      </c>
      <c r="I90" s="99"/>
      <c r="J90" s="99"/>
      <c r="K90" s="99"/>
      <c r="L90" s="57"/>
      <c r="M9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91" spans="2:18" x14ac:dyDescent="0.3">
      <c r="B91" s="97"/>
      <c r="C91" s="62" t="s">
        <v>582</v>
      </c>
      <c r="D91" s="62" t="s">
        <v>594</v>
      </c>
      <c r="E91" s="62" t="s">
        <v>1042</v>
      </c>
      <c r="F91" s="62" t="s">
        <v>333</v>
      </c>
      <c r="G91" s="61" t="str">
        <f>_xlfn.CONCAT(Таблица2[[#This Row],[Обознач]],"_",Таблица2[[#This Row],[Наимен]])</f>
        <v>KI.SP.362_Пластина сидения 330-3,4</v>
      </c>
      <c r="H91" s="102">
        <v>1</v>
      </c>
      <c r="I91" s="99"/>
      <c r="J91" s="99"/>
      <c r="K91" s="99"/>
      <c r="L91" s="57"/>
      <c r="M9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92" spans="2:18" x14ac:dyDescent="0.3">
      <c r="B92" s="97"/>
      <c r="C92" s="62" t="s">
        <v>587</v>
      </c>
      <c r="D92" s="62" t="s">
        <v>594</v>
      </c>
      <c r="E92" s="62" t="s">
        <v>1043</v>
      </c>
      <c r="F92" s="62" t="s">
        <v>334</v>
      </c>
      <c r="G92" s="61" t="str">
        <f>_xlfn.CONCAT(Таблица2[[#This Row],[Обознач]],"_",Таблица2[[#This Row],[Наимен]])</f>
        <v>KI.SP.363_Пластина сидения 330-5,6,7</v>
      </c>
      <c r="H92" s="102">
        <v>1</v>
      </c>
      <c r="I92" s="99"/>
      <c r="J92" s="99"/>
      <c r="K92" s="99"/>
      <c r="L92" s="57"/>
      <c r="M9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93" spans="2:18" x14ac:dyDescent="0.3">
      <c r="B93" s="97"/>
      <c r="C93" s="62" t="s">
        <v>576</v>
      </c>
      <c r="D93" s="62" t="s">
        <v>594</v>
      </c>
      <c r="E93" s="62" t="s">
        <v>1044</v>
      </c>
      <c r="F93" s="62" t="s">
        <v>335</v>
      </c>
      <c r="G93" s="61" t="str">
        <f>_xlfn.CONCAT(Таблица2[[#This Row],[Обознач]],"_",Таблица2[[#This Row],[Наимен]])</f>
        <v>KI.SP.364_Пластина сидения 360-1,2</v>
      </c>
      <c r="H93" s="102">
        <v>1</v>
      </c>
      <c r="I93" s="99"/>
      <c r="J93" s="99"/>
      <c r="K93" s="99"/>
      <c r="L93" s="57"/>
      <c r="M9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94" spans="2:18" x14ac:dyDescent="0.3">
      <c r="B94" s="97"/>
      <c r="C94" s="62" t="s">
        <v>583</v>
      </c>
      <c r="D94" s="62" t="s">
        <v>594</v>
      </c>
      <c r="E94" s="62" t="s">
        <v>1030</v>
      </c>
      <c r="F94" s="62" t="s">
        <v>275</v>
      </c>
      <c r="G94" s="61" t="str">
        <f>_xlfn.CONCAT(Таблица2[[#This Row],[Обознач]],"_",Таблица2[[#This Row],[Наимен]])</f>
        <v>KI.SP.356_Пластина сидения 360-3,4</v>
      </c>
      <c r="H94" s="102">
        <v>1</v>
      </c>
      <c r="I94" s="99"/>
      <c r="J94" s="99"/>
      <c r="K94" s="99"/>
      <c r="L94" s="57"/>
      <c r="M9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95" spans="2:18" x14ac:dyDescent="0.3">
      <c r="B95" s="97"/>
      <c r="C95" s="62" t="s">
        <v>588</v>
      </c>
      <c r="D95" s="62" t="s">
        <v>594</v>
      </c>
      <c r="E95" s="62" t="s">
        <v>1045</v>
      </c>
      <c r="F95" s="62" t="s">
        <v>336</v>
      </c>
      <c r="G95" s="61" t="str">
        <f>_xlfn.CONCAT(Таблица2[[#This Row],[Обознач]],"_",Таблица2[[#This Row],[Наимен]])</f>
        <v>KI.SP.365_Пластина сидения 360-5,6,7</v>
      </c>
      <c r="H95" s="102">
        <v>1</v>
      </c>
      <c r="I95" s="99"/>
      <c r="J95" s="99"/>
      <c r="K95" s="99"/>
      <c r="L95" s="57"/>
      <c r="M9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96" spans="2:18" x14ac:dyDescent="0.3">
      <c r="B96" s="97"/>
      <c r="C96" s="62" t="s">
        <v>577</v>
      </c>
      <c r="D96" s="62" t="s">
        <v>594</v>
      </c>
      <c r="E96" s="62" t="s">
        <v>1046</v>
      </c>
      <c r="F96" s="62" t="s">
        <v>337</v>
      </c>
      <c r="G96" s="61" t="str">
        <f>_xlfn.CONCAT(Таблица2[[#This Row],[Обознач]],"_",Таблица2[[#This Row],[Наимен]])</f>
        <v>KI.SP.366_Пластина сидения 390-1,2</v>
      </c>
      <c r="H96" s="102">
        <v>1</v>
      </c>
      <c r="I96" s="99"/>
      <c r="J96" s="99"/>
      <c r="K96" s="99"/>
      <c r="L96" s="57"/>
      <c r="M9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97" spans="2:13" x14ac:dyDescent="0.3">
      <c r="B97" s="97"/>
      <c r="C97" s="62" t="s">
        <v>584</v>
      </c>
      <c r="D97" s="62" t="s">
        <v>594</v>
      </c>
      <c r="E97" s="62" t="s">
        <v>1047</v>
      </c>
      <c r="F97" s="62" t="s">
        <v>338</v>
      </c>
      <c r="G97" s="61" t="str">
        <f>_xlfn.CONCAT(Таблица2[[#This Row],[Обознач]],"_",Таблица2[[#This Row],[Наимен]])</f>
        <v>KI.SP.367_Пластина сидения 390-3,4</v>
      </c>
      <c r="H97" s="102">
        <v>1</v>
      </c>
      <c r="I97" s="99"/>
      <c r="J97" s="99"/>
      <c r="K97" s="99"/>
      <c r="L97" s="57"/>
      <c r="M9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98" spans="2:13" x14ac:dyDescent="0.3">
      <c r="B98" s="97"/>
      <c r="C98" s="62" t="s">
        <v>589</v>
      </c>
      <c r="D98" s="62" t="s">
        <v>594</v>
      </c>
      <c r="E98" s="62" t="s">
        <v>1048</v>
      </c>
      <c r="F98" s="165" t="s">
        <v>339</v>
      </c>
      <c r="G98" s="61" t="str">
        <f>_xlfn.CONCAT(Таблица2[[#This Row],[Обознач]],"_",Таблица2[[#This Row],[Наимен]])</f>
        <v>KI.SP.368_Пластина сидения 390-5,6,7</v>
      </c>
      <c r="H98" s="102">
        <v>1</v>
      </c>
      <c r="I98" s="99"/>
      <c r="J98" s="99"/>
      <c r="K98" s="99"/>
      <c r="L98" s="57"/>
      <c r="M9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99" spans="2:13" x14ac:dyDescent="0.3">
      <c r="B99" s="97"/>
      <c r="C99" s="62" t="s">
        <v>578</v>
      </c>
      <c r="D99" s="62" t="s">
        <v>594</v>
      </c>
      <c r="E99" s="62" t="s">
        <v>1049</v>
      </c>
      <c r="F99" s="165" t="s">
        <v>340</v>
      </c>
      <c r="G99" s="61" t="str">
        <f>_xlfn.CONCAT(Таблица2[[#This Row],[Обознач]],"_",Таблица2[[#This Row],[Наимен]])</f>
        <v>KI.SP.369_Пластина сидения 420-1,2</v>
      </c>
      <c r="H99" s="102">
        <v>1</v>
      </c>
      <c r="I99" s="99"/>
      <c r="J99" s="99"/>
      <c r="K99" s="99"/>
      <c r="L99" s="57"/>
      <c r="M9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00" spans="2:13" x14ac:dyDescent="0.3">
      <c r="B100" s="97"/>
      <c r="C100" s="62" t="s">
        <v>585</v>
      </c>
      <c r="D100" s="62" t="s">
        <v>594</v>
      </c>
      <c r="E100" s="62" t="s">
        <v>1050</v>
      </c>
      <c r="F100" s="165" t="s">
        <v>341</v>
      </c>
      <c r="G100" s="61" t="str">
        <f>_xlfn.CONCAT(Таблица2[[#This Row],[Обознач]],"_",Таблица2[[#This Row],[Наимен]])</f>
        <v>KI.SP.370_Пластина сидения 420-3,4</v>
      </c>
      <c r="H100" s="102">
        <v>1</v>
      </c>
      <c r="I100" s="99"/>
      <c r="J100" s="99"/>
      <c r="K100" s="99"/>
      <c r="L100" s="57"/>
      <c r="M10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01" spans="2:13" x14ac:dyDescent="0.3">
      <c r="B101" s="97"/>
      <c r="C101" s="62" t="s">
        <v>590</v>
      </c>
      <c r="D101" s="62" t="s">
        <v>594</v>
      </c>
      <c r="E101" s="62" t="s">
        <v>1051</v>
      </c>
      <c r="F101" s="165" t="s">
        <v>342</v>
      </c>
      <c r="G101" s="61" t="str">
        <f>_xlfn.CONCAT(Таблица2[[#This Row],[Обознач]],"_",Таблица2[[#This Row],[Наимен]])</f>
        <v>KI.SP.371_Пластина сидения 420-5,6,7</v>
      </c>
      <c r="H101" s="102">
        <v>1</v>
      </c>
      <c r="I101" s="99"/>
      <c r="J101" s="99"/>
      <c r="K101" s="99"/>
      <c r="L101" s="57"/>
      <c r="M10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02" spans="2:13" x14ac:dyDescent="0.3">
      <c r="B102" s="97"/>
      <c r="C102" s="62" t="s">
        <v>573</v>
      </c>
      <c r="D102" s="62" t="s">
        <v>596</v>
      </c>
      <c r="E102" s="62" t="s">
        <v>222</v>
      </c>
      <c r="F102" s="62" t="s">
        <v>343</v>
      </c>
      <c r="G102" s="61" t="str">
        <f>_xlfn.CONCAT(Таблица2[[#This Row],[Обознач]],"_",Таблица2[[#This Row],[Наимен]])</f>
        <v>?KI.BP.?_Тканевая подушка сидения 270-1,2</v>
      </c>
      <c r="H102" s="102">
        <v>1</v>
      </c>
      <c r="I102" s="99"/>
      <c r="J102" s="99"/>
      <c r="K102" s="99"/>
      <c r="L102" s="57"/>
      <c r="M10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03" spans="2:13" x14ac:dyDescent="0.3">
      <c r="B103" s="97"/>
      <c r="C103" s="62" t="s">
        <v>580</v>
      </c>
      <c r="D103" s="62" t="s">
        <v>596</v>
      </c>
      <c r="E103" s="62" t="s">
        <v>222</v>
      </c>
      <c r="F103" s="62" t="s">
        <v>344</v>
      </c>
      <c r="G103" s="61" t="str">
        <f>_xlfn.CONCAT(Таблица2[[#This Row],[Обознач]],"_",Таблица2[[#This Row],[Наимен]])</f>
        <v>?KI.BP.?_Тканевая подушка сидения 270-3,4</v>
      </c>
      <c r="H103" s="102">
        <v>1</v>
      </c>
      <c r="I103" s="99"/>
      <c r="J103" s="99"/>
      <c r="K103" s="99"/>
      <c r="L103" s="57"/>
      <c r="M10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04" spans="2:13" x14ac:dyDescent="0.3">
      <c r="B104" s="97"/>
      <c r="C104" s="62" t="s">
        <v>579</v>
      </c>
      <c r="D104" s="62" t="s">
        <v>596</v>
      </c>
      <c r="E104" s="62" t="s">
        <v>222</v>
      </c>
      <c r="F104" s="62" t="s">
        <v>345</v>
      </c>
      <c r="G104" s="61" t="str">
        <f>_xlfn.CONCAT(Таблица2[[#This Row],[Обознач]],"_",Таблица2[[#This Row],[Наимен]])</f>
        <v>?KI.BP.?_Тканевая подушка сидения 270-5,6,7</v>
      </c>
      <c r="H104" s="102">
        <v>1</v>
      </c>
      <c r="I104" s="99"/>
      <c r="J104" s="99"/>
      <c r="K104" s="99"/>
      <c r="L104" s="57"/>
      <c r="M10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05" spans="2:13" x14ac:dyDescent="0.3">
      <c r="B105" s="97"/>
      <c r="C105" s="62" t="s">
        <v>574</v>
      </c>
      <c r="D105" s="62" t="s">
        <v>596</v>
      </c>
      <c r="E105" s="62" t="s">
        <v>222</v>
      </c>
      <c r="F105" s="62" t="s">
        <v>346</v>
      </c>
      <c r="G105" s="61" t="str">
        <f>_xlfn.CONCAT(Таблица2[[#This Row],[Обознач]],"_",Таблица2[[#This Row],[Наимен]])</f>
        <v>?KI.BP.?_Тканевая подушка сидения 300-1,2</v>
      </c>
      <c r="H105" s="102">
        <v>1</v>
      </c>
      <c r="I105" s="99"/>
      <c r="J105" s="99"/>
      <c r="K105" s="99"/>
      <c r="L105" s="57"/>
      <c r="M10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06" spans="2:13" x14ac:dyDescent="0.3">
      <c r="B106" s="97"/>
      <c r="C106" s="62" t="s">
        <v>581</v>
      </c>
      <c r="D106" s="62" t="s">
        <v>596</v>
      </c>
      <c r="E106" s="62" t="s">
        <v>222</v>
      </c>
      <c r="F106" s="62" t="s">
        <v>347</v>
      </c>
      <c r="G106" s="61" t="str">
        <f>_xlfn.CONCAT(Таблица2[[#This Row],[Обознач]],"_",Таблица2[[#This Row],[Наимен]])</f>
        <v>?KI.BP.?_Тканевая подушка сидения 300-3,4</v>
      </c>
      <c r="H106" s="102">
        <v>1</v>
      </c>
      <c r="I106" s="99"/>
      <c r="J106" s="99"/>
      <c r="K106" s="99"/>
      <c r="L106" s="57"/>
      <c r="M10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07" spans="2:13" x14ac:dyDescent="0.3">
      <c r="B107" s="97"/>
      <c r="C107" s="62" t="s">
        <v>586</v>
      </c>
      <c r="D107" s="62" t="s">
        <v>596</v>
      </c>
      <c r="E107" s="62" t="s">
        <v>222</v>
      </c>
      <c r="F107" s="62" t="s">
        <v>348</v>
      </c>
      <c r="G107" s="61" t="str">
        <f>_xlfn.CONCAT(Таблица2[[#This Row],[Обознач]],"_",Таблица2[[#This Row],[Наимен]])</f>
        <v>?KI.BP.?_Тканевая подушка сидения 300-5,6,7</v>
      </c>
      <c r="H107" s="102">
        <v>1</v>
      </c>
      <c r="I107" s="99"/>
      <c r="J107" s="99"/>
      <c r="K107" s="99"/>
      <c r="L107" s="57"/>
      <c r="M10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08" spans="2:13" x14ac:dyDescent="0.3">
      <c r="B108" s="97"/>
      <c r="C108" s="62" t="s">
        <v>575</v>
      </c>
      <c r="D108" s="62" t="s">
        <v>596</v>
      </c>
      <c r="E108" s="62" t="s">
        <v>222</v>
      </c>
      <c r="F108" s="62" t="s">
        <v>349</v>
      </c>
      <c r="G108" s="61" t="str">
        <f>_xlfn.CONCAT(Таблица2[[#This Row],[Обознач]],"_",Таблица2[[#This Row],[Наимен]])</f>
        <v>?KI.BP.?_Тканевая подушка сидения 330-1,2</v>
      </c>
      <c r="H108" s="102">
        <v>1</v>
      </c>
      <c r="I108" s="99"/>
      <c r="J108" s="99"/>
      <c r="K108" s="99"/>
      <c r="L108" s="57"/>
      <c r="M10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09" spans="2:13" x14ac:dyDescent="0.3">
      <c r="B109" s="97"/>
      <c r="C109" s="62" t="s">
        <v>582</v>
      </c>
      <c r="D109" s="62" t="s">
        <v>596</v>
      </c>
      <c r="E109" s="62" t="s">
        <v>222</v>
      </c>
      <c r="F109" s="62" t="s">
        <v>350</v>
      </c>
      <c r="G109" s="61" t="str">
        <f>_xlfn.CONCAT(Таблица2[[#This Row],[Обознач]],"_",Таблица2[[#This Row],[Наимен]])</f>
        <v>?KI.BP.?_Тканевая подушка сидения 330-3,4</v>
      </c>
      <c r="H109" s="102">
        <v>1</v>
      </c>
      <c r="I109" s="99"/>
      <c r="J109" s="99"/>
      <c r="K109" s="99"/>
      <c r="L109" s="57"/>
      <c r="M10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10" spans="2:13" x14ac:dyDescent="0.3">
      <c r="B110" s="97"/>
      <c r="C110" s="62" t="s">
        <v>587</v>
      </c>
      <c r="D110" s="62" t="s">
        <v>596</v>
      </c>
      <c r="E110" s="62" t="s">
        <v>222</v>
      </c>
      <c r="F110" s="62" t="s">
        <v>351</v>
      </c>
      <c r="G110" s="61" t="str">
        <f>_xlfn.CONCAT(Таблица2[[#This Row],[Обознач]],"_",Таблица2[[#This Row],[Наимен]])</f>
        <v>?KI.BP.?_Тканевая подушка сидения 330-5,6,7</v>
      </c>
      <c r="H110" s="102">
        <v>1</v>
      </c>
      <c r="I110" s="99"/>
      <c r="J110" s="99"/>
      <c r="K110" s="99"/>
      <c r="L110" s="57"/>
      <c r="M11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11" spans="2:13" x14ac:dyDescent="0.3">
      <c r="B111" s="97"/>
      <c r="C111" s="62" t="s">
        <v>576</v>
      </c>
      <c r="D111" s="62" t="s">
        <v>596</v>
      </c>
      <c r="E111" s="62" t="s">
        <v>222</v>
      </c>
      <c r="F111" s="62" t="s">
        <v>352</v>
      </c>
      <c r="G111" s="61" t="str">
        <f>_xlfn.CONCAT(Таблица2[[#This Row],[Обознач]],"_",Таблица2[[#This Row],[Наимен]])</f>
        <v>?KI.BP.?_Тканевая подушка сидения 360-1,2</v>
      </c>
      <c r="H111" s="102">
        <v>1</v>
      </c>
      <c r="I111" s="99"/>
      <c r="J111" s="99"/>
      <c r="K111" s="99"/>
      <c r="L111" s="57"/>
      <c r="M11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12" spans="2:13" x14ac:dyDescent="0.3">
      <c r="B112" s="97"/>
      <c r="C112" s="62" t="s">
        <v>583</v>
      </c>
      <c r="D112" s="62" t="s">
        <v>596</v>
      </c>
      <c r="E112" s="62" t="s">
        <v>222</v>
      </c>
      <c r="F112" s="62" t="s">
        <v>353</v>
      </c>
      <c r="G112" s="61" t="str">
        <f>_xlfn.CONCAT(Таблица2[[#This Row],[Обознач]],"_",Таблица2[[#This Row],[Наимен]])</f>
        <v>?KI.BP.?_Тканевая подушка сидения 360-3,4</v>
      </c>
      <c r="H112" s="102">
        <v>1</v>
      </c>
      <c r="I112" s="99"/>
      <c r="J112" s="99"/>
      <c r="K112" s="99"/>
      <c r="L112" s="57"/>
      <c r="M11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13" spans="2:13" x14ac:dyDescent="0.3">
      <c r="B113" s="97"/>
      <c r="C113" s="62" t="s">
        <v>588</v>
      </c>
      <c r="D113" s="62" t="s">
        <v>596</v>
      </c>
      <c r="E113" s="62" t="s">
        <v>222</v>
      </c>
      <c r="F113" s="62" t="s">
        <v>354</v>
      </c>
      <c r="G113" s="61" t="str">
        <f>_xlfn.CONCAT(Таблица2[[#This Row],[Обознач]],"_",Таблица2[[#This Row],[Наимен]])</f>
        <v>?KI.BP.?_Тканевая подушка сидения 360-5,6,7</v>
      </c>
      <c r="H113" s="102">
        <v>1</v>
      </c>
      <c r="I113" s="99"/>
      <c r="J113" s="99"/>
      <c r="K113" s="99"/>
      <c r="L113" s="57"/>
      <c r="M11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14" spans="2:13" x14ac:dyDescent="0.3">
      <c r="B114" s="97"/>
      <c r="C114" s="62" t="s">
        <v>577</v>
      </c>
      <c r="D114" s="62" t="s">
        <v>596</v>
      </c>
      <c r="E114" s="62" t="s">
        <v>222</v>
      </c>
      <c r="F114" s="62" t="s">
        <v>355</v>
      </c>
      <c r="G114" s="61" t="str">
        <f>_xlfn.CONCAT(Таблица2[[#This Row],[Обознач]],"_",Таблица2[[#This Row],[Наимен]])</f>
        <v>?KI.BP.?_Тканевая подушка сидения 390-1,2</v>
      </c>
      <c r="H114" s="102">
        <v>1</v>
      </c>
      <c r="I114" s="99"/>
      <c r="J114" s="99"/>
      <c r="K114" s="99"/>
      <c r="L114" s="57"/>
      <c r="M11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15" spans="2:13" x14ac:dyDescent="0.3">
      <c r="B115" s="97"/>
      <c r="C115" s="62" t="s">
        <v>584</v>
      </c>
      <c r="D115" s="62" t="s">
        <v>596</v>
      </c>
      <c r="E115" s="62" t="s">
        <v>222</v>
      </c>
      <c r="F115" s="62" t="s">
        <v>356</v>
      </c>
      <c r="G115" s="61" t="str">
        <f>_xlfn.CONCAT(Таблица2[[#This Row],[Обознач]],"_",Таблица2[[#This Row],[Наимен]])</f>
        <v>?KI.BP.?_Тканевая подушка сидения 390-3,4</v>
      </c>
      <c r="H115" s="102">
        <v>1</v>
      </c>
      <c r="I115" s="99"/>
      <c r="J115" s="99"/>
      <c r="K115" s="99"/>
      <c r="L115" s="57"/>
      <c r="M11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16" spans="2:13" x14ac:dyDescent="0.3">
      <c r="B116" s="97"/>
      <c r="C116" s="62" t="s">
        <v>589</v>
      </c>
      <c r="D116" s="62" t="s">
        <v>596</v>
      </c>
      <c r="E116" s="62" t="s">
        <v>222</v>
      </c>
      <c r="F116" s="62" t="s">
        <v>357</v>
      </c>
      <c r="G116" s="61" t="str">
        <f>_xlfn.CONCAT(Таблица2[[#This Row],[Обознач]],"_",Таблица2[[#This Row],[Наимен]])</f>
        <v>?KI.BP.?_Тканевая подушка сидения 390-5,6,7</v>
      </c>
      <c r="H116" s="102">
        <v>1</v>
      </c>
      <c r="I116" s="99"/>
      <c r="J116" s="99"/>
      <c r="K116" s="99"/>
      <c r="L116" s="57"/>
      <c r="M11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17" spans="2:13" x14ac:dyDescent="0.3">
      <c r="B117" s="97"/>
      <c r="C117" s="62" t="s">
        <v>578</v>
      </c>
      <c r="D117" s="62" t="s">
        <v>596</v>
      </c>
      <c r="E117" s="62" t="s">
        <v>222</v>
      </c>
      <c r="F117" s="62" t="s">
        <v>358</v>
      </c>
      <c r="G117" s="61" t="str">
        <f>_xlfn.CONCAT(Таблица2[[#This Row],[Обознач]],"_",Таблица2[[#This Row],[Наимен]])</f>
        <v>?KI.BP.?_Тканевая подушка сидения 420-1,2</v>
      </c>
      <c r="H117" s="102">
        <v>1</v>
      </c>
      <c r="I117" s="99"/>
      <c r="J117" s="99"/>
      <c r="K117" s="99"/>
      <c r="L117" s="57"/>
      <c r="M11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18" spans="2:13" x14ac:dyDescent="0.3">
      <c r="B118" s="97"/>
      <c r="C118" s="62" t="s">
        <v>585</v>
      </c>
      <c r="D118" s="62" t="s">
        <v>596</v>
      </c>
      <c r="E118" s="62" t="s">
        <v>222</v>
      </c>
      <c r="F118" s="62" t="s">
        <v>359</v>
      </c>
      <c r="G118" s="61" t="str">
        <f>_xlfn.CONCAT(Таблица2[[#This Row],[Обознач]],"_",Таблица2[[#This Row],[Наимен]])</f>
        <v>?KI.BP.?_Тканевая подушка сидения 420-3,4</v>
      </c>
      <c r="H118" s="102">
        <v>1</v>
      </c>
      <c r="I118" s="99"/>
      <c r="J118" s="99"/>
      <c r="K118" s="99"/>
      <c r="L118" s="57"/>
      <c r="M11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19" spans="2:13" x14ac:dyDescent="0.3">
      <c r="B119" s="97"/>
      <c r="C119" s="62" t="s">
        <v>590</v>
      </c>
      <c r="D119" s="62" t="s">
        <v>596</v>
      </c>
      <c r="E119" s="62" t="s">
        <v>222</v>
      </c>
      <c r="F119" s="62" t="s">
        <v>360</v>
      </c>
      <c r="G119" s="61" t="str">
        <f>_xlfn.CONCAT(Таблица2[[#This Row],[Обознач]],"_",Таблица2[[#This Row],[Наимен]])</f>
        <v>?KI.BP.?_Тканевая подушка сидения 420-5,6,7</v>
      </c>
      <c r="H119" s="102">
        <v>1</v>
      </c>
      <c r="I119" s="99"/>
      <c r="J119" s="99"/>
      <c r="K119" s="99"/>
      <c r="L119" s="57"/>
      <c r="M11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20" spans="2:13" x14ac:dyDescent="0.3">
      <c r="B120" s="97"/>
      <c r="C120" s="62" t="s">
        <v>80</v>
      </c>
      <c r="D120" s="62" t="s">
        <v>595</v>
      </c>
      <c r="E120" s="62" t="s">
        <v>124</v>
      </c>
      <c r="F120" s="62" t="s">
        <v>164</v>
      </c>
      <c r="G120" s="61" t="str">
        <f>_xlfn.CONCAT(Таблица2[[#This Row],[Обознач]],"_",Таблица2[[#This Row],[Наимен]])</f>
        <v>KI.TP.103_Стакан переднего колеса</v>
      </c>
      <c r="H120" s="102">
        <v>2</v>
      </c>
      <c r="I120" s="99"/>
      <c r="J120" s="99"/>
      <c r="K120" s="99"/>
      <c r="L120" s="57"/>
      <c r="M12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21" spans="2:13" x14ac:dyDescent="0.3">
      <c r="B121" s="97"/>
      <c r="C121" s="62" t="s">
        <v>80</v>
      </c>
      <c r="D121" s="62" t="s">
        <v>595</v>
      </c>
      <c r="E121" s="62" t="s">
        <v>1079</v>
      </c>
      <c r="F121" s="62" t="s">
        <v>364</v>
      </c>
      <c r="G121" s="61" t="str">
        <f>_xlfn.CONCAT(Таблица2[[#This Row],[Обознач]],"_",Таблица2[[#This Row],[Наимен]])</f>
        <v>KI.CP.113_Ресивер подножки</v>
      </c>
      <c r="H121" s="102">
        <v>2</v>
      </c>
      <c r="I121" s="99"/>
      <c r="J121" s="99"/>
      <c r="K121" s="99"/>
      <c r="L121" s="57"/>
      <c r="M12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22" spans="2:13" x14ac:dyDescent="0.3">
      <c r="B122" s="97"/>
      <c r="C122" s="62" t="s">
        <v>80</v>
      </c>
      <c r="D122" s="62" t="s">
        <v>595</v>
      </c>
      <c r="E122" s="62" t="s">
        <v>365</v>
      </c>
      <c r="F122" s="62" t="s">
        <v>366</v>
      </c>
      <c r="G122" s="61" t="str">
        <f>_xlfn.CONCAT(Таблица2[[#This Row],[Обознач]],"_",Таблица2[[#This Row],[Наимен]])</f>
        <v>KI.TP.106_Стакан D25 L60</v>
      </c>
      <c r="H122" s="102">
        <v>1</v>
      </c>
      <c r="I122" s="99"/>
      <c r="J122" s="99"/>
      <c r="K122" s="99"/>
      <c r="L122" s="57"/>
      <c r="M12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23" spans="2:13" x14ac:dyDescent="0.3">
      <c r="B123" s="97"/>
      <c r="C123" s="62" t="s">
        <v>80</v>
      </c>
      <c r="D123" s="62" t="s">
        <v>595</v>
      </c>
      <c r="E123" s="62" t="s">
        <v>368</v>
      </c>
      <c r="F123" s="62" t="s">
        <v>367</v>
      </c>
      <c r="G123" s="61" t="str">
        <f>_xlfn.CONCAT(Таблица2[[#This Row],[Обознач]],"_",Таблица2[[#This Row],[Наимен]])</f>
        <v>KI.TP.075_Стакан антиопрокидывателя</v>
      </c>
      <c r="H123" s="102">
        <v>2</v>
      </c>
      <c r="I123" s="99"/>
      <c r="J123" s="99"/>
      <c r="K123" s="99"/>
      <c r="L123" s="57"/>
      <c r="M12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24" spans="2:13" x14ac:dyDescent="0.3">
      <c r="B124" s="97"/>
      <c r="C124" s="62" t="s">
        <v>80</v>
      </c>
      <c r="D124" s="62" t="s">
        <v>595</v>
      </c>
      <c r="E124" s="62" t="s">
        <v>370</v>
      </c>
      <c r="F124" s="62" t="s">
        <v>369</v>
      </c>
      <c r="G124" s="61" t="str">
        <f>_xlfn.CONCAT(Таблица2[[#This Row],[Обознач]],"_",Таблица2[[#This Row],[Наимен]])</f>
        <v>KI.MP.084_KI.MP.084_Кронштейн складывания внешний</v>
      </c>
      <c r="H124" s="102">
        <v>1</v>
      </c>
      <c r="I124" s="99"/>
      <c r="J124" s="99"/>
      <c r="K124" s="99"/>
      <c r="L124" s="57"/>
      <c r="M12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25" spans="2:13" x14ac:dyDescent="0.3">
      <c r="B125" s="97"/>
      <c r="C125" s="62" t="s">
        <v>80</v>
      </c>
      <c r="D125" s="62" t="s">
        <v>595</v>
      </c>
      <c r="E125" s="62" t="s">
        <v>371</v>
      </c>
      <c r="F125" s="62" t="s">
        <v>369</v>
      </c>
      <c r="G125" s="61" t="str">
        <f>_xlfn.CONCAT(Таблица2[[#This Row],[Обознач]],"_",Таблица2[[#This Row],[Наимен]])</f>
        <v>KI.MP.084-00M_KI.MP.084_Кронштейн складывания внешний</v>
      </c>
      <c r="H125" s="102">
        <v>1</v>
      </c>
      <c r="I125" s="99"/>
      <c r="J125" s="99"/>
      <c r="K125" s="99"/>
      <c r="L125" s="57"/>
      <c r="M12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26" spans="2:13" x14ac:dyDescent="0.3">
      <c r="B126" s="97"/>
      <c r="C126" s="62" t="s">
        <v>80</v>
      </c>
      <c r="D126" s="62" t="s">
        <v>595</v>
      </c>
      <c r="E126" s="62" t="s">
        <v>373</v>
      </c>
      <c r="F126" s="62" t="s">
        <v>372</v>
      </c>
      <c r="G126" s="61" t="str">
        <f>_xlfn.CONCAT(Таблица2[[#This Row],[Обознач]],"_",Таблица2[[#This Row],[Наимен]])</f>
        <v>KI.MP.085_Кронштейн складывания внутренний</v>
      </c>
      <c r="H126" s="102">
        <v>1</v>
      </c>
      <c r="I126" s="99"/>
      <c r="J126" s="99"/>
      <c r="K126" s="99"/>
      <c r="L126" s="57"/>
      <c r="M12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27" spans="2:13" x14ac:dyDescent="0.3">
      <c r="B127" s="97"/>
      <c r="C127" s="62" t="s">
        <v>80</v>
      </c>
      <c r="D127" s="62" t="s">
        <v>595</v>
      </c>
      <c r="E127" s="62" t="s">
        <v>373</v>
      </c>
      <c r="F127" s="62" t="s">
        <v>372</v>
      </c>
      <c r="G127" s="61" t="str">
        <f>_xlfn.CONCAT(Таблица2[[#This Row],[Обознач]],"_",Таблица2[[#This Row],[Наимен]])</f>
        <v>KI.MP.085_Кронштейн складывания внутренний</v>
      </c>
      <c r="H127" s="102">
        <v>1</v>
      </c>
      <c r="I127" s="99"/>
      <c r="J127" s="99"/>
      <c r="K127" s="99"/>
      <c r="L127" s="57"/>
      <c r="M12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28" spans="2:13" x14ac:dyDescent="0.3">
      <c r="B128" s="97"/>
      <c r="C128" s="62" t="s">
        <v>80</v>
      </c>
      <c r="D128" s="62" t="s">
        <v>595</v>
      </c>
      <c r="E128" s="62" t="s">
        <v>375</v>
      </c>
      <c r="F128" s="62" t="s">
        <v>374</v>
      </c>
      <c r="G128" s="61" t="str">
        <f>_xlfn.CONCAT(Таблица2[[#This Row],[Обознач]],"_",Таблица2[[#This Row],[Наимен]])</f>
        <v>KI.SP.310_Пластина кронштейна</v>
      </c>
      <c r="H128" s="102">
        <v>1</v>
      </c>
      <c r="I128" s="99"/>
      <c r="J128" s="99"/>
      <c r="K128" s="99"/>
      <c r="L128" s="57"/>
      <c r="M12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29" spans="2:13" x14ac:dyDescent="0.3">
      <c r="B129" s="97"/>
      <c r="C129" s="62" t="s">
        <v>80</v>
      </c>
      <c r="D129" s="62" t="s">
        <v>595</v>
      </c>
      <c r="E129" s="62" t="s">
        <v>376</v>
      </c>
      <c r="F129" s="62" t="s">
        <v>374</v>
      </c>
      <c r="G129" s="61" t="str">
        <f>_xlfn.CONCAT(Таблица2[[#This Row],[Обознач]],"_",Таблица2[[#This Row],[Наимен]])</f>
        <v>KI.SP.310-00M_Пластина кронштейна</v>
      </c>
      <c r="H129" s="102">
        <v>1</v>
      </c>
      <c r="I129" s="99"/>
      <c r="J129" s="99"/>
      <c r="K129" s="99"/>
      <c r="L129" s="57"/>
      <c r="M12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30" spans="2:13" x14ac:dyDescent="0.3">
      <c r="B130" s="97"/>
      <c r="C130" s="62" t="s">
        <v>80</v>
      </c>
      <c r="D130" s="62" t="s">
        <v>595</v>
      </c>
      <c r="E130" s="62" t="s">
        <v>377</v>
      </c>
      <c r="F130" s="62" t="s">
        <v>378</v>
      </c>
      <c r="G130" s="61" t="str">
        <f>_xlfn.CONCAT(Таблица2[[#This Row],[Обознач]],"_",Таблица2[[#This Row],[Наимен]])</f>
        <v>K0342.03105_Штифт упорный</v>
      </c>
      <c r="H130" s="102">
        <v>2</v>
      </c>
      <c r="I130" s="99"/>
      <c r="J130" s="99"/>
      <c r="K130" s="99"/>
      <c r="L130" s="57" t="s">
        <v>591</v>
      </c>
      <c r="M13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31" spans="2:13" x14ac:dyDescent="0.3">
      <c r="B131" s="97"/>
      <c r="C131" s="62" t="s">
        <v>80</v>
      </c>
      <c r="D131" s="62" t="s">
        <v>595</v>
      </c>
      <c r="E131" s="62"/>
      <c r="F131" s="62" t="s">
        <v>379</v>
      </c>
      <c r="G131" s="61" t="str">
        <f>_xlfn.CONCAT(Таблица2[[#This Row],[Обознач]],"_",Таблица2[[#This Row],[Наимен]])</f>
        <v>_Хомут 25мм в сборе</v>
      </c>
      <c r="H131" s="102">
        <v>3</v>
      </c>
      <c r="I131" s="99"/>
      <c r="J131" s="99"/>
      <c r="K131" s="99"/>
      <c r="L131" s="57" t="s">
        <v>591</v>
      </c>
      <c r="M13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32" spans="2:13" x14ac:dyDescent="0.3">
      <c r="B132" s="97"/>
      <c r="C132" s="62" t="s">
        <v>80</v>
      </c>
      <c r="D132" s="62" t="s">
        <v>595</v>
      </c>
      <c r="E132" s="62" t="s">
        <v>380</v>
      </c>
      <c r="F132" s="62" t="s">
        <v>382</v>
      </c>
      <c r="G132" s="61" t="str">
        <f>_xlfn.CONCAT(Таблица2[[#This Row],[Обознач]],"_",Таблица2[[#This Row],[Наимен]])</f>
        <v>KI.SA.999_Тормоз в сборе</v>
      </c>
      <c r="H132" s="102">
        <v>1</v>
      </c>
      <c r="I132" s="99"/>
      <c r="J132" s="99"/>
      <c r="K132" s="99"/>
      <c r="L132" s="57"/>
      <c r="M13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33" spans="2:13" x14ac:dyDescent="0.3">
      <c r="B133" s="97"/>
      <c r="C133" s="62" t="s">
        <v>80</v>
      </c>
      <c r="D133" s="62" t="s">
        <v>595</v>
      </c>
      <c r="E133" s="62" t="s">
        <v>381</v>
      </c>
      <c r="F133" s="62" t="s">
        <v>382</v>
      </c>
      <c r="G133" s="61" t="str">
        <f>_xlfn.CONCAT(Таблица2[[#This Row],[Обознач]],"_",Таблица2[[#This Row],[Наимен]])</f>
        <v>KI.SA.999-00M_Тормоз в сборе</v>
      </c>
      <c r="H133" s="102">
        <v>1</v>
      </c>
      <c r="I133" s="99"/>
      <c r="J133" s="99"/>
      <c r="K133" s="99"/>
      <c r="L133" s="57"/>
      <c r="M13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34" spans="2:13" x14ac:dyDescent="0.3">
      <c r="B134" s="97"/>
      <c r="C134" s="62" t="s">
        <v>80</v>
      </c>
      <c r="D134" s="62" t="s">
        <v>595</v>
      </c>
      <c r="E134" s="62" t="s">
        <v>383</v>
      </c>
      <c r="F134" s="62" t="s">
        <v>384</v>
      </c>
      <c r="G134" s="61" t="str">
        <f>_xlfn.CONCAT(Таблица2[[#This Row],[Обознач]],"_",Таблица2[[#This Row],[Наимен]])</f>
        <v>KI.SA.246_Антиопрокидыватель A2 в сборе</v>
      </c>
      <c r="H134" s="102">
        <v>1</v>
      </c>
      <c r="I134" s="99"/>
      <c r="J134" s="99"/>
      <c r="K134" s="99"/>
      <c r="L134" s="57"/>
      <c r="M13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35" spans="2:13" x14ac:dyDescent="0.3">
      <c r="B135" s="97"/>
      <c r="C135" s="62" t="s">
        <v>80</v>
      </c>
      <c r="D135" s="62" t="s">
        <v>595</v>
      </c>
      <c r="E135" s="62"/>
      <c r="F135" s="62" t="s">
        <v>385</v>
      </c>
      <c r="G135" s="61" t="str">
        <f>_xlfn.CONCAT(Таблица2[[#This Row],[Обознач]],"_",Таблица2[[#This Row],[Наимен]])</f>
        <v>_Пружинная кнопка</v>
      </c>
      <c r="H135" s="102">
        <v>3</v>
      </c>
      <c r="I135" s="99"/>
      <c r="J135" s="99"/>
      <c r="K135" s="99"/>
      <c r="L135" s="57" t="s">
        <v>591</v>
      </c>
      <c r="M13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36" spans="2:13" x14ac:dyDescent="0.3">
      <c r="B136" s="97"/>
      <c r="C136" s="62" t="s">
        <v>1008</v>
      </c>
      <c r="D136" s="62" t="s">
        <v>593</v>
      </c>
      <c r="E136" s="62" t="s">
        <v>961</v>
      </c>
      <c r="F136" s="62" t="s">
        <v>387</v>
      </c>
      <c r="G136" s="61" t="str">
        <f>_xlfn.CONCAT(Таблица2[[#This Row],[Обознач]],"_",Таблица2[[#This Row],[Наимен]])</f>
        <v>KI.BP.470_Подножка АJ сварная 270</v>
      </c>
      <c r="H136" s="102">
        <v>1</v>
      </c>
      <c r="I136" s="99"/>
      <c r="J136" s="99"/>
      <c r="K136" s="99"/>
      <c r="L136" s="57"/>
      <c r="M13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37" spans="2:13" x14ac:dyDescent="0.3">
      <c r="B137" s="97"/>
      <c r="C137" s="62" t="s">
        <v>1007</v>
      </c>
      <c r="D137" s="62" t="s">
        <v>593</v>
      </c>
      <c r="E137" s="62" t="s">
        <v>960</v>
      </c>
      <c r="F137" s="62" t="s">
        <v>388</v>
      </c>
      <c r="G137" s="61" t="str">
        <f>_xlfn.CONCAT(Таблица2[[#This Row],[Обознач]],"_",Таблица2[[#This Row],[Наимен]])</f>
        <v>KI.BP.469_Подножка АJ сварная 300</v>
      </c>
      <c r="H137" s="102">
        <v>1</v>
      </c>
      <c r="I137" s="99"/>
      <c r="J137" s="99"/>
      <c r="K137" s="99"/>
      <c r="L137" s="57"/>
      <c r="M13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38" spans="2:13" x14ac:dyDescent="0.3">
      <c r="B138" s="97"/>
      <c r="C138" s="62" t="s">
        <v>1009</v>
      </c>
      <c r="D138" s="62" t="s">
        <v>593</v>
      </c>
      <c r="E138" s="62" t="s">
        <v>386</v>
      </c>
      <c r="F138" s="62" t="s">
        <v>883</v>
      </c>
      <c r="G138" s="61" t="str">
        <f>_xlfn.CONCAT(Таблица2[[#This Row],[Обознач]],"_",Таблица2[[#This Row],[Наимен]])</f>
        <v>KI.BP.413_Подножка АJ сварная 330, 390</v>
      </c>
      <c r="H138" s="102">
        <v>1</v>
      </c>
      <c r="I138" s="99"/>
      <c r="J138" s="99"/>
      <c r="K138" s="99"/>
      <c r="L138" s="57"/>
      <c r="M13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39" spans="2:13" x14ac:dyDescent="0.3">
      <c r="B139" s="97"/>
      <c r="C139" s="62" t="s">
        <v>1010</v>
      </c>
      <c r="D139" s="62" t="s">
        <v>593</v>
      </c>
      <c r="E139" s="62" t="s">
        <v>886</v>
      </c>
      <c r="F139" s="62" t="s">
        <v>884</v>
      </c>
      <c r="G139" s="61" t="str">
        <f>_xlfn.CONCAT(Таблица2[[#This Row],[Обознач]],"_",Таблица2[[#This Row],[Наимен]])</f>
        <v>KI.BP.417_Подножка АJ сварная 360, 420</v>
      </c>
      <c r="H139" s="102">
        <v>1</v>
      </c>
      <c r="I139" s="99"/>
      <c r="J139" s="99"/>
      <c r="K139" s="99"/>
      <c r="L139" s="57"/>
      <c r="M13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40" spans="2:13" x14ac:dyDescent="0.3">
      <c r="B140" s="97"/>
      <c r="C140" s="62" t="s">
        <v>1011</v>
      </c>
      <c r="D140" s="62" t="s">
        <v>593</v>
      </c>
      <c r="E140" s="62" t="s">
        <v>386</v>
      </c>
      <c r="F140" s="62" t="s">
        <v>883</v>
      </c>
      <c r="G140" s="61" t="str">
        <f>_xlfn.CONCAT(Таблица2[[#This Row],[Обознач]],"_",Таблица2[[#This Row],[Наимен]])</f>
        <v>KI.BP.413_Подножка АJ сварная 330, 390</v>
      </c>
      <c r="H140" s="102">
        <v>1</v>
      </c>
      <c r="I140" s="99"/>
      <c r="J140" s="99"/>
      <c r="K140" s="99"/>
      <c r="L140" s="57"/>
      <c r="M14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41" spans="2:13" x14ac:dyDescent="0.3">
      <c r="B141" s="97"/>
      <c r="C141" s="62" t="s">
        <v>1012</v>
      </c>
      <c r="D141" s="62" t="s">
        <v>593</v>
      </c>
      <c r="E141" s="62" t="s">
        <v>886</v>
      </c>
      <c r="F141" s="62" t="s">
        <v>884</v>
      </c>
      <c r="G141" s="61" t="str">
        <f>_xlfn.CONCAT(Таблица2[[#This Row],[Обознач]],"_",Таблица2[[#This Row],[Наимен]])</f>
        <v>KI.BP.417_Подножка АJ сварная 360, 420</v>
      </c>
      <c r="H141" s="102">
        <v>1</v>
      </c>
      <c r="I141" s="99"/>
      <c r="J141" s="99"/>
      <c r="K141" s="99"/>
      <c r="L141" s="57"/>
      <c r="M14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42" spans="2:13" x14ac:dyDescent="0.3">
      <c r="B142" s="11"/>
      <c r="C142" s="62" t="s">
        <v>1008</v>
      </c>
      <c r="D142" s="62" t="s">
        <v>594</v>
      </c>
      <c r="E142" s="62" t="s">
        <v>963</v>
      </c>
      <c r="F142" s="62" t="s">
        <v>628</v>
      </c>
      <c r="G142" s="61" t="str">
        <f>_xlfn.CONCAT(Таблица2[[#This Row],[Обознач]],"_",Таблица2[[#This Row],[Наимен]])</f>
        <v>KI.SP.353_Платформа подножки 270</v>
      </c>
      <c r="H142" s="61">
        <v>1</v>
      </c>
      <c r="I142" s="57"/>
      <c r="J142" s="57"/>
      <c r="K142" s="57"/>
      <c r="L142" s="57"/>
      <c r="M14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43" spans="2:13" x14ac:dyDescent="0.3">
      <c r="B143" s="11"/>
      <c r="C143" s="62" t="s">
        <v>1007</v>
      </c>
      <c r="D143" s="62" t="s">
        <v>594</v>
      </c>
      <c r="E143" s="62" t="s">
        <v>962</v>
      </c>
      <c r="F143" s="62" t="s">
        <v>629</v>
      </c>
      <c r="G143" s="61" t="str">
        <f>_xlfn.CONCAT(Таблица2[[#This Row],[Обознач]],"_",Таблица2[[#This Row],[Наимен]])</f>
        <v>KI.SP.352_Платформа подножки 300</v>
      </c>
      <c r="H143" s="61">
        <v>1</v>
      </c>
      <c r="I143" s="57"/>
      <c r="J143" s="57"/>
      <c r="K143" s="57"/>
      <c r="L143" s="57"/>
      <c r="M14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44" spans="2:13" x14ac:dyDescent="0.3">
      <c r="B144" s="11"/>
      <c r="C144" s="62" t="s">
        <v>1009</v>
      </c>
      <c r="D144" s="62" t="s">
        <v>594</v>
      </c>
      <c r="E144" s="62" t="s">
        <v>623</v>
      </c>
      <c r="F144" s="62" t="s">
        <v>887</v>
      </c>
      <c r="G144" s="61" t="str">
        <f>_xlfn.CONCAT(Таблица2[[#This Row],[Обознач]],"_",Таблица2[[#This Row],[Наимен]])</f>
        <v>KI.SP.317_Платформа подножки 330, 390</v>
      </c>
      <c r="H144" s="61">
        <v>1</v>
      </c>
      <c r="I144" s="57"/>
      <c r="J144" s="57"/>
      <c r="K144" s="57"/>
      <c r="L144" s="57"/>
      <c r="M14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45" spans="2:13" x14ac:dyDescent="0.3">
      <c r="B145" s="11"/>
      <c r="C145" s="62" t="s">
        <v>1010</v>
      </c>
      <c r="D145" s="62" t="s">
        <v>594</v>
      </c>
      <c r="E145" s="62" t="s">
        <v>889</v>
      </c>
      <c r="F145" s="62" t="s">
        <v>888</v>
      </c>
      <c r="G145" s="61" t="str">
        <f>_xlfn.CONCAT(Таблица2[[#This Row],[Обознач]],"_",Таблица2[[#This Row],[Наимен]])</f>
        <v>KI.SP.342_Платформа подножки 360, 420</v>
      </c>
      <c r="H145" s="61">
        <v>1</v>
      </c>
      <c r="I145" s="57"/>
      <c r="J145" s="57"/>
      <c r="K145" s="57"/>
      <c r="L145" s="57"/>
      <c r="M14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46" spans="2:13" x14ac:dyDescent="0.3">
      <c r="B146" s="11"/>
      <c r="C146" s="62" t="s">
        <v>1011</v>
      </c>
      <c r="D146" s="62" t="s">
        <v>594</v>
      </c>
      <c r="E146" s="62" t="s">
        <v>623</v>
      </c>
      <c r="F146" s="62" t="s">
        <v>887</v>
      </c>
      <c r="G146" s="61" t="str">
        <f>_xlfn.CONCAT(Таблица2[[#This Row],[Обознач]],"_",Таблица2[[#This Row],[Наимен]])</f>
        <v>KI.SP.317_Платформа подножки 330, 390</v>
      </c>
      <c r="H146" s="61">
        <v>1</v>
      </c>
      <c r="I146" s="57"/>
      <c r="J146" s="57"/>
      <c r="K146" s="57"/>
      <c r="L146" s="57"/>
      <c r="M14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47" spans="2:13" x14ac:dyDescent="0.3">
      <c r="B147" s="11"/>
      <c r="C147" s="62" t="s">
        <v>1012</v>
      </c>
      <c r="D147" s="62" t="s">
        <v>594</v>
      </c>
      <c r="E147" s="62" t="s">
        <v>889</v>
      </c>
      <c r="F147" s="62" t="s">
        <v>888</v>
      </c>
      <c r="G147" s="61" t="str">
        <f>_xlfn.CONCAT(Таблица2[[#This Row],[Обознач]],"_",Таблица2[[#This Row],[Наимен]])</f>
        <v>KI.SP.342_Платформа подножки 360, 420</v>
      </c>
      <c r="H147" s="61">
        <v>1</v>
      </c>
      <c r="I147" s="57"/>
      <c r="J147" s="57"/>
      <c r="K147" s="57"/>
      <c r="L147" s="57"/>
      <c r="M14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48" spans="2:13" x14ac:dyDescent="0.3">
      <c r="B148" s="97"/>
      <c r="C148" s="62" t="s">
        <v>80</v>
      </c>
      <c r="D148" s="62" t="s">
        <v>595</v>
      </c>
      <c r="E148" s="62" t="s">
        <v>390</v>
      </c>
      <c r="F148" s="62" t="s">
        <v>389</v>
      </c>
      <c r="G148" s="61" t="str">
        <f>_xlfn.CONCAT(Таблица2[[#This Row],[Обознач]],"_",Таблица2[[#This Row],[Наимен]])</f>
        <v>KI.TP.107_Проставка D10 L10</v>
      </c>
      <c r="H148" s="102">
        <v>2</v>
      </c>
      <c r="I148" s="99"/>
      <c r="J148" s="99"/>
      <c r="K148" s="99"/>
      <c r="L148" s="57"/>
      <c r="M14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49" spans="2:13" x14ac:dyDescent="0.3">
      <c r="B149" s="97"/>
      <c r="C149" s="62" t="s">
        <v>80</v>
      </c>
      <c r="D149" s="62" t="s">
        <v>595</v>
      </c>
      <c r="E149" s="62" t="s">
        <v>391</v>
      </c>
      <c r="F149" s="62" t="s">
        <v>392</v>
      </c>
      <c r="G149" s="61" t="str">
        <f>_xlfn.CONCAT(Таблица2[[#This Row],[Обознач]],"_",Таблица2[[#This Row],[Наимен]])</f>
        <v>KI.TP.008_Проставка D8 L11</v>
      </c>
      <c r="H149" s="102">
        <v>2</v>
      </c>
      <c r="I149" s="99"/>
      <c r="J149" s="99"/>
      <c r="K149" s="99"/>
      <c r="L149" s="57"/>
      <c r="M14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50" spans="2:13" x14ac:dyDescent="0.3">
      <c r="B150" s="97"/>
      <c r="C150" s="62" t="s">
        <v>80</v>
      </c>
      <c r="D150" s="62" t="s">
        <v>595</v>
      </c>
      <c r="E150" s="62"/>
      <c r="F150" s="62" t="s">
        <v>393</v>
      </c>
      <c r="G150" s="61" t="str">
        <f>_xlfn.CONCAT(Таблица2[[#This Row],[Обознач]],"_",Таблица2[[#This Row],[Наимен]])</f>
        <v>_Колесо антиопрокидывателя</v>
      </c>
      <c r="H150" s="102">
        <v>1</v>
      </c>
      <c r="I150" s="99"/>
      <c r="J150" s="99"/>
      <c r="K150" s="99"/>
      <c r="L150" s="57" t="s">
        <v>591</v>
      </c>
      <c r="M15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51" spans="2:13" x14ac:dyDescent="0.3">
      <c r="B151" s="97"/>
      <c r="C151" s="62" t="s">
        <v>80</v>
      </c>
      <c r="D151" s="62" t="s">
        <v>595</v>
      </c>
      <c r="E151" s="62" t="s">
        <v>1033</v>
      </c>
      <c r="F151" s="62" t="s">
        <v>1074</v>
      </c>
      <c r="G151" s="61" t="str">
        <f>_xlfn.CONCAT(Таблица2[[#This Row],[Обознач]],"_",Таблица2[[#This Row],[Наимен]])</f>
        <v>KI.TP.114_Проставка крыла D14 L9</v>
      </c>
      <c r="H151" s="102">
        <v>4</v>
      </c>
      <c r="I151" s="99"/>
      <c r="J151" s="99"/>
      <c r="K151" s="99"/>
      <c r="L151" s="57"/>
      <c r="M15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52" spans="2:13" x14ac:dyDescent="0.3">
      <c r="B152" s="97"/>
      <c r="C152" s="62" t="s">
        <v>80</v>
      </c>
      <c r="D152" s="62" t="s">
        <v>595</v>
      </c>
      <c r="E152" s="62" t="s">
        <v>394</v>
      </c>
      <c r="F152" s="62" t="s">
        <v>395</v>
      </c>
      <c r="G152" s="61" t="str">
        <f>_xlfn.CONCAT(Таблица2[[#This Row],[Обознач]],"_",Таблица2[[#This Row],[Наимен]])</f>
        <v>KI.CP.104_Гайка М22х1.5</v>
      </c>
      <c r="H152" s="102">
        <v>2</v>
      </c>
      <c r="I152" s="99"/>
      <c r="J152" s="99"/>
      <c r="K152" s="99"/>
      <c r="L152" s="57"/>
      <c r="M15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53" spans="2:13" x14ac:dyDescent="0.3">
      <c r="B153" s="97"/>
      <c r="C153" s="62" t="s">
        <v>80</v>
      </c>
      <c r="D153" s="62" t="s">
        <v>595</v>
      </c>
      <c r="E153" s="62" t="s">
        <v>125</v>
      </c>
      <c r="F153" s="62" t="s">
        <v>165</v>
      </c>
      <c r="G153" s="61" t="str">
        <f>_xlfn.CONCAT(Таблица2[[#This Row],[Обознач]],"_",Таблица2[[#This Row],[Наимен]])</f>
        <v>KI.TP.104_Втулка ресивера колеса</v>
      </c>
      <c r="H153" s="102">
        <v>2</v>
      </c>
      <c r="I153" s="99"/>
      <c r="J153" s="99"/>
      <c r="K153" s="99"/>
      <c r="L153" s="57"/>
      <c r="M15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54" spans="2:13" x14ac:dyDescent="0.3">
      <c r="B154" s="97"/>
      <c r="C154" s="62" t="s">
        <v>80</v>
      </c>
      <c r="D154" s="62" t="s">
        <v>595</v>
      </c>
      <c r="E154" s="62" t="s">
        <v>396</v>
      </c>
      <c r="F154" s="62" t="s">
        <v>397</v>
      </c>
      <c r="G154" s="61" t="str">
        <f>_xlfn.CONCAT(Таблица2[[#This Row],[Обознач]],"_",Таблица2[[#This Row],[Наимен]])</f>
        <v>KI.MP.078_Ресивер AJ 3 градусов</v>
      </c>
      <c r="H154" s="102">
        <v>2</v>
      </c>
      <c r="I154" s="99"/>
      <c r="J154" s="99"/>
      <c r="K154" s="99"/>
      <c r="L154" s="57"/>
      <c r="M15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55" spans="2:13" x14ac:dyDescent="0.3">
      <c r="B155" s="97"/>
      <c r="C155" s="62" t="s">
        <v>80</v>
      </c>
      <c r="D155" s="62" t="s">
        <v>595</v>
      </c>
      <c r="E155" s="62" t="s">
        <v>1076</v>
      </c>
      <c r="F155" s="62" t="s">
        <v>1075</v>
      </c>
      <c r="G155" s="61" t="str">
        <f>_xlfn.CONCAT(Таблица2[[#This Row],[Обознач]],"_",Таблица2[[#This Row],[Наимен]])</f>
        <v>KI.TP.110_Проставка крыла D14 L2.5</v>
      </c>
      <c r="H155" s="102">
        <v>6</v>
      </c>
      <c r="I155" s="99"/>
      <c r="J155" s="99"/>
      <c r="K155" s="99"/>
      <c r="L155" s="57"/>
      <c r="M15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56" spans="2:13" x14ac:dyDescent="0.3">
      <c r="B156" s="62"/>
      <c r="C156" s="62" t="s">
        <v>483</v>
      </c>
      <c r="D156" s="62" t="s">
        <v>596</v>
      </c>
      <c r="E156" s="62" t="s">
        <v>222</v>
      </c>
      <c r="F156" s="62" t="s">
        <v>398</v>
      </c>
      <c r="G156" s="61" t="str">
        <f>_xlfn.CONCAT(Таблица2[[#This Row],[Обознач]],"_",Таблица2[[#This Row],[Наимен]])</f>
        <v>?KI.BP.?_Ременная спинка 270x200</v>
      </c>
      <c r="H156" s="102">
        <v>1</v>
      </c>
      <c r="I156" s="99"/>
      <c r="J156" s="99"/>
      <c r="K156" s="99"/>
      <c r="L156" s="57"/>
      <c r="M15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57" spans="2:13" x14ac:dyDescent="0.3">
      <c r="B157" s="62"/>
      <c r="C157" s="62" t="s">
        <v>484</v>
      </c>
      <c r="D157" s="62" t="s">
        <v>596</v>
      </c>
      <c r="E157" s="62" t="s">
        <v>222</v>
      </c>
      <c r="F157" s="62" t="s">
        <v>399</v>
      </c>
      <c r="G157" s="61" t="str">
        <f>_xlfn.CONCAT(Таблица2[[#This Row],[Обознач]],"_",Таблица2[[#This Row],[Наимен]])</f>
        <v>?KI.BP.?_Ременная спинка 270x220</v>
      </c>
      <c r="H157" s="102">
        <v>1</v>
      </c>
      <c r="I157" s="99"/>
      <c r="J157" s="99"/>
      <c r="K157" s="99"/>
      <c r="L157" s="57"/>
      <c r="M15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58" spans="2:13" x14ac:dyDescent="0.3">
      <c r="B158" s="62"/>
      <c r="C158" s="62" t="s">
        <v>485</v>
      </c>
      <c r="D158" s="62" t="s">
        <v>596</v>
      </c>
      <c r="E158" s="62" t="s">
        <v>612</v>
      </c>
      <c r="F158" s="62" t="s">
        <v>400</v>
      </c>
      <c r="G158" s="61" t="str">
        <f>_xlfn.CONCAT(Таблица2[[#This Row],[Обознач]],"_",Таблица2[[#This Row],[Наимен]])</f>
        <v>KI.NP.017_Ременная спинка 270x240</v>
      </c>
      <c r="H158" s="102">
        <v>1</v>
      </c>
      <c r="I158" s="99"/>
      <c r="J158" s="99"/>
      <c r="K158" s="99"/>
      <c r="L158" s="57"/>
      <c r="M15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59" spans="2:13" x14ac:dyDescent="0.3">
      <c r="B159" s="62"/>
      <c r="C159" s="62" t="s">
        <v>486</v>
      </c>
      <c r="D159" s="62" t="s">
        <v>596</v>
      </c>
      <c r="E159" s="62" t="s">
        <v>222</v>
      </c>
      <c r="F159" s="62" t="s">
        <v>401</v>
      </c>
      <c r="G159" s="61" t="str">
        <f>_xlfn.CONCAT(Таблица2[[#This Row],[Обознач]],"_",Таблица2[[#This Row],[Наимен]])</f>
        <v>?KI.BP.?_Ременная спинка 270x260</v>
      </c>
      <c r="H159" s="102">
        <v>1</v>
      </c>
      <c r="I159" s="99"/>
      <c r="J159" s="99"/>
      <c r="K159" s="99"/>
      <c r="L159" s="57"/>
      <c r="M15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60" spans="2:13" x14ac:dyDescent="0.3">
      <c r="B160" s="62"/>
      <c r="C160" s="62" t="s">
        <v>487</v>
      </c>
      <c r="D160" s="62" t="s">
        <v>596</v>
      </c>
      <c r="E160" s="62" t="s">
        <v>222</v>
      </c>
      <c r="F160" s="62" t="s">
        <v>402</v>
      </c>
      <c r="G160" s="61" t="str">
        <f>_xlfn.CONCAT(Таблица2[[#This Row],[Обознач]],"_",Таблица2[[#This Row],[Наимен]])</f>
        <v>?KI.BP.?_Ременная спинка 270x280</v>
      </c>
      <c r="H160" s="102">
        <v>1</v>
      </c>
      <c r="I160" s="99"/>
      <c r="J160" s="99"/>
      <c r="K160" s="99"/>
      <c r="L160" s="57"/>
      <c r="M16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61" spans="2:13" x14ac:dyDescent="0.3">
      <c r="B161" s="62"/>
      <c r="C161" s="62" t="s">
        <v>488</v>
      </c>
      <c r="D161" s="62" t="s">
        <v>596</v>
      </c>
      <c r="E161" s="62" t="s">
        <v>615</v>
      </c>
      <c r="F161" s="62" t="s">
        <v>403</v>
      </c>
      <c r="G161" s="61" t="str">
        <f>_xlfn.CONCAT(Таблица2[[#This Row],[Обознач]],"_",Таблица2[[#This Row],[Наимен]])</f>
        <v>KI.NP.018_Ременная спинка 270x300</v>
      </c>
      <c r="H161" s="102">
        <v>1</v>
      </c>
      <c r="I161" s="99"/>
      <c r="J161" s="99"/>
      <c r="K161" s="99"/>
      <c r="L161" s="57"/>
      <c r="M16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62" spans="2:13" x14ac:dyDescent="0.3">
      <c r="B162" s="62"/>
      <c r="C162" s="62" t="s">
        <v>489</v>
      </c>
      <c r="D162" s="62" t="s">
        <v>596</v>
      </c>
      <c r="E162" s="62" t="s">
        <v>222</v>
      </c>
      <c r="F162" s="62" t="s">
        <v>404</v>
      </c>
      <c r="G162" s="61" t="str">
        <f>_xlfn.CONCAT(Таблица2[[#This Row],[Обознач]],"_",Таблица2[[#This Row],[Наимен]])</f>
        <v>?KI.BP.?_Ременная спинка 270x320</v>
      </c>
      <c r="H162" s="102">
        <v>1</v>
      </c>
      <c r="I162" s="99"/>
      <c r="J162" s="99"/>
      <c r="K162" s="99"/>
      <c r="L162" s="57"/>
      <c r="M16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63" spans="2:13" x14ac:dyDescent="0.3">
      <c r="B163" s="62"/>
      <c r="C163" s="62" t="s">
        <v>490</v>
      </c>
      <c r="D163" s="62" t="s">
        <v>596</v>
      </c>
      <c r="E163" s="62" t="s">
        <v>222</v>
      </c>
      <c r="F163" s="62" t="s">
        <v>405</v>
      </c>
      <c r="G163" s="61" t="str">
        <f>_xlfn.CONCAT(Таблица2[[#This Row],[Обознач]],"_",Таблица2[[#This Row],[Наимен]])</f>
        <v>?KI.BP.?_Ременная спинка 270x340</v>
      </c>
      <c r="H163" s="102">
        <v>1</v>
      </c>
      <c r="I163" s="99"/>
      <c r="J163" s="99"/>
      <c r="K163" s="99"/>
      <c r="L163" s="57"/>
      <c r="M16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64" spans="2:13" x14ac:dyDescent="0.3">
      <c r="B164" s="62"/>
      <c r="C164" s="62" t="s">
        <v>491</v>
      </c>
      <c r="D164" s="62" t="s">
        <v>596</v>
      </c>
      <c r="E164" s="62" t="s">
        <v>617</v>
      </c>
      <c r="F164" s="62" t="s">
        <v>406</v>
      </c>
      <c r="G164" s="61" t="str">
        <f>_xlfn.CONCAT(Таблица2[[#This Row],[Обознач]],"_",Таблица2[[#This Row],[Наимен]])</f>
        <v>KI.NP.019_Ременная спинка 270x360</v>
      </c>
      <c r="H164" s="102">
        <v>1</v>
      </c>
      <c r="I164" s="99"/>
      <c r="J164" s="99"/>
      <c r="K164" s="99"/>
      <c r="L164" s="57"/>
      <c r="M16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65" spans="2:13" x14ac:dyDescent="0.3">
      <c r="B165" s="62"/>
      <c r="C165" s="62" t="s">
        <v>492</v>
      </c>
      <c r="D165" s="62" t="s">
        <v>596</v>
      </c>
      <c r="E165" s="62" t="s">
        <v>222</v>
      </c>
      <c r="F165" s="62" t="s">
        <v>407</v>
      </c>
      <c r="G165" s="61" t="str">
        <f>_xlfn.CONCAT(Таблица2[[#This Row],[Обознач]],"_",Таблица2[[#This Row],[Наимен]])</f>
        <v>?KI.BP.?_Ременная спинка 270x380</v>
      </c>
      <c r="H165" s="102">
        <v>1</v>
      </c>
      <c r="I165" s="99"/>
      <c r="J165" s="99"/>
      <c r="K165" s="99"/>
      <c r="L165" s="57"/>
      <c r="M16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66" spans="2:13" x14ac:dyDescent="0.3">
      <c r="B166" s="62"/>
      <c r="C166" s="62" t="s">
        <v>493</v>
      </c>
      <c r="D166" s="62" t="s">
        <v>596</v>
      </c>
      <c r="E166" s="62" t="s">
        <v>222</v>
      </c>
      <c r="F166" s="62" t="s">
        <v>408</v>
      </c>
      <c r="G166" s="61" t="str">
        <f>_xlfn.CONCAT(Таблица2[[#This Row],[Обознач]],"_",Таблица2[[#This Row],[Наимен]])</f>
        <v>?KI.BP.?_Ременная спинка 270x400</v>
      </c>
      <c r="H166" s="102">
        <v>1</v>
      </c>
      <c r="I166" s="99"/>
      <c r="J166" s="99"/>
      <c r="K166" s="99"/>
      <c r="L166" s="57"/>
      <c r="M16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67" spans="2:13" x14ac:dyDescent="0.3">
      <c r="B167" s="62"/>
      <c r="C167" s="62" t="s">
        <v>494</v>
      </c>
      <c r="D167" s="62" t="s">
        <v>596</v>
      </c>
      <c r="E167" s="62" t="s">
        <v>222</v>
      </c>
      <c r="F167" s="62" t="s">
        <v>409</v>
      </c>
      <c r="G167" s="61" t="str">
        <f>_xlfn.CONCAT(Таблица2[[#This Row],[Обознач]],"_",Таблица2[[#This Row],[Наимен]])</f>
        <v>?KI.BP.?_Ременная спинка 270x420</v>
      </c>
      <c r="H167" s="102">
        <v>1</v>
      </c>
      <c r="I167" s="99"/>
      <c r="J167" s="99"/>
      <c r="K167" s="99"/>
      <c r="L167" s="57"/>
      <c r="M16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68" spans="2:13" x14ac:dyDescent="0.3">
      <c r="B168" s="62"/>
      <c r="C168" s="62" t="s">
        <v>495</v>
      </c>
      <c r="D168" s="62" t="s">
        <v>596</v>
      </c>
      <c r="E168" s="62" t="s">
        <v>222</v>
      </c>
      <c r="F168" s="62" t="s">
        <v>410</v>
      </c>
      <c r="G168" s="61" t="str">
        <f>_xlfn.CONCAT(Таблица2[[#This Row],[Обознач]],"_",Таблица2[[#This Row],[Наимен]])</f>
        <v>?KI.BP.?_Ременная спинка 270x440</v>
      </c>
      <c r="H168" s="102">
        <v>1</v>
      </c>
      <c r="I168" s="99"/>
      <c r="J168" s="99"/>
      <c r="K168" s="99"/>
      <c r="L168" s="57"/>
      <c r="M16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69" spans="2:13" x14ac:dyDescent="0.3">
      <c r="B169" s="62"/>
      <c r="C169" s="62" t="s">
        <v>496</v>
      </c>
      <c r="D169" s="62" t="s">
        <v>596</v>
      </c>
      <c r="E169" s="62" t="s">
        <v>222</v>
      </c>
      <c r="F169" s="62" t="s">
        <v>411</v>
      </c>
      <c r="G169" s="61" t="str">
        <f>_xlfn.CONCAT(Таблица2[[#This Row],[Обознач]],"_",Таблица2[[#This Row],[Наимен]])</f>
        <v>?KI.BP.?_Ременная спинка 270x460</v>
      </c>
      <c r="H169" s="102">
        <v>1</v>
      </c>
      <c r="I169" s="99"/>
      <c r="J169" s="99"/>
      <c r="K169" s="99"/>
      <c r="L169" s="57"/>
      <c r="M16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70" spans="2:13" x14ac:dyDescent="0.3">
      <c r="B170" s="62"/>
      <c r="C170" s="62" t="s">
        <v>497</v>
      </c>
      <c r="D170" s="62" t="s">
        <v>596</v>
      </c>
      <c r="E170" s="62" t="s">
        <v>222</v>
      </c>
      <c r="F170" s="62" t="s">
        <v>412</v>
      </c>
      <c r="G170" s="61" t="str">
        <f>_xlfn.CONCAT(Таблица2[[#This Row],[Обознач]],"_",Таблица2[[#This Row],[Наимен]])</f>
        <v>?KI.BP.?_Ременная спинка 300x200</v>
      </c>
      <c r="H170" s="102">
        <v>1</v>
      </c>
      <c r="I170" s="99"/>
      <c r="J170" s="99"/>
      <c r="K170" s="99"/>
      <c r="L170" s="57"/>
      <c r="M17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71" spans="2:13" x14ac:dyDescent="0.3">
      <c r="B171" s="62"/>
      <c r="C171" s="62" t="s">
        <v>498</v>
      </c>
      <c r="D171" s="62" t="s">
        <v>596</v>
      </c>
      <c r="E171" s="62" t="s">
        <v>663</v>
      </c>
      <c r="F171" s="62" t="s">
        <v>413</v>
      </c>
      <c r="G171" s="61" t="str">
        <f>_xlfn.CONCAT(Таблица2[[#This Row],[Обознач]],"_",Таблица2[[#This Row],[Наимен]])</f>
        <v>KI.NP.024_Ременная спинка 300x220</v>
      </c>
      <c r="H171" s="102">
        <v>1</v>
      </c>
      <c r="I171" s="99"/>
      <c r="J171" s="99"/>
      <c r="K171" s="99"/>
      <c r="L171" s="57"/>
      <c r="M17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72" spans="2:13" x14ac:dyDescent="0.3">
      <c r="B172" s="62"/>
      <c r="C172" s="62" t="s">
        <v>499</v>
      </c>
      <c r="D172" s="62" t="s">
        <v>596</v>
      </c>
      <c r="E172" s="62" t="s">
        <v>222</v>
      </c>
      <c r="F172" s="62" t="s">
        <v>414</v>
      </c>
      <c r="G172" s="61" t="str">
        <f>_xlfn.CONCAT(Таблица2[[#This Row],[Обознач]],"_",Таблица2[[#This Row],[Наимен]])</f>
        <v>?KI.BP.?_Ременная спинка 300x240</v>
      </c>
      <c r="H172" s="102">
        <v>1</v>
      </c>
      <c r="I172" s="99"/>
      <c r="J172" s="99"/>
      <c r="K172" s="99"/>
      <c r="L172" s="57"/>
      <c r="M17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73" spans="2:13" x14ac:dyDescent="0.3">
      <c r="B173" s="62"/>
      <c r="C173" s="62" t="s">
        <v>500</v>
      </c>
      <c r="D173" s="62" t="s">
        <v>596</v>
      </c>
      <c r="E173" s="62" t="s">
        <v>222</v>
      </c>
      <c r="F173" s="62" t="s">
        <v>415</v>
      </c>
      <c r="G173" s="61" t="str">
        <f>_xlfn.CONCAT(Таблица2[[#This Row],[Обознач]],"_",Таблица2[[#This Row],[Наимен]])</f>
        <v>?KI.BP.?_Ременная спинка 300x260</v>
      </c>
      <c r="H173" s="102">
        <v>1</v>
      </c>
      <c r="I173" s="99"/>
      <c r="J173" s="99"/>
      <c r="K173" s="99"/>
      <c r="L173" s="57"/>
      <c r="M17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74" spans="2:13" x14ac:dyDescent="0.3">
      <c r="B174" s="62"/>
      <c r="C174" s="62" t="s">
        <v>501</v>
      </c>
      <c r="D174" s="62" t="s">
        <v>596</v>
      </c>
      <c r="E174" s="62" t="s">
        <v>222</v>
      </c>
      <c r="F174" s="62" t="s">
        <v>416</v>
      </c>
      <c r="G174" s="61" t="str">
        <f>_xlfn.CONCAT(Таблица2[[#This Row],[Обознач]],"_",Таблица2[[#This Row],[Наимен]])</f>
        <v>?KI.BP.?_Ременная спинка 300x280</v>
      </c>
      <c r="H174" s="102">
        <v>1</v>
      </c>
      <c r="I174" s="99"/>
      <c r="J174" s="99"/>
      <c r="K174" s="99"/>
      <c r="L174" s="57"/>
      <c r="M17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75" spans="2:13" x14ac:dyDescent="0.3">
      <c r="B175" s="62"/>
      <c r="C175" s="62" t="s">
        <v>502</v>
      </c>
      <c r="D175" s="62" t="s">
        <v>596</v>
      </c>
      <c r="E175" s="62" t="s">
        <v>652</v>
      </c>
      <c r="F175" s="62" t="s">
        <v>417</v>
      </c>
      <c r="G175" s="61" t="str">
        <f>_xlfn.CONCAT(Таблица2[[#This Row],[Обознач]],"_",Таблица2[[#This Row],[Наимен]])</f>
        <v>KI.NP.023_Ременная спинка 300x300</v>
      </c>
      <c r="H175" s="102">
        <v>1</v>
      </c>
      <c r="I175" s="99"/>
      <c r="J175" s="99"/>
      <c r="K175" s="99"/>
      <c r="L175" s="57"/>
      <c r="M17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176" spans="2:13" x14ac:dyDescent="0.3">
      <c r="B176" s="62"/>
      <c r="C176" s="62" t="s">
        <v>503</v>
      </c>
      <c r="D176" s="62" t="s">
        <v>596</v>
      </c>
      <c r="E176" s="62" t="s">
        <v>222</v>
      </c>
      <c r="F176" s="62" t="s">
        <v>418</v>
      </c>
      <c r="G176" s="61" t="str">
        <f>_xlfn.CONCAT(Таблица2[[#This Row],[Обознач]],"_",Таблица2[[#This Row],[Наимен]])</f>
        <v>?KI.BP.?_Ременная спинка 300x320</v>
      </c>
      <c r="H176" s="102">
        <v>1</v>
      </c>
      <c r="I176" s="99"/>
      <c r="J176" s="99"/>
      <c r="K176" s="99"/>
      <c r="L176" s="57"/>
      <c r="M17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77" spans="2:13" x14ac:dyDescent="0.3">
      <c r="B177" s="62"/>
      <c r="C177" s="62" t="s">
        <v>504</v>
      </c>
      <c r="D177" s="62" t="s">
        <v>596</v>
      </c>
      <c r="E177" s="62" t="s">
        <v>897</v>
      </c>
      <c r="F177" s="62" t="s">
        <v>419</v>
      </c>
      <c r="G177" s="61" t="str">
        <f>_xlfn.CONCAT(Таблица2[[#This Row],[Обознач]],"_",Таблица2[[#This Row],[Наимен]])</f>
        <v>KI.NP.029_Ременная спинка 300x340</v>
      </c>
      <c r="H177" s="102">
        <v>1</v>
      </c>
      <c r="I177" s="99"/>
      <c r="J177" s="99"/>
      <c r="K177" s="99"/>
      <c r="L177" s="57"/>
      <c r="M17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78" spans="2:13" x14ac:dyDescent="0.3">
      <c r="B178" s="62"/>
      <c r="C178" s="62" t="s">
        <v>505</v>
      </c>
      <c r="D178" s="62" t="s">
        <v>596</v>
      </c>
      <c r="E178" s="62" t="s">
        <v>222</v>
      </c>
      <c r="F178" s="62" t="s">
        <v>420</v>
      </c>
      <c r="G178" s="61" t="str">
        <f>_xlfn.CONCAT(Таблица2[[#This Row],[Обознач]],"_",Таблица2[[#This Row],[Наимен]])</f>
        <v>?KI.BP.?_Ременная спинка 300x360</v>
      </c>
      <c r="H178" s="102">
        <v>1</v>
      </c>
      <c r="I178" s="99"/>
      <c r="J178" s="99"/>
      <c r="K178" s="99"/>
      <c r="L178" s="57"/>
      <c r="M17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79" spans="2:13" x14ac:dyDescent="0.3">
      <c r="B179" s="62"/>
      <c r="C179" s="62" t="s">
        <v>506</v>
      </c>
      <c r="D179" s="62" t="s">
        <v>596</v>
      </c>
      <c r="E179" s="62" t="s">
        <v>222</v>
      </c>
      <c r="F179" s="62" t="s">
        <v>421</v>
      </c>
      <c r="G179" s="61" t="str">
        <f>_xlfn.CONCAT(Таблица2[[#This Row],[Обознач]],"_",Таблица2[[#This Row],[Наимен]])</f>
        <v>?KI.BP.?_Ременная спинка 300x380</v>
      </c>
      <c r="H179" s="102">
        <v>1</v>
      </c>
      <c r="I179" s="99"/>
      <c r="J179" s="99"/>
      <c r="K179" s="99"/>
      <c r="L179" s="57"/>
      <c r="M17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80" spans="2:13" x14ac:dyDescent="0.3">
      <c r="B180" s="62"/>
      <c r="C180" s="62" t="s">
        <v>507</v>
      </c>
      <c r="D180" s="62" t="s">
        <v>596</v>
      </c>
      <c r="E180" s="62" t="s">
        <v>222</v>
      </c>
      <c r="F180" s="62" t="s">
        <v>422</v>
      </c>
      <c r="G180" s="61" t="str">
        <f>_xlfn.CONCAT(Таблица2[[#This Row],[Обознач]],"_",Таблица2[[#This Row],[Наимен]])</f>
        <v>?KI.BP.?_Ременная спинка 300x400</v>
      </c>
      <c r="H180" s="102">
        <v>1</v>
      </c>
      <c r="I180" s="99"/>
      <c r="J180" s="99"/>
      <c r="K180" s="99"/>
      <c r="L180" s="57"/>
      <c r="M18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81" spans="2:13" x14ac:dyDescent="0.3">
      <c r="B181" s="62"/>
      <c r="C181" s="62" t="s">
        <v>508</v>
      </c>
      <c r="D181" s="62" t="s">
        <v>596</v>
      </c>
      <c r="E181" s="62" t="s">
        <v>222</v>
      </c>
      <c r="F181" s="62" t="s">
        <v>423</v>
      </c>
      <c r="G181" s="61" t="str">
        <f>_xlfn.CONCAT(Таблица2[[#This Row],[Обознач]],"_",Таблица2[[#This Row],[Наимен]])</f>
        <v>?KI.BP.?_Ременная спинка 300x420</v>
      </c>
      <c r="H181" s="102">
        <v>1</v>
      </c>
      <c r="I181" s="99"/>
      <c r="J181" s="99"/>
      <c r="K181" s="99"/>
      <c r="L181" s="57"/>
      <c r="M18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82" spans="2:13" x14ac:dyDescent="0.3">
      <c r="B182" s="62"/>
      <c r="C182" s="62" t="s">
        <v>509</v>
      </c>
      <c r="D182" s="62" t="s">
        <v>596</v>
      </c>
      <c r="E182" s="62" t="s">
        <v>222</v>
      </c>
      <c r="F182" s="62" t="s">
        <v>424</v>
      </c>
      <c r="G182" s="61" t="str">
        <f>_xlfn.CONCAT(Таблица2[[#This Row],[Обознач]],"_",Таблица2[[#This Row],[Наимен]])</f>
        <v>?KI.BP.?_Ременная спинка 300x440</v>
      </c>
      <c r="H182" s="102">
        <v>1</v>
      </c>
      <c r="I182" s="99"/>
      <c r="J182" s="99"/>
      <c r="K182" s="99"/>
      <c r="L182" s="57"/>
      <c r="M18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83" spans="2:13" x14ac:dyDescent="0.3">
      <c r="B183" s="62"/>
      <c r="C183" s="62" t="s">
        <v>510</v>
      </c>
      <c r="D183" s="62" t="s">
        <v>596</v>
      </c>
      <c r="E183" s="62" t="s">
        <v>222</v>
      </c>
      <c r="F183" s="62" t="s">
        <v>425</v>
      </c>
      <c r="G183" s="61" t="str">
        <f>_xlfn.CONCAT(Таблица2[[#This Row],[Обознач]],"_",Таблица2[[#This Row],[Наимен]])</f>
        <v>?KI.BP.?_Ременная спинка 300x460</v>
      </c>
      <c r="H183" s="102">
        <v>1</v>
      </c>
      <c r="I183" s="99"/>
      <c r="J183" s="99"/>
      <c r="K183" s="99"/>
      <c r="L183" s="57"/>
      <c r="M18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84" spans="2:13" x14ac:dyDescent="0.3">
      <c r="B184" s="62"/>
      <c r="C184" s="62" t="s">
        <v>511</v>
      </c>
      <c r="D184" s="62" t="s">
        <v>596</v>
      </c>
      <c r="E184" s="62" t="s">
        <v>222</v>
      </c>
      <c r="F184" s="62" t="s">
        <v>426</v>
      </c>
      <c r="G184" s="61" t="str">
        <f>_xlfn.CONCAT(Таблица2[[#This Row],[Обознач]],"_",Таблица2[[#This Row],[Наимен]])</f>
        <v>?KI.BP.?_Ременная спинка 330x200</v>
      </c>
      <c r="H184" s="102">
        <v>1</v>
      </c>
      <c r="I184" s="99"/>
      <c r="J184" s="99"/>
      <c r="K184" s="99"/>
      <c r="L184" s="57"/>
      <c r="M18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85" spans="2:13" x14ac:dyDescent="0.3">
      <c r="B185" s="62"/>
      <c r="C185" s="62" t="s">
        <v>512</v>
      </c>
      <c r="D185" s="62" t="s">
        <v>596</v>
      </c>
      <c r="E185" s="62" t="s">
        <v>222</v>
      </c>
      <c r="F185" s="62" t="s">
        <v>427</v>
      </c>
      <c r="G185" s="61" t="str">
        <f>_xlfn.CONCAT(Таблица2[[#This Row],[Обознач]],"_",Таблица2[[#This Row],[Наимен]])</f>
        <v>?KI.BP.?_Ременная спинка 330x220</v>
      </c>
      <c r="H185" s="102">
        <v>1</v>
      </c>
      <c r="I185" s="99"/>
      <c r="J185" s="99"/>
      <c r="K185" s="99"/>
      <c r="L185" s="57"/>
      <c r="M18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86" spans="2:13" x14ac:dyDescent="0.3">
      <c r="B186" s="62"/>
      <c r="C186" s="62" t="s">
        <v>513</v>
      </c>
      <c r="D186" s="62" t="s">
        <v>596</v>
      </c>
      <c r="E186" s="62" t="s">
        <v>222</v>
      </c>
      <c r="F186" s="62" t="s">
        <v>428</v>
      </c>
      <c r="G186" s="61" t="str">
        <f>_xlfn.CONCAT(Таблица2[[#This Row],[Обознач]],"_",Таблица2[[#This Row],[Наимен]])</f>
        <v>?KI.BP.?_Ременная спинка 330x240</v>
      </c>
      <c r="H186" s="102">
        <v>1</v>
      </c>
      <c r="I186" s="99"/>
      <c r="J186" s="99"/>
      <c r="K186" s="99"/>
      <c r="L186" s="57"/>
      <c r="M18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87" spans="2:13" x14ac:dyDescent="0.3">
      <c r="B187" s="62"/>
      <c r="C187" s="62" t="s">
        <v>514</v>
      </c>
      <c r="D187" s="62" t="s">
        <v>596</v>
      </c>
      <c r="E187" s="62" t="s">
        <v>222</v>
      </c>
      <c r="F187" s="62" t="s">
        <v>429</v>
      </c>
      <c r="G187" s="61" t="str">
        <f>_xlfn.CONCAT(Таблица2[[#This Row],[Обознач]],"_",Таблица2[[#This Row],[Наимен]])</f>
        <v>?KI.BP.?_Ременная спинка 330x260</v>
      </c>
      <c r="H187" s="102">
        <v>1</v>
      </c>
      <c r="I187" s="99"/>
      <c r="J187" s="99"/>
      <c r="K187" s="99"/>
      <c r="L187" s="57"/>
      <c r="M18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88" spans="2:13" x14ac:dyDescent="0.3">
      <c r="B188" s="62"/>
      <c r="C188" s="62" t="s">
        <v>515</v>
      </c>
      <c r="D188" s="62" t="s">
        <v>596</v>
      </c>
      <c r="E188" s="62" t="s">
        <v>894</v>
      </c>
      <c r="F188" s="62" t="s">
        <v>430</v>
      </c>
      <c r="G188" s="61" t="str">
        <f>_xlfn.CONCAT(Таблица2[[#This Row],[Обознач]],"_",Таблица2[[#This Row],[Наимен]])</f>
        <v>KI.NP.028_Ременная спинка 330x280</v>
      </c>
      <c r="H188" s="102">
        <v>1</v>
      </c>
      <c r="I188" s="99"/>
      <c r="J188" s="99"/>
      <c r="K188" s="99"/>
      <c r="L188" s="57"/>
      <c r="M18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89" spans="2:13" x14ac:dyDescent="0.3">
      <c r="B189" s="62"/>
      <c r="C189" s="62" t="s">
        <v>516</v>
      </c>
      <c r="D189" s="62" t="s">
        <v>596</v>
      </c>
      <c r="E189" s="62" t="s">
        <v>649</v>
      </c>
      <c r="F189" s="62" t="s">
        <v>431</v>
      </c>
      <c r="G189" s="61" t="str">
        <f>_xlfn.CONCAT(Таблица2[[#This Row],[Обознач]],"_",Таблица2[[#This Row],[Наимен]])</f>
        <v>KI.NP.022_Ременная спинка 330x300</v>
      </c>
      <c r="H189" s="102">
        <v>1</v>
      </c>
      <c r="I189" s="99"/>
      <c r="J189" s="99"/>
      <c r="K189" s="99"/>
      <c r="L189" s="57"/>
      <c r="M18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90" spans="2:13" x14ac:dyDescent="0.3">
      <c r="B190" s="62"/>
      <c r="C190" s="62" t="s">
        <v>517</v>
      </c>
      <c r="D190" s="62" t="s">
        <v>596</v>
      </c>
      <c r="E190" s="62" t="s">
        <v>222</v>
      </c>
      <c r="F190" s="62" t="s">
        <v>432</v>
      </c>
      <c r="G190" s="61" t="str">
        <f>_xlfn.CONCAT(Таблица2[[#This Row],[Обознач]],"_",Таблица2[[#This Row],[Наимен]])</f>
        <v>?KI.BP.?_Ременная спинка 330x320</v>
      </c>
      <c r="H190" s="102">
        <v>1</v>
      </c>
      <c r="I190" s="99"/>
      <c r="J190" s="99"/>
      <c r="K190" s="99"/>
      <c r="L190" s="57"/>
      <c r="M19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91" spans="2:13" x14ac:dyDescent="0.3">
      <c r="B191" s="62"/>
      <c r="C191" s="62" t="s">
        <v>518</v>
      </c>
      <c r="D191" s="62" t="s">
        <v>596</v>
      </c>
      <c r="E191" s="62" t="s">
        <v>222</v>
      </c>
      <c r="F191" s="62" t="s">
        <v>433</v>
      </c>
      <c r="G191" s="61" t="str">
        <f>_xlfn.CONCAT(Таблица2[[#This Row],[Обознач]],"_",Таблица2[[#This Row],[Наимен]])</f>
        <v>?KI.BP.?_Ременная спинка 330x340</v>
      </c>
      <c r="H191" s="102">
        <v>1</v>
      </c>
      <c r="I191" s="99"/>
      <c r="J191" s="99"/>
      <c r="K191" s="99"/>
      <c r="L191" s="57"/>
      <c r="M19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92" spans="2:13" x14ac:dyDescent="0.3">
      <c r="B192" s="62"/>
      <c r="C192" s="62" t="s">
        <v>519</v>
      </c>
      <c r="D192" s="62" t="s">
        <v>596</v>
      </c>
      <c r="E192" s="62" t="s">
        <v>222</v>
      </c>
      <c r="F192" s="62" t="s">
        <v>434</v>
      </c>
      <c r="G192" s="61" t="str">
        <f>_xlfn.CONCAT(Таблица2[[#This Row],[Обознач]],"_",Таблица2[[#This Row],[Наимен]])</f>
        <v>?KI.BP.?_Ременная спинка 330x360</v>
      </c>
      <c r="H192" s="102">
        <v>1</v>
      </c>
      <c r="I192" s="99"/>
      <c r="J192" s="99"/>
      <c r="K192" s="99"/>
      <c r="L192" s="57"/>
      <c r="M19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93" spans="2:13" x14ac:dyDescent="0.3">
      <c r="B193" s="62"/>
      <c r="C193" s="62" t="s">
        <v>520</v>
      </c>
      <c r="D193" s="62" t="s">
        <v>596</v>
      </c>
      <c r="E193" s="62" t="s">
        <v>568</v>
      </c>
      <c r="F193" s="62" t="s">
        <v>435</v>
      </c>
      <c r="G193" s="61" t="str">
        <f>_xlfn.CONCAT(Таблица2[[#This Row],[Обознач]],"_",Таблица2[[#This Row],[Наимен]])</f>
        <v>KI.NP.014_Ременная спинка 330x380</v>
      </c>
      <c r="H193" s="102">
        <v>1</v>
      </c>
      <c r="I193" s="99"/>
      <c r="J193" s="99"/>
      <c r="K193" s="99"/>
      <c r="L193" s="57"/>
      <c r="M19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94" spans="2:13" x14ac:dyDescent="0.3">
      <c r="B194" s="62"/>
      <c r="C194" s="62" t="s">
        <v>521</v>
      </c>
      <c r="D194" s="62" t="s">
        <v>596</v>
      </c>
      <c r="E194" s="62" t="s">
        <v>222</v>
      </c>
      <c r="F194" s="62" t="s">
        <v>436</v>
      </c>
      <c r="G194" s="61" t="str">
        <f>_xlfn.CONCAT(Таблица2[[#This Row],[Обознач]],"_",Таблица2[[#This Row],[Наимен]])</f>
        <v>?KI.BP.?_Ременная спинка 330x400</v>
      </c>
      <c r="H194" s="102">
        <v>1</v>
      </c>
      <c r="I194" s="99"/>
      <c r="J194" s="99"/>
      <c r="K194" s="99"/>
      <c r="L194" s="57"/>
      <c r="M19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95" spans="2:13" x14ac:dyDescent="0.3">
      <c r="B195" s="62"/>
      <c r="C195" s="62" t="s">
        <v>522</v>
      </c>
      <c r="D195" s="62" t="s">
        <v>596</v>
      </c>
      <c r="E195" s="62" t="s">
        <v>222</v>
      </c>
      <c r="F195" s="62" t="s">
        <v>437</v>
      </c>
      <c r="G195" s="61" t="str">
        <f>_xlfn.CONCAT(Таблица2[[#This Row],[Обознач]],"_",Таблица2[[#This Row],[Наимен]])</f>
        <v>?KI.BP.?_Ременная спинка 330x420</v>
      </c>
      <c r="H195" s="102">
        <v>1</v>
      </c>
      <c r="I195" s="99"/>
      <c r="J195" s="99"/>
      <c r="K195" s="99"/>
      <c r="L195" s="57"/>
      <c r="M19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96" spans="2:13" x14ac:dyDescent="0.3">
      <c r="B196" s="62"/>
      <c r="C196" s="62" t="s">
        <v>523</v>
      </c>
      <c r="D196" s="62" t="s">
        <v>596</v>
      </c>
      <c r="E196" s="62" t="s">
        <v>222</v>
      </c>
      <c r="F196" s="62" t="s">
        <v>438</v>
      </c>
      <c r="G196" s="61" t="str">
        <f>_xlfn.CONCAT(Таблица2[[#This Row],[Обознач]],"_",Таблица2[[#This Row],[Наимен]])</f>
        <v>?KI.BP.?_Ременная спинка 330x440</v>
      </c>
      <c r="H196" s="102">
        <v>1</v>
      </c>
      <c r="I196" s="99"/>
      <c r="J196" s="99"/>
      <c r="K196" s="99"/>
      <c r="L196" s="57"/>
      <c r="M19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97" spans="2:13" x14ac:dyDescent="0.3">
      <c r="B197" s="62"/>
      <c r="C197" s="62" t="s">
        <v>524</v>
      </c>
      <c r="D197" s="62" t="s">
        <v>596</v>
      </c>
      <c r="E197" s="62" t="s">
        <v>222</v>
      </c>
      <c r="F197" s="62" t="s">
        <v>439</v>
      </c>
      <c r="G197" s="61" t="str">
        <f>_xlfn.CONCAT(Таблица2[[#This Row],[Обознач]],"_",Таблица2[[#This Row],[Наимен]])</f>
        <v>?KI.BP.?_Ременная спинка 330x460</v>
      </c>
      <c r="H197" s="102">
        <v>1</v>
      </c>
      <c r="I197" s="99"/>
      <c r="J197" s="99"/>
      <c r="K197" s="99"/>
      <c r="L197" s="57"/>
      <c r="M19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98" spans="2:13" x14ac:dyDescent="0.3">
      <c r="B198" s="62"/>
      <c r="C198" s="62" t="s">
        <v>525</v>
      </c>
      <c r="D198" s="62" t="s">
        <v>596</v>
      </c>
      <c r="E198" s="62" t="s">
        <v>222</v>
      </c>
      <c r="F198" s="62" t="s">
        <v>440</v>
      </c>
      <c r="G198" s="61" t="str">
        <f>_xlfn.CONCAT(Таблица2[[#This Row],[Обознач]],"_",Таблица2[[#This Row],[Наимен]])</f>
        <v>?KI.BP.?_Ременная спинка 360x200</v>
      </c>
      <c r="H198" s="102">
        <v>1</v>
      </c>
      <c r="I198" s="99"/>
      <c r="J198" s="99"/>
      <c r="K198" s="99"/>
      <c r="L198" s="57"/>
      <c r="M19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199" spans="2:13" x14ac:dyDescent="0.3">
      <c r="B199" s="62"/>
      <c r="C199" s="62" t="s">
        <v>526</v>
      </c>
      <c r="D199" s="62" t="s">
        <v>596</v>
      </c>
      <c r="E199" s="62" t="s">
        <v>222</v>
      </c>
      <c r="F199" s="62" t="s">
        <v>441</v>
      </c>
      <c r="G199" s="61" t="str">
        <f>_xlfn.CONCAT(Таблица2[[#This Row],[Обознач]],"_",Таблица2[[#This Row],[Наимен]])</f>
        <v>?KI.BP.?_Ременная спинка 360x220</v>
      </c>
      <c r="H199" s="102">
        <v>1</v>
      </c>
      <c r="I199" s="99"/>
      <c r="J199" s="99"/>
      <c r="K199" s="99"/>
      <c r="L199" s="57"/>
      <c r="M19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00" spans="2:13" x14ac:dyDescent="0.3">
      <c r="B200" s="62"/>
      <c r="C200" s="62" t="s">
        <v>527</v>
      </c>
      <c r="D200" s="62" t="s">
        <v>596</v>
      </c>
      <c r="E200" s="62" t="s">
        <v>222</v>
      </c>
      <c r="F200" s="62" t="s">
        <v>442</v>
      </c>
      <c r="G200" s="61" t="str">
        <f>_xlfn.CONCAT(Таблица2[[#This Row],[Обознач]],"_",Таблица2[[#This Row],[Наимен]])</f>
        <v>?KI.BP.?_Ременная спинка 360x240</v>
      </c>
      <c r="H200" s="102">
        <v>1</v>
      </c>
      <c r="I200" s="99"/>
      <c r="J200" s="99"/>
      <c r="K200" s="99"/>
      <c r="L200" s="57"/>
      <c r="M20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01" spans="2:13" x14ac:dyDescent="0.3">
      <c r="B201" s="62"/>
      <c r="C201" s="62" t="s">
        <v>528</v>
      </c>
      <c r="D201" s="62" t="s">
        <v>596</v>
      </c>
      <c r="E201" s="62" t="s">
        <v>222</v>
      </c>
      <c r="F201" s="62" t="s">
        <v>443</v>
      </c>
      <c r="G201" s="61" t="str">
        <f>_xlfn.CONCAT(Таблица2[[#This Row],[Обознач]],"_",Таблица2[[#This Row],[Наимен]])</f>
        <v>?KI.BP.?_Ременная спинка 360x260</v>
      </c>
      <c r="H201" s="102">
        <v>1</v>
      </c>
      <c r="I201" s="99"/>
      <c r="J201" s="99"/>
      <c r="K201" s="99"/>
      <c r="L201" s="57"/>
      <c r="M20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02" spans="2:13" x14ac:dyDescent="0.3">
      <c r="B202" s="62"/>
      <c r="C202" s="62" t="s">
        <v>529</v>
      </c>
      <c r="D202" s="62" t="s">
        <v>596</v>
      </c>
      <c r="E202" s="62" t="s">
        <v>567</v>
      </c>
      <c r="F202" s="62" t="s">
        <v>444</v>
      </c>
      <c r="G202" s="61" t="str">
        <f>_xlfn.CONCAT(Таблица2[[#This Row],[Обознач]],"_",Таблица2[[#This Row],[Наимен]])</f>
        <v>KI.NP.016_Ременная спинка 360x280</v>
      </c>
      <c r="H202" s="102">
        <v>1</v>
      </c>
      <c r="I202" s="99"/>
      <c r="J202" s="99"/>
      <c r="K202" s="99"/>
      <c r="L202" s="57"/>
      <c r="M20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03" spans="2:13" x14ac:dyDescent="0.3">
      <c r="B203" s="62"/>
      <c r="C203" s="62" t="s">
        <v>530</v>
      </c>
      <c r="D203" s="62" t="s">
        <v>596</v>
      </c>
      <c r="E203" s="62" t="s">
        <v>941</v>
      </c>
      <c r="F203" s="62" t="s">
        <v>445</v>
      </c>
      <c r="G203" s="61" t="str">
        <f>_xlfn.CONCAT(Таблица2[[#This Row],[Обознач]],"_",Таблица2[[#This Row],[Наимен]])</f>
        <v>KI.NP.035_Ременная спинка 360x300</v>
      </c>
      <c r="H203" s="102">
        <v>1</v>
      </c>
      <c r="I203" s="99"/>
      <c r="J203" s="99"/>
      <c r="K203" s="99"/>
      <c r="L203" s="57"/>
      <c r="M20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04" spans="2:13" x14ac:dyDescent="0.3">
      <c r="B204" s="62"/>
      <c r="C204" s="62" t="s">
        <v>531</v>
      </c>
      <c r="D204" s="62" t="s">
        <v>596</v>
      </c>
      <c r="E204" s="62" t="s">
        <v>222</v>
      </c>
      <c r="F204" s="62" t="s">
        <v>446</v>
      </c>
      <c r="G204" s="61" t="str">
        <f>_xlfn.CONCAT(Таблица2[[#This Row],[Обознач]],"_",Таблица2[[#This Row],[Наимен]])</f>
        <v>?KI.BP.?_Ременная спинка 360x320</v>
      </c>
      <c r="H204" s="102">
        <v>1</v>
      </c>
      <c r="I204" s="99"/>
      <c r="J204" s="99"/>
      <c r="K204" s="99"/>
      <c r="L204" s="57"/>
      <c r="M20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05" spans="2:13" x14ac:dyDescent="0.3">
      <c r="B205" s="62"/>
      <c r="C205" s="62" t="s">
        <v>532</v>
      </c>
      <c r="D205" s="62" t="s">
        <v>596</v>
      </c>
      <c r="E205" s="62" t="s">
        <v>222</v>
      </c>
      <c r="F205" s="62" t="s">
        <v>447</v>
      </c>
      <c r="G205" s="61" t="str">
        <f>_xlfn.CONCAT(Таблица2[[#This Row],[Обознач]],"_",Таблица2[[#This Row],[Наимен]])</f>
        <v>?KI.BP.?_Ременная спинка 360x340</v>
      </c>
      <c r="H205" s="102">
        <v>1</v>
      </c>
      <c r="I205" s="99"/>
      <c r="J205" s="99"/>
      <c r="K205" s="99"/>
      <c r="L205" s="57"/>
      <c r="M20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06" spans="2:13" x14ac:dyDescent="0.3">
      <c r="B206" s="62"/>
      <c r="C206" s="62" t="s">
        <v>533</v>
      </c>
      <c r="D206" s="62" t="s">
        <v>596</v>
      </c>
      <c r="E206" s="62" t="s">
        <v>222</v>
      </c>
      <c r="F206" s="62" t="s">
        <v>448</v>
      </c>
      <c r="G206" s="61" t="str">
        <f>_xlfn.CONCAT(Таблица2[[#This Row],[Обознач]],"_",Таблица2[[#This Row],[Наимен]])</f>
        <v>?KI.BP.?_Ременная спинка 360x360</v>
      </c>
      <c r="H206" s="102">
        <v>1</v>
      </c>
      <c r="I206" s="99"/>
      <c r="J206" s="99"/>
      <c r="K206" s="99"/>
      <c r="L206" s="57"/>
      <c r="M20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07" spans="2:13" x14ac:dyDescent="0.3">
      <c r="B207" s="62"/>
      <c r="C207" s="62" t="s">
        <v>534</v>
      </c>
      <c r="D207" s="62" t="s">
        <v>596</v>
      </c>
      <c r="E207" s="62" t="s">
        <v>222</v>
      </c>
      <c r="F207" s="62" t="s">
        <v>449</v>
      </c>
      <c r="G207" s="61" t="str">
        <f>_xlfn.CONCAT(Таблица2[[#This Row],[Обознач]],"_",Таблица2[[#This Row],[Наимен]])</f>
        <v>?KI.BP.?_Ременная спинка 360x380</v>
      </c>
      <c r="H207" s="102">
        <v>1</v>
      </c>
      <c r="I207" s="99"/>
      <c r="J207" s="99"/>
      <c r="K207" s="99"/>
      <c r="L207" s="57"/>
      <c r="M20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08" spans="2:13" x14ac:dyDescent="0.3">
      <c r="B208" s="62"/>
      <c r="C208" s="62" t="s">
        <v>535</v>
      </c>
      <c r="D208" s="62" t="s">
        <v>596</v>
      </c>
      <c r="E208" s="62" t="s">
        <v>222</v>
      </c>
      <c r="F208" s="62" t="s">
        <v>450</v>
      </c>
      <c r="G208" s="61" t="str">
        <f>_xlfn.CONCAT(Таблица2[[#This Row],[Обознач]],"_",Таблица2[[#This Row],[Наимен]])</f>
        <v>?KI.BP.?_Ременная спинка 360x400</v>
      </c>
      <c r="H208" s="102">
        <v>1</v>
      </c>
      <c r="I208" s="99"/>
      <c r="J208" s="99"/>
      <c r="K208" s="99"/>
      <c r="L208" s="57"/>
      <c r="M20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09" spans="2:13" x14ac:dyDescent="0.3">
      <c r="B209" s="62"/>
      <c r="C209" s="62" t="s">
        <v>536</v>
      </c>
      <c r="D209" s="62" t="s">
        <v>596</v>
      </c>
      <c r="E209" s="62" t="s">
        <v>222</v>
      </c>
      <c r="F209" s="62" t="s">
        <v>451</v>
      </c>
      <c r="G209" s="61" t="str">
        <f>_xlfn.CONCAT(Таблица2[[#This Row],[Обознач]],"_",Таблица2[[#This Row],[Наимен]])</f>
        <v>?KI.BP.?_Ременная спинка 360x420</v>
      </c>
      <c r="H209" s="102">
        <v>1</v>
      </c>
      <c r="I209" s="99"/>
      <c r="J209" s="99"/>
      <c r="K209" s="99"/>
      <c r="L209" s="57"/>
      <c r="M20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10" spans="2:13" x14ac:dyDescent="0.3">
      <c r="B210" s="62"/>
      <c r="C210" s="62" t="s">
        <v>537</v>
      </c>
      <c r="D210" s="62" t="s">
        <v>596</v>
      </c>
      <c r="E210" s="62" t="s">
        <v>222</v>
      </c>
      <c r="F210" s="62" t="s">
        <v>452</v>
      </c>
      <c r="G210" s="61" t="str">
        <f>_xlfn.CONCAT(Таблица2[[#This Row],[Обознач]],"_",Таблица2[[#This Row],[Наимен]])</f>
        <v>?KI.BP.?_Ременная спинка 360x440</v>
      </c>
      <c r="H210" s="102">
        <v>1</v>
      </c>
      <c r="I210" s="99"/>
      <c r="J210" s="99"/>
      <c r="K210" s="99"/>
      <c r="L210" s="57"/>
      <c r="M21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11" spans="2:13" x14ac:dyDescent="0.3">
      <c r="B211" s="62"/>
      <c r="C211" s="62" t="s">
        <v>538</v>
      </c>
      <c r="D211" s="62" t="s">
        <v>596</v>
      </c>
      <c r="E211" s="62" t="s">
        <v>222</v>
      </c>
      <c r="F211" s="62" t="s">
        <v>453</v>
      </c>
      <c r="G211" s="61" t="str">
        <f>_xlfn.CONCAT(Таблица2[[#This Row],[Обознач]],"_",Таблица2[[#This Row],[Наимен]])</f>
        <v>?KI.BP.?_Ременная спинка 360x460</v>
      </c>
      <c r="H211" s="102">
        <v>1</v>
      </c>
      <c r="I211" s="99"/>
      <c r="J211" s="99"/>
      <c r="K211" s="99"/>
      <c r="L211" s="57"/>
      <c r="M21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12" spans="2:13" x14ac:dyDescent="0.3">
      <c r="B212" s="62"/>
      <c r="C212" s="62" t="s">
        <v>539</v>
      </c>
      <c r="D212" s="62" t="s">
        <v>596</v>
      </c>
      <c r="E212" s="62" t="s">
        <v>222</v>
      </c>
      <c r="F212" s="62" t="s">
        <v>454</v>
      </c>
      <c r="G212" s="61" t="str">
        <f>_xlfn.CONCAT(Таблица2[[#This Row],[Обознач]],"_",Таблица2[[#This Row],[Наимен]])</f>
        <v>?KI.BP.?_Ременная спинка 390x200</v>
      </c>
      <c r="H212" s="102">
        <v>1</v>
      </c>
      <c r="I212" s="99"/>
      <c r="J212" s="99"/>
      <c r="K212" s="99"/>
      <c r="L212" s="57"/>
      <c r="M21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13" spans="2:13" x14ac:dyDescent="0.3">
      <c r="B213" s="62"/>
      <c r="C213" s="62" t="s">
        <v>540</v>
      </c>
      <c r="D213" s="62" t="s">
        <v>596</v>
      </c>
      <c r="E213" s="62" t="s">
        <v>222</v>
      </c>
      <c r="F213" s="62" t="s">
        <v>455</v>
      </c>
      <c r="G213" s="61" t="str">
        <f>_xlfn.CONCAT(Таблица2[[#This Row],[Обознач]],"_",Таблица2[[#This Row],[Наимен]])</f>
        <v>?KI.BP.?_Ременная спинка 390x220</v>
      </c>
      <c r="H213" s="102">
        <v>1</v>
      </c>
      <c r="I213" s="99"/>
      <c r="J213" s="99"/>
      <c r="K213" s="99"/>
      <c r="L213" s="57"/>
      <c r="M21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14" spans="2:13" x14ac:dyDescent="0.3">
      <c r="B214" s="62"/>
      <c r="C214" s="62" t="s">
        <v>541</v>
      </c>
      <c r="D214" s="62" t="s">
        <v>596</v>
      </c>
      <c r="E214" s="62" t="s">
        <v>222</v>
      </c>
      <c r="F214" s="62" t="s">
        <v>456</v>
      </c>
      <c r="G214" s="61" t="str">
        <f>_xlfn.CONCAT(Таблица2[[#This Row],[Обознач]],"_",Таблица2[[#This Row],[Наимен]])</f>
        <v>?KI.BP.?_Ременная спинка 390x240</v>
      </c>
      <c r="H214" s="102">
        <v>1</v>
      </c>
      <c r="I214" s="99"/>
      <c r="J214" s="99"/>
      <c r="K214" s="99"/>
      <c r="L214" s="57"/>
      <c r="M21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15" spans="2:13" x14ac:dyDescent="0.3">
      <c r="B215" s="62"/>
      <c r="C215" s="62" t="s">
        <v>542</v>
      </c>
      <c r="D215" s="62" t="s">
        <v>596</v>
      </c>
      <c r="E215" s="62" t="s">
        <v>222</v>
      </c>
      <c r="F215" s="62" t="s">
        <v>457</v>
      </c>
      <c r="G215" s="61" t="str">
        <f>_xlfn.CONCAT(Таблица2[[#This Row],[Обознач]],"_",Таблица2[[#This Row],[Наимен]])</f>
        <v>?KI.BP.?_Ременная спинка 390x260</v>
      </c>
      <c r="H215" s="102">
        <v>1</v>
      </c>
      <c r="I215" s="99"/>
      <c r="J215" s="99"/>
      <c r="K215" s="99"/>
      <c r="L215" s="57"/>
      <c r="M21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16" spans="2:13" x14ac:dyDescent="0.3">
      <c r="B216" s="62"/>
      <c r="C216" s="62" t="s">
        <v>543</v>
      </c>
      <c r="D216" s="62" t="s">
        <v>596</v>
      </c>
      <c r="E216" s="62" t="s">
        <v>222</v>
      </c>
      <c r="F216" s="62" t="s">
        <v>458</v>
      </c>
      <c r="G216" s="61" t="str">
        <f>_xlfn.CONCAT(Таблица2[[#This Row],[Обознач]],"_",Таблица2[[#This Row],[Наимен]])</f>
        <v>?KI.BP.?_Ременная спинка 390x280</v>
      </c>
      <c r="H216" s="102">
        <v>1</v>
      </c>
      <c r="I216" s="99"/>
      <c r="J216" s="99"/>
      <c r="K216" s="99"/>
      <c r="L216" s="57"/>
      <c r="M21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17" spans="2:13" x14ac:dyDescent="0.3">
      <c r="B217" s="62"/>
      <c r="C217" s="62" t="s">
        <v>544</v>
      </c>
      <c r="D217" s="62" t="s">
        <v>596</v>
      </c>
      <c r="E217" s="62" t="s">
        <v>222</v>
      </c>
      <c r="F217" s="62" t="s">
        <v>459</v>
      </c>
      <c r="G217" s="61" t="str">
        <f>_xlfn.CONCAT(Таблица2[[#This Row],[Обознач]],"_",Таблица2[[#This Row],[Наимен]])</f>
        <v>?KI.BP.?_Ременная спинка 390x300</v>
      </c>
      <c r="H217" s="102">
        <v>1</v>
      </c>
      <c r="I217" s="99"/>
      <c r="J217" s="99"/>
      <c r="K217" s="99"/>
      <c r="L217" s="57"/>
      <c r="M21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18" spans="2:13" x14ac:dyDescent="0.3">
      <c r="B218" s="62"/>
      <c r="C218" s="62" t="s">
        <v>545</v>
      </c>
      <c r="D218" s="62" t="s">
        <v>596</v>
      </c>
      <c r="E218" s="62" t="s">
        <v>644</v>
      </c>
      <c r="F218" s="62" t="s">
        <v>460</v>
      </c>
      <c r="G218" s="61" t="str">
        <f>_xlfn.CONCAT(Таблица2[[#This Row],[Обознач]],"_",Таблица2[[#This Row],[Наимен]])</f>
        <v>KI.NP.021_Ременная спинка 390x320</v>
      </c>
      <c r="H218" s="102">
        <v>1</v>
      </c>
      <c r="I218" s="99"/>
      <c r="J218" s="99"/>
      <c r="K218" s="99"/>
      <c r="L218" s="57"/>
      <c r="M21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19" spans="2:13" x14ac:dyDescent="0.3">
      <c r="B219" s="62"/>
      <c r="C219" s="62" t="s">
        <v>546</v>
      </c>
      <c r="D219" s="62" t="s">
        <v>596</v>
      </c>
      <c r="E219" s="62" t="s">
        <v>915</v>
      </c>
      <c r="F219" s="62" t="s">
        <v>461</v>
      </c>
      <c r="G219" s="61" t="str">
        <f>_xlfn.CONCAT(Таблица2[[#This Row],[Обознач]],"_",Таблица2[[#This Row],[Наимен]])</f>
        <v>KI.NP.032_Ременная спинка 390x340</v>
      </c>
      <c r="H219" s="102">
        <v>1</v>
      </c>
      <c r="I219" s="99"/>
      <c r="J219" s="99"/>
      <c r="K219" s="99"/>
      <c r="L219" s="57"/>
      <c r="M21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20" spans="2:13" x14ac:dyDescent="0.3">
      <c r="B220" s="62"/>
      <c r="C220" s="62" t="s">
        <v>547</v>
      </c>
      <c r="D220" s="62" t="s">
        <v>596</v>
      </c>
      <c r="E220" s="62" t="s">
        <v>622</v>
      </c>
      <c r="F220" s="62" t="s">
        <v>462</v>
      </c>
      <c r="G220" s="61" t="str">
        <f>_xlfn.CONCAT(Таблица2[[#This Row],[Обознач]],"_",Таблица2[[#This Row],[Наимен]])</f>
        <v>KI.NP.020_Ременная спинка 390x360</v>
      </c>
      <c r="H220" s="102">
        <v>1</v>
      </c>
      <c r="I220" s="99"/>
      <c r="J220" s="99"/>
      <c r="K220" s="99"/>
      <c r="L220" s="57"/>
      <c r="M22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21" spans="2:13" x14ac:dyDescent="0.3">
      <c r="B221" s="62"/>
      <c r="C221" s="62" t="s">
        <v>548</v>
      </c>
      <c r="D221" s="62" t="s">
        <v>596</v>
      </c>
      <c r="E221" s="62" t="s">
        <v>222</v>
      </c>
      <c r="F221" s="62" t="s">
        <v>463</v>
      </c>
      <c r="G221" s="61" t="str">
        <f>_xlfn.CONCAT(Таблица2[[#This Row],[Обознач]],"_",Таблица2[[#This Row],[Наимен]])</f>
        <v>?KI.BP.?_Ременная спинка 390x380</v>
      </c>
      <c r="H221" s="102">
        <v>1</v>
      </c>
      <c r="I221" s="99"/>
      <c r="J221" s="99"/>
      <c r="K221" s="99"/>
      <c r="L221" s="57"/>
      <c r="M22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22" spans="2:13" x14ac:dyDescent="0.3">
      <c r="B222" s="62"/>
      <c r="C222" s="62" t="s">
        <v>549</v>
      </c>
      <c r="D222" s="62" t="s">
        <v>596</v>
      </c>
      <c r="E222" s="62" t="s">
        <v>222</v>
      </c>
      <c r="F222" s="62" t="s">
        <v>464</v>
      </c>
      <c r="G222" s="61" t="str">
        <f>_xlfn.CONCAT(Таблица2[[#This Row],[Обознач]],"_",Таблица2[[#This Row],[Наимен]])</f>
        <v>?KI.BP.?_Ременная спинка 390x400</v>
      </c>
      <c r="H222" s="102">
        <v>1</v>
      </c>
      <c r="I222" s="99"/>
      <c r="J222" s="99"/>
      <c r="K222" s="99"/>
      <c r="L222" s="57"/>
      <c r="M22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23" spans="2:13" x14ac:dyDescent="0.3">
      <c r="B223" s="62"/>
      <c r="C223" s="62" t="s">
        <v>550</v>
      </c>
      <c r="D223" s="62" t="s">
        <v>596</v>
      </c>
      <c r="E223" s="62" t="s">
        <v>907</v>
      </c>
      <c r="F223" s="62" t="s">
        <v>465</v>
      </c>
      <c r="G223" s="61" t="str">
        <f>_xlfn.CONCAT(Таблица2[[#This Row],[Обознач]],"_",Таблица2[[#This Row],[Наимен]])</f>
        <v>KI.NP.031_Ременная спинка 390x420</v>
      </c>
      <c r="H223" s="102">
        <v>1</v>
      </c>
      <c r="I223" s="99"/>
      <c r="J223" s="99"/>
      <c r="K223" s="99"/>
      <c r="L223" s="57"/>
      <c r="M22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24" spans="2:13" x14ac:dyDescent="0.3">
      <c r="B224" s="62"/>
      <c r="C224" s="62" t="s">
        <v>551</v>
      </c>
      <c r="D224" s="62" t="s">
        <v>596</v>
      </c>
      <c r="E224" s="62" t="s">
        <v>222</v>
      </c>
      <c r="F224" s="62" t="s">
        <v>466</v>
      </c>
      <c r="G224" s="61" t="str">
        <f>_xlfn.CONCAT(Таблица2[[#This Row],[Обознач]],"_",Таблица2[[#This Row],[Наимен]])</f>
        <v>?KI.BP.?_Ременная спинка 390x440</v>
      </c>
      <c r="H224" s="102">
        <v>1</v>
      </c>
      <c r="I224" s="99"/>
      <c r="J224" s="99"/>
      <c r="K224" s="99"/>
      <c r="L224" s="57"/>
      <c r="M22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25" spans="2:16" x14ac:dyDescent="0.3">
      <c r="B225" s="62"/>
      <c r="C225" s="62" t="s">
        <v>552</v>
      </c>
      <c r="D225" s="62" t="s">
        <v>596</v>
      </c>
      <c r="E225" s="62" t="s">
        <v>222</v>
      </c>
      <c r="F225" s="62" t="s">
        <v>467</v>
      </c>
      <c r="G225" s="61" t="str">
        <f>_xlfn.CONCAT(Таблица2[[#This Row],[Обознач]],"_",Таблица2[[#This Row],[Наимен]])</f>
        <v>?KI.BP.?_Ременная спинка 390x460</v>
      </c>
      <c r="H225" s="102">
        <v>1</v>
      </c>
      <c r="I225" s="99"/>
      <c r="J225" s="99"/>
      <c r="K225" s="99"/>
      <c r="L225" s="57"/>
      <c r="M22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25" s="60" t="s">
        <v>570</v>
      </c>
    </row>
    <row r="226" spans="2:16" x14ac:dyDescent="0.3">
      <c r="B226" s="62"/>
      <c r="C226" s="62" t="s">
        <v>553</v>
      </c>
      <c r="D226" s="62" t="s">
        <v>596</v>
      </c>
      <c r="E226" s="62" t="s">
        <v>222</v>
      </c>
      <c r="F226" s="62" t="s">
        <v>468</v>
      </c>
      <c r="G226" s="61" t="str">
        <f>_xlfn.CONCAT(Таблица2[[#This Row],[Обознач]],"_",Таблица2[[#This Row],[Наимен]])</f>
        <v>?KI.BP.?_Ременная спинка 420x200</v>
      </c>
      <c r="H226" s="102">
        <v>1</v>
      </c>
      <c r="I226" s="99"/>
      <c r="J226" s="99"/>
      <c r="K226" s="99"/>
      <c r="L226" s="57"/>
      <c r="M22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26" s="60" t="s">
        <v>613</v>
      </c>
    </row>
    <row r="227" spans="2:16" x14ac:dyDescent="0.3">
      <c r="B227" s="62"/>
      <c r="C227" s="62" t="s">
        <v>554</v>
      </c>
      <c r="D227" s="62" t="s">
        <v>596</v>
      </c>
      <c r="E227" s="62" t="s">
        <v>222</v>
      </c>
      <c r="F227" s="62" t="s">
        <v>469</v>
      </c>
      <c r="G227" s="61" t="str">
        <f>_xlfn.CONCAT(Таблица2[[#This Row],[Обознач]],"_",Таблица2[[#This Row],[Наимен]])</f>
        <v>?KI.BP.?_Ременная спинка 420x220</v>
      </c>
      <c r="H227" s="102">
        <v>1</v>
      </c>
      <c r="I227" s="99"/>
      <c r="J227" s="99"/>
      <c r="K227" s="99"/>
      <c r="L227" s="57"/>
      <c r="M22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27" s="60" t="s">
        <v>569</v>
      </c>
    </row>
    <row r="228" spans="2:16" x14ac:dyDescent="0.3">
      <c r="B228" s="62"/>
      <c r="C228" s="62" t="s">
        <v>555</v>
      </c>
      <c r="D228" s="62" t="s">
        <v>596</v>
      </c>
      <c r="E228" s="62" t="s">
        <v>222</v>
      </c>
      <c r="F228" s="62" t="s">
        <v>470</v>
      </c>
      <c r="G228" s="61" t="str">
        <f>_xlfn.CONCAT(Таблица2[[#This Row],[Обознач]],"_",Таблица2[[#This Row],[Наимен]])</f>
        <v>?KI.BP.?_Ременная спинка 420x240</v>
      </c>
      <c r="H228" s="102">
        <v>1</v>
      </c>
      <c r="I228" s="99"/>
      <c r="J228" s="99"/>
      <c r="K228" s="99"/>
      <c r="L228" s="57"/>
      <c r="M22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28" s="60" t="s">
        <v>571</v>
      </c>
    </row>
    <row r="229" spans="2:16" x14ac:dyDescent="0.3">
      <c r="B229" s="62"/>
      <c r="C229" s="62" t="s">
        <v>556</v>
      </c>
      <c r="D229" s="62" t="s">
        <v>596</v>
      </c>
      <c r="E229" s="62" t="s">
        <v>222</v>
      </c>
      <c r="F229" s="62" t="s">
        <v>471</v>
      </c>
      <c r="G229" s="61" t="str">
        <f>_xlfn.CONCAT(Таблица2[[#This Row],[Обознач]],"_",Таблица2[[#This Row],[Наимен]])</f>
        <v>?KI.BP.?_Ременная спинка 420x260</v>
      </c>
      <c r="H229" s="102">
        <v>1</v>
      </c>
      <c r="I229" s="99"/>
      <c r="J229" s="99"/>
      <c r="K229" s="99"/>
      <c r="L229" s="57"/>
      <c r="M22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29" s="60"/>
    </row>
    <row r="230" spans="2:16" x14ac:dyDescent="0.3">
      <c r="B230" s="62"/>
      <c r="C230" s="62" t="s">
        <v>557</v>
      </c>
      <c r="D230" s="62" t="s">
        <v>596</v>
      </c>
      <c r="E230" s="62" t="s">
        <v>222</v>
      </c>
      <c r="F230" s="62" t="s">
        <v>472</v>
      </c>
      <c r="G230" s="61" t="str">
        <f>_xlfn.CONCAT(Таблица2[[#This Row],[Обознач]],"_",Таблица2[[#This Row],[Наимен]])</f>
        <v>?KI.BP.?_Ременная спинка 420x280</v>
      </c>
      <c r="H230" s="102">
        <v>1</v>
      </c>
      <c r="I230" s="99"/>
      <c r="J230" s="99"/>
      <c r="K230" s="99"/>
      <c r="L230" s="57"/>
      <c r="M23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30" s="60"/>
    </row>
    <row r="231" spans="2:16" x14ac:dyDescent="0.3">
      <c r="B231" s="62"/>
      <c r="C231" s="62" t="s">
        <v>558</v>
      </c>
      <c r="D231" s="62" t="s">
        <v>596</v>
      </c>
      <c r="E231" s="62" t="s">
        <v>934</v>
      </c>
      <c r="F231" s="62" t="s">
        <v>473</v>
      </c>
      <c r="G231" s="61" t="str">
        <f>_xlfn.CONCAT(Таблица2[[#This Row],[Обознач]],"_",Таблица2[[#This Row],[Наимен]])</f>
        <v>KI.NP.033_Ременная спинка 420x300</v>
      </c>
      <c r="H231" s="102">
        <v>1</v>
      </c>
      <c r="I231" s="99"/>
      <c r="J231" s="99"/>
      <c r="K231" s="99"/>
      <c r="L231" s="57"/>
      <c r="M23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  <c r="P231" s="60"/>
    </row>
    <row r="232" spans="2:16" x14ac:dyDescent="0.3">
      <c r="B232" s="62"/>
      <c r="C232" s="62" t="s">
        <v>559</v>
      </c>
      <c r="D232" s="62" t="s">
        <v>596</v>
      </c>
      <c r="E232" s="62" t="s">
        <v>222</v>
      </c>
      <c r="F232" s="62" t="s">
        <v>474</v>
      </c>
      <c r="G232" s="61" t="str">
        <f>_xlfn.CONCAT(Таблица2[[#This Row],[Обознач]],"_",Таблица2[[#This Row],[Наимен]])</f>
        <v>?KI.BP.?_Ременная спинка 420x320</v>
      </c>
      <c r="H232" s="102">
        <v>1</v>
      </c>
      <c r="I232" s="100"/>
      <c r="J232" s="100"/>
      <c r="K232" s="100"/>
      <c r="L232" s="58"/>
      <c r="M232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33" spans="2:16" x14ac:dyDescent="0.3">
      <c r="B233" s="62"/>
      <c r="C233" s="62" t="s">
        <v>560</v>
      </c>
      <c r="D233" s="62" t="s">
        <v>596</v>
      </c>
      <c r="E233" s="62" t="s">
        <v>946</v>
      </c>
      <c r="F233" s="62" t="s">
        <v>475</v>
      </c>
      <c r="G233" s="61" t="str">
        <f>_xlfn.CONCAT(Таблица2[[#This Row],[Обознач]],"_",Таблица2[[#This Row],[Наимен]])</f>
        <v>KI.NP.036_Ременная спинка 420x340</v>
      </c>
      <c r="H233" s="102">
        <v>1</v>
      </c>
      <c r="I233" s="57"/>
      <c r="J233" s="57"/>
      <c r="K233" s="57"/>
      <c r="L233" s="57"/>
      <c r="M23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34" spans="2:16" x14ac:dyDescent="0.3">
      <c r="B234" s="62"/>
      <c r="C234" s="62" t="s">
        <v>561</v>
      </c>
      <c r="D234" s="62" t="s">
        <v>596</v>
      </c>
      <c r="E234" s="62" t="s">
        <v>222</v>
      </c>
      <c r="F234" s="62" t="s">
        <v>476</v>
      </c>
      <c r="G234" s="61" t="str">
        <f>_xlfn.CONCAT(Таблица2[[#This Row],[Обознач]],"_",Таблица2[[#This Row],[Наимен]])</f>
        <v>?KI.BP.?_Ременная спинка 420x360</v>
      </c>
      <c r="H234" s="102">
        <v>1</v>
      </c>
      <c r="I234" s="57"/>
      <c r="J234" s="57"/>
      <c r="K234" s="57"/>
      <c r="L234" s="57"/>
      <c r="M23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35" spans="2:16" x14ac:dyDescent="0.3">
      <c r="B235" s="62"/>
      <c r="C235" s="62" t="s">
        <v>562</v>
      </c>
      <c r="D235" s="62" t="s">
        <v>596</v>
      </c>
      <c r="E235" s="62" t="s">
        <v>222</v>
      </c>
      <c r="F235" s="62" t="s">
        <v>477</v>
      </c>
      <c r="G235" s="61" t="str">
        <f>_xlfn.CONCAT(Таблица2[[#This Row],[Обознач]],"_",Таблица2[[#This Row],[Наимен]])</f>
        <v>?KI.BP.?_Ременная спинка 420x380</v>
      </c>
      <c r="H235" s="102">
        <v>1</v>
      </c>
      <c r="I235" s="57"/>
      <c r="J235" s="57"/>
      <c r="K235" s="57"/>
      <c r="L235" s="57"/>
      <c r="M23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36" spans="2:16" x14ac:dyDescent="0.3">
      <c r="B236" s="62"/>
      <c r="C236" s="62" t="s">
        <v>563</v>
      </c>
      <c r="D236" s="62" t="s">
        <v>596</v>
      </c>
      <c r="E236" s="62" t="s">
        <v>222</v>
      </c>
      <c r="F236" s="62" t="s">
        <v>478</v>
      </c>
      <c r="G236" s="61" t="str">
        <f>_xlfn.CONCAT(Таблица2[[#This Row],[Обознач]],"_",Таблица2[[#This Row],[Наимен]])</f>
        <v>?KI.BP.?_Ременная спинка 420x400</v>
      </c>
      <c r="H236" s="102">
        <v>1</v>
      </c>
      <c r="I236" s="57"/>
      <c r="J236" s="57"/>
      <c r="K236" s="57"/>
      <c r="L236" s="57"/>
      <c r="M23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37" spans="2:16" x14ac:dyDescent="0.3">
      <c r="B237" s="62"/>
      <c r="C237" s="62" t="s">
        <v>564</v>
      </c>
      <c r="D237" s="62" t="s">
        <v>596</v>
      </c>
      <c r="E237" s="62" t="s">
        <v>222</v>
      </c>
      <c r="F237" s="62" t="s">
        <v>479</v>
      </c>
      <c r="G237" s="61" t="str">
        <f>_xlfn.CONCAT(Таблица2[[#This Row],[Обознач]],"_",Таблица2[[#This Row],[Наимен]])</f>
        <v>?KI.BP.?_Ременная спинка 420x420</v>
      </c>
      <c r="H237" s="102">
        <v>1</v>
      </c>
      <c r="I237" s="57"/>
      <c r="J237" s="57"/>
      <c r="K237" s="57"/>
      <c r="L237" s="57"/>
      <c r="M23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38" spans="2:16" x14ac:dyDescent="0.3">
      <c r="B238" s="62"/>
      <c r="C238" s="62" t="s">
        <v>565</v>
      </c>
      <c r="D238" s="62" t="s">
        <v>596</v>
      </c>
      <c r="E238" s="62" t="s">
        <v>222</v>
      </c>
      <c r="F238" s="62" t="s">
        <v>480</v>
      </c>
      <c r="G238" s="61" t="str">
        <f>_xlfn.CONCAT(Таблица2[[#This Row],[Обознач]],"_",Таблица2[[#This Row],[Наимен]])</f>
        <v>?KI.BP.?_Ременная спинка 420x440</v>
      </c>
      <c r="H238" s="102">
        <v>1</v>
      </c>
      <c r="I238" s="57"/>
      <c r="J238" s="57"/>
      <c r="K238" s="57"/>
      <c r="L238" s="57"/>
      <c r="M23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39" spans="2:16" x14ac:dyDescent="0.3">
      <c r="B239" s="62"/>
      <c r="C239" s="62" t="s">
        <v>566</v>
      </c>
      <c r="D239" s="62" t="s">
        <v>596</v>
      </c>
      <c r="E239" s="62" t="s">
        <v>222</v>
      </c>
      <c r="F239" s="62" t="s">
        <v>481</v>
      </c>
      <c r="G239" s="61" t="str">
        <f>_xlfn.CONCAT(Таблица2[[#This Row],[Обознач]],"_",Таблица2[[#This Row],[Наимен]])</f>
        <v>?KI.BP.?_Ременная спинка 420x460</v>
      </c>
      <c r="H239" s="102">
        <v>1</v>
      </c>
      <c r="I239" s="57"/>
      <c r="J239" s="57"/>
      <c r="K239" s="57"/>
      <c r="L239" s="57"/>
      <c r="M23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40" spans="2:16" ht="28.8" x14ac:dyDescent="0.3">
      <c r="B240" s="11"/>
      <c r="C240" s="62" t="s">
        <v>1013</v>
      </c>
      <c r="D240" s="62" t="s">
        <v>593</v>
      </c>
      <c r="E240" s="62" t="s">
        <v>621</v>
      </c>
      <c r="F240" s="62" t="s">
        <v>605</v>
      </c>
      <c r="G240" s="57" t="str">
        <f>_xlfn.CONCAT(Таблица2[[#This Row],[Обознач]],"_",Таблица2[[#This Row],[Наимен]])</f>
        <v>KI.BP.426_Связь бананов 270</v>
      </c>
      <c r="H240" s="61">
        <v>1</v>
      </c>
      <c r="I240" s="57"/>
      <c r="J240" s="57"/>
      <c r="K240" s="57"/>
      <c r="L240" s="59" t="s">
        <v>170</v>
      </c>
      <c r="M24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41" spans="2:13" ht="28.8" x14ac:dyDescent="0.3">
      <c r="B241" s="11"/>
      <c r="C241" s="62" t="s">
        <v>1014</v>
      </c>
      <c r="D241" s="62" t="s">
        <v>593</v>
      </c>
      <c r="E241" s="62" t="s">
        <v>662</v>
      </c>
      <c r="F241" s="62" t="s">
        <v>661</v>
      </c>
      <c r="G241" s="57" t="str">
        <f>_xlfn.CONCAT(Таблица2[[#This Row],[Обознач]],"_",Таблица2[[#This Row],[Наимен]])</f>
        <v>KI.BP.444_Связь бананов 300</v>
      </c>
      <c r="H241" s="61">
        <v>1</v>
      </c>
      <c r="I241" s="57"/>
      <c r="J241" s="57"/>
      <c r="K241" s="57"/>
      <c r="L241" s="59" t="s">
        <v>171</v>
      </c>
      <c r="M24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42" spans="2:13" ht="28.8" x14ac:dyDescent="0.3">
      <c r="B242" s="11"/>
      <c r="C242" s="62" t="s">
        <v>1015</v>
      </c>
      <c r="D242" s="62" t="s">
        <v>593</v>
      </c>
      <c r="E242" s="62" t="s">
        <v>642</v>
      </c>
      <c r="F242" s="62" t="s">
        <v>641</v>
      </c>
      <c r="G242" s="57" t="str">
        <f>_xlfn.CONCAT(Таблица2[[#This Row],[Обознач]],"_",Таблица2[[#This Row],[Наимен]])</f>
        <v>KI.BP.439_Связь бананов 330-390</v>
      </c>
      <c r="H242" s="61">
        <v>1</v>
      </c>
      <c r="I242" s="57"/>
      <c r="J242" s="57"/>
      <c r="K242" s="57"/>
      <c r="L242" s="59" t="s">
        <v>172</v>
      </c>
      <c r="M24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43" spans="2:13" ht="28.8" x14ac:dyDescent="0.3">
      <c r="B243" s="11"/>
      <c r="C243" s="62" t="s">
        <v>1016</v>
      </c>
      <c r="D243" s="62" t="s">
        <v>593</v>
      </c>
      <c r="E243" s="62" t="s">
        <v>880</v>
      </c>
      <c r="F243" s="62" t="s">
        <v>879</v>
      </c>
      <c r="G243" s="57" t="str">
        <f>_xlfn.CONCAT(Таблица2[[#This Row],[Обознач]],"_",Таблица2[[#This Row],[Наимен]])</f>
        <v>KI.BP.449_Связь бананов 360, 420</v>
      </c>
      <c r="H243" s="61">
        <v>1</v>
      </c>
      <c r="I243" s="57"/>
      <c r="J243" s="57"/>
      <c r="K243" s="57"/>
      <c r="L243" s="59" t="s">
        <v>173</v>
      </c>
      <c r="M24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44" spans="2:13" ht="28.8" x14ac:dyDescent="0.3">
      <c r="B244" s="11"/>
      <c r="C244" s="62" t="s">
        <v>1017</v>
      </c>
      <c r="D244" s="62" t="s">
        <v>593</v>
      </c>
      <c r="E244" s="62" t="s">
        <v>642</v>
      </c>
      <c r="F244" s="62" t="s">
        <v>641</v>
      </c>
      <c r="G244" s="57" t="str">
        <f>_xlfn.CONCAT(Таблица2[[#This Row],[Обознач]],"_",Таблица2[[#This Row],[Наимен]])</f>
        <v>KI.BP.439_Связь бананов 330-390</v>
      </c>
      <c r="H244" s="61">
        <v>1</v>
      </c>
      <c r="I244" s="57"/>
      <c r="J244" s="57"/>
      <c r="K244" s="57"/>
      <c r="L244" s="59" t="s">
        <v>174</v>
      </c>
      <c r="M24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45" spans="2:13" ht="28.8" x14ac:dyDescent="0.3">
      <c r="B245" s="11"/>
      <c r="C245" s="62" t="s">
        <v>1018</v>
      </c>
      <c r="D245" s="62" t="s">
        <v>593</v>
      </c>
      <c r="E245" s="62" t="s">
        <v>880</v>
      </c>
      <c r="F245" s="62" t="s">
        <v>879</v>
      </c>
      <c r="G245" s="57" t="str">
        <f>_xlfn.CONCAT(Таблица2[[#This Row],[Обознач]],"_",Таблица2[[#This Row],[Наимен]])</f>
        <v>KI.BP.449_Связь бананов 360, 420</v>
      </c>
      <c r="H245" s="61">
        <v>1</v>
      </c>
      <c r="I245" s="57"/>
      <c r="J245" s="57"/>
      <c r="K245" s="57"/>
      <c r="L245" s="59" t="s">
        <v>175</v>
      </c>
      <c r="M24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46" spans="2:13" ht="28.8" x14ac:dyDescent="0.3">
      <c r="B246" s="11"/>
      <c r="C246" s="62" t="s">
        <v>1006</v>
      </c>
      <c r="D246" s="62" t="s">
        <v>593</v>
      </c>
      <c r="E246" s="62" t="s">
        <v>621</v>
      </c>
      <c r="F246" s="62" t="s">
        <v>605</v>
      </c>
      <c r="G246" s="57" t="str">
        <f>_xlfn.CONCAT(Таблица2[[#This Row],[Обознач]],"_",Таблица2[[#This Row],[Наимен]])</f>
        <v>KI.BP.426_Связь бананов 270</v>
      </c>
      <c r="H246" s="61">
        <v>1</v>
      </c>
      <c r="I246" s="57"/>
      <c r="J246" s="57"/>
      <c r="K246" s="57"/>
      <c r="L246" s="59" t="s">
        <v>170</v>
      </c>
      <c r="M24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47" spans="2:13" ht="28.8" x14ac:dyDescent="0.3">
      <c r="B247" s="11"/>
      <c r="C247" s="62" t="s">
        <v>1019</v>
      </c>
      <c r="D247" s="62" t="s">
        <v>593</v>
      </c>
      <c r="E247" s="62" t="s">
        <v>662</v>
      </c>
      <c r="F247" s="62" t="s">
        <v>661</v>
      </c>
      <c r="G247" s="57" t="str">
        <f>_xlfn.CONCAT(Таблица2[[#This Row],[Обознач]],"_",Таблица2[[#This Row],[Наимен]])</f>
        <v>KI.BP.444_Связь бананов 300</v>
      </c>
      <c r="H247" s="61">
        <v>1</v>
      </c>
      <c r="I247" s="57"/>
      <c r="J247" s="57"/>
      <c r="K247" s="57"/>
      <c r="L247" s="59" t="s">
        <v>171</v>
      </c>
      <c r="M24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48" spans="2:13" ht="28.8" x14ac:dyDescent="0.3">
      <c r="B248" s="11"/>
      <c r="C248" s="62" t="s">
        <v>1020</v>
      </c>
      <c r="D248" s="62" t="s">
        <v>593</v>
      </c>
      <c r="E248" s="62" t="s">
        <v>642</v>
      </c>
      <c r="F248" s="62" t="s">
        <v>641</v>
      </c>
      <c r="G248" s="57" t="str">
        <f>_xlfn.CONCAT(Таблица2[[#This Row],[Обознач]],"_",Таблица2[[#This Row],[Наимен]])</f>
        <v>KI.BP.439_Связь бананов 330-390</v>
      </c>
      <c r="H248" s="61">
        <v>1</v>
      </c>
      <c r="I248" s="57"/>
      <c r="J248" s="57"/>
      <c r="K248" s="57"/>
      <c r="L248" s="59" t="s">
        <v>172</v>
      </c>
      <c r="M24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49" spans="2:13" ht="28.8" x14ac:dyDescent="0.3">
      <c r="B249" s="11"/>
      <c r="C249" s="62" t="s">
        <v>1021</v>
      </c>
      <c r="D249" s="62" t="s">
        <v>593</v>
      </c>
      <c r="E249" s="62" t="s">
        <v>880</v>
      </c>
      <c r="F249" s="62" t="s">
        <v>879</v>
      </c>
      <c r="G249" s="57" t="str">
        <f>_xlfn.CONCAT(Таблица2[[#This Row],[Обознач]],"_",Таблица2[[#This Row],[Наимен]])</f>
        <v>KI.BP.449_Связь бананов 360, 420</v>
      </c>
      <c r="H249" s="61">
        <v>1</v>
      </c>
      <c r="I249" s="57"/>
      <c r="J249" s="57"/>
      <c r="K249" s="57"/>
      <c r="L249" s="59" t="s">
        <v>173</v>
      </c>
      <c r="M24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50" spans="2:13" ht="28.8" x14ac:dyDescent="0.3">
      <c r="B250" s="11"/>
      <c r="C250" s="62" t="s">
        <v>1022</v>
      </c>
      <c r="D250" s="62" t="s">
        <v>593</v>
      </c>
      <c r="E250" s="62" t="s">
        <v>642</v>
      </c>
      <c r="F250" s="62" t="s">
        <v>641</v>
      </c>
      <c r="G250" s="57" t="str">
        <f>_xlfn.CONCAT(Таблица2[[#This Row],[Обознач]],"_",Таблица2[[#This Row],[Наимен]])</f>
        <v>KI.BP.439_Связь бананов 330-390</v>
      </c>
      <c r="H250" s="61">
        <v>1</v>
      </c>
      <c r="I250" s="57"/>
      <c r="J250" s="57"/>
      <c r="K250" s="57"/>
      <c r="L250" s="59" t="s">
        <v>174</v>
      </c>
      <c r="M25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51" spans="2:13" ht="28.8" x14ac:dyDescent="0.3">
      <c r="B251" s="11"/>
      <c r="C251" s="62" t="s">
        <v>1023</v>
      </c>
      <c r="D251" s="62" t="s">
        <v>593</v>
      </c>
      <c r="E251" s="62" t="s">
        <v>880</v>
      </c>
      <c r="F251" s="62" t="s">
        <v>879</v>
      </c>
      <c r="G251" s="57" t="str">
        <f>_xlfn.CONCAT(Таблица2[[#This Row],[Обознач]],"_",Таблица2[[#This Row],[Наимен]])</f>
        <v>KI.BP.449_Связь бананов 360, 420</v>
      </c>
      <c r="H251" s="61">
        <v>1</v>
      </c>
      <c r="I251" s="57"/>
      <c r="J251" s="57"/>
      <c r="K251" s="57"/>
      <c r="L251" s="59" t="s">
        <v>175</v>
      </c>
      <c r="M25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52" spans="2:13" ht="28.8" x14ac:dyDescent="0.3">
      <c r="B252" s="11"/>
      <c r="C252" s="62" t="s">
        <v>1006</v>
      </c>
      <c r="D252" s="62" t="s">
        <v>594</v>
      </c>
      <c r="E252" s="62" t="s">
        <v>611</v>
      </c>
      <c r="F252" s="62" t="s">
        <v>606</v>
      </c>
      <c r="G252" s="57" t="str">
        <f>_xlfn.CONCAT(Таблица2[[#This Row],[Обознач]],"_",Таблица2[[#This Row],[Наимен]])</f>
        <v>KI.SP.318_Подножка листовая 270</v>
      </c>
      <c r="H252" s="61">
        <v>1</v>
      </c>
      <c r="I252" s="57"/>
      <c r="J252" s="57"/>
      <c r="K252" s="57"/>
      <c r="L252" s="59" t="s">
        <v>170</v>
      </c>
      <c r="M25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53" spans="2:13" ht="28.8" x14ac:dyDescent="0.3">
      <c r="B253" s="11"/>
      <c r="C253" s="62" t="s">
        <v>1019</v>
      </c>
      <c r="D253" s="62" t="s">
        <v>594</v>
      </c>
      <c r="E253" s="62" t="s">
        <v>651</v>
      </c>
      <c r="F253" s="62" t="s">
        <v>607</v>
      </c>
      <c r="G253" s="57" t="str">
        <f>_xlfn.CONCAT(Таблица2[[#This Row],[Обознач]],"_",Таблица2[[#This Row],[Наимен]])</f>
        <v>KI.SP.331_Подножка листовая 300</v>
      </c>
      <c r="H253" s="61">
        <v>1</v>
      </c>
      <c r="I253" s="57"/>
      <c r="J253" s="57"/>
      <c r="K253" s="57"/>
      <c r="L253" s="59" t="s">
        <v>171</v>
      </c>
      <c r="M25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54" spans="2:13" x14ac:dyDescent="0.3">
      <c r="B254" s="94"/>
      <c r="C254" s="62" t="s">
        <v>1020</v>
      </c>
      <c r="D254" s="62" t="s">
        <v>594</v>
      </c>
      <c r="E254" s="62" t="s">
        <v>893</v>
      </c>
      <c r="F254" s="62" t="s">
        <v>863</v>
      </c>
      <c r="G254" s="57" t="str">
        <f>_xlfn.CONCAT(Таблица2[[#This Row],[Обознач]],"_",Таблица2[[#This Row],[Наимен]])</f>
        <v>KI.SP.343_Подножка листовая 330,390</v>
      </c>
      <c r="H254" s="61">
        <v>1</v>
      </c>
      <c r="I254" s="58"/>
      <c r="J254" s="58"/>
      <c r="K254" s="58"/>
      <c r="L254" s="59"/>
      <c r="M254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55" spans="2:13" x14ac:dyDescent="0.3">
      <c r="B255" s="11"/>
      <c r="C255" s="62" t="s">
        <v>1021</v>
      </c>
      <c r="D255" s="62" t="s">
        <v>594</v>
      </c>
      <c r="E255" s="62" t="s">
        <v>878</v>
      </c>
      <c r="F255" s="62" t="s">
        <v>864</v>
      </c>
      <c r="G255" s="57" t="str">
        <f>_xlfn.CONCAT(Таблица2[[#This Row],[Обознач]],"_",Таблица2[[#This Row],[Наимен]])</f>
        <v>KI.SP.338_Подножка листовая 360,420</v>
      </c>
      <c r="H255" s="61">
        <v>1</v>
      </c>
      <c r="I255" s="57"/>
      <c r="J255" s="57"/>
      <c r="K255" s="57"/>
      <c r="L255" s="59"/>
      <c r="M25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56" spans="2:13" x14ac:dyDescent="0.3">
      <c r="B256" s="11"/>
      <c r="C256" s="62" t="s">
        <v>1022</v>
      </c>
      <c r="D256" s="62" t="s">
        <v>594</v>
      </c>
      <c r="E256" s="62" t="s">
        <v>893</v>
      </c>
      <c r="F256" s="62" t="s">
        <v>863</v>
      </c>
      <c r="G256" s="57" t="str">
        <f>_xlfn.CONCAT(Таблица2[[#This Row],[Обознач]],"_",Таблица2[[#This Row],[Наимен]])</f>
        <v>KI.SP.343_Подножка листовая 330,390</v>
      </c>
      <c r="H256" s="61">
        <v>1</v>
      </c>
      <c r="I256" s="57"/>
      <c r="J256" s="57"/>
      <c r="K256" s="57"/>
      <c r="L256" s="59"/>
      <c r="M25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57" spans="2:13" x14ac:dyDescent="0.3">
      <c r="B257" s="11"/>
      <c r="C257" s="62" t="s">
        <v>1023</v>
      </c>
      <c r="D257" s="62" t="s">
        <v>594</v>
      </c>
      <c r="E257" s="62" t="s">
        <v>878</v>
      </c>
      <c r="F257" s="62" t="s">
        <v>864</v>
      </c>
      <c r="G257" s="57" t="str">
        <f>_xlfn.CONCAT(Таблица2[[#This Row],[Обознач]],"_",Таблица2[[#This Row],[Наимен]])</f>
        <v>KI.SP.338_Подножка листовая 360,420</v>
      </c>
      <c r="H257" s="61">
        <v>1</v>
      </c>
      <c r="I257" s="57"/>
      <c r="J257" s="57"/>
      <c r="K257" s="57"/>
      <c r="L257" s="59"/>
      <c r="M25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58" spans="2:13" x14ac:dyDescent="0.3">
      <c r="B258" s="11"/>
      <c r="C258" s="62" t="s">
        <v>1013</v>
      </c>
      <c r="D258" s="62" t="s">
        <v>594</v>
      </c>
      <c r="E258" s="62" t="s">
        <v>222</v>
      </c>
      <c r="F258" s="62" t="s">
        <v>608</v>
      </c>
      <c r="G258" s="57" t="str">
        <f>_xlfn.CONCAT(Таблица2[[#This Row],[Обознач]],"_",Таблица2[[#This Row],[Наимен]])</f>
        <v>?KI.BP.?_Подножка листовая перевернутая 270</v>
      </c>
      <c r="H258" s="61">
        <v>1</v>
      </c>
      <c r="I258" s="57"/>
      <c r="J258" s="57"/>
      <c r="K258" s="57"/>
      <c r="L258" s="59"/>
      <c r="M25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59" spans="2:13" x14ac:dyDescent="0.3">
      <c r="B259" s="11"/>
      <c r="C259" s="62" t="s">
        <v>1014</v>
      </c>
      <c r="D259" s="62" t="s">
        <v>594</v>
      </c>
      <c r="E259" s="62" t="s">
        <v>1111</v>
      </c>
      <c r="F259" s="62" t="s">
        <v>609</v>
      </c>
      <c r="G259" s="57" t="str">
        <f>_xlfn.CONCAT(Таблица2[[#This Row],[Обознач]],"_",Таблица2[[#This Row],[Наимен]])</f>
        <v>KI.SP.379_Подножка листовая перевернутая 300</v>
      </c>
      <c r="H259" s="61">
        <v>1</v>
      </c>
      <c r="I259" s="57"/>
      <c r="J259" s="57"/>
      <c r="K259" s="57"/>
      <c r="L259" s="59"/>
      <c r="M25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60" spans="2:13" x14ac:dyDescent="0.3">
      <c r="B260" s="11"/>
      <c r="C260" s="62" t="s">
        <v>1015</v>
      </c>
      <c r="D260" s="62" t="s">
        <v>594</v>
      </c>
      <c r="E260" s="62" t="s">
        <v>643</v>
      </c>
      <c r="F260" s="62" t="s">
        <v>862</v>
      </c>
      <c r="G260" s="57" t="str">
        <f>_xlfn.CONCAT(Таблица2[[#This Row],[Обознач]],"_",Таблица2[[#This Row],[Наимен]])</f>
        <v>KI.SP.326_Подножка листовая перевернутая 330,390</v>
      </c>
      <c r="H260" s="61">
        <v>1</v>
      </c>
      <c r="I260" s="57"/>
      <c r="J260" s="57"/>
      <c r="K260" s="57"/>
      <c r="L260" s="59"/>
      <c r="M26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61" spans="2:13" x14ac:dyDescent="0.3">
      <c r="B261" s="94"/>
      <c r="C261" s="62" t="s">
        <v>1016</v>
      </c>
      <c r="D261" s="62" t="s">
        <v>594</v>
      </c>
      <c r="E261" s="62" t="s">
        <v>222</v>
      </c>
      <c r="F261" s="62" t="s">
        <v>861</v>
      </c>
      <c r="G261" s="57" t="str">
        <f>_xlfn.CONCAT(Таблица2[[#This Row],[Обознач]],"_",Таблица2[[#This Row],[Наимен]])</f>
        <v>?KI.BP.?_Подножка листовая перевернутая 360,420</v>
      </c>
      <c r="H261" s="61">
        <v>1</v>
      </c>
      <c r="I261" s="58"/>
      <c r="J261" s="58"/>
      <c r="K261" s="58"/>
      <c r="L261" s="59"/>
      <c r="M261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62" spans="2:13" x14ac:dyDescent="0.3">
      <c r="B262" s="11"/>
      <c r="C262" s="62" t="s">
        <v>1017</v>
      </c>
      <c r="D262" s="62" t="s">
        <v>594</v>
      </c>
      <c r="E262" s="62" t="s">
        <v>643</v>
      </c>
      <c r="F262" s="62" t="s">
        <v>862</v>
      </c>
      <c r="G262" s="57" t="str">
        <f>_xlfn.CONCAT(Таблица2[[#This Row],[Обознач]],"_",Таблица2[[#This Row],[Наимен]])</f>
        <v>KI.SP.326_Подножка листовая перевернутая 330,390</v>
      </c>
      <c r="H262" s="61">
        <v>1</v>
      </c>
      <c r="I262" s="57"/>
      <c r="J262" s="57"/>
      <c r="K262" s="57"/>
      <c r="L262" s="59"/>
      <c r="M26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63" spans="2:13" x14ac:dyDescent="0.3">
      <c r="B263" s="11"/>
      <c r="C263" s="62" t="s">
        <v>1018</v>
      </c>
      <c r="D263" s="62" t="s">
        <v>594</v>
      </c>
      <c r="E263" s="62" t="s">
        <v>222</v>
      </c>
      <c r="F263" s="62" t="s">
        <v>861</v>
      </c>
      <c r="G263" s="57" t="str">
        <f>_xlfn.CONCAT(Таблица2[[#This Row],[Обознач]],"_",Таблица2[[#This Row],[Наимен]])</f>
        <v>?KI.BP.?_Подножка листовая перевернутая 360,420</v>
      </c>
      <c r="H263" s="61">
        <v>1</v>
      </c>
      <c r="I263" s="57"/>
      <c r="J263" s="57"/>
      <c r="K263" s="57"/>
      <c r="L263" s="59"/>
      <c r="M26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64" spans="2:13" x14ac:dyDescent="0.3">
      <c r="B264" s="11"/>
      <c r="C264" s="62" t="s">
        <v>1013</v>
      </c>
      <c r="D264" s="62" t="s">
        <v>594</v>
      </c>
      <c r="E264" s="62" t="s">
        <v>222</v>
      </c>
      <c r="F264" s="62" t="s">
        <v>1102</v>
      </c>
      <c r="G264" s="57" t="str">
        <f>_xlfn.CONCAT(Таблица2[[#This Row],[Обознач]],"_",Таблица2[[#This Row],[Наимен]])</f>
        <v>?KI.BP.?_Подножка листовая перевернутая 270 удлинённая</v>
      </c>
      <c r="H264" s="61">
        <v>1</v>
      </c>
      <c r="I264" s="57"/>
      <c r="J264" s="57"/>
      <c r="K264" s="57"/>
      <c r="L264" s="59"/>
      <c r="M26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65" spans="2:13" x14ac:dyDescent="0.3">
      <c r="B265" s="11"/>
      <c r="C265" s="62" t="s">
        <v>1014</v>
      </c>
      <c r="D265" s="62" t="s">
        <v>594</v>
      </c>
      <c r="E265" s="62" t="s">
        <v>1103</v>
      </c>
      <c r="F265" s="62" t="s">
        <v>1101</v>
      </c>
      <c r="G265" s="57" t="str">
        <f>_xlfn.CONCAT(Таблица2[[#This Row],[Обознач]],"_",Таблица2[[#This Row],[Наимен]])</f>
        <v>KI.SP.376_Подножка листовая перевернутая 300 удлинённая</v>
      </c>
      <c r="H265" s="61">
        <v>1</v>
      </c>
      <c r="I265" s="57"/>
      <c r="J265" s="57"/>
      <c r="K265" s="57"/>
      <c r="L265" s="59"/>
      <c r="M26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66" spans="2:13" x14ac:dyDescent="0.3">
      <c r="B266" s="11"/>
      <c r="C266" s="62" t="s">
        <v>1015</v>
      </c>
      <c r="D266" s="62" t="s">
        <v>594</v>
      </c>
      <c r="E266" s="62" t="s">
        <v>1108</v>
      </c>
      <c r="F266" s="62" t="s">
        <v>1109</v>
      </c>
      <c r="G266" s="57" t="str">
        <f>_xlfn.CONCAT(Таблица2[[#This Row],[Обознач]],"_",Таблица2[[#This Row],[Наимен]])</f>
        <v>KI.SP.378_Подножка листовая перевернутая 330, 390 удлинённая</v>
      </c>
      <c r="H266" s="61">
        <v>1</v>
      </c>
      <c r="I266" s="57"/>
      <c r="J266" s="57"/>
      <c r="K266" s="57"/>
      <c r="L266" s="59"/>
      <c r="M26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67" spans="2:13" x14ac:dyDescent="0.3">
      <c r="B267" s="11"/>
      <c r="C267" s="62" t="s">
        <v>1016</v>
      </c>
      <c r="D267" s="62" t="s">
        <v>594</v>
      </c>
      <c r="E267" s="62" t="s">
        <v>222</v>
      </c>
      <c r="F267" s="62" t="s">
        <v>1110</v>
      </c>
      <c r="G267" s="57" t="str">
        <f>_xlfn.CONCAT(Таблица2[[#This Row],[Обознач]],"_",Таблица2[[#This Row],[Наимен]])</f>
        <v>?KI.BP.?_Подножка листовая перевернутая 360, 420 удлинённая</v>
      </c>
      <c r="H267" s="61">
        <v>1</v>
      </c>
      <c r="I267" s="57"/>
      <c r="J267" s="57"/>
      <c r="K267" s="57"/>
      <c r="L267" s="59"/>
      <c r="M26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68" spans="2:13" x14ac:dyDescent="0.3">
      <c r="B268" s="11"/>
      <c r="C268" s="62" t="s">
        <v>1017</v>
      </c>
      <c r="D268" s="62" t="s">
        <v>594</v>
      </c>
      <c r="E268" s="62" t="s">
        <v>1108</v>
      </c>
      <c r="F268" s="62" t="s">
        <v>1109</v>
      </c>
      <c r="G268" s="57" t="str">
        <f>_xlfn.CONCAT(Таблица2[[#This Row],[Обознач]],"_",Таблица2[[#This Row],[Наимен]])</f>
        <v>KI.SP.378_Подножка листовая перевернутая 330, 390 удлинённая</v>
      </c>
      <c r="H268" s="61">
        <v>1</v>
      </c>
      <c r="I268" s="57"/>
      <c r="J268" s="57"/>
      <c r="K268" s="57"/>
      <c r="L268" s="59"/>
      <c r="M26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69" spans="2:13" x14ac:dyDescent="0.3">
      <c r="B269" s="11"/>
      <c r="C269" s="62" t="s">
        <v>1018</v>
      </c>
      <c r="D269" s="62" t="s">
        <v>594</v>
      </c>
      <c r="E269" s="62" t="s">
        <v>222</v>
      </c>
      <c r="F269" s="62" t="s">
        <v>1110</v>
      </c>
      <c r="G269" s="57" t="str">
        <f>_xlfn.CONCAT(Таблица2[[#This Row],[Обознач]],"_",Таблица2[[#This Row],[Наимен]])</f>
        <v>?KI.BP.?_Подножка листовая перевернутая 360, 420 удлинённая</v>
      </c>
      <c r="H269" s="61">
        <v>1</v>
      </c>
      <c r="I269" s="57"/>
      <c r="J269" s="57"/>
      <c r="K269" s="57"/>
      <c r="L269" s="59"/>
      <c r="M26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70" spans="2:13" x14ac:dyDescent="0.3">
      <c r="B270" s="11"/>
      <c r="C270" s="62" t="s">
        <v>1006</v>
      </c>
      <c r="D270" s="62" t="s">
        <v>594</v>
      </c>
      <c r="E270" s="62" t="s">
        <v>901</v>
      </c>
      <c r="F270" s="62" t="s">
        <v>655</v>
      </c>
      <c r="G270" s="57" t="str">
        <f>_xlfn.CONCAT(Таблица2[[#This Row],[Обознач]],"_",Таблица2[[#This Row],[Наимен]])</f>
        <v>KI.SP.345_Подножка листовая 270 удлинённая</v>
      </c>
      <c r="H270" s="61">
        <v>1</v>
      </c>
      <c r="I270" s="57"/>
      <c r="J270" s="57"/>
      <c r="K270" s="57"/>
      <c r="L270" s="57"/>
      <c r="M27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71" spans="2:13" x14ac:dyDescent="0.3">
      <c r="B271" s="11"/>
      <c r="C271" s="62" t="s">
        <v>1019</v>
      </c>
      <c r="D271" s="62" t="s">
        <v>594</v>
      </c>
      <c r="E271" s="62" t="s">
        <v>656</v>
      </c>
      <c r="F271" s="62" t="s">
        <v>654</v>
      </c>
      <c r="G271" s="57" t="str">
        <f>_xlfn.CONCAT(Таблица2[[#This Row],[Обознач]],"_",Таблица2[[#This Row],[Наимен]])</f>
        <v>KI.SP.332_Подножка листовая 300 удлинённая</v>
      </c>
      <c r="H271" s="61">
        <v>1</v>
      </c>
      <c r="I271" s="57"/>
      <c r="J271" s="57"/>
      <c r="K271" s="57"/>
      <c r="L271" s="57"/>
      <c r="M27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72" spans="2:13" x14ac:dyDescent="0.3">
      <c r="B272" s="11"/>
      <c r="C272" s="62" t="s">
        <v>1020</v>
      </c>
      <c r="D272" s="62" t="s">
        <v>594</v>
      </c>
      <c r="E272" s="62" t="s">
        <v>903</v>
      </c>
      <c r="F272" s="62" t="s">
        <v>865</v>
      </c>
      <c r="G272" s="57" t="str">
        <f>_xlfn.CONCAT(Таблица2[[#This Row],[Обознач]],"_",Таблица2[[#This Row],[Наимен]])</f>
        <v>KI.SP.346_Подножка листовая 330,390 удлинённая</v>
      </c>
      <c r="H272" s="61">
        <v>1</v>
      </c>
      <c r="I272" s="57"/>
      <c r="J272" s="57"/>
      <c r="K272" s="57"/>
      <c r="L272" s="57"/>
      <c r="M27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73" spans="2:13" x14ac:dyDescent="0.3">
      <c r="B273" s="94"/>
      <c r="C273" s="62" t="s">
        <v>1021</v>
      </c>
      <c r="D273" s="62" t="s">
        <v>594</v>
      </c>
      <c r="E273" s="62" t="s">
        <v>222</v>
      </c>
      <c r="F273" s="62" t="s">
        <v>866</v>
      </c>
      <c r="G273" s="57" t="str">
        <f>_xlfn.CONCAT(Таблица2[[#This Row],[Обознач]],"_",Таблица2[[#This Row],[Наимен]])</f>
        <v>?KI.BP.?_Подножка листовая 360,420 удлинённая</v>
      </c>
      <c r="H273" s="61">
        <v>1</v>
      </c>
      <c r="I273" s="58"/>
      <c r="J273" s="58"/>
      <c r="K273" s="58"/>
      <c r="L273" s="58"/>
      <c r="M273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74" spans="2:13" x14ac:dyDescent="0.3">
      <c r="B274" s="11"/>
      <c r="C274" s="62" t="s">
        <v>1022</v>
      </c>
      <c r="D274" s="62" t="s">
        <v>594</v>
      </c>
      <c r="E274" s="62" t="s">
        <v>903</v>
      </c>
      <c r="F274" s="62" t="s">
        <v>865</v>
      </c>
      <c r="G274" s="57" t="str">
        <f>_xlfn.CONCAT(Таблица2[[#This Row],[Обознач]],"_",Таблица2[[#This Row],[Наимен]])</f>
        <v>KI.SP.346_Подножка листовая 330,390 удлинённая</v>
      </c>
      <c r="H274" s="61">
        <v>1</v>
      </c>
      <c r="I274" s="57"/>
      <c r="J274" s="57"/>
      <c r="K274" s="57"/>
      <c r="L274" s="57"/>
      <c r="M27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75" spans="2:13" x14ac:dyDescent="0.3">
      <c r="B275" s="11"/>
      <c r="C275" s="62" t="s">
        <v>1023</v>
      </c>
      <c r="D275" s="62" t="s">
        <v>594</v>
      </c>
      <c r="E275" s="62" t="s">
        <v>222</v>
      </c>
      <c r="F275" s="62" t="s">
        <v>866</v>
      </c>
      <c r="G275" s="57" t="str">
        <f>_xlfn.CONCAT(Таблица2[[#This Row],[Обознач]],"_",Таблица2[[#This Row],[Наимен]])</f>
        <v>?KI.BP.?_Подножка листовая 360,420 удлинённая</v>
      </c>
      <c r="H275" s="61">
        <v>1</v>
      </c>
      <c r="I275" s="57"/>
      <c r="J275" s="57"/>
      <c r="K275" s="57"/>
      <c r="L275" s="57"/>
      <c r="M27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76" spans="2:13" x14ac:dyDescent="0.3">
      <c r="B276" s="11"/>
      <c r="C276" s="62" t="s">
        <v>483</v>
      </c>
      <c r="D276" s="62" t="s">
        <v>679</v>
      </c>
      <c r="E276" s="62" t="s">
        <v>902</v>
      </c>
      <c r="F276" s="62" t="s">
        <v>665</v>
      </c>
      <c r="G276" s="57" t="str">
        <f>_xlfn.CONCAT(Таблица2[[#This Row],[Обознач]],"_",Таблица2[[#This Row],[Наимен]])</f>
        <v>KI.WA.175_Спинка сварная 270х200</v>
      </c>
      <c r="H276" s="61">
        <v>1</v>
      </c>
      <c r="I276" s="57"/>
      <c r="J276" s="57"/>
      <c r="K276" s="57"/>
      <c r="L276" s="57"/>
      <c r="M27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77" spans="2:13" x14ac:dyDescent="0.3">
      <c r="B277" s="11"/>
      <c r="C277" s="62" t="s">
        <v>484</v>
      </c>
      <c r="D277" s="62" t="s">
        <v>679</v>
      </c>
      <c r="E277" s="62" t="s">
        <v>1089</v>
      </c>
      <c r="F277" s="62" t="s">
        <v>666</v>
      </c>
      <c r="G277" s="57" t="str">
        <f>_xlfn.CONCAT(Таблица2[[#This Row],[Обознач]],"_",Таблица2[[#This Row],[Наимен]])</f>
        <v>KI.WA.228_Спинка сварная 270х220</v>
      </c>
      <c r="H277" s="61">
        <v>1</v>
      </c>
      <c r="I277" s="57"/>
      <c r="J277" s="57"/>
      <c r="K277" s="57"/>
      <c r="L277" s="57"/>
      <c r="M27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78" spans="2:13" x14ac:dyDescent="0.3">
      <c r="B278" s="11"/>
      <c r="C278" s="62" t="s">
        <v>485</v>
      </c>
      <c r="D278" s="62" t="s">
        <v>679</v>
      </c>
      <c r="E278" s="62" t="s">
        <v>751</v>
      </c>
      <c r="F278" s="62" t="s">
        <v>667</v>
      </c>
      <c r="G278" s="57" t="str">
        <f>_xlfn.CONCAT(Таблица2[[#This Row],[Обознач]],"_",Таблица2[[#This Row],[Наимен]])</f>
        <v>KI.WA.151_Спинка сварная 270х240</v>
      </c>
      <c r="H278" s="61">
        <v>1</v>
      </c>
      <c r="I278" s="57"/>
      <c r="J278" s="57"/>
      <c r="K278" s="57"/>
      <c r="L278" s="57"/>
      <c r="M27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79" spans="2:13" x14ac:dyDescent="0.3">
      <c r="B279" s="11"/>
      <c r="C279" s="62" t="s">
        <v>486</v>
      </c>
      <c r="D279" s="62" t="s">
        <v>679</v>
      </c>
      <c r="E279" s="62" t="s">
        <v>940</v>
      </c>
      <c r="F279" s="62" t="s">
        <v>668</v>
      </c>
      <c r="G279" s="57" t="str">
        <f>_xlfn.CONCAT(Таблица2[[#This Row],[Обознач]],"_",Таблица2[[#This Row],[Наимен]])</f>
        <v>KI.WA.183_Спинка сварная 270х260</v>
      </c>
      <c r="H279" s="61">
        <v>1</v>
      </c>
      <c r="I279" s="57"/>
      <c r="J279" s="57"/>
      <c r="K279" s="57"/>
      <c r="L279" s="57"/>
      <c r="M27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80" spans="2:13" x14ac:dyDescent="0.3">
      <c r="B280" s="11"/>
      <c r="C280" s="62" t="s">
        <v>487</v>
      </c>
      <c r="D280" s="62" t="s">
        <v>679</v>
      </c>
      <c r="E280" s="62" t="s">
        <v>1090</v>
      </c>
      <c r="F280" s="62" t="s">
        <v>669</v>
      </c>
      <c r="G280" s="57" t="str">
        <f>_xlfn.CONCAT(Таблица2[[#This Row],[Обознач]],"_",Таблица2[[#This Row],[Наимен]])</f>
        <v>KI.WA.229_Спинка сварная 270х280</v>
      </c>
      <c r="H280" s="61">
        <v>1</v>
      </c>
      <c r="I280" s="57"/>
      <c r="J280" s="57"/>
      <c r="K280" s="57"/>
      <c r="L280" s="57"/>
      <c r="M28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81" spans="2:13" x14ac:dyDescent="0.3">
      <c r="B281" s="11"/>
      <c r="C281" s="62" t="s">
        <v>488</v>
      </c>
      <c r="D281" s="62" t="s">
        <v>679</v>
      </c>
      <c r="E281" s="62" t="s">
        <v>752</v>
      </c>
      <c r="F281" s="62" t="s">
        <v>670</v>
      </c>
      <c r="G281" s="57" t="str">
        <f>_xlfn.CONCAT(Таблица2[[#This Row],[Обознач]],"_",Таблица2[[#This Row],[Наимен]])</f>
        <v>KI.WA.152_Спинка сварная 270х300</v>
      </c>
      <c r="H281" s="61">
        <v>1</v>
      </c>
      <c r="I281" s="57"/>
      <c r="J281" s="57"/>
      <c r="K281" s="57"/>
      <c r="L281" s="57"/>
      <c r="M28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82" spans="2:13" x14ac:dyDescent="0.3">
      <c r="B282" s="11"/>
      <c r="C282" s="62" t="s">
        <v>489</v>
      </c>
      <c r="D282" s="62" t="s">
        <v>679</v>
      </c>
      <c r="E282" s="62" t="s">
        <v>1077</v>
      </c>
      <c r="F282" s="62" t="s">
        <v>671</v>
      </c>
      <c r="G282" s="57" t="str">
        <f>_xlfn.CONCAT(Таблица2[[#This Row],[Обознач]],"_",Таблица2[[#This Row],[Наимен]])</f>
        <v>KI.WA.220_Спинка сварная 270х320</v>
      </c>
      <c r="H282" s="61">
        <v>1</v>
      </c>
      <c r="I282" s="57"/>
      <c r="J282" s="57"/>
      <c r="K282" s="57"/>
      <c r="L282" s="57"/>
      <c r="M28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83" spans="2:13" x14ac:dyDescent="0.3">
      <c r="B283" s="11"/>
      <c r="C283" s="62" t="s">
        <v>490</v>
      </c>
      <c r="D283" s="62" t="s">
        <v>679</v>
      </c>
      <c r="E283" s="62" t="s">
        <v>222</v>
      </c>
      <c r="F283" s="62" t="s">
        <v>672</v>
      </c>
      <c r="G283" s="57" t="str">
        <f>_xlfn.CONCAT(Таблица2[[#This Row],[Обознач]],"_",Таблица2[[#This Row],[Наимен]])</f>
        <v>?KI.BP.?_Спинка сварная 270х340</v>
      </c>
      <c r="H283" s="61">
        <v>1</v>
      </c>
      <c r="I283" s="57"/>
      <c r="J283" s="57"/>
      <c r="K283" s="57"/>
      <c r="L283" s="57"/>
      <c r="M28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84" spans="2:13" x14ac:dyDescent="0.3">
      <c r="B284" s="11"/>
      <c r="C284" s="62" t="s">
        <v>491</v>
      </c>
      <c r="D284" s="62" t="s">
        <v>679</v>
      </c>
      <c r="E284" s="62" t="s">
        <v>753</v>
      </c>
      <c r="F284" s="62" t="s">
        <v>673</v>
      </c>
      <c r="G284" s="57" t="str">
        <f>_xlfn.CONCAT(Таблица2[[#This Row],[Обознач]],"_",Таблица2[[#This Row],[Наимен]])</f>
        <v>KI.WA.153_Спинка сварная 270х360</v>
      </c>
      <c r="H284" s="61">
        <v>1</v>
      </c>
      <c r="I284" s="57"/>
      <c r="J284" s="57"/>
      <c r="K284" s="57"/>
      <c r="L284" s="57"/>
      <c r="M28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85" spans="2:13" x14ac:dyDescent="0.3">
      <c r="B285" s="11"/>
      <c r="C285" s="62" t="s">
        <v>492</v>
      </c>
      <c r="D285" s="62" t="s">
        <v>679</v>
      </c>
      <c r="E285" s="62" t="s">
        <v>222</v>
      </c>
      <c r="F285" s="62" t="s">
        <v>674</v>
      </c>
      <c r="G285" s="57" t="str">
        <f>_xlfn.CONCAT(Таблица2[[#This Row],[Обознач]],"_",Таблица2[[#This Row],[Наимен]])</f>
        <v>?KI.BP.?_Спинка сварная 270х380</v>
      </c>
      <c r="H285" s="61">
        <v>1</v>
      </c>
      <c r="I285" s="57"/>
      <c r="J285" s="57"/>
      <c r="K285" s="57"/>
      <c r="L285" s="57"/>
      <c r="M28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86" spans="2:13" x14ac:dyDescent="0.3">
      <c r="B286" s="11"/>
      <c r="C286" s="62" t="s">
        <v>493</v>
      </c>
      <c r="D286" s="62" t="s">
        <v>679</v>
      </c>
      <c r="E286" s="62" t="s">
        <v>222</v>
      </c>
      <c r="F286" s="62" t="s">
        <v>675</v>
      </c>
      <c r="G286" s="57" t="str">
        <f>_xlfn.CONCAT(Таблица2[[#This Row],[Обознач]],"_",Таблица2[[#This Row],[Наимен]])</f>
        <v>?KI.BP.?_Спинка сварная 270х400</v>
      </c>
      <c r="H286" s="61">
        <v>1</v>
      </c>
      <c r="I286" s="57"/>
      <c r="J286" s="57"/>
      <c r="K286" s="57"/>
      <c r="L286" s="57"/>
      <c r="M28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87" spans="2:13" x14ac:dyDescent="0.3">
      <c r="B287" s="11"/>
      <c r="C287" s="62" t="s">
        <v>494</v>
      </c>
      <c r="D287" s="62" t="s">
        <v>679</v>
      </c>
      <c r="E287" s="62" t="s">
        <v>222</v>
      </c>
      <c r="F287" s="62" t="s">
        <v>676</v>
      </c>
      <c r="G287" s="57" t="str">
        <f>_xlfn.CONCAT(Таблица2[[#This Row],[Обознач]],"_",Таблица2[[#This Row],[Наимен]])</f>
        <v>?KI.BP.?_Спинка сварная 270х420</v>
      </c>
      <c r="H287" s="61">
        <v>1</v>
      </c>
      <c r="I287" s="57"/>
      <c r="J287" s="57"/>
      <c r="K287" s="57"/>
      <c r="L287" s="57"/>
      <c r="M28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88" spans="2:13" x14ac:dyDescent="0.3">
      <c r="B288" s="11"/>
      <c r="C288" s="62" t="s">
        <v>495</v>
      </c>
      <c r="D288" s="62" t="s">
        <v>679</v>
      </c>
      <c r="E288" s="62" t="s">
        <v>222</v>
      </c>
      <c r="F288" s="62" t="s">
        <v>677</v>
      </c>
      <c r="G288" s="57" t="str">
        <f>_xlfn.CONCAT(Таблица2[[#This Row],[Обознач]],"_",Таблица2[[#This Row],[Наимен]])</f>
        <v>?KI.BP.?_Спинка сварная 270х440</v>
      </c>
      <c r="H288" s="61">
        <v>1</v>
      </c>
      <c r="I288" s="57"/>
      <c r="J288" s="57"/>
      <c r="K288" s="57"/>
      <c r="L288" s="57"/>
      <c r="M28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89" spans="2:13" x14ac:dyDescent="0.3">
      <c r="B289" s="11"/>
      <c r="C289" s="62" t="s">
        <v>496</v>
      </c>
      <c r="D289" s="62" t="s">
        <v>679</v>
      </c>
      <c r="E289" s="62" t="s">
        <v>222</v>
      </c>
      <c r="F289" s="62" t="s">
        <v>678</v>
      </c>
      <c r="G289" s="57" t="str">
        <f>_xlfn.CONCAT(Таблица2[[#This Row],[Обознач]],"_",Таблица2[[#This Row],[Наимен]])</f>
        <v>?KI.BP.?_Спинка сварная 270х460</v>
      </c>
      <c r="H289" s="61">
        <v>1</v>
      </c>
      <c r="I289" s="57"/>
      <c r="J289" s="57"/>
      <c r="K289" s="57"/>
      <c r="L289" s="57"/>
      <c r="M28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90" spans="2:13" x14ac:dyDescent="0.3">
      <c r="B290" s="94"/>
      <c r="C290" s="62" t="s">
        <v>497</v>
      </c>
      <c r="D290" s="62" t="s">
        <v>679</v>
      </c>
      <c r="E290" s="62" t="s">
        <v>1100</v>
      </c>
      <c r="F290" s="62" t="s">
        <v>680</v>
      </c>
      <c r="G290" s="57" t="str">
        <f>_xlfn.CONCAT(Таблица2[[#This Row],[Обознач]],"_",Таблица2[[#This Row],[Наимен]])</f>
        <v>KI.WA.236_Спинка сварная 300х200</v>
      </c>
      <c r="H290" s="61">
        <v>1</v>
      </c>
      <c r="I290" s="58"/>
      <c r="J290" s="58"/>
      <c r="K290" s="58"/>
      <c r="L290" s="58"/>
      <c r="M290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91" spans="2:13" x14ac:dyDescent="0.3">
      <c r="B291" s="11"/>
      <c r="C291" s="62" t="s">
        <v>498</v>
      </c>
      <c r="D291" s="62" t="s">
        <v>679</v>
      </c>
      <c r="E291" s="62" t="s">
        <v>757</v>
      </c>
      <c r="F291" s="62" t="s">
        <v>681</v>
      </c>
      <c r="G291" s="57" t="str">
        <f>_xlfn.CONCAT(Таблица2[[#This Row],[Обознач]],"_",Таблица2[[#This Row],[Наимен]])</f>
        <v>KI.WA.164_Спинка сварная 300х220</v>
      </c>
      <c r="H291" s="61">
        <v>1</v>
      </c>
      <c r="I291" s="57"/>
      <c r="J291" s="57"/>
      <c r="K291" s="57"/>
      <c r="L291" s="57"/>
      <c r="M29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92" spans="2:13" x14ac:dyDescent="0.3">
      <c r="B292" s="11"/>
      <c r="C292" s="62" t="s">
        <v>499</v>
      </c>
      <c r="D292" s="62" t="s">
        <v>679</v>
      </c>
      <c r="E292" s="62" t="s">
        <v>1096</v>
      </c>
      <c r="F292" s="62" t="s">
        <v>682</v>
      </c>
      <c r="G292" s="57" t="str">
        <f>_xlfn.CONCAT(Таблица2[[#This Row],[Обознач]],"_",Таблица2[[#This Row],[Наимен]])</f>
        <v>KI.WA.232_Спинка сварная 300х240</v>
      </c>
      <c r="H292" s="61">
        <v>1</v>
      </c>
      <c r="I292" s="57"/>
      <c r="J292" s="57"/>
      <c r="K292" s="57"/>
      <c r="L292" s="57"/>
      <c r="M29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93" spans="2:13" x14ac:dyDescent="0.3">
      <c r="B293" s="11"/>
      <c r="C293" s="62" t="s">
        <v>500</v>
      </c>
      <c r="D293" s="62" t="s">
        <v>679</v>
      </c>
      <c r="E293" s="62" t="s">
        <v>1037</v>
      </c>
      <c r="F293" s="62" t="s">
        <v>683</v>
      </c>
      <c r="G293" s="57" t="str">
        <f>_xlfn.CONCAT(Таблица2[[#This Row],[Обознач]],"_",Таблица2[[#This Row],[Наимен]])</f>
        <v>KI.WA.199_Спинка сварная 300х260</v>
      </c>
      <c r="H293" s="61">
        <v>1</v>
      </c>
      <c r="I293" s="57"/>
      <c r="J293" s="57"/>
      <c r="K293" s="57"/>
      <c r="L293" s="57"/>
      <c r="M29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94" spans="2:13" x14ac:dyDescent="0.3">
      <c r="B294" s="11"/>
      <c r="C294" s="62" t="s">
        <v>501</v>
      </c>
      <c r="D294" s="62" t="s">
        <v>679</v>
      </c>
      <c r="E294" s="62" t="s">
        <v>1112</v>
      </c>
      <c r="F294" s="62" t="s">
        <v>684</v>
      </c>
      <c r="G294" s="57" t="str">
        <f>_xlfn.CONCAT(Таблица2[[#This Row],[Обознач]],"_",Таблица2[[#This Row],[Наимен]])</f>
        <v>KI.WA.239_Спинка сварная 300х280</v>
      </c>
      <c r="H294" s="61">
        <v>1</v>
      </c>
      <c r="I294" s="57"/>
      <c r="J294" s="57"/>
      <c r="K294" s="57"/>
      <c r="L294" s="57"/>
      <c r="M29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95" spans="2:13" x14ac:dyDescent="0.3">
      <c r="B295" s="11"/>
      <c r="C295" s="62" t="s">
        <v>502</v>
      </c>
      <c r="D295" s="62" t="s">
        <v>679</v>
      </c>
      <c r="E295" s="62" t="s">
        <v>756</v>
      </c>
      <c r="F295" s="62" t="s">
        <v>685</v>
      </c>
      <c r="G295" s="57" t="str">
        <f>_xlfn.CONCAT(Таблица2[[#This Row],[Обознач]],"_",Таблица2[[#This Row],[Наимен]])</f>
        <v>KI.WA.162_Спинка сварная 300х300</v>
      </c>
      <c r="H295" s="61">
        <v>1</v>
      </c>
      <c r="I295" s="57"/>
      <c r="J295" s="57"/>
      <c r="K295" s="57"/>
      <c r="L295" s="57"/>
      <c r="M29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296" spans="2:13" x14ac:dyDescent="0.3">
      <c r="B296" s="11"/>
      <c r="C296" s="62" t="s">
        <v>503</v>
      </c>
      <c r="D296" s="62" t="s">
        <v>679</v>
      </c>
      <c r="E296" s="62" t="s">
        <v>222</v>
      </c>
      <c r="F296" s="62" t="s">
        <v>686</v>
      </c>
      <c r="G296" s="57" t="str">
        <f>_xlfn.CONCAT(Таблица2[[#This Row],[Обознач]],"_",Таблица2[[#This Row],[Наимен]])</f>
        <v>?KI.BP.?_Спинка сварная 300х320</v>
      </c>
      <c r="H296" s="61">
        <v>1</v>
      </c>
      <c r="I296" s="57"/>
      <c r="J296" s="57"/>
      <c r="K296" s="57"/>
      <c r="L296" s="57"/>
      <c r="M29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97" spans="2:13" x14ac:dyDescent="0.3">
      <c r="B297" s="11"/>
      <c r="C297" s="62" t="s">
        <v>504</v>
      </c>
      <c r="D297" s="62" t="s">
        <v>679</v>
      </c>
      <c r="E297" s="62" t="s">
        <v>898</v>
      </c>
      <c r="F297" s="62" t="s">
        <v>687</v>
      </c>
      <c r="G297" s="57" t="str">
        <f>_xlfn.CONCAT(Таблица2[[#This Row],[Обознач]],"_",Таблица2[[#This Row],[Наимен]])</f>
        <v>KI.WA.174_Спинка сварная 300х340</v>
      </c>
      <c r="H297" s="61">
        <v>1</v>
      </c>
      <c r="I297" s="57"/>
      <c r="J297" s="57"/>
      <c r="K297" s="57"/>
      <c r="L297" s="57"/>
      <c r="M29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98" spans="2:13" x14ac:dyDescent="0.3">
      <c r="B298" s="11"/>
      <c r="C298" s="62" t="s">
        <v>505</v>
      </c>
      <c r="D298" s="62" t="s">
        <v>679</v>
      </c>
      <c r="E298" s="62" t="s">
        <v>1081</v>
      </c>
      <c r="F298" s="62" t="s">
        <v>688</v>
      </c>
      <c r="G298" s="57" t="str">
        <f>_xlfn.CONCAT(Таблица2[[#This Row],[Обознач]],"_",Таблица2[[#This Row],[Наимен]])</f>
        <v>KI.WA.222_Спинка сварная 300х360</v>
      </c>
      <c r="H298" s="61">
        <v>1</v>
      </c>
      <c r="I298" s="57"/>
      <c r="J298" s="57"/>
      <c r="K298" s="57"/>
      <c r="L298" s="57"/>
      <c r="M29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299" spans="2:13" x14ac:dyDescent="0.3">
      <c r="B299" s="11"/>
      <c r="C299" s="62" t="s">
        <v>506</v>
      </c>
      <c r="D299" s="62" t="s">
        <v>679</v>
      </c>
      <c r="E299" s="62" t="s">
        <v>222</v>
      </c>
      <c r="F299" s="62" t="s">
        <v>689</v>
      </c>
      <c r="G299" s="57" t="str">
        <f>_xlfn.CONCAT(Таблица2[[#This Row],[Обознач]],"_",Таблица2[[#This Row],[Наимен]])</f>
        <v>?KI.BP.?_Спинка сварная 300х380</v>
      </c>
      <c r="H299" s="61">
        <v>1</v>
      </c>
      <c r="I299" s="57"/>
      <c r="J299" s="57"/>
      <c r="K299" s="57"/>
      <c r="L299" s="57"/>
      <c r="M29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00" spans="2:13" x14ac:dyDescent="0.3">
      <c r="B300" s="11"/>
      <c r="C300" s="62" t="s">
        <v>507</v>
      </c>
      <c r="D300" s="62" t="s">
        <v>679</v>
      </c>
      <c r="E300" s="62" t="s">
        <v>222</v>
      </c>
      <c r="F300" s="62" t="s">
        <v>690</v>
      </c>
      <c r="G300" s="57" t="str">
        <f>_xlfn.CONCAT(Таблица2[[#This Row],[Обознач]],"_",Таблица2[[#This Row],[Наимен]])</f>
        <v>?KI.BP.?_Спинка сварная 300х400</v>
      </c>
      <c r="H300" s="61">
        <v>1</v>
      </c>
      <c r="I300" s="57"/>
      <c r="J300" s="57"/>
      <c r="K300" s="57"/>
      <c r="L300" s="57"/>
      <c r="M30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01" spans="2:13" x14ac:dyDescent="0.3">
      <c r="B301" s="11"/>
      <c r="C301" s="62" t="s">
        <v>508</v>
      </c>
      <c r="D301" s="62" t="s">
        <v>679</v>
      </c>
      <c r="E301" s="62" t="s">
        <v>222</v>
      </c>
      <c r="F301" s="62" t="s">
        <v>691</v>
      </c>
      <c r="G301" s="57" t="str">
        <f>_xlfn.CONCAT(Таблица2[[#This Row],[Обознач]],"_",Таблица2[[#This Row],[Наимен]])</f>
        <v>?KI.BP.?_Спинка сварная 300х420</v>
      </c>
      <c r="H301" s="61">
        <v>1</v>
      </c>
      <c r="I301" s="57"/>
      <c r="J301" s="57"/>
      <c r="K301" s="57"/>
      <c r="L301" s="57"/>
      <c r="M30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02" spans="2:13" x14ac:dyDescent="0.3">
      <c r="B302" s="11"/>
      <c r="C302" s="62" t="s">
        <v>509</v>
      </c>
      <c r="D302" s="62" t="s">
        <v>679</v>
      </c>
      <c r="E302" s="62" t="s">
        <v>222</v>
      </c>
      <c r="F302" s="62" t="s">
        <v>692</v>
      </c>
      <c r="G302" s="57" t="str">
        <f>_xlfn.CONCAT(Таблица2[[#This Row],[Обознач]],"_",Таблица2[[#This Row],[Наимен]])</f>
        <v>?KI.BP.?_Спинка сварная 300х440</v>
      </c>
      <c r="H302" s="61">
        <v>1</v>
      </c>
      <c r="I302" s="57"/>
      <c r="J302" s="57"/>
      <c r="K302" s="57"/>
      <c r="L302" s="57"/>
      <c r="M30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03" spans="2:13" x14ac:dyDescent="0.3">
      <c r="B303" s="11"/>
      <c r="C303" s="62" t="s">
        <v>510</v>
      </c>
      <c r="D303" s="62" t="s">
        <v>679</v>
      </c>
      <c r="E303" s="62" t="s">
        <v>222</v>
      </c>
      <c r="F303" s="62" t="s">
        <v>693</v>
      </c>
      <c r="G303" s="57" t="str">
        <f>_xlfn.CONCAT(Таблица2[[#This Row],[Обознач]],"_",Таблица2[[#This Row],[Наимен]])</f>
        <v>?KI.BP.?_Спинка сварная 300х460</v>
      </c>
      <c r="H303" s="61">
        <v>1</v>
      </c>
      <c r="I303" s="57"/>
      <c r="J303" s="57"/>
      <c r="K303" s="57"/>
      <c r="L303" s="57"/>
      <c r="M30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04" spans="2:13" x14ac:dyDescent="0.3">
      <c r="B304" s="11"/>
      <c r="C304" s="62" t="s">
        <v>511</v>
      </c>
      <c r="D304" s="62" t="s">
        <v>679</v>
      </c>
      <c r="E304" s="62" t="s">
        <v>222</v>
      </c>
      <c r="F304" s="62" t="s">
        <v>694</v>
      </c>
      <c r="G304" s="57" t="str">
        <f>_xlfn.CONCAT(Таблица2[[#This Row],[Обознач]],"_",Таблица2[[#This Row],[Наимен]])</f>
        <v>?KI.BP.?_Спинка сварная 330х200</v>
      </c>
      <c r="H304" s="61">
        <v>1</v>
      </c>
      <c r="I304" s="57"/>
      <c r="J304" s="57"/>
      <c r="K304" s="57"/>
      <c r="L304" s="57"/>
      <c r="M30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05" spans="2:13" x14ac:dyDescent="0.3">
      <c r="B305" s="11"/>
      <c r="C305" s="62" t="s">
        <v>512</v>
      </c>
      <c r="D305" s="62" t="s">
        <v>679</v>
      </c>
      <c r="E305" s="62" t="s">
        <v>957</v>
      </c>
      <c r="F305" s="62" t="s">
        <v>695</v>
      </c>
      <c r="G305" s="57" t="str">
        <f>_xlfn.CONCAT(Таблица2[[#This Row],[Обознач]],"_",Таблица2[[#This Row],[Наимен]])</f>
        <v>KI.WA.192_Спинка сварная 330х220</v>
      </c>
      <c r="H305" s="61">
        <v>1</v>
      </c>
      <c r="I305" s="57"/>
      <c r="J305" s="57"/>
      <c r="K305" s="57"/>
      <c r="L305" s="57"/>
      <c r="M30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06" spans="2:13" x14ac:dyDescent="0.3">
      <c r="B306" s="11"/>
      <c r="C306" s="62" t="s">
        <v>513</v>
      </c>
      <c r="D306" s="62" t="s">
        <v>679</v>
      </c>
      <c r="E306" s="62" t="s">
        <v>1107</v>
      </c>
      <c r="F306" s="62" t="s">
        <v>696</v>
      </c>
      <c r="G306" s="57" t="str">
        <f>_xlfn.CONCAT(Таблица2[[#This Row],[Обознач]],"_",Таблица2[[#This Row],[Наимен]])</f>
        <v>KI.WA.238_Спинка сварная 330х240</v>
      </c>
      <c r="H306" s="61">
        <v>1</v>
      </c>
      <c r="I306" s="57"/>
      <c r="J306" s="57"/>
      <c r="K306" s="57"/>
      <c r="L306" s="57"/>
      <c r="M30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07" spans="2:13" x14ac:dyDescent="0.3">
      <c r="B307" s="11"/>
      <c r="C307" s="62" t="s">
        <v>514</v>
      </c>
      <c r="D307" s="62" t="s">
        <v>679</v>
      </c>
      <c r="E307" s="62" t="s">
        <v>1097</v>
      </c>
      <c r="F307" s="62" t="s">
        <v>697</v>
      </c>
      <c r="G307" s="57" t="str">
        <f>_xlfn.CONCAT(Таблица2[[#This Row],[Обознач]],"_",Таблица2[[#This Row],[Наимен]])</f>
        <v>KI.WA.233_Спинка сварная 330х260</v>
      </c>
      <c r="H307" s="61">
        <v>1</v>
      </c>
      <c r="I307" s="57"/>
      <c r="J307" s="57"/>
      <c r="K307" s="57"/>
      <c r="L307" s="57"/>
      <c r="M30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08" spans="2:13" x14ac:dyDescent="0.3">
      <c r="B308" s="11"/>
      <c r="C308" s="62" t="s">
        <v>515</v>
      </c>
      <c r="D308" s="62" t="s">
        <v>679</v>
      </c>
      <c r="E308" s="62" t="s">
        <v>896</v>
      </c>
      <c r="F308" s="62" t="s">
        <v>698</v>
      </c>
      <c r="G308" s="57" t="str">
        <f>_xlfn.CONCAT(Таблица2[[#This Row],[Обознач]],"_",Таблица2[[#This Row],[Наимен]])</f>
        <v>KI.WA.173_Спинка сварная 330х280</v>
      </c>
      <c r="H308" s="61">
        <v>1</v>
      </c>
      <c r="I308" s="57"/>
      <c r="J308" s="57"/>
      <c r="K308" s="57"/>
      <c r="L308" s="57"/>
      <c r="M30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09" spans="2:13" x14ac:dyDescent="0.3">
      <c r="B309" s="11"/>
      <c r="C309" s="62" t="s">
        <v>516</v>
      </c>
      <c r="D309" s="62" t="s">
        <v>679</v>
      </c>
      <c r="E309" s="62" t="s">
        <v>755</v>
      </c>
      <c r="F309" s="62" t="s">
        <v>699</v>
      </c>
      <c r="G309" s="57" t="str">
        <f>_xlfn.CONCAT(Таблица2[[#This Row],[Обознач]],"_",Таблица2[[#This Row],[Наимен]])</f>
        <v>KI.WA.160_Спинка сварная 330х300</v>
      </c>
      <c r="H309" s="61">
        <v>1</v>
      </c>
      <c r="I309" s="57"/>
      <c r="J309" s="57"/>
      <c r="K309" s="57"/>
      <c r="L309" s="57"/>
      <c r="M30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10" spans="2:13" x14ac:dyDescent="0.3">
      <c r="B310" s="11"/>
      <c r="C310" s="62" t="s">
        <v>517</v>
      </c>
      <c r="D310" s="62" t="s">
        <v>679</v>
      </c>
      <c r="E310" s="62" t="s">
        <v>1036</v>
      </c>
      <c r="F310" s="62" t="s">
        <v>700</v>
      </c>
      <c r="G310" s="57" t="str">
        <f>_xlfn.CONCAT(Таблица2[[#This Row],[Обознач]],"_",Таблица2[[#This Row],[Наимен]])</f>
        <v>KI.WA.198_Спинка сварная 330х320</v>
      </c>
      <c r="H310" s="61">
        <v>1</v>
      </c>
      <c r="I310" s="57"/>
      <c r="J310" s="57"/>
      <c r="K310" s="57"/>
      <c r="L310" s="57"/>
      <c r="M31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11" spans="2:13" x14ac:dyDescent="0.3">
      <c r="B311" s="11"/>
      <c r="C311" s="62" t="s">
        <v>518</v>
      </c>
      <c r="D311" s="62" t="s">
        <v>679</v>
      </c>
      <c r="E311" s="62" t="s">
        <v>1080</v>
      </c>
      <c r="F311" s="62" t="s">
        <v>701</v>
      </c>
      <c r="G311" s="57" t="str">
        <f>_xlfn.CONCAT(Таблица2[[#This Row],[Обознач]],"_",Таблица2[[#This Row],[Наимен]])</f>
        <v>KI.WA.221_Спинка сварная 330х340</v>
      </c>
      <c r="H311" s="61">
        <v>1</v>
      </c>
      <c r="I311" s="57"/>
      <c r="J311" s="57"/>
      <c r="K311" s="57"/>
      <c r="L311" s="57"/>
      <c r="M31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12" spans="2:13" x14ac:dyDescent="0.3">
      <c r="B312" s="11"/>
      <c r="C312" s="62" t="s">
        <v>519</v>
      </c>
      <c r="D312" s="62" t="s">
        <v>679</v>
      </c>
      <c r="E312" s="62" t="s">
        <v>1118</v>
      </c>
      <c r="F312" s="62" t="s">
        <v>702</v>
      </c>
      <c r="G312" s="57" t="str">
        <f>_xlfn.CONCAT(Таблица2[[#This Row],[Обознач]],"_",Таблица2[[#This Row],[Наимен]])</f>
        <v>KI.WA.240_Спинка сварная 330х360</v>
      </c>
      <c r="H312" s="61">
        <v>1</v>
      </c>
      <c r="I312" s="57"/>
      <c r="J312" s="57"/>
      <c r="K312" s="57"/>
      <c r="L312" s="57"/>
      <c r="M31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13" spans="2:13" x14ac:dyDescent="0.3">
      <c r="B313" s="94"/>
      <c r="C313" s="62" t="s">
        <v>520</v>
      </c>
      <c r="D313" s="62" t="s">
        <v>679</v>
      </c>
      <c r="E313" s="62" t="s">
        <v>749</v>
      </c>
      <c r="F313" s="62" t="s">
        <v>664</v>
      </c>
      <c r="G313" s="57" t="str">
        <f>_xlfn.CONCAT(Таблица2[[#This Row],[Обознач]],"_",Таблица2[[#This Row],[Наимен]])</f>
        <v>KI.WA.146_Спинка сварная 330х380</v>
      </c>
      <c r="H313" s="61">
        <v>1</v>
      </c>
      <c r="I313" s="58"/>
      <c r="J313" s="58"/>
      <c r="K313" s="58"/>
      <c r="L313" s="58"/>
      <c r="M313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14" spans="2:13" x14ac:dyDescent="0.3">
      <c r="B314" s="11"/>
      <c r="C314" s="62" t="s">
        <v>521</v>
      </c>
      <c r="D314" s="62" t="s">
        <v>679</v>
      </c>
      <c r="E314" s="62" t="s">
        <v>222</v>
      </c>
      <c r="F314" s="62" t="s">
        <v>703</v>
      </c>
      <c r="G314" s="57" t="str">
        <f>_xlfn.CONCAT(Таблица2[[#This Row],[Обознач]],"_",Таблица2[[#This Row],[Наимен]])</f>
        <v>?KI.BP.?_Спинка сварная 330х400</v>
      </c>
      <c r="H314" s="61">
        <v>1</v>
      </c>
      <c r="I314" s="57"/>
      <c r="J314" s="57"/>
      <c r="K314" s="57"/>
      <c r="L314" s="57"/>
      <c r="M31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15" spans="2:13" x14ac:dyDescent="0.3">
      <c r="B315" s="11"/>
      <c r="C315" s="62" t="s">
        <v>522</v>
      </c>
      <c r="D315" s="62" t="s">
        <v>679</v>
      </c>
      <c r="E315" s="62" t="s">
        <v>222</v>
      </c>
      <c r="F315" s="62" t="s">
        <v>704</v>
      </c>
      <c r="G315" s="57" t="str">
        <f>_xlfn.CONCAT(Таблица2[[#This Row],[Обознач]],"_",Таблица2[[#This Row],[Наимен]])</f>
        <v>?KI.BP.?_Спинка сварная 330х420</v>
      </c>
      <c r="H315" s="61">
        <v>1</v>
      </c>
      <c r="I315" s="57"/>
      <c r="J315" s="57"/>
      <c r="K315" s="57"/>
      <c r="L315" s="57"/>
      <c r="M31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16" spans="2:13" x14ac:dyDescent="0.3">
      <c r="B316" s="11"/>
      <c r="C316" s="62" t="s">
        <v>523</v>
      </c>
      <c r="D316" s="62" t="s">
        <v>679</v>
      </c>
      <c r="E316" s="62" t="s">
        <v>1098</v>
      </c>
      <c r="F316" s="62" t="s">
        <v>705</v>
      </c>
      <c r="G316" s="57" t="str">
        <f>_xlfn.CONCAT(Таблица2[[#This Row],[Обознач]],"_",Таблица2[[#This Row],[Наимен]])</f>
        <v>KI.WA.234_Спинка сварная 330х440</v>
      </c>
      <c r="H316" s="61">
        <v>1</v>
      </c>
      <c r="I316" s="57"/>
      <c r="J316" s="57"/>
      <c r="K316" s="57"/>
      <c r="L316" s="57"/>
      <c r="M31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17" spans="2:13" x14ac:dyDescent="0.3">
      <c r="B317" s="11"/>
      <c r="C317" s="62" t="s">
        <v>524</v>
      </c>
      <c r="D317" s="62" t="s">
        <v>679</v>
      </c>
      <c r="E317" s="62" t="s">
        <v>222</v>
      </c>
      <c r="F317" s="62" t="s">
        <v>706</v>
      </c>
      <c r="G317" s="57" t="str">
        <f>_xlfn.CONCAT(Таблица2[[#This Row],[Обознач]],"_",Таблица2[[#This Row],[Наимен]])</f>
        <v>?KI.BP.?_Спинка сварная 330х460</v>
      </c>
      <c r="H317" s="61">
        <v>1</v>
      </c>
      <c r="I317" s="57"/>
      <c r="J317" s="57"/>
      <c r="K317" s="57"/>
      <c r="L317" s="57"/>
      <c r="M31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18" spans="2:13" x14ac:dyDescent="0.3">
      <c r="B318" s="11"/>
      <c r="C318" s="62" t="s">
        <v>525</v>
      </c>
      <c r="D318" s="62" t="s">
        <v>679</v>
      </c>
      <c r="E318" s="62" t="s">
        <v>222</v>
      </c>
      <c r="F318" s="62" t="s">
        <v>707</v>
      </c>
      <c r="G318" s="57" t="str">
        <f>_xlfn.CONCAT(Таблица2[[#This Row],[Обознач]],"_",Таблица2[[#This Row],[Наимен]])</f>
        <v>?KI.BP.?_Спинка сварная 360х200</v>
      </c>
      <c r="H318" s="61">
        <v>1</v>
      </c>
      <c r="I318" s="57"/>
      <c r="J318" s="57"/>
      <c r="K318" s="57"/>
      <c r="L318" s="57"/>
      <c r="M31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19" spans="2:13" x14ac:dyDescent="0.3">
      <c r="B319" s="11"/>
      <c r="C319" s="62" t="s">
        <v>526</v>
      </c>
      <c r="D319" s="62" t="s">
        <v>679</v>
      </c>
      <c r="E319" s="62" t="s">
        <v>222</v>
      </c>
      <c r="F319" s="62" t="s">
        <v>708</v>
      </c>
      <c r="G319" s="57" t="str">
        <f>_xlfn.CONCAT(Таблица2[[#This Row],[Обознач]],"_",Таблица2[[#This Row],[Наимен]])</f>
        <v>?KI.BP.?_Спинка сварная 360х220</v>
      </c>
      <c r="H319" s="61">
        <v>1</v>
      </c>
      <c r="I319" s="57"/>
      <c r="J319" s="57"/>
      <c r="K319" s="57"/>
      <c r="L319" s="57"/>
      <c r="M31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20" spans="2:13" x14ac:dyDescent="0.3">
      <c r="B320" s="11"/>
      <c r="C320" s="62" t="s">
        <v>527</v>
      </c>
      <c r="D320" s="62" t="s">
        <v>679</v>
      </c>
      <c r="E320" s="62" t="s">
        <v>222</v>
      </c>
      <c r="F320" s="62" t="s">
        <v>709</v>
      </c>
      <c r="G320" s="57" t="str">
        <f>_xlfn.CONCAT(Таблица2[[#This Row],[Обознач]],"_",Таблица2[[#This Row],[Наимен]])</f>
        <v>?KI.BP.?_Спинка сварная 360х240</v>
      </c>
      <c r="H320" s="61">
        <v>1</v>
      </c>
      <c r="I320" s="57"/>
      <c r="J320" s="57"/>
      <c r="K320" s="57"/>
      <c r="L320" s="57"/>
      <c r="M32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21" spans="2:13" x14ac:dyDescent="0.3">
      <c r="B321" s="11"/>
      <c r="C321" s="62" t="s">
        <v>528</v>
      </c>
      <c r="D321" s="62" t="s">
        <v>679</v>
      </c>
      <c r="E321" s="62" t="s">
        <v>222</v>
      </c>
      <c r="F321" s="62" t="s">
        <v>710</v>
      </c>
      <c r="G321" s="57" t="str">
        <f>_xlfn.CONCAT(Таблица2[[#This Row],[Обознач]],"_",Таблица2[[#This Row],[Наимен]])</f>
        <v>?KI.BP.?_Спинка сварная 360х260</v>
      </c>
      <c r="H321" s="61">
        <v>1</v>
      </c>
      <c r="I321" s="57"/>
      <c r="J321" s="57"/>
      <c r="K321" s="57"/>
      <c r="L321" s="57"/>
      <c r="M32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22" spans="2:13" x14ac:dyDescent="0.3">
      <c r="B322" s="11"/>
      <c r="C322" s="62" t="s">
        <v>529</v>
      </c>
      <c r="D322" s="62" t="s">
        <v>679</v>
      </c>
      <c r="E322" s="62" t="s">
        <v>750</v>
      </c>
      <c r="F322" s="62" t="s">
        <v>711</v>
      </c>
      <c r="G322" s="57" t="str">
        <f>_xlfn.CONCAT(Таблица2[[#This Row],[Обознач]],"_",Таблица2[[#This Row],[Наимен]])</f>
        <v>KI.WA.148_Спинка сварная 360х280</v>
      </c>
      <c r="H322" s="61">
        <v>1</v>
      </c>
      <c r="I322" s="57"/>
      <c r="J322" s="57"/>
      <c r="K322" s="57"/>
      <c r="L322" s="57"/>
      <c r="M32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23" spans="2:13" x14ac:dyDescent="0.3">
      <c r="B323" s="11"/>
      <c r="C323" s="62" t="s">
        <v>530</v>
      </c>
      <c r="D323" s="62" t="s">
        <v>679</v>
      </c>
      <c r="E323" s="62" t="s">
        <v>943</v>
      </c>
      <c r="F323" s="62" t="s">
        <v>712</v>
      </c>
      <c r="G323" s="57" t="str">
        <f>_xlfn.CONCAT(Таблица2[[#This Row],[Обознач]],"_",Таблица2[[#This Row],[Наимен]])</f>
        <v>KI.WA.185_Спинка сварная 360х300</v>
      </c>
      <c r="H323" s="61">
        <v>1</v>
      </c>
      <c r="I323" s="57"/>
      <c r="J323" s="57"/>
      <c r="K323" s="57"/>
      <c r="L323" s="57"/>
      <c r="M32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24" spans="2:13" x14ac:dyDescent="0.3">
      <c r="B324" s="11"/>
      <c r="C324" s="62" t="s">
        <v>531</v>
      </c>
      <c r="D324" s="62" t="s">
        <v>679</v>
      </c>
      <c r="E324" s="62" t="s">
        <v>222</v>
      </c>
      <c r="F324" s="62" t="s">
        <v>713</v>
      </c>
      <c r="G324" s="57" t="str">
        <f>_xlfn.CONCAT(Таблица2[[#This Row],[Обознач]],"_",Таблица2[[#This Row],[Наимен]])</f>
        <v>?KI.BP.?_Спинка сварная 360х320</v>
      </c>
      <c r="H324" s="61">
        <v>1</v>
      </c>
      <c r="I324" s="57"/>
      <c r="J324" s="57"/>
      <c r="K324" s="57"/>
      <c r="L324" s="57"/>
      <c r="M32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25" spans="2:13" x14ac:dyDescent="0.3">
      <c r="B325" s="11"/>
      <c r="C325" s="62" t="s">
        <v>532</v>
      </c>
      <c r="D325" s="62" t="s">
        <v>679</v>
      </c>
      <c r="E325" s="62" t="s">
        <v>947</v>
      </c>
      <c r="F325" s="62" t="s">
        <v>714</v>
      </c>
      <c r="G325" s="57" t="str">
        <f>_xlfn.CONCAT(Таблица2[[#This Row],[Обознач]],"_",Таблица2[[#This Row],[Наимен]])</f>
        <v>KI.WA.188_Спинка сварная 360х340</v>
      </c>
      <c r="H325" s="61">
        <v>1</v>
      </c>
      <c r="I325" s="57"/>
      <c r="J325" s="57"/>
      <c r="K325" s="57"/>
      <c r="L325" s="57"/>
      <c r="M32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26" spans="2:13" x14ac:dyDescent="0.3">
      <c r="B326" s="11"/>
      <c r="C326" s="62" t="s">
        <v>533</v>
      </c>
      <c r="D326" s="62" t="s">
        <v>679</v>
      </c>
      <c r="E326" s="62" t="s">
        <v>222</v>
      </c>
      <c r="F326" s="62" t="s">
        <v>715</v>
      </c>
      <c r="G326" s="57" t="str">
        <f>_xlfn.CONCAT(Таблица2[[#This Row],[Обознач]],"_",Таблица2[[#This Row],[Наимен]])</f>
        <v>?KI.BP.?_Спинка сварная 360х360</v>
      </c>
      <c r="H326" s="61">
        <v>1</v>
      </c>
      <c r="I326" s="57"/>
      <c r="J326" s="57"/>
      <c r="K326" s="57"/>
      <c r="L326" s="57"/>
      <c r="M32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27" spans="2:13" x14ac:dyDescent="0.3">
      <c r="B327" s="11"/>
      <c r="C327" s="62" t="s">
        <v>534</v>
      </c>
      <c r="D327" s="62" t="s">
        <v>679</v>
      </c>
      <c r="E327" s="62" t="s">
        <v>1083</v>
      </c>
      <c r="F327" s="62" t="s">
        <v>716</v>
      </c>
      <c r="G327" s="57" t="str">
        <f>_xlfn.CONCAT(Таблица2[[#This Row],[Обознач]],"_",Таблица2[[#This Row],[Наимен]])</f>
        <v>KI.WA.224_Спинка сварная 360х380</v>
      </c>
      <c r="H327" s="61">
        <v>1</v>
      </c>
      <c r="I327" s="57"/>
      <c r="J327" s="57"/>
      <c r="K327" s="57"/>
      <c r="L327" s="57"/>
      <c r="M32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28" spans="2:13" x14ac:dyDescent="0.3">
      <c r="B328" s="94"/>
      <c r="C328" s="62" t="s">
        <v>535</v>
      </c>
      <c r="D328" s="62" t="s">
        <v>679</v>
      </c>
      <c r="E328" s="62" t="s">
        <v>1032</v>
      </c>
      <c r="F328" s="62" t="s">
        <v>717</v>
      </c>
      <c r="G328" s="57" t="str">
        <f>_xlfn.CONCAT(Таблица2[[#This Row],[Обознач]],"_",Таблица2[[#This Row],[Наимен]])</f>
        <v>KI.WA.197_Спинка сварная 360х400</v>
      </c>
      <c r="H328" s="61">
        <v>1</v>
      </c>
      <c r="I328" s="58"/>
      <c r="J328" s="58"/>
      <c r="K328" s="58"/>
      <c r="L328" s="58"/>
      <c r="M328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29" spans="2:13" x14ac:dyDescent="0.3">
      <c r="B329" s="11"/>
      <c r="C329" s="62" t="s">
        <v>536</v>
      </c>
      <c r="D329" s="62" t="s">
        <v>679</v>
      </c>
      <c r="E329" s="62" t="s">
        <v>891</v>
      </c>
      <c r="F329" s="62" t="s">
        <v>718</v>
      </c>
      <c r="G329" s="57" t="str">
        <f>_xlfn.CONCAT(Таблица2[[#This Row],[Обознач]],"_",Таблица2[[#This Row],[Наимен]])</f>
        <v>KI.WA.171_Спинка сварная 360х420</v>
      </c>
      <c r="H329" s="61">
        <v>1</v>
      </c>
      <c r="I329" s="57"/>
      <c r="J329" s="57"/>
      <c r="K329" s="57"/>
      <c r="L329" s="57"/>
      <c r="M32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30" spans="2:13" x14ac:dyDescent="0.3">
      <c r="B330" s="11"/>
      <c r="C330" s="62" t="s">
        <v>537</v>
      </c>
      <c r="D330" s="62" t="s">
        <v>679</v>
      </c>
      <c r="E330" s="62" t="s">
        <v>222</v>
      </c>
      <c r="F330" s="62" t="s">
        <v>719</v>
      </c>
      <c r="G330" s="57" t="str">
        <f>_xlfn.CONCAT(Таблица2[[#This Row],[Обознач]],"_",Таблица2[[#This Row],[Наимен]])</f>
        <v>?KI.BP.?_Спинка сварная 360х440</v>
      </c>
      <c r="H330" s="61">
        <v>1</v>
      </c>
      <c r="I330" s="57"/>
      <c r="J330" s="57"/>
      <c r="K330" s="57"/>
      <c r="L330" s="57"/>
      <c r="M33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31" spans="2:13" x14ac:dyDescent="0.3">
      <c r="B331" s="11"/>
      <c r="C331" s="62" t="s">
        <v>538</v>
      </c>
      <c r="D331" s="62" t="s">
        <v>679</v>
      </c>
      <c r="E331" s="62" t="s">
        <v>222</v>
      </c>
      <c r="F331" s="62" t="s">
        <v>720</v>
      </c>
      <c r="G331" s="57" t="str">
        <f>_xlfn.CONCAT(Таблица2[[#This Row],[Обознач]],"_",Таблица2[[#This Row],[Наимен]])</f>
        <v>?KI.BP.?_Спинка сварная 360х460</v>
      </c>
      <c r="H331" s="61">
        <v>1</v>
      </c>
      <c r="I331" s="57"/>
      <c r="J331" s="57"/>
      <c r="K331" s="57"/>
      <c r="L331" s="57"/>
      <c r="M33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32" spans="2:13" x14ac:dyDescent="0.3">
      <c r="B332" s="11"/>
      <c r="C332" s="62" t="s">
        <v>539</v>
      </c>
      <c r="D332" s="62" t="s">
        <v>679</v>
      </c>
      <c r="E332" s="62" t="s">
        <v>222</v>
      </c>
      <c r="F332" s="62" t="s">
        <v>721</v>
      </c>
      <c r="G332" s="57" t="str">
        <f>_xlfn.CONCAT(Таблица2[[#This Row],[Обознач]],"_",Таблица2[[#This Row],[Наимен]])</f>
        <v>?KI.BP.?_Спинка сварная 390х200</v>
      </c>
      <c r="H332" s="61">
        <v>1</v>
      </c>
      <c r="I332" s="57"/>
      <c r="J332" s="57"/>
      <c r="K332" s="57"/>
      <c r="L332" s="57"/>
      <c r="M33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33" spans="2:13" x14ac:dyDescent="0.3">
      <c r="B333" s="11"/>
      <c r="C333" s="62" t="s">
        <v>540</v>
      </c>
      <c r="D333" s="62" t="s">
        <v>679</v>
      </c>
      <c r="E333" s="62" t="s">
        <v>222</v>
      </c>
      <c r="F333" s="62" t="s">
        <v>722</v>
      </c>
      <c r="G333" s="57" t="str">
        <f>_xlfn.CONCAT(Таблица2[[#This Row],[Обознач]],"_",Таблица2[[#This Row],[Наимен]])</f>
        <v>?KI.BP.?_Спинка сварная 390х220</v>
      </c>
      <c r="H333" s="61">
        <v>1</v>
      </c>
      <c r="I333" s="57"/>
      <c r="J333" s="57"/>
      <c r="K333" s="57"/>
      <c r="L333" s="57"/>
      <c r="M33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34" spans="2:13" x14ac:dyDescent="0.3">
      <c r="B334" s="11"/>
      <c r="C334" s="62" t="s">
        <v>541</v>
      </c>
      <c r="D334" s="62" t="s">
        <v>679</v>
      </c>
      <c r="E334" s="62" t="s">
        <v>222</v>
      </c>
      <c r="F334" s="62" t="s">
        <v>723</v>
      </c>
      <c r="G334" s="57" t="str">
        <f>_xlfn.CONCAT(Таблица2[[#This Row],[Обознач]],"_",Таблица2[[#This Row],[Наимен]])</f>
        <v>?KI.BP.?_Спинка сварная 390х240</v>
      </c>
      <c r="H334" s="61">
        <v>1</v>
      </c>
      <c r="I334" s="57"/>
      <c r="J334" s="57"/>
      <c r="K334" s="57"/>
      <c r="L334" s="57"/>
      <c r="M33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35" spans="2:13" x14ac:dyDescent="0.3">
      <c r="B335" s="11"/>
      <c r="C335" s="62" t="s">
        <v>542</v>
      </c>
      <c r="D335" s="62" t="s">
        <v>679</v>
      </c>
      <c r="E335" s="62" t="s">
        <v>222</v>
      </c>
      <c r="F335" s="62" t="s">
        <v>724</v>
      </c>
      <c r="G335" s="57" t="str">
        <f>_xlfn.CONCAT(Таблица2[[#This Row],[Обознач]],"_",Таблица2[[#This Row],[Наимен]])</f>
        <v>?KI.BP.?_Спинка сварная 390х260</v>
      </c>
      <c r="H335" s="61">
        <v>1</v>
      </c>
      <c r="I335" s="57"/>
      <c r="J335" s="57"/>
      <c r="K335" s="57"/>
      <c r="L335" s="57"/>
      <c r="M33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36" spans="2:13" x14ac:dyDescent="0.3">
      <c r="B336" s="11"/>
      <c r="C336" s="62" t="s">
        <v>543</v>
      </c>
      <c r="D336" s="62" t="s">
        <v>679</v>
      </c>
      <c r="E336" s="62" t="s">
        <v>222</v>
      </c>
      <c r="F336" s="62" t="s">
        <v>725</v>
      </c>
      <c r="G336" s="57" t="str">
        <f>_xlfn.CONCAT(Таблица2[[#This Row],[Обознач]],"_",Таблица2[[#This Row],[Наимен]])</f>
        <v>?KI.BP.?_Спинка сварная 390х280</v>
      </c>
      <c r="H336" s="61">
        <v>1</v>
      </c>
      <c r="I336" s="57"/>
      <c r="J336" s="57"/>
      <c r="K336" s="57"/>
      <c r="L336" s="57"/>
      <c r="M33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37" spans="2:13" x14ac:dyDescent="0.3">
      <c r="B337" s="11"/>
      <c r="C337" s="62" t="s">
        <v>544</v>
      </c>
      <c r="D337" s="62" t="s">
        <v>679</v>
      </c>
      <c r="E337" s="62" t="s">
        <v>222</v>
      </c>
      <c r="F337" s="62" t="s">
        <v>726</v>
      </c>
      <c r="G337" s="57" t="str">
        <f>_xlfn.CONCAT(Таблица2[[#This Row],[Обознач]],"_",Таблица2[[#This Row],[Наимен]])</f>
        <v>?KI.BP.?_Спинка сварная 390х300</v>
      </c>
      <c r="H337" s="61">
        <v>1</v>
      </c>
      <c r="I337" s="57"/>
      <c r="J337" s="57"/>
      <c r="K337" s="57"/>
      <c r="L337" s="57"/>
      <c r="M33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38" spans="2:13" x14ac:dyDescent="0.3">
      <c r="B338" s="11"/>
      <c r="C338" s="62" t="s">
        <v>545</v>
      </c>
      <c r="D338" s="62" t="s">
        <v>679</v>
      </c>
      <c r="E338" s="62" t="s">
        <v>754</v>
      </c>
      <c r="F338" s="62" t="s">
        <v>727</v>
      </c>
      <c r="G338" s="57" t="str">
        <f>_xlfn.CONCAT(Таблица2[[#This Row],[Обознач]],"_",Таблица2[[#This Row],[Наимен]])</f>
        <v>KI.WA.158_Спинка сварная 390х320</v>
      </c>
      <c r="H338" s="61">
        <v>1</v>
      </c>
      <c r="I338" s="57"/>
      <c r="J338" s="57"/>
      <c r="K338" s="57"/>
      <c r="L338" s="57"/>
      <c r="M33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39" spans="2:13" x14ac:dyDescent="0.3">
      <c r="B339" s="11"/>
      <c r="C339" s="62" t="s">
        <v>546</v>
      </c>
      <c r="D339" s="62" t="s">
        <v>679</v>
      </c>
      <c r="E339" s="62" t="s">
        <v>914</v>
      </c>
      <c r="F339" s="62" t="s">
        <v>728</v>
      </c>
      <c r="G339" s="57" t="str">
        <f>_xlfn.CONCAT(Таблица2[[#This Row],[Обознач]],"_",Таблица2[[#This Row],[Наимен]])</f>
        <v>KI.WA.178_Спинка сварная 390х340</v>
      </c>
      <c r="H339" s="61">
        <v>1</v>
      </c>
      <c r="I339" s="57"/>
      <c r="J339" s="57"/>
      <c r="K339" s="57"/>
      <c r="L339" s="57"/>
      <c r="M33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40" spans="2:13" x14ac:dyDescent="0.3">
      <c r="B340" s="11"/>
      <c r="C340" s="62" t="s">
        <v>547</v>
      </c>
      <c r="D340" s="62" t="s">
        <v>679</v>
      </c>
      <c r="E340" s="62" t="s">
        <v>758</v>
      </c>
      <c r="F340" s="62" t="s">
        <v>729</v>
      </c>
      <c r="G340" s="57" t="str">
        <f>_xlfn.CONCAT(Таблица2[[#This Row],[Обознач]],"_",Таблица2[[#This Row],[Наимен]])</f>
        <v>KI.WA.154_Спинка сварная 390х360</v>
      </c>
      <c r="H340" s="61">
        <v>1</v>
      </c>
      <c r="I340" s="57"/>
      <c r="J340" s="57"/>
      <c r="K340" s="57"/>
      <c r="L340" s="57"/>
      <c r="M34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41" spans="2:13" x14ac:dyDescent="0.3">
      <c r="B341" s="11"/>
      <c r="C341" s="62" t="s">
        <v>548</v>
      </c>
      <c r="D341" s="62" t="s">
        <v>679</v>
      </c>
      <c r="E341" s="62" t="s">
        <v>222</v>
      </c>
      <c r="F341" s="62" t="s">
        <v>730</v>
      </c>
      <c r="G341" s="57" t="str">
        <f>_xlfn.CONCAT(Таблица2[[#This Row],[Обознач]],"_",Таблица2[[#This Row],[Наимен]])</f>
        <v>?KI.BP.?_Спинка сварная 390х380</v>
      </c>
      <c r="H341" s="61">
        <v>1</v>
      </c>
      <c r="I341" s="57"/>
      <c r="J341" s="57"/>
      <c r="K341" s="57"/>
      <c r="L341" s="57"/>
      <c r="M34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42" spans="2:13" x14ac:dyDescent="0.3">
      <c r="B342" s="11"/>
      <c r="C342" s="62" t="s">
        <v>549</v>
      </c>
      <c r="D342" s="62" t="s">
        <v>679</v>
      </c>
      <c r="E342" s="62" t="s">
        <v>1104</v>
      </c>
      <c r="F342" s="62" t="s">
        <v>731</v>
      </c>
      <c r="G342" s="57" t="str">
        <f>_xlfn.CONCAT(Таблица2[[#This Row],[Обознач]],"_",Таблица2[[#This Row],[Наимен]])</f>
        <v>KI.WA.237_Спинка сварная 390х400</v>
      </c>
      <c r="H342" s="61">
        <v>1</v>
      </c>
      <c r="I342" s="57"/>
      <c r="J342" s="57"/>
      <c r="K342" s="57"/>
      <c r="L342" s="57"/>
      <c r="M34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43" spans="2:13" x14ac:dyDescent="0.3">
      <c r="B343" s="11"/>
      <c r="C343" s="62" t="s">
        <v>550</v>
      </c>
      <c r="D343" s="62" t="s">
        <v>679</v>
      </c>
      <c r="E343" s="62" t="s">
        <v>909</v>
      </c>
      <c r="F343" s="62" t="s">
        <v>732</v>
      </c>
      <c r="G343" s="57" t="str">
        <f>_xlfn.CONCAT(Таблица2[[#This Row],[Обознач]],"_",Таблица2[[#This Row],[Наимен]])</f>
        <v>KI.WA.177_Спинка сварная 390х420</v>
      </c>
      <c r="H343" s="61">
        <v>1</v>
      </c>
      <c r="I343" s="57"/>
      <c r="J343" s="57"/>
      <c r="K343" s="57"/>
      <c r="L343" s="57"/>
      <c r="M34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44" spans="2:13" x14ac:dyDescent="0.3">
      <c r="B344" s="11"/>
      <c r="C344" s="62" t="s">
        <v>551</v>
      </c>
      <c r="D344" s="62" t="s">
        <v>679</v>
      </c>
      <c r="E344" s="62" t="s">
        <v>222</v>
      </c>
      <c r="F344" s="62" t="s">
        <v>733</v>
      </c>
      <c r="G344" s="57" t="str">
        <f>_xlfn.CONCAT(Таблица2[[#This Row],[Обознач]],"_",Таблица2[[#This Row],[Наимен]])</f>
        <v>?KI.BP.?_Спинка сварная 390х440</v>
      </c>
      <c r="H344" s="61">
        <v>1</v>
      </c>
      <c r="I344" s="57"/>
      <c r="J344" s="57"/>
      <c r="K344" s="57"/>
      <c r="L344" s="57"/>
      <c r="M34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45" spans="2:13" x14ac:dyDescent="0.3">
      <c r="B345" s="11"/>
      <c r="C345" s="62" t="s">
        <v>552</v>
      </c>
      <c r="D345" s="62" t="s">
        <v>679</v>
      </c>
      <c r="E345" s="62" t="s">
        <v>222</v>
      </c>
      <c r="F345" s="62" t="s">
        <v>734</v>
      </c>
      <c r="G345" s="57" t="str">
        <f>_xlfn.CONCAT(Таблица2[[#This Row],[Обознач]],"_",Таблица2[[#This Row],[Наимен]])</f>
        <v>?KI.BP.?_Спинка сварная 390х460</v>
      </c>
      <c r="H345" s="61">
        <v>1</v>
      </c>
      <c r="I345" s="57"/>
      <c r="J345" s="57"/>
      <c r="K345" s="57"/>
      <c r="L345" s="57"/>
      <c r="M34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46" spans="2:13" x14ac:dyDescent="0.3">
      <c r="B346" s="11"/>
      <c r="C346" s="62" t="s">
        <v>553</v>
      </c>
      <c r="D346" s="62" t="s">
        <v>679</v>
      </c>
      <c r="E346" s="62" t="s">
        <v>222</v>
      </c>
      <c r="F346" s="62" t="s">
        <v>735</v>
      </c>
      <c r="G346" s="57" t="str">
        <f>_xlfn.CONCAT(Таблица2[[#This Row],[Обознач]],"_",Таблица2[[#This Row],[Наимен]])</f>
        <v>?KI.BP.?_Спинка сварная 420х200</v>
      </c>
      <c r="H346" s="61">
        <v>1</v>
      </c>
      <c r="I346" s="57"/>
      <c r="J346" s="57"/>
      <c r="K346" s="57"/>
      <c r="L346" s="57"/>
      <c r="M34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47" spans="2:13" x14ac:dyDescent="0.3">
      <c r="B347" s="11"/>
      <c r="C347" s="62" t="s">
        <v>554</v>
      </c>
      <c r="D347" s="62" t="s">
        <v>679</v>
      </c>
      <c r="E347" s="62" t="s">
        <v>222</v>
      </c>
      <c r="F347" s="62" t="s">
        <v>736</v>
      </c>
      <c r="G347" s="57" t="str">
        <f>_xlfn.CONCAT(Таблица2[[#This Row],[Обознач]],"_",Таблица2[[#This Row],[Наимен]])</f>
        <v>?KI.BP.?_Спинка сварная 420х220</v>
      </c>
      <c r="H347" s="61">
        <v>1</v>
      </c>
      <c r="I347" s="57"/>
      <c r="J347" s="57"/>
      <c r="K347" s="57"/>
      <c r="L347" s="57"/>
      <c r="M34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48" spans="2:13" x14ac:dyDescent="0.3">
      <c r="B348" s="11"/>
      <c r="C348" s="62" t="s">
        <v>555</v>
      </c>
      <c r="D348" s="62" t="s">
        <v>679</v>
      </c>
      <c r="E348" s="62" t="s">
        <v>222</v>
      </c>
      <c r="F348" s="62" t="s">
        <v>737</v>
      </c>
      <c r="G348" s="57" t="str">
        <f>_xlfn.CONCAT(Таблица2[[#This Row],[Обознач]],"_",Таблица2[[#This Row],[Наимен]])</f>
        <v>?KI.BP.?_Спинка сварная 420х240</v>
      </c>
      <c r="H348" s="61">
        <v>1</v>
      </c>
      <c r="I348" s="57"/>
      <c r="J348" s="57"/>
      <c r="K348" s="57"/>
      <c r="L348" s="57"/>
      <c r="M34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49" spans="2:13" x14ac:dyDescent="0.3">
      <c r="B349" s="11"/>
      <c r="C349" s="62" t="s">
        <v>556</v>
      </c>
      <c r="D349" s="62" t="s">
        <v>679</v>
      </c>
      <c r="E349" s="62" t="s">
        <v>222</v>
      </c>
      <c r="F349" s="62" t="s">
        <v>738</v>
      </c>
      <c r="G349" s="57" t="str">
        <f>_xlfn.CONCAT(Таблица2[[#This Row],[Обознач]],"_",Таблица2[[#This Row],[Наимен]])</f>
        <v>?KI.BP.?_Спинка сварная 420х260</v>
      </c>
      <c r="H349" s="61">
        <v>1</v>
      </c>
      <c r="I349" s="57"/>
      <c r="J349" s="57"/>
      <c r="K349" s="57"/>
      <c r="L349" s="57"/>
      <c r="M34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50" spans="2:13" x14ac:dyDescent="0.3">
      <c r="B350" s="11"/>
      <c r="C350" s="62" t="s">
        <v>557</v>
      </c>
      <c r="D350" s="62" t="s">
        <v>679</v>
      </c>
      <c r="E350" s="62" t="s">
        <v>222</v>
      </c>
      <c r="F350" s="62" t="s">
        <v>739</v>
      </c>
      <c r="G350" s="57" t="str">
        <f>_xlfn.CONCAT(Таблица2[[#This Row],[Обознач]],"_",Таблица2[[#This Row],[Наимен]])</f>
        <v>?KI.BP.?_Спинка сварная 420х280</v>
      </c>
      <c r="H350" s="61">
        <v>1</v>
      </c>
      <c r="I350" s="57"/>
      <c r="J350" s="57"/>
      <c r="K350" s="57"/>
      <c r="L350" s="57"/>
      <c r="M35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51" spans="2:13" x14ac:dyDescent="0.3">
      <c r="B351" s="11"/>
      <c r="C351" s="62" t="s">
        <v>558</v>
      </c>
      <c r="D351" s="62" t="s">
        <v>679</v>
      </c>
      <c r="E351" s="62" t="s">
        <v>935</v>
      </c>
      <c r="F351" s="62" t="s">
        <v>740</v>
      </c>
      <c r="G351" s="57" t="str">
        <f>_xlfn.CONCAT(Таблица2[[#This Row],[Обознач]],"_",Таблица2[[#This Row],[Наимен]])</f>
        <v>KI.WA.180_Спинка сварная 420х300</v>
      </c>
      <c r="H351" s="61">
        <v>1</v>
      </c>
      <c r="I351" s="57"/>
      <c r="J351" s="57"/>
      <c r="K351" s="57"/>
      <c r="L351" s="57"/>
      <c r="M35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52" spans="2:13" x14ac:dyDescent="0.3">
      <c r="B352" s="11"/>
      <c r="C352" s="62" t="s">
        <v>559</v>
      </c>
      <c r="D352" s="62" t="s">
        <v>679</v>
      </c>
      <c r="E352" s="62" t="s">
        <v>1084</v>
      </c>
      <c r="F352" s="62" t="s">
        <v>741</v>
      </c>
      <c r="G352" s="57" t="str">
        <f>_xlfn.CONCAT(Таблица2[[#This Row],[Обознач]],"_",Таблица2[[#This Row],[Наимен]])</f>
        <v>KI.WA.225_Спинка сварная 420х320</v>
      </c>
      <c r="H352" s="61">
        <v>1</v>
      </c>
      <c r="I352" s="57"/>
      <c r="J352" s="57"/>
      <c r="K352" s="57"/>
      <c r="L352" s="57"/>
      <c r="M35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53" spans="2:13" x14ac:dyDescent="0.3">
      <c r="B353" s="11"/>
      <c r="C353" s="62" t="s">
        <v>560</v>
      </c>
      <c r="D353" s="62" t="s">
        <v>679</v>
      </c>
      <c r="E353" s="62" t="s">
        <v>945</v>
      </c>
      <c r="F353" s="62" t="s">
        <v>742</v>
      </c>
      <c r="G353" s="57" t="str">
        <f>_xlfn.CONCAT(Таблица2[[#This Row],[Обознач]],"_",Таблица2[[#This Row],[Наимен]])</f>
        <v>KI.WA.187_Спинка сварная 420х340</v>
      </c>
      <c r="H353" s="61">
        <v>1</v>
      </c>
      <c r="I353" s="57"/>
      <c r="J353" s="57"/>
      <c r="K353" s="57"/>
      <c r="L353" s="57"/>
      <c r="M35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54" spans="2:13" x14ac:dyDescent="0.3">
      <c r="B354" s="11"/>
      <c r="C354" s="62" t="s">
        <v>561</v>
      </c>
      <c r="D354" s="62" t="s">
        <v>679</v>
      </c>
      <c r="E354" s="62" t="s">
        <v>1095</v>
      </c>
      <c r="F354" s="62" t="s">
        <v>743</v>
      </c>
      <c r="G354" s="57" t="str">
        <f>_xlfn.CONCAT(Таблица2[[#This Row],[Обознач]],"_",Таблица2[[#This Row],[Наимен]])</f>
        <v>KI.WA.231_Спинка сварная 420х360</v>
      </c>
      <c r="H354" s="61">
        <v>1</v>
      </c>
      <c r="I354" s="57"/>
      <c r="J354" s="57"/>
      <c r="K354" s="57"/>
      <c r="L354" s="57"/>
      <c r="M35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55" spans="2:13" x14ac:dyDescent="0.3">
      <c r="B355" s="11"/>
      <c r="C355" s="62" t="s">
        <v>562</v>
      </c>
      <c r="D355" s="62" t="s">
        <v>679</v>
      </c>
      <c r="E355" s="62" t="s">
        <v>1094</v>
      </c>
      <c r="F355" s="62" t="s">
        <v>744</v>
      </c>
      <c r="G355" s="57" t="str">
        <f>_xlfn.CONCAT(Таблица2[[#This Row],[Обознач]],"_",Таблица2[[#This Row],[Наимен]])</f>
        <v>KI.WA.230_Спинка сварная 420х380</v>
      </c>
      <c r="H355" s="61">
        <v>1</v>
      </c>
      <c r="I355" s="57"/>
      <c r="J355" s="57"/>
      <c r="K355" s="57"/>
      <c r="L355" s="57"/>
      <c r="M35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56" spans="2:13" x14ac:dyDescent="0.3">
      <c r="B356" s="11"/>
      <c r="C356" s="62" t="s">
        <v>563</v>
      </c>
      <c r="D356" s="62" t="s">
        <v>679</v>
      </c>
      <c r="E356" s="62" t="s">
        <v>953</v>
      </c>
      <c r="F356" s="62" t="s">
        <v>745</v>
      </c>
      <c r="G356" s="57" t="str">
        <f>_xlfn.CONCAT(Таблица2[[#This Row],[Обознач]],"_",Таблица2[[#This Row],[Наимен]])</f>
        <v>KI.WA.190_Спинка сварная 420х400</v>
      </c>
      <c r="H356" s="61">
        <v>1</v>
      </c>
      <c r="I356" s="57"/>
      <c r="J356" s="57"/>
      <c r="K356" s="57"/>
      <c r="L356" s="57"/>
      <c r="M35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57" spans="2:13" x14ac:dyDescent="0.3">
      <c r="B357" s="11"/>
      <c r="C357" s="62" t="s">
        <v>564</v>
      </c>
      <c r="D357" s="62" t="s">
        <v>679</v>
      </c>
      <c r="E357" s="62" t="s">
        <v>1099</v>
      </c>
      <c r="F357" s="62" t="s">
        <v>746</v>
      </c>
      <c r="G357" s="57" t="str">
        <f>_xlfn.CONCAT(Таблица2[[#This Row],[Обознач]],"_",Таблица2[[#This Row],[Наимен]])</f>
        <v>KI.WA.235_Спинка сварная 420х420</v>
      </c>
      <c r="H357" s="61">
        <v>1</v>
      </c>
      <c r="I357" s="57"/>
      <c r="J357" s="57"/>
      <c r="K357" s="57"/>
      <c r="L357" s="57"/>
      <c r="M35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58" spans="2:13" x14ac:dyDescent="0.3">
      <c r="B358" s="11"/>
      <c r="C358" s="62" t="s">
        <v>565</v>
      </c>
      <c r="D358" s="62" t="s">
        <v>679</v>
      </c>
      <c r="E358" s="62" t="s">
        <v>222</v>
      </c>
      <c r="F358" s="62" t="s">
        <v>747</v>
      </c>
      <c r="G358" s="57" t="str">
        <f>_xlfn.CONCAT(Таблица2[[#This Row],[Обознач]],"_",Таблица2[[#This Row],[Наимен]])</f>
        <v>?KI.BP.?_Спинка сварная 420х440</v>
      </c>
      <c r="H358" s="61">
        <v>1</v>
      </c>
      <c r="I358" s="57"/>
      <c r="J358" s="57"/>
      <c r="K358" s="57"/>
      <c r="L358" s="57"/>
      <c r="M35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59" spans="2:13" x14ac:dyDescent="0.3">
      <c r="B359" s="11"/>
      <c r="C359" s="62" t="s">
        <v>566</v>
      </c>
      <c r="D359" s="62" t="s">
        <v>679</v>
      </c>
      <c r="E359" s="62" t="s">
        <v>1082</v>
      </c>
      <c r="F359" s="62" t="s">
        <v>748</v>
      </c>
      <c r="G359" s="57" t="str">
        <f>_xlfn.CONCAT(Таблица2[[#This Row],[Обознач]],"_",Таблица2[[#This Row],[Наимен]])</f>
        <v>KI.WA.223_Спинка сварная 420х460</v>
      </c>
      <c r="H359" s="61">
        <v>1</v>
      </c>
      <c r="I359" s="57"/>
      <c r="J359" s="57"/>
      <c r="K359" s="57"/>
      <c r="L359" s="57"/>
      <c r="M35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60" spans="2:13" x14ac:dyDescent="0.3">
      <c r="B360" s="11"/>
      <c r="C360" s="62" t="s">
        <v>801</v>
      </c>
      <c r="D360" s="62" t="s">
        <v>679</v>
      </c>
      <c r="E360" s="62" t="s">
        <v>847</v>
      </c>
      <c r="F360" s="62" t="s">
        <v>760</v>
      </c>
      <c r="G360" s="57" t="str">
        <f>_xlfn.CONCAT(Таблица2[[#This Row],[Обознач]],"_",Таблица2[[#This Row],[Наимен]])</f>
        <v>KI.WA.150_Рама сварная 270-1</v>
      </c>
      <c r="H360" s="61">
        <v>1</v>
      </c>
      <c r="I360" s="57"/>
      <c r="J360" s="57"/>
      <c r="K360" s="57"/>
      <c r="L360" s="57"/>
      <c r="M36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61" spans="2:13" x14ac:dyDescent="0.3">
      <c r="B361" s="11"/>
      <c r="C361" s="62" t="s">
        <v>802</v>
      </c>
      <c r="D361" s="62" t="s">
        <v>679</v>
      </c>
      <c r="E361" s="62" t="s">
        <v>1029</v>
      </c>
      <c r="F361" s="62" t="s">
        <v>761</v>
      </c>
      <c r="G361" s="57" t="str">
        <f>_xlfn.CONCAT(Таблица2[[#This Row],[Обознач]],"_",Таблица2[[#This Row],[Наимен]])</f>
        <v>KI.WA.195_Рама сварная 270-2</v>
      </c>
      <c r="H361" s="61">
        <v>1</v>
      </c>
      <c r="I361" s="57"/>
      <c r="J361" s="57"/>
      <c r="K361" s="57"/>
      <c r="L361" s="57"/>
      <c r="M36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62" spans="2:13" x14ac:dyDescent="0.3">
      <c r="B362" s="11"/>
      <c r="C362" s="62" t="s">
        <v>803</v>
      </c>
      <c r="D362" s="62" t="s">
        <v>679</v>
      </c>
      <c r="E362" s="62" t="s">
        <v>1052</v>
      </c>
      <c r="F362" s="62" t="s">
        <v>762</v>
      </c>
      <c r="G362" s="57" t="str">
        <f>_xlfn.CONCAT(Таблица2[[#This Row],[Обознач]],"_",Таблица2[[#This Row],[Наимен]])</f>
        <v>KI.WA.200_Рама сварная 270-3</v>
      </c>
      <c r="H362" s="61">
        <v>1</v>
      </c>
      <c r="I362" s="57"/>
      <c r="J362" s="57"/>
      <c r="K362" s="57"/>
      <c r="L362" s="57"/>
      <c r="M36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63" spans="2:13" x14ac:dyDescent="0.3">
      <c r="B363" s="11"/>
      <c r="C363" s="62" t="s">
        <v>804</v>
      </c>
      <c r="D363" s="62" t="s">
        <v>679</v>
      </c>
      <c r="E363" s="62" t="s">
        <v>1053</v>
      </c>
      <c r="F363" s="62" t="s">
        <v>763</v>
      </c>
      <c r="G363" s="57" t="str">
        <f>_xlfn.CONCAT(Таблица2[[#This Row],[Обознач]],"_",Таблица2[[#This Row],[Наимен]])</f>
        <v>KI.WA.201_Рама сварная 270-4</v>
      </c>
      <c r="H363" s="61">
        <v>1</v>
      </c>
      <c r="I363" s="57"/>
      <c r="J363" s="57"/>
      <c r="K363" s="57"/>
      <c r="L363" s="57"/>
      <c r="M36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64" spans="2:13" x14ac:dyDescent="0.3">
      <c r="B364" s="11"/>
      <c r="C364" s="62" t="s">
        <v>805</v>
      </c>
      <c r="D364" s="62" t="s">
        <v>679</v>
      </c>
      <c r="E364" s="62" t="s">
        <v>1054</v>
      </c>
      <c r="F364" s="62" t="s">
        <v>764</v>
      </c>
      <c r="G364" s="57" t="str">
        <f>_xlfn.CONCAT(Таблица2[[#This Row],[Обознач]],"_",Таблица2[[#This Row],[Наимен]])</f>
        <v>KI.WA.202_Рама сварная 270-5</v>
      </c>
      <c r="H364" s="61">
        <v>1</v>
      </c>
      <c r="I364" s="57"/>
      <c r="J364" s="57"/>
      <c r="K364" s="57"/>
      <c r="L364" s="57"/>
      <c r="M36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65" spans="2:13" x14ac:dyDescent="0.3">
      <c r="B365" s="11"/>
      <c r="C365" s="62" t="s">
        <v>806</v>
      </c>
      <c r="D365" s="62" t="s">
        <v>679</v>
      </c>
      <c r="E365" s="62" t="s">
        <v>1055</v>
      </c>
      <c r="F365" s="62" t="s">
        <v>765</v>
      </c>
      <c r="G365" s="57" t="str">
        <f>_xlfn.CONCAT(Таблица2[[#This Row],[Обознач]],"_",Таблица2[[#This Row],[Наимен]])</f>
        <v>KI.WA.203_Рама сварная 270-6</v>
      </c>
      <c r="H365" s="61">
        <v>1</v>
      </c>
      <c r="I365" s="57"/>
      <c r="J365" s="57"/>
      <c r="K365" s="57"/>
      <c r="L365" s="57"/>
      <c r="M36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66" spans="2:13" x14ac:dyDescent="0.3">
      <c r="B366" s="11"/>
      <c r="C366" s="62" t="s">
        <v>807</v>
      </c>
      <c r="D366" s="62" t="s">
        <v>679</v>
      </c>
      <c r="E366" s="62" t="s">
        <v>1056</v>
      </c>
      <c r="F366" s="62" t="s">
        <v>766</v>
      </c>
      <c r="G366" s="57" t="str">
        <f>_xlfn.CONCAT(Таблица2[[#This Row],[Обознач]],"_",Таблица2[[#This Row],[Наимен]])</f>
        <v>KI.WA.204_Рама сварная 270-7</v>
      </c>
      <c r="H366" s="61">
        <v>1</v>
      </c>
      <c r="I366" s="57"/>
      <c r="J366" s="57"/>
      <c r="K366" s="57"/>
      <c r="L366" s="57"/>
      <c r="M36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67" spans="2:13" x14ac:dyDescent="0.3">
      <c r="B367" s="11"/>
      <c r="C367" s="62" t="s">
        <v>808</v>
      </c>
      <c r="D367" s="62" t="s">
        <v>679</v>
      </c>
      <c r="E367" s="62" t="s">
        <v>853</v>
      </c>
      <c r="F367" s="62" t="s">
        <v>767</v>
      </c>
      <c r="G367" s="57" t="str">
        <f>_xlfn.CONCAT(Таблица2[[#This Row],[Обознач]],"_",Таблица2[[#This Row],[Наимен]])</f>
        <v>KI.WA.163_Рама сварная 300-1</v>
      </c>
      <c r="H367" s="61">
        <v>1</v>
      </c>
      <c r="I367" s="57"/>
      <c r="J367" s="57"/>
      <c r="K367" s="57"/>
      <c r="L367" s="57"/>
      <c r="M36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68" spans="2:13" x14ac:dyDescent="0.3">
      <c r="B368" s="11"/>
      <c r="C368" s="62" t="s">
        <v>809</v>
      </c>
      <c r="D368" s="62" t="s">
        <v>679</v>
      </c>
      <c r="E368" s="62" t="s">
        <v>1057</v>
      </c>
      <c r="F368" s="62" t="s">
        <v>768</v>
      </c>
      <c r="G368" s="57" t="str">
        <f>_xlfn.CONCAT(Таблица2[[#This Row],[Обознач]],"_",Таблица2[[#This Row],[Наимен]])</f>
        <v>KI.WA.205_Рама сварная 300-2</v>
      </c>
      <c r="H368" s="61">
        <v>1</v>
      </c>
      <c r="I368" s="57"/>
      <c r="J368" s="57"/>
      <c r="K368" s="57"/>
      <c r="L368" s="57"/>
      <c r="M36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69" spans="2:13" x14ac:dyDescent="0.3">
      <c r="B369" s="11"/>
      <c r="C369" s="62" t="s">
        <v>810</v>
      </c>
      <c r="D369" s="62" t="s">
        <v>679</v>
      </c>
      <c r="E369" s="62" t="s">
        <v>1058</v>
      </c>
      <c r="F369" s="62" t="s">
        <v>769</v>
      </c>
      <c r="G369" s="57" t="str">
        <f>_xlfn.CONCAT(Таблица2[[#This Row],[Обознач]],"_",Таблица2[[#This Row],[Наимен]])</f>
        <v>KI.WA.206_Рама сварная 300-3</v>
      </c>
      <c r="H369" s="61">
        <v>1</v>
      </c>
      <c r="I369" s="57"/>
      <c r="J369" s="57"/>
      <c r="K369" s="57"/>
      <c r="L369" s="57"/>
      <c r="M36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370" spans="2:13" x14ac:dyDescent="0.3">
      <c r="B370" s="11"/>
      <c r="C370" s="62" t="s">
        <v>811</v>
      </c>
      <c r="D370" s="62" t="s">
        <v>679</v>
      </c>
      <c r="E370" s="62" t="s">
        <v>873</v>
      </c>
      <c r="F370" s="62" t="s">
        <v>770</v>
      </c>
      <c r="G370" s="57" t="str">
        <f>_xlfn.CONCAT(Таблица2[[#This Row],[Обознач]],"_",Таблица2[[#This Row],[Наимен]])</f>
        <v>KI.WA.165_Рама сварная 300-4</v>
      </c>
      <c r="H370" s="61">
        <v>1</v>
      </c>
      <c r="I370" s="57"/>
      <c r="J370" s="57"/>
      <c r="K370" s="57"/>
      <c r="L370" s="57"/>
      <c r="M37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71" spans="2:13" x14ac:dyDescent="0.3">
      <c r="B371" s="11"/>
      <c r="C371" s="62" t="s">
        <v>812</v>
      </c>
      <c r="D371" s="62" t="s">
        <v>679</v>
      </c>
      <c r="E371" s="62" t="s">
        <v>1059</v>
      </c>
      <c r="F371" s="62" t="s">
        <v>771</v>
      </c>
      <c r="G371" s="57" t="str">
        <f>_xlfn.CONCAT(Таблица2[[#This Row],[Обознач]],"_",Таблица2[[#This Row],[Наимен]])</f>
        <v>KI.WA.207_Рама сварная 300-5</v>
      </c>
      <c r="H371" s="61">
        <v>1</v>
      </c>
      <c r="I371" s="57"/>
      <c r="J371" s="57"/>
      <c r="K371" s="57"/>
      <c r="L371" s="57"/>
      <c r="M37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72" spans="2:13" x14ac:dyDescent="0.3">
      <c r="B372" s="11"/>
      <c r="C372" s="62" t="s">
        <v>813</v>
      </c>
      <c r="D372" s="62" t="s">
        <v>679</v>
      </c>
      <c r="E372" s="62" t="s">
        <v>1060</v>
      </c>
      <c r="F372" s="62" t="s">
        <v>772</v>
      </c>
      <c r="G372" s="57" t="str">
        <f>_xlfn.CONCAT(Таблица2[[#This Row],[Обознач]],"_",Таблица2[[#This Row],[Наимен]])</f>
        <v>KI.WA.208_Рама сварная 300-6</v>
      </c>
      <c r="H372" s="61">
        <v>1</v>
      </c>
      <c r="I372" s="57"/>
      <c r="J372" s="57"/>
      <c r="K372" s="57"/>
      <c r="L372" s="57"/>
      <c r="M37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73" spans="2:13" x14ac:dyDescent="0.3">
      <c r="B373" s="11"/>
      <c r="C373" s="62" t="s">
        <v>814</v>
      </c>
      <c r="D373" s="62" t="s">
        <v>679</v>
      </c>
      <c r="E373" s="62" t="s">
        <v>1061</v>
      </c>
      <c r="F373" s="62" t="s">
        <v>773</v>
      </c>
      <c r="G373" s="57" t="str">
        <f>_xlfn.CONCAT(Таблица2[[#This Row],[Обознач]],"_",Таблица2[[#This Row],[Наимен]])</f>
        <v>KI.WA.209_Рама сварная 300-7</v>
      </c>
      <c r="H373" s="61">
        <v>1</v>
      </c>
      <c r="I373" s="57"/>
      <c r="J373" s="57"/>
      <c r="K373" s="57"/>
      <c r="L373" s="57"/>
      <c r="M37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74" spans="2:13" x14ac:dyDescent="0.3">
      <c r="B374" s="11"/>
      <c r="C374" s="62" t="s">
        <v>815</v>
      </c>
      <c r="D374" s="62" t="s">
        <v>679</v>
      </c>
      <c r="E374" s="62" t="s">
        <v>895</v>
      </c>
      <c r="F374" s="62" t="s">
        <v>774</v>
      </c>
      <c r="G374" s="57" t="str">
        <f>_xlfn.CONCAT(Таблица2[[#This Row],[Обознач]],"_",Таблица2[[#This Row],[Наимен]])</f>
        <v>KI.WA.172_Рама сварная 330-1</v>
      </c>
      <c r="H374" s="61">
        <v>1</v>
      </c>
      <c r="I374" s="57"/>
      <c r="J374" s="57"/>
      <c r="K374" s="57"/>
      <c r="L374" s="57"/>
      <c r="M37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75" spans="2:13" x14ac:dyDescent="0.3">
      <c r="B375" s="11"/>
      <c r="C375" s="62" t="s">
        <v>816</v>
      </c>
      <c r="D375" s="62" t="s">
        <v>679</v>
      </c>
      <c r="E375" s="62" t="s">
        <v>956</v>
      </c>
      <c r="F375" s="62" t="s">
        <v>775</v>
      </c>
      <c r="G375" s="57" t="str">
        <f>_xlfn.CONCAT(Таблица2[[#This Row],[Обознач]],"_",Таблица2[[#This Row],[Наимен]])</f>
        <v>KI.WA.191_Рама сварная 330-2</v>
      </c>
      <c r="H375" s="61">
        <v>1</v>
      </c>
      <c r="I375" s="57"/>
      <c r="J375" s="57"/>
      <c r="K375" s="57"/>
      <c r="L375" s="57"/>
      <c r="M37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76" spans="2:13" x14ac:dyDescent="0.3">
      <c r="B376" s="11"/>
      <c r="C376" s="62" t="s">
        <v>817</v>
      </c>
      <c r="D376" s="62" t="s">
        <v>679</v>
      </c>
      <c r="E376" s="62" t="s">
        <v>938</v>
      </c>
      <c r="F376" s="62" t="s">
        <v>776</v>
      </c>
      <c r="G376" s="57" t="str">
        <f>_xlfn.CONCAT(Таблица2[[#This Row],[Обознач]],"_",Таблица2[[#This Row],[Наимен]])</f>
        <v>KI.WA.182_Рама сварная 330-3</v>
      </c>
      <c r="H376" s="61">
        <v>1</v>
      </c>
      <c r="I376" s="57"/>
      <c r="J376" s="57"/>
      <c r="K376" s="57"/>
      <c r="L376" s="57"/>
      <c r="M37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77" spans="2:13" x14ac:dyDescent="0.3">
      <c r="B377" s="11"/>
      <c r="C377" s="62" t="s">
        <v>818</v>
      </c>
      <c r="D377" s="62" t="s">
        <v>679</v>
      </c>
      <c r="E377" s="62" t="s">
        <v>845</v>
      </c>
      <c r="F377" s="62" t="s">
        <v>759</v>
      </c>
      <c r="G377" s="57" t="str">
        <f>_xlfn.CONCAT(Таблица2[[#This Row],[Обознач]],"_",Таблица2[[#This Row],[Наимен]])</f>
        <v>KI.WA.145_Рама сварная 330-4</v>
      </c>
      <c r="H377" s="61">
        <v>1</v>
      </c>
      <c r="I377" s="57"/>
      <c r="J377" s="57"/>
      <c r="K377" s="57"/>
      <c r="L377" s="57"/>
      <c r="M37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78" spans="2:13" x14ac:dyDescent="0.3">
      <c r="B378" s="11"/>
      <c r="C378" s="62" t="s">
        <v>819</v>
      </c>
      <c r="D378" s="62" t="s">
        <v>679</v>
      </c>
      <c r="E378" s="62" t="s">
        <v>1062</v>
      </c>
      <c r="F378" s="62" t="s">
        <v>777</v>
      </c>
      <c r="G378" s="57" t="str">
        <f>_xlfn.CONCAT(Таблица2[[#This Row],[Обознач]],"_",Таблица2[[#This Row],[Наимен]])</f>
        <v>KI.WA.210_Рама сварная 330-5</v>
      </c>
      <c r="H378" s="61">
        <v>1</v>
      </c>
      <c r="I378" s="57"/>
      <c r="J378" s="57"/>
      <c r="K378" s="57"/>
      <c r="L378" s="57"/>
      <c r="M37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79" spans="2:13" x14ac:dyDescent="0.3">
      <c r="B379" s="11"/>
      <c r="C379" s="62" t="s">
        <v>820</v>
      </c>
      <c r="D379" s="62" t="s">
        <v>679</v>
      </c>
      <c r="E379" s="62" t="s">
        <v>852</v>
      </c>
      <c r="F379" s="62" t="s">
        <v>778</v>
      </c>
      <c r="G379" s="57" t="str">
        <f>_xlfn.CONCAT(Таблица2[[#This Row],[Обознач]],"_",Таблица2[[#This Row],[Наимен]])</f>
        <v>KI.WA.161_Рама сварная 330-6</v>
      </c>
      <c r="H379" s="61">
        <v>1</v>
      </c>
      <c r="I379" s="57"/>
      <c r="J379" s="57"/>
      <c r="K379" s="57"/>
      <c r="L379" s="57"/>
      <c r="M37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80" spans="2:13" x14ac:dyDescent="0.3">
      <c r="B380" s="11"/>
      <c r="C380" s="62" t="s">
        <v>821</v>
      </c>
      <c r="D380" s="62" t="s">
        <v>679</v>
      </c>
      <c r="E380" s="62" t="s">
        <v>1063</v>
      </c>
      <c r="F380" s="62" t="s">
        <v>779</v>
      </c>
      <c r="G380" s="57" t="str">
        <f>_xlfn.CONCAT(Таблица2[[#This Row],[Обознач]],"_",Таблица2[[#This Row],[Наимен]])</f>
        <v>KI.WA.211_Рама сварная 330-7</v>
      </c>
      <c r="H380" s="61">
        <v>1</v>
      </c>
      <c r="I380" s="57"/>
      <c r="J380" s="57"/>
      <c r="K380" s="57"/>
      <c r="L380" s="57"/>
      <c r="M38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81" spans="2:13" x14ac:dyDescent="0.3">
      <c r="B381" s="11"/>
      <c r="C381" s="62" t="s">
        <v>822</v>
      </c>
      <c r="D381" s="62" t="s">
        <v>679</v>
      </c>
      <c r="E381" s="62" t="s">
        <v>942</v>
      </c>
      <c r="F381" s="62" t="s">
        <v>780</v>
      </c>
      <c r="G381" s="57" t="str">
        <f>_xlfn.CONCAT(Таблица2[[#This Row],[Обознач]],"_",Таблица2[[#This Row],[Наимен]])</f>
        <v>KI.WA.184_Рама сварная 360-1</v>
      </c>
      <c r="H381" s="61">
        <v>1</v>
      </c>
      <c r="I381" s="57"/>
      <c r="J381" s="57"/>
      <c r="K381" s="57"/>
      <c r="L381" s="57"/>
      <c r="M38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82" spans="2:13" x14ac:dyDescent="0.3">
      <c r="B382" s="11"/>
      <c r="C382" s="62" t="s">
        <v>823</v>
      </c>
      <c r="D382" s="62" t="s">
        <v>679</v>
      </c>
      <c r="E382" s="62" t="s">
        <v>958</v>
      </c>
      <c r="F382" s="62" t="s">
        <v>781</v>
      </c>
      <c r="G382" s="57" t="str">
        <f>_xlfn.CONCAT(Таблица2[[#This Row],[Обознач]],"_",Таблица2[[#This Row],[Наимен]])</f>
        <v>KI.WA.194_Рама сварная 360-2</v>
      </c>
      <c r="H382" s="61">
        <v>1</v>
      </c>
      <c r="I382" s="57"/>
      <c r="J382" s="57"/>
      <c r="K382" s="57"/>
      <c r="L382" s="57"/>
      <c r="M38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83" spans="2:13" x14ac:dyDescent="0.3">
      <c r="B383" s="11"/>
      <c r="C383" s="62" t="s">
        <v>824</v>
      </c>
      <c r="D383" s="62" t="s">
        <v>679</v>
      </c>
      <c r="E383" s="62" t="s">
        <v>1031</v>
      </c>
      <c r="F383" s="62" t="s">
        <v>782</v>
      </c>
      <c r="G383" s="57" t="str">
        <f>_xlfn.CONCAT(Таблица2[[#This Row],[Обознач]],"_",Таблица2[[#This Row],[Наимен]])</f>
        <v>KI.WA.196_Рама сварная 360-3</v>
      </c>
      <c r="H383" s="61">
        <v>1</v>
      </c>
      <c r="I383" s="57"/>
      <c r="J383" s="57"/>
      <c r="K383" s="57"/>
      <c r="L383" s="57"/>
      <c r="M38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84" spans="2:13" x14ac:dyDescent="0.3">
      <c r="B384" s="11"/>
      <c r="C384" s="62" t="s">
        <v>825</v>
      </c>
      <c r="D384" s="62" t="s">
        <v>679</v>
      </c>
      <c r="E384" s="62" t="s">
        <v>846</v>
      </c>
      <c r="F384" s="62" t="s">
        <v>783</v>
      </c>
      <c r="G384" s="57" t="str">
        <f>_xlfn.CONCAT(Таблица2[[#This Row],[Обознач]],"_",Таблица2[[#This Row],[Наимен]])</f>
        <v>KI.WA.147_Рама сварная 360-4</v>
      </c>
      <c r="H384" s="61">
        <v>1</v>
      </c>
      <c r="I384" s="57"/>
      <c r="J384" s="57"/>
      <c r="K384" s="57"/>
      <c r="L384" s="57"/>
      <c r="M38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85" spans="2:13" x14ac:dyDescent="0.3">
      <c r="B385" s="11"/>
      <c r="C385" s="62" t="s">
        <v>826</v>
      </c>
      <c r="D385" s="62" t="s">
        <v>679</v>
      </c>
      <c r="E385" s="62" t="s">
        <v>890</v>
      </c>
      <c r="F385" s="62" t="s">
        <v>784</v>
      </c>
      <c r="G385" s="57" t="str">
        <f>_xlfn.CONCAT(Таблица2[[#This Row],[Обознач]],"_",Таблица2[[#This Row],[Наимен]])</f>
        <v>KI.WA.170_Рама сварная 360-5</v>
      </c>
      <c r="H385" s="61">
        <v>1</v>
      </c>
      <c r="I385" s="57"/>
      <c r="J385" s="57"/>
      <c r="K385" s="57"/>
      <c r="L385" s="57"/>
      <c r="M38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86" spans="2:13" x14ac:dyDescent="0.3">
      <c r="B386" s="11"/>
      <c r="C386" s="62" t="s">
        <v>827</v>
      </c>
      <c r="D386" s="62" t="s">
        <v>679</v>
      </c>
      <c r="E386" s="62" t="s">
        <v>1064</v>
      </c>
      <c r="F386" s="62" t="s">
        <v>785</v>
      </c>
      <c r="G386" s="57" t="str">
        <f>_xlfn.CONCAT(Таблица2[[#This Row],[Обознач]],"_",Таблица2[[#This Row],[Наимен]])</f>
        <v>KI.WA.212_Рама сварная 360-6</v>
      </c>
      <c r="H386" s="61">
        <v>1</v>
      </c>
      <c r="I386" s="57"/>
      <c r="J386" s="57"/>
      <c r="K386" s="57"/>
      <c r="L386" s="57"/>
      <c r="M38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87" spans="2:13" x14ac:dyDescent="0.3">
      <c r="B387" s="11"/>
      <c r="C387" s="62" t="s">
        <v>828</v>
      </c>
      <c r="D387" s="62" t="s">
        <v>679</v>
      </c>
      <c r="E387" s="62" t="s">
        <v>1065</v>
      </c>
      <c r="F387" s="62" t="s">
        <v>786</v>
      </c>
      <c r="G387" s="57" t="str">
        <f>_xlfn.CONCAT(Таблица2[[#This Row],[Обознач]],"_",Таблица2[[#This Row],[Наимен]])</f>
        <v>KI.WA.213_Рама сварная 360-7</v>
      </c>
      <c r="H387" s="61">
        <v>1</v>
      </c>
      <c r="I387" s="57"/>
      <c r="J387" s="57"/>
      <c r="K387" s="57"/>
      <c r="L387" s="57"/>
      <c r="M38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88" spans="2:13" x14ac:dyDescent="0.3">
      <c r="B388" s="11"/>
      <c r="C388" s="62" t="s">
        <v>829</v>
      </c>
      <c r="D388" s="62" t="s">
        <v>679</v>
      </c>
      <c r="E388" s="62" t="s">
        <v>848</v>
      </c>
      <c r="F388" s="62" t="s">
        <v>787</v>
      </c>
      <c r="G388" s="57" t="str">
        <f>_xlfn.CONCAT(Таблица2[[#This Row],[Обознач]],"_",Таблица2[[#This Row],[Наимен]])</f>
        <v>KI.WA.155_Рама сварная 390-1</v>
      </c>
      <c r="H388" s="61">
        <v>1</v>
      </c>
      <c r="I388" s="57"/>
      <c r="J388" s="57"/>
      <c r="K388" s="57"/>
      <c r="L388" s="57"/>
      <c r="M38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89" spans="2:13" x14ac:dyDescent="0.3">
      <c r="B389" s="11"/>
      <c r="C389" s="62" t="s">
        <v>830</v>
      </c>
      <c r="D389" s="62" t="s">
        <v>679</v>
      </c>
      <c r="E389" s="62" t="s">
        <v>850</v>
      </c>
      <c r="F389" s="62" t="s">
        <v>788</v>
      </c>
      <c r="G389" s="57" t="str">
        <f>_xlfn.CONCAT(Таблица2[[#This Row],[Обознач]],"_",Таблица2[[#This Row],[Наимен]])</f>
        <v>KI.WA.157_Рама сварная 390-2</v>
      </c>
      <c r="H389" s="61">
        <v>1</v>
      </c>
      <c r="I389" s="57"/>
      <c r="J389" s="57"/>
      <c r="K389" s="57"/>
      <c r="L389" s="57"/>
      <c r="M38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90" spans="2:13" x14ac:dyDescent="0.3">
      <c r="B390" s="11"/>
      <c r="C390" s="62" t="s">
        <v>831</v>
      </c>
      <c r="D390" s="62" t="s">
        <v>679</v>
      </c>
      <c r="E390" s="62" t="s">
        <v>849</v>
      </c>
      <c r="F390" s="62" t="s">
        <v>789</v>
      </c>
      <c r="G390" s="57" t="str">
        <f>_xlfn.CONCAT(Таблица2[[#This Row],[Обознач]],"_",Таблица2[[#This Row],[Наимен]])</f>
        <v>KI.WA.156_Рама сварная 390-3</v>
      </c>
      <c r="H390" s="61">
        <v>1</v>
      </c>
      <c r="I390" s="57"/>
      <c r="J390" s="57"/>
      <c r="K390" s="57"/>
      <c r="L390" s="57"/>
      <c r="M39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91" spans="2:13" x14ac:dyDescent="0.3">
      <c r="B391" s="11"/>
      <c r="C391" s="62" t="s">
        <v>832</v>
      </c>
      <c r="D391" s="62" t="s">
        <v>679</v>
      </c>
      <c r="E391" s="62" t="s">
        <v>1066</v>
      </c>
      <c r="F391" s="62" t="s">
        <v>790</v>
      </c>
      <c r="G391" s="57" t="str">
        <f>_xlfn.CONCAT(Таблица2[[#This Row],[Обознач]],"_",Таблица2[[#This Row],[Наимен]])</f>
        <v>KI.WA.214_Рама сварная 390-4</v>
      </c>
      <c r="H391" s="61">
        <v>1</v>
      </c>
      <c r="I391" s="57"/>
      <c r="J391" s="57"/>
      <c r="K391" s="57"/>
      <c r="L391" s="57"/>
      <c r="M39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92" spans="2:13" x14ac:dyDescent="0.3">
      <c r="B392" s="11"/>
      <c r="C392" s="62" t="s">
        <v>833</v>
      </c>
      <c r="D392" s="62" t="s">
        <v>679</v>
      </c>
      <c r="E392" s="62" t="s">
        <v>908</v>
      </c>
      <c r="F392" s="62" t="s">
        <v>791</v>
      </c>
      <c r="G392" s="57" t="str">
        <f>_xlfn.CONCAT(Таблица2[[#This Row],[Обознач]],"_",Таблица2[[#This Row],[Наимен]])</f>
        <v>KI.WA.176_Рама сварная 390-5</v>
      </c>
      <c r="H392" s="61">
        <v>1</v>
      </c>
      <c r="I392" s="57"/>
      <c r="J392" s="57"/>
      <c r="K392" s="57"/>
      <c r="L392" s="57"/>
      <c r="M39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93" spans="2:13" x14ac:dyDescent="0.3">
      <c r="B393" s="11"/>
      <c r="C393" s="62" t="s">
        <v>834</v>
      </c>
      <c r="D393" s="62" t="s">
        <v>679</v>
      </c>
      <c r="E393" s="62" t="s">
        <v>851</v>
      </c>
      <c r="F393" s="62" t="s">
        <v>792</v>
      </c>
      <c r="G393" s="57" t="str">
        <f>_xlfn.CONCAT(Таблица2[[#This Row],[Обознач]],"_",Таблица2[[#This Row],[Наимен]])</f>
        <v>KI.WA.159_Рама сварная 390-6</v>
      </c>
      <c r="H393" s="61">
        <v>1</v>
      </c>
      <c r="I393" s="57"/>
      <c r="J393" s="57"/>
      <c r="K393" s="57"/>
      <c r="L393" s="57"/>
      <c r="M39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94" spans="2:13" x14ac:dyDescent="0.3">
      <c r="B394" s="11"/>
      <c r="C394" s="62" t="s">
        <v>835</v>
      </c>
      <c r="D394" s="62" t="s">
        <v>679</v>
      </c>
      <c r="E394" s="62" t="s">
        <v>1067</v>
      </c>
      <c r="F394" s="62" t="s">
        <v>793</v>
      </c>
      <c r="G394" s="57" t="str">
        <f>_xlfn.CONCAT(Таблица2[[#This Row],[Обознач]],"_",Таблица2[[#This Row],[Наимен]])</f>
        <v>KI.WA.215_Рама сварная 390-7</v>
      </c>
      <c r="H394" s="61">
        <v>1</v>
      </c>
      <c r="I394" s="57"/>
      <c r="J394" s="57"/>
      <c r="K394" s="57"/>
      <c r="L394" s="57"/>
      <c r="M39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95" spans="2:13" x14ac:dyDescent="0.3">
      <c r="B395" s="11"/>
      <c r="C395" s="62" t="s">
        <v>836</v>
      </c>
      <c r="D395" s="62" t="s">
        <v>679</v>
      </c>
      <c r="E395" s="62" t="s">
        <v>936</v>
      </c>
      <c r="F395" s="62" t="s">
        <v>794</v>
      </c>
      <c r="G395" s="57" t="str">
        <f>_xlfn.CONCAT(Таблица2[[#This Row],[Обознач]],"_",Таблица2[[#This Row],[Наимен]])</f>
        <v>KI.WA.181_Рама сварная 420-1</v>
      </c>
      <c r="H395" s="61">
        <v>1</v>
      </c>
      <c r="I395" s="57"/>
      <c r="J395" s="57"/>
      <c r="K395" s="57"/>
      <c r="L395" s="57"/>
      <c r="M39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96" spans="2:13" x14ac:dyDescent="0.3">
      <c r="B396" s="11"/>
      <c r="C396" s="62" t="s">
        <v>837</v>
      </c>
      <c r="D396" s="62" t="s">
        <v>679</v>
      </c>
      <c r="E396" s="62" t="s">
        <v>1068</v>
      </c>
      <c r="F396" s="62" t="s">
        <v>795</v>
      </c>
      <c r="G396" s="57" t="str">
        <f>_xlfn.CONCAT(Таблица2[[#This Row],[Обознач]],"_",Таблица2[[#This Row],[Наимен]])</f>
        <v>KI.WA.216_Рама сварная 420-2</v>
      </c>
      <c r="H396" s="61">
        <v>1</v>
      </c>
      <c r="I396" s="57"/>
      <c r="J396" s="57"/>
      <c r="K396" s="57"/>
      <c r="L396" s="57"/>
      <c r="M39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97" spans="2:13" x14ac:dyDescent="0.3">
      <c r="B397" s="11"/>
      <c r="C397" s="62" t="s">
        <v>838</v>
      </c>
      <c r="D397" s="62" t="s">
        <v>679</v>
      </c>
      <c r="E397" s="62" t="s">
        <v>944</v>
      </c>
      <c r="F397" s="62" t="s">
        <v>796</v>
      </c>
      <c r="G397" s="57" t="str">
        <f>_xlfn.CONCAT(Таблица2[[#This Row],[Обознач]],"_",Таблица2[[#This Row],[Наимен]])</f>
        <v>KI.WA.186_Рама сварная 420-3</v>
      </c>
      <c r="H397" s="61">
        <v>1</v>
      </c>
      <c r="I397" s="57"/>
      <c r="J397" s="57"/>
      <c r="K397" s="57"/>
      <c r="L397" s="57"/>
      <c r="M39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98" spans="2:13" x14ac:dyDescent="0.3">
      <c r="B398" s="11"/>
      <c r="C398" s="62" t="s">
        <v>839</v>
      </c>
      <c r="D398" s="62" t="s">
        <v>679</v>
      </c>
      <c r="E398" s="62" t="s">
        <v>1069</v>
      </c>
      <c r="F398" s="62" t="s">
        <v>797</v>
      </c>
      <c r="G398" s="57" t="str">
        <f>_xlfn.CONCAT(Таблица2[[#This Row],[Обознач]],"_",Таблица2[[#This Row],[Наимен]])</f>
        <v>KI.WA.217_Рама сварная 420-4</v>
      </c>
      <c r="H398" s="61">
        <v>1</v>
      </c>
      <c r="I398" s="57"/>
      <c r="J398" s="57"/>
      <c r="K398" s="57"/>
      <c r="L398" s="57"/>
      <c r="M39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399" spans="2:13" x14ac:dyDescent="0.3">
      <c r="B399" s="11"/>
      <c r="C399" s="62" t="s">
        <v>840</v>
      </c>
      <c r="D399" s="62" t="s">
        <v>679</v>
      </c>
      <c r="E399" s="62" t="s">
        <v>952</v>
      </c>
      <c r="F399" s="62" t="s">
        <v>798</v>
      </c>
      <c r="G399" s="57" t="str">
        <f>_xlfn.CONCAT(Таблица2[[#This Row],[Обознач]],"_",Таблица2[[#This Row],[Наимен]])</f>
        <v>KI.WA.189_Рама сварная 420-5</v>
      </c>
      <c r="H399" s="61">
        <v>1</v>
      </c>
      <c r="I399" s="57"/>
      <c r="J399" s="57"/>
      <c r="K399" s="57"/>
      <c r="L399" s="57"/>
      <c r="M39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00" spans="2:13" x14ac:dyDescent="0.3">
      <c r="B400" s="11"/>
      <c r="C400" s="62" t="s">
        <v>841</v>
      </c>
      <c r="D400" s="62" t="s">
        <v>679</v>
      </c>
      <c r="E400" s="62" t="s">
        <v>1070</v>
      </c>
      <c r="F400" s="62" t="s">
        <v>799</v>
      </c>
      <c r="G400" s="57" t="str">
        <f>_xlfn.CONCAT(Таблица2[[#This Row],[Обознач]],"_",Таблица2[[#This Row],[Наимен]])</f>
        <v>KI.WA.218_Рама сварная 420-6</v>
      </c>
      <c r="H400" s="61">
        <v>1</v>
      </c>
      <c r="I400" s="57"/>
      <c r="J400" s="57"/>
      <c r="K400" s="57"/>
      <c r="L400" s="57"/>
      <c r="M40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01" spans="2:13" x14ac:dyDescent="0.3">
      <c r="B401" s="11"/>
      <c r="C401" s="62" t="s">
        <v>842</v>
      </c>
      <c r="D401" s="62" t="s">
        <v>679</v>
      </c>
      <c r="E401" s="62" t="s">
        <v>1071</v>
      </c>
      <c r="F401" s="62" t="s">
        <v>800</v>
      </c>
      <c r="G401" s="57" t="str">
        <f>_xlfn.CONCAT(Таблица2[[#This Row],[Обознач]],"_",Таблица2[[#This Row],[Наимен]])</f>
        <v>KI.WA.219_Рама сварная 420-7</v>
      </c>
      <c r="H401" s="61">
        <v>1</v>
      </c>
      <c r="I401" s="57"/>
      <c r="J401" s="57"/>
      <c r="K401" s="57"/>
      <c r="L401" s="57"/>
      <c r="M40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02" spans="2:13" x14ac:dyDescent="0.3">
      <c r="B402" s="11"/>
      <c r="C402" s="62" t="s">
        <v>80</v>
      </c>
      <c r="D402" s="62" t="s">
        <v>679</v>
      </c>
      <c r="E402" s="62" t="s">
        <v>843</v>
      </c>
      <c r="F402" s="62" t="s">
        <v>844</v>
      </c>
      <c r="G402" s="57" t="str">
        <f>_xlfn.CONCAT(Таблица2[[#This Row],[Обознач]],"_",Таблица2[[#This Row],[Наимен]])</f>
        <v>KI.WA.149_Антиопрокидыватель сварной</v>
      </c>
      <c r="H402" s="61">
        <v>1</v>
      </c>
      <c r="I402" s="57"/>
      <c r="J402" s="57"/>
      <c r="K402" s="57"/>
      <c r="L402" s="57"/>
      <c r="M40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403" spans="2:13" x14ac:dyDescent="0.3">
      <c r="B403" s="11"/>
      <c r="C403" s="62" t="s">
        <v>80</v>
      </c>
      <c r="D403" s="62" t="s">
        <v>594</v>
      </c>
      <c r="E403" s="62" t="s">
        <v>871</v>
      </c>
      <c r="F403" s="62" t="s">
        <v>872</v>
      </c>
      <c r="G403" s="57" t="str">
        <f>_xlfn.CONCAT(Таблица2[[#This Row],[Обознач]],"_",Таблица2[[#This Row],[Наимен]])</f>
        <v>KI.SP.316_Кроншетейн антиопрокидывателя</v>
      </c>
      <c r="H403" s="61">
        <v>1</v>
      </c>
      <c r="I403" s="57"/>
      <c r="J403" s="57"/>
      <c r="K403" s="57"/>
      <c r="L403" s="57"/>
      <c r="M40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da</v>
      </c>
    </row>
    <row r="404" spans="2:13" x14ac:dyDescent="0.3">
      <c r="B404" s="11"/>
      <c r="C404" s="62"/>
      <c r="D404" s="62"/>
      <c r="E404" s="62" t="s">
        <v>222</v>
      </c>
      <c r="F404" s="62"/>
      <c r="G404" s="57" t="str">
        <f>_xlfn.CONCAT(Таблица2[[#This Row],[Обознач]],"_",Таблица2[[#This Row],[Наимен]])</f>
        <v>?KI.BP.?_</v>
      </c>
      <c r="H404" s="57"/>
      <c r="I404" s="57"/>
      <c r="J404" s="57"/>
      <c r="K404" s="57"/>
      <c r="L404" s="57"/>
      <c r="M40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05" spans="2:13" x14ac:dyDescent="0.3">
      <c r="B405" s="11"/>
      <c r="C405" s="62"/>
      <c r="D405" s="62"/>
      <c r="E405" s="62" t="s">
        <v>222</v>
      </c>
      <c r="F405" s="62"/>
      <c r="G405" s="57" t="str">
        <f>_xlfn.CONCAT(Таблица2[[#This Row],[Обознач]],"_",Таблица2[[#This Row],[Наимен]])</f>
        <v>?KI.BP.?_</v>
      </c>
      <c r="H405" s="57"/>
      <c r="I405" s="57"/>
      <c r="J405" s="57"/>
      <c r="K405" s="57"/>
      <c r="L405" s="57"/>
      <c r="M40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06" spans="2:13" x14ac:dyDescent="0.3">
      <c r="B406" s="11"/>
      <c r="C406" s="62"/>
      <c r="D406" s="62"/>
      <c r="E406" s="62" t="s">
        <v>222</v>
      </c>
      <c r="F406" s="62"/>
      <c r="G406" s="57" t="str">
        <f>_xlfn.CONCAT(Таблица2[[#This Row],[Обознач]],"_",Таблица2[[#This Row],[Наимен]])</f>
        <v>?KI.BP.?_</v>
      </c>
      <c r="H406" s="57"/>
      <c r="I406" s="57"/>
      <c r="J406" s="57"/>
      <c r="K406" s="57"/>
      <c r="L406" s="57"/>
      <c r="M406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07" spans="2:13" x14ac:dyDescent="0.3">
      <c r="B407" s="11"/>
      <c r="C407" s="62"/>
      <c r="D407" s="62"/>
      <c r="E407" s="62" t="s">
        <v>222</v>
      </c>
      <c r="F407" s="62"/>
      <c r="G407" s="57" t="str">
        <f>_xlfn.CONCAT(Таблица2[[#This Row],[Обознач]],"_",Таблица2[[#This Row],[Наимен]])</f>
        <v>?KI.BP.?_</v>
      </c>
      <c r="H407" s="57"/>
      <c r="I407" s="57"/>
      <c r="J407" s="57"/>
      <c r="K407" s="57"/>
      <c r="L407" s="57"/>
      <c r="M407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08" spans="2:13" x14ac:dyDescent="0.3">
      <c r="B408" s="11"/>
      <c r="C408" s="62"/>
      <c r="D408" s="62"/>
      <c r="E408" s="62" t="s">
        <v>222</v>
      </c>
      <c r="F408" s="62"/>
      <c r="G408" s="57" t="str">
        <f>_xlfn.CONCAT(Таблица2[[#This Row],[Обознач]],"_",Таблица2[[#This Row],[Наимен]])</f>
        <v>?KI.BP.?_</v>
      </c>
      <c r="H408" s="57"/>
      <c r="I408" s="57"/>
      <c r="J408" s="57"/>
      <c r="K408" s="57"/>
      <c r="L408" s="57"/>
      <c r="M408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09" spans="2:13" x14ac:dyDescent="0.3">
      <c r="B409" s="11"/>
      <c r="C409" s="62"/>
      <c r="D409" s="62"/>
      <c r="E409" s="62" t="s">
        <v>222</v>
      </c>
      <c r="F409" s="62"/>
      <c r="G409" s="57" t="str">
        <f>_xlfn.CONCAT(Таблица2[[#This Row],[Обознач]],"_",Таблица2[[#This Row],[Наимен]])</f>
        <v>?KI.BP.?_</v>
      </c>
      <c r="H409" s="57"/>
      <c r="I409" s="57"/>
      <c r="J409" s="57"/>
      <c r="K409" s="57"/>
      <c r="L409" s="57"/>
      <c r="M409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10" spans="2:13" x14ac:dyDescent="0.3">
      <c r="B410" s="11"/>
      <c r="C410" s="62"/>
      <c r="D410" s="62"/>
      <c r="E410" s="62" t="s">
        <v>222</v>
      </c>
      <c r="F410" s="62"/>
      <c r="G410" s="57" t="str">
        <f>_xlfn.CONCAT(Таблица2[[#This Row],[Обознач]],"_",Таблица2[[#This Row],[Наимен]])</f>
        <v>?KI.BP.?_</v>
      </c>
      <c r="H410" s="57"/>
      <c r="I410" s="57"/>
      <c r="J410" s="57"/>
      <c r="K410" s="57"/>
      <c r="L410" s="57"/>
      <c r="M410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11" spans="2:13" x14ac:dyDescent="0.3">
      <c r="B411" s="11"/>
      <c r="C411" s="62"/>
      <c r="D411" s="62"/>
      <c r="E411" s="62" t="s">
        <v>222</v>
      </c>
      <c r="F411" s="62"/>
      <c r="G411" s="57" t="str">
        <f>_xlfn.CONCAT(Таблица2[[#This Row],[Обознач]],"_",Таблица2[[#This Row],[Наимен]])</f>
        <v>?KI.BP.?_</v>
      </c>
      <c r="H411" s="57"/>
      <c r="I411" s="57"/>
      <c r="J411" s="57"/>
      <c r="K411" s="57"/>
      <c r="L411" s="57"/>
      <c r="M411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12" spans="2:13" x14ac:dyDescent="0.3">
      <c r="B412" s="11"/>
      <c r="C412" s="62"/>
      <c r="D412" s="62"/>
      <c r="E412" s="62" t="s">
        <v>222</v>
      </c>
      <c r="F412" s="62"/>
      <c r="G412" s="57" t="str">
        <f>_xlfn.CONCAT(Таблица2[[#This Row],[Обознач]],"_",Таблица2[[#This Row],[Наимен]])</f>
        <v>?KI.BP.?_</v>
      </c>
      <c r="H412" s="57"/>
      <c r="I412" s="57"/>
      <c r="J412" s="57"/>
      <c r="K412" s="57"/>
      <c r="L412" s="57"/>
      <c r="M412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13" spans="2:13" x14ac:dyDescent="0.3">
      <c r="B413" s="11"/>
      <c r="C413" s="62"/>
      <c r="D413" s="62"/>
      <c r="E413" s="62" t="s">
        <v>222</v>
      </c>
      <c r="F413" s="62"/>
      <c r="G413" s="57" t="str">
        <f>_xlfn.CONCAT(Таблица2[[#This Row],[Обознач]],"_",Таблица2[[#This Row],[Наимен]])</f>
        <v>?KI.BP.?_</v>
      </c>
      <c r="H413" s="57"/>
      <c r="I413" s="57"/>
      <c r="J413" s="57"/>
      <c r="K413" s="57"/>
      <c r="L413" s="57"/>
      <c r="M413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14" spans="2:13" x14ac:dyDescent="0.3">
      <c r="B414" s="11"/>
      <c r="C414" s="62"/>
      <c r="D414" s="62"/>
      <c r="E414" s="62" t="s">
        <v>222</v>
      </c>
      <c r="F414" s="62"/>
      <c r="G414" s="57" t="str">
        <f>_xlfn.CONCAT(Таблица2[[#This Row],[Обознач]],"_",Таблица2[[#This Row],[Наимен]])</f>
        <v>?KI.BP.?_</v>
      </c>
      <c r="H414" s="57"/>
      <c r="I414" s="57"/>
      <c r="J414" s="57"/>
      <c r="K414" s="57"/>
      <c r="L414" s="57"/>
      <c r="M414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15" spans="2:13" x14ac:dyDescent="0.3">
      <c r="B415" s="11"/>
      <c r="C415" s="62"/>
      <c r="D415" s="62"/>
      <c r="E415" s="62" t="s">
        <v>222</v>
      </c>
      <c r="F415" s="62"/>
      <c r="G415" s="57" t="str">
        <f>_xlfn.CONCAT(Таблица2[[#This Row],[Обознач]],"_",Таблица2[[#This Row],[Наимен]])</f>
        <v>?KI.BP.?_</v>
      </c>
      <c r="H415" s="57"/>
      <c r="I415" s="57"/>
      <c r="J415" s="57"/>
      <c r="K415" s="57"/>
      <c r="L415" s="57"/>
      <c r="M415" s="68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  <row r="416" spans="2:13" x14ac:dyDescent="0.3">
      <c r="B416" s="94"/>
      <c r="C416" s="63"/>
      <c r="D416" s="63"/>
      <c r="E416" s="62" t="s">
        <v>222</v>
      </c>
      <c r="F416" s="63"/>
      <c r="G416" s="57" t="str">
        <f>_xlfn.CONCAT(Таблица2[[#This Row],[Обознач]],"_",Таблица2[[#This Row],[Наимен]])</f>
        <v>?KI.BP.?_</v>
      </c>
      <c r="H416" s="58"/>
      <c r="I416" s="58"/>
      <c r="J416" s="58"/>
      <c r="K416" s="58"/>
      <c r="L416" s="58"/>
      <c r="M416" s="95" t="str">
        <f>IF(OR(Таблица2[[#This Row],[Код]]=$P$3,Таблица2[[#This Row],[Код]]=$U$3,Таблица2[[#This Row],[Код]]=$Q$3,Таблица2[[#This Row],[Код]]=$S$3,Таблица2[[#This Row],[Код]]=$Q$5,Таблица2[[#This Row],[Код]]=$T$3,Таблица2[[#This Row],[Код]]=$T$5,Таблица2[[#This Row],[Код]]=$V$5,Таблица2[[#This Row],[Код]]=$V$3,Таблица2[[#This Row],[Код]]=$W$3,Таблица2[[#This Row],[Код]]=$W$5),"da","no")</f>
        <v>no</v>
      </c>
    </row>
  </sheetData>
  <mergeCells count="1">
    <mergeCell ref="O2:O5"/>
  </mergeCells>
  <conditionalFormatting sqref="Q232:XFD232 N233:XFD1048576 N232:O232 A67:A1048576 A27:D27 F27:O27 B114:D114 F114:M114 A60:D60 F60:O60 S8:XFD10 D276:D314 A1:XFD1 Y2:XFD4 R6:XFD7 P6:Q8 G290:G366 N90:XFD231 A61:O66 F258:M259 G260:M262 N67:O89 B404:M1048576 B360:C403 I276:M403 E276:G276 F272 F274 X5:XFD5 P15:XFD89 M246:M251 B115:M245 D252:M257 D258 D274 D275:F275 D272 D273:F273 D271:F271 I6:O7 I5:V5 I8:Q10 I15:O16 I11:XFD14 A20:O26 A28:O59 A2:F19 H17:O19 H2:V4 B67:M83 B84:D84 F84:M84 B85:M113 E360:F366 E367:G403 D277:G289 F263:M263 B246:B359 D260:D270 G264:M275 D290:E359">
    <cfRule type="containsText" dxfId="107" priority="64" operator="containsText" text="?KI.BP.?">
      <formula>NOT(ISERROR(SEARCH("?KI.BP.?",A1)))</formula>
    </cfRule>
  </conditionalFormatting>
  <conditionalFormatting sqref="E258">
    <cfRule type="containsText" dxfId="106" priority="57" operator="containsText" text="?KI.BP.?">
      <formula>NOT(ISERROR(SEARCH("?KI.BP.?",E258)))</formula>
    </cfRule>
  </conditionalFormatting>
  <conditionalFormatting sqref="E27">
    <cfRule type="containsText" dxfId="105" priority="55" operator="containsText" text="?KI.BP.?">
      <formula>NOT(ISERROR(SEARCH("?KI.BP.?",E27)))</formula>
    </cfRule>
  </conditionalFormatting>
  <conditionalFormatting sqref="E114">
    <cfRule type="containsText" dxfId="104" priority="54" operator="containsText" text="?KI.BP.?">
      <formula>NOT(ISERROR(SEARCH("?KI.BP.?",E114)))</formula>
    </cfRule>
  </conditionalFormatting>
  <conditionalFormatting sqref="F270">
    <cfRule type="containsText" dxfId="103" priority="52" operator="containsText" text="?KI.BP.?">
      <formula>NOT(ISERROR(SEARCH("?KI.BP.?",F270)))</formula>
    </cfRule>
  </conditionalFormatting>
  <conditionalFormatting sqref="F290:F303">
    <cfRule type="containsText" dxfId="102" priority="51" operator="containsText" text="?KI.BP.?">
      <formula>NOT(ISERROR(SEARCH("?KI.BP.?",F290)))</formula>
    </cfRule>
  </conditionalFormatting>
  <conditionalFormatting sqref="F304:F317">
    <cfRule type="containsText" dxfId="101" priority="50" operator="containsText" text="?KI.BP.?">
      <formula>NOT(ISERROR(SEARCH("?KI.BP.?",F304)))</formula>
    </cfRule>
  </conditionalFormatting>
  <conditionalFormatting sqref="F318:F331">
    <cfRule type="containsText" dxfId="100" priority="49" operator="containsText" text="?KI.BP.?">
      <formula>NOT(ISERROR(SEARCH("?KI.BP.?",F318)))</formula>
    </cfRule>
  </conditionalFormatting>
  <conditionalFormatting sqref="F332:F345">
    <cfRule type="containsText" dxfId="99" priority="48" operator="containsText" text="?KI.BP.?">
      <formula>NOT(ISERROR(SEARCH("?KI.BP.?",F332)))</formula>
    </cfRule>
  </conditionalFormatting>
  <conditionalFormatting sqref="F346:F359">
    <cfRule type="containsText" dxfId="98" priority="47" operator="containsText" text="?KI.BP.?">
      <formula>NOT(ISERROR(SEARCH("?KI.BP.?",F346)))</formula>
    </cfRule>
  </conditionalFormatting>
  <conditionalFormatting sqref="W2:W3">
    <cfRule type="containsText" dxfId="97" priority="42" operator="containsText" text="?KI.BP.?">
      <formula>NOT(ISERROR(SEARCH("?KI.BP.?",W2)))</formula>
    </cfRule>
  </conditionalFormatting>
  <conditionalFormatting sqref="C276:C359">
    <cfRule type="containsText" dxfId="96" priority="46" operator="containsText" text="?KI.BP.?">
      <formula>NOT(ISERROR(SEARCH("?KI.BP.?",C276)))</formula>
    </cfRule>
  </conditionalFormatting>
  <conditionalFormatting sqref="H276:H366">
    <cfRule type="containsText" dxfId="95" priority="44" operator="containsText" text="?KI.BP.?">
      <formula>NOT(ISERROR(SEARCH("?KI.BP.?",H276)))</formula>
    </cfRule>
  </conditionalFormatting>
  <conditionalFormatting sqref="H367:H401">
    <cfRule type="containsText" dxfId="94" priority="43" operator="containsText" text="?KI.BP.?">
      <formula>NOT(ISERROR(SEARCH("?KI.BP.?",H367)))</formula>
    </cfRule>
  </conditionalFormatting>
  <conditionalFormatting sqref="D360:D401">
    <cfRule type="containsText" dxfId="93" priority="41" operator="containsText" text="?KI.BP.?">
      <formula>NOT(ISERROR(SEARCH("?KI.BP.?",D360)))</formula>
    </cfRule>
  </conditionalFormatting>
  <conditionalFormatting sqref="D402">
    <cfRule type="containsText" dxfId="92" priority="40" operator="containsText" text="?KI.BP.?">
      <formula>NOT(ISERROR(SEARCH("?KI.BP.?",D402)))</formula>
    </cfRule>
  </conditionalFormatting>
  <conditionalFormatting sqref="H402">
    <cfRule type="containsText" dxfId="91" priority="39" operator="containsText" text="?KI.BP.?">
      <formula>NOT(ISERROR(SEARCH("?KI.BP.?",H402)))</formula>
    </cfRule>
  </conditionalFormatting>
  <conditionalFormatting sqref="E60">
    <cfRule type="containsText" dxfId="90" priority="38" operator="containsText" text="?KI.BP.?">
      <formula>NOT(ISERROR(SEARCH("?KI.BP.?",E60)))</formula>
    </cfRule>
  </conditionalFormatting>
  <conditionalFormatting sqref="E260:F260">
    <cfRule type="containsText" dxfId="89" priority="37" operator="containsText" text="?KI.BP.?">
      <formula>NOT(ISERROR(SEARCH("?KI.BP.?",E260)))</formula>
    </cfRule>
  </conditionalFormatting>
  <conditionalFormatting sqref="E263">
    <cfRule type="containsText" dxfId="88" priority="36" operator="containsText" text="?KI.BP.?">
      <formula>NOT(ISERROR(SEARCH("?KI.BP.?",E263)))</formula>
    </cfRule>
  </conditionalFormatting>
  <conditionalFormatting sqref="D259">
    <cfRule type="containsText" dxfId="87" priority="35" operator="containsText" text="?KI.BP.?">
      <formula>NOT(ISERROR(SEARCH("?KI.BP.?",D259)))</formula>
    </cfRule>
  </conditionalFormatting>
  <conditionalFormatting sqref="F262">
    <cfRule type="containsText" dxfId="86" priority="33" operator="containsText" text="?KI.BP.?">
      <formula>NOT(ISERROR(SEARCH("?KI.BP.?",F262)))</formula>
    </cfRule>
  </conditionalFormatting>
  <conditionalFormatting sqref="F261">
    <cfRule type="containsText" dxfId="85" priority="32" operator="containsText" text="?KI.BP.?">
      <formula>NOT(ISERROR(SEARCH("?KI.BP.?",F261)))</formula>
    </cfRule>
  </conditionalFormatting>
  <conditionalFormatting sqref="E262">
    <cfRule type="containsText" dxfId="84" priority="31" operator="containsText" text="?KI.BP.?">
      <formula>NOT(ISERROR(SEARCH("?KI.BP.?",E262)))</formula>
    </cfRule>
  </conditionalFormatting>
  <conditionalFormatting sqref="E261">
    <cfRule type="containsText" dxfId="83" priority="30" operator="containsText" text="?KI.BP.?">
      <formula>NOT(ISERROR(SEARCH("?KI.BP.?",E261)))</formula>
    </cfRule>
  </conditionalFormatting>
  <conditionalFormatting sqref="D403">
    <cfRule type="containsText" dxfId="82" priority="29" operator="containsText" text="?KI.BP.?">
      <formula>NOT(ISERROR(SEARCH("?KI.BP.?",D403)))</formula>
    </cfRule>
  </conditionalFormatting>
  <conditionalFormatting sqref="H403">
    <cfRule type="containsText" dxfId="81" priority="28" operator="containsText" text="?KI.BP.?">
      <formula>NOT(ISERROR(SEARCH("?KI.BP.?",H403)))</formula>
    </cfRule>
  </conditionalFormatting>
  <conditionalFormatting sqref="E270">
    <cfRule type="containsText" dxfId="80" priority="27" operator="containsText" text="?KI.BP.?">
      <formula>NOT(ISERROR(SEARCH("?KI.BP.?",E270)))</formula>
    </cfRule>
  </conditionalFormatting>
  <conditionalFormatting sqref="E272">
    <cfRule type="containsText" dxfId="79" priority="26" operator="containsText" text="?KI.BP.?">
      <formula>NOT(ISERROR(SEARCH("?KI.BP.?",E272)))</formula>
    </cfRule>
  </conditionalFormatting>
  <conditionalFormatting sqref="E274">
    <cfRule type="containsText" dxfId="78" priority="25" operator="containsText" text="?KI.BP.?">
      <formula>NOT(ISERROR(SEARCH("?KI.BP.?",E274)))</formula>
    </cfRule>
  </conditionalFormatting>
  <conditionalFormatting sqref="W4:W5">
    <cfRule type="containsText" dxfId="77" priority="24" operator="containsText" text="?KI.BP.?">
      <formula>NOT(ISERROR(SEARCH("?KI.BP.?",W4)))</formula>
    </cfRule>
  </conditionalFormatting>
  <conditionalFormatting sqref="C246:C251">
    <cfRule type="containsText" dxfId="76" priority="23" operator="containsText" text="?KI.BP.?">
      <formula>NOT(ISERROR(SEARCH("?KI.BP.?",C246)))</formula>
    </cfRule>
  </conditionalFormatting>
  <conditionalFormatting sqref="D246:L251">
    <cfRule type="containsText" dxfId="75" priority="22" operator="containsText" text="?KI.BP.?">
      <formula>NOT(ISERROR(SEARCH("?KI.BP.?",D246)))</formula>
    </cfRule>
  </conditionalFormatting>
  <conditionalFormatting sqref="C252:C257">
    <cfRule type="containsText" dxfId="74" priority="21" operator="containsText" text="?KI.BP.?">
      <formula>NOT(ISERROR(SEARCH("?KI.BP.?",C252)))</formula>
    </cfRule>
  </conditionalFormatting>
  <conditionalFormatting sqref="C258:C263">
    <cfRule type="containsText" dxfId="73" priority="20" operator="containsText" text="?KI.BP.?">
      <formula>NOT(ISERROR(SEARCH("?KI.BP.?",C258)))</formula>
    </cfRule>
  </conditionalFormatting>
  <conditionalFormatting sqref="C270:C275">
    <cfRule type="containsText" dxfId="72" priority="19" operator="containsText" text="?KI.BP.?">
      <formula>NOT(ISERROR(SEARCH("?KI.BP.?",C270)))</formula>
    </cfRule>
  </conditionalFormatting>
  <conditionalFormatting sqref="H5:H7">
    <cfRule type="containsText" dxfId="71" priority="18" operator="containsText" text="?KI.BP.?">
      <formula>NOT(ISERROR(SEARCH("?KI.BP.?",H5)))</formula>
    </cfRule>
  </conditionalFormatting>
  <conditionalFormatting sqref="H14:H16">
    <cfRule type="containsText" dxfId="70" priority="13" operator="containsText" text="?KI.BP.?">
      <formula>NOT(ISERROR(SEARCH("?KI.BP.?",H14)))</formula>
    </cfRule>
  </conditionalFormatting>
  <conditionalFormatting sqref="H8:H10">
    <cfRule type="containsText" dxfId="69" priority="15" operator="containsText" text="?KI.BP.?">
      <formula>NOT(ISERROR(SEARCH("?KI.BP.?",H8)))</formula>
    </cfRule>
  </conditionalFormatting>
  <conditionalFormatting sqref="H11:H13">
    <cfRule type="containsText" dxfId="68" priority="14" operator="containsText" text="?KI.BP.?">
      <formula>NOT(ISERROR(SEARCH("?KI.BP.?",H11)))</formula>
    </cfRule>
  </conditionalFormatting>
  <conditionalFormatting sqref="G2:G19">
    <cfRule type="containsText" dxfId="67" priority="12" operator="containsText" text="?KI.BP.?">
      <formula>NOT(ISERROR(SEARCH("?KI.BP.?",G2)))</formula>
    </cfRule>
  </conditionalFormatting>
  <conditionalFormatting sqref="E84">
    <cfRule type="containsText" dxfId="66" priority="10" operator="containsText" text="?KI.BP.?">
      <formula>NOT(ISERROR(SEARCH("?KI.BP.?",E84)))</formula>
    </cfRule>
  </conditionalFormatting>
  <conditionalFormatting sqref="E264 E267:E269">
    <cfRule type="containsText" dxfId="65" priority="9" operator="containsText" text="?KI.BP.?">
      <formula>NOT(ISERROR(SEARCH("?KI.BP.?",E264)))</formula>
    </cfRule>
  </conditionalFormatting>
  <conditionalFormatting sqref="C264:C269">
    <cfRule type="containsText" dxfId="64" priority="8" operator="containsText" text="?KI.BP.?">
      <formula>NOT(ISERROR(SEARCH("?KI.BP.?",C264)))</formula>
    </cfRule>
  </conditionalFormatting>
  <conditionalFormatting sqref="F264:F265 F269">
    <cfRule type="containsText" dxfId="63" priority="7" operator="containsText" text="?KI.BP.?">
      <formula>NOT(ISERROR(SEARCH("?KI.BP.?",F264)))</formula>
    </cfRule>
  </conditionalFormatting>
  <conditionalFormatting sqref="F266">
    <cfRule type="containsText" dxfId="62" priority="6" operator="containsText" text="?KI.BP.?">
      <formula>NOT(ISERROR(SEARCH("?KI.BP.?",F266)))</formula>
    </cfRule>
  </conditionalFormatting>
  <conditionalFormatting sqref="F268">
    <cfRule type="containsText" dxfId="61" priority="5" operator="containsText" text="?KI.BP.?">
      <formula>NOT(ISERROR(SEARCH("?KI.BP.?",F268)))</formula>
    </cfRule>
  </conditionalFormatting>
  <conditionalFormatting sqref="F267">
    <cfRule type="containsText" dxfId="60" priority="4" operator="containsText" text="?KI.BP.?">
      <formula>NOT(ISERROR(SEARCH("?KI.BP.?",F267)))</formula>
    </cfRule>
  </conditionalFormatting>
  <conditionalFormatting sqref="E265">
    <cfRule type="containsText" dxfId="59" priority="3" operator="containsText" text="?KI.BP.?">
      <formula>NOT(ISERROR(SEARCH("?KI.BP.?",E265)))</formula>
    </cfRule>
  </conditionalFormatting>
  <conditionalFormatting sqref="E266">
    <cfRule type="containsText" dxfId="58" priority="2" operator="containsText" text="?KI.BP.?">
      <formula>NOT(ISERROR(SEARCH("?KI.BP.?",E266)))</formula>
    </cfRule>
  </conditionalFormatting>
  <conditionalFormatting sqref="E259">
    <cfRule type="containsText" dxfId="57" priority="1" operator="containsText" text="?KI.BP.?">
      <formula>NOT(ISERROR(SEARCH("?KI.BP.?",E259)))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64B5-6027-436A-9550-D5A058AE585F}">
  <dimension ref="B4:AV58"/>
  <sheetViews>
    <sheetView topLeftCell="L4" zoomScale="85" zoomScaleNormal="85" workbookViewId="0">
      <selection activeCell="AI24" sqref="AI24"/>
    </sheetView>
  </sheetViews>
  <sheetFormatPr defaultRowHeight="14.4" x14ac:dyDescent="0.3"/>
  <cols>
    <col min="1" max="1" width="3" customWidth="1"/>
    <col min="2" max="2" width="19.33203125" customWidth="1"/>
    <col min="3" max="3" width="7.6640625" customWidth="1"/>
    <col min="4" max="4" width="13.5546875" customWidth="1"/>
    <col min="5" max="5" width="12.5546875" customWidth="1"/>
    <col min="6" max="6" width="2.109375" customWidth="1"/>
    <col min="7" max="7" width="13.109375" customWidth="1"/>
    <col min="8" max="8" width="10.44140625" customWidth="1"/>
    <col min="9" max="9" width="12" customWidth="1"/>
    <col min="10" max="11" width="1.88671875" customWidth="1"/>
    <col min="12" max="12" width="2" customWidth="1"/>
    <col min="13" max="13" width="1.88671875" customWidth="1"/>
    <col min="14" max="15" width="8.88671875" customWidth="1"/>
    <col min="16" max="16" width="11.109375" customWidth="1"/>
    <col min="17" max="17" width="2.6640625" customWidth="1"/>
    <col min="18" max="18" width="8.6640625" customWidth="1"/>
    <col min="19" max="19" width="11.5546875" customWidth="1"/>
    <col min="20" max="20" width="13.6640625" customWidth="1"/>
    <col min="21" max="21" width="2.44140625" customWidth="1"/>
    <col min="22" max="22" width="13.6640625" customWidth="1"/>
    <col min="23" max="23" width="12" customWidth="1"/>
    <col min="24" max="24" width="2.6640625" customWidth="1"/>
    <col min="25" max="25" width="10.5546875" customWidth="1"/>
    <col min="26" max="26" width="13.6640625" customWidth="1"/>
    <col min="27" max="27" width="2.109375" customWidth="1"/>
    <col min="28" max="28" width="12.6640625" customWidth="1"/>
    <col min="29" max="29" width="14.6640625" customWidth="1"/>
    <col min="30" max="30" width="2.88671875" customWidth="1"/>
    <col min="31" max="31" width="13.109375" customWidth="1"/>
    <col min="32" max="32" width="10.44140625" customWidth="1"/>
    <col min="33" max="33" width="3.109375" customWidth="1"/>
    <col min="34" max="34" width="12.6640625" customWidth="1"/>
    <col min="35" max="35" width="13.33203125" customWidth="1"/>
    <col min="36" max="36" width="1.5546875" customWidth="1"/>
    <col min="37" max="37" width="0.88671875" customWidth="1"/>
    <col min="38" max="38" width="14.6640625" customWidth="1"/>
    <col min="39" max="39" width="5" customWidth="1"/>
    <col min="40" max="40" width="5.5546875" style="156" customWidth="1"/>
    <col min="41" max="41" width="5" customWidth="1"/>
    <col min="42" max="42" width="4.88671875" customWidth="1"/>
    <col min="43" max="43" width="5" customWidth="1"/>
    <col min="44" max="44" width="5.109375" customWidth="1"/>
    <col min="45" max="45" width="4" customWidth="1"/>
    <col min="47" max="47" width="27" customWidth="1"/>
    <col min="48" max="48" width="14.6640625" customWidth="1"/>
  </cols>
  <sheetData>
    <row r="4" spans="2:48" ht="72.599999999999994" customHeight="1" x14ac:dyDescent="0.3">
      <c r="B4" s="222" t="s">
        <v>70</v>
      </c>
      <c r="C4" s="222"/>
      <c r="D4" s="222"/>
      <c r="E4" s="222"/>
      <c r="F4" s="55"/>
      <c r="G4" s="54"/>
      <c r="H4" s="215" t="s">
        <v>248</v>
      </c>
      <c r="I4" s="217"/>
      <c r="J4" s="54"/>
      <c r="K4" s="54"/>
      <c r="L4" s="54"/>
      <c r="N4" s="221" t="s">
        <v>21</v>
      </c>
      <c r="O4" s="221"/>
      <c r="P4" s="221"/>
      <c r="Q4" s="76"/>
      <c r="R4" s="215" t="s">
        <v>38</v>
      </c>
      <c r="S4" s="216"/>
      <c r="T4" s="217"/>
      <c r="U4" s="76"/>
      <c r="V4" s="215" t="s">
        <v>46</v>
      </c>
      <c r="W4" s="217"/>
      <c r="X4" s="76"/>
      <c r="Y4" s="215" t="s">
        <v>899</v>
      </c>
      <c r="Z4" s="217"/>
      <c r="AA4" s="76"/>
      <c r="AB4" s="221" t="s">
        <v>74</v>
      </c>
      <c r="AC4" s="221"/>
      <c r="AD4" s="76"/>
      <c r="AE4" s="215" t="s">
        <v>237</v>
      </c>
      <c r="AF4" s="217"/>
      <c r="AH4" s="215" t="s">
        <v>247</v>
      </c>
      <c r="AI4" s="217"/>
      <c r="AL4" s="215" t="s">
        <v>994</v>
      </c>
      <c r="AM4" s="216"/>
      <c r="AN4" s="216"/>
      <c r="AO4" s="216"/>
      <c r="AP4" s="216"/>
      <c r="AQ4" s="216"/>
      <c r="AR4" s="216"/>
      <c r="AS4" s="217"/>
      <c r="AU4" s="164" t="s">
        <v>1025</v>
      </c>
      <c r="AV4" s="164" t="s">
        <v>1004</v>
      </c>
    </row>
    <row r="5" spans="2:48" ht="40.950000000000003" customHeight="1" x14ac:dyDescent="0.3">
      <c r="B5" s="38" t="s">
        <v>16</v>
      </c>
      <c r="C5" s="39" t="s">
        <v>20</v>
      </c>
      <c r="D5" s="53" t="s">
        <v>239</v>
      </c>
      <c r="E5" s="12" t="s">
        <v>39</v>
      </c>
      <c r="F5" s="54"/>
      <c r="G5" s="54"/>
      <c r="H5" s="13" t="s">
        <v>71</v>
      </c>
      <c r="I5" s="13" t="s">
        <v>72</v>
      </c>
      <c r="J5" s="54"/>
      <c r="K5" s="54"/>
      <c r="L5" s="54"/>
      <c r="N5" s="13" t="s">
        <v>17</v>
      </c>
      <c r="O5" s="13" t="s">
        <v>19</v>
      </c>
      <c r="P5" s="13" t="s">
        <v>18</v>
      </c>
      <c r="Q5" s="76"/>
      <c r="R5" s="13" t="s">
        <v>41</v>
      </c>
      <c r="S5" s="13" t="s">
        <v>40</v>
      </c>
      <c r="T5" s="13" t="s">
        <v>39</v>
      </c>
      <c r="U5" s="76"/>
      <c r="V5" s="13" t="s">
        <v>39</v>
      </c>
      <c r="W5" s="13" t="s">
        <v>40</v>
      </c>
      <c r="X5" s="76"/>
      <c r="Y5" s="13" t="s">
        <v>69</v>
      </c>
      <c r="Z5" s="13" t="s">
        <v>39</v>
      </c>
      <c r="AA5" s="76"/>
      <c r="AB5" s="88" t="s">
        <v>69</v>
      </c>
      <c r="AC5" s="88" t="s">
        <v>39</v>
      </c>
      <c r="AD5" s="76"/>
      <c r="AE5" s="76" t="s">
        <v>69</v>
      </c>
      <c r="AF5" s="76" t="s">
        <v>238</v>
      </c>
      <c r="AH5" s="76" t="s">
        <v>69</v>
      </c>
      <c r="AI5" s="76" t="s">
        <v>238</v>
      </c>
      <c r="AL5" s="13" t="s">
        <v>13</v>
      </c>
      <c r="AM5" s="13" t="s">
        <v>996</v>
      </c>
      <c r="AN5" s="13" t="s">
        <v>997</v>
      </c>
      <c r="AO5" s="13" t="s">
        <v>998</v>
      </c>
      <c r="AP5" s="13" t="s">
        <v>999</v>
      </c>
      <c r="AQ5" s="13" t="s">
        <v>1000</v>
      </c>
      <c r="AR5" s="13" t="s">
        <v>1001</v>
      </c>
      <c r="AS5" s="13" t="s">
        <v>1002</v>
      </c>
      <c r="AU5" s="161" t="str">
        <f>AL5</f>
        <v>Длина голени</v>
      </c>
      <c r="AV5" s="161">
        <f>H33</f>
        <v>3</v>
      </c>
    </row>
    <row r="6" spans="2:48" ht="16.95" customHeight="1" x14ac:dyDescent="0.3">
      <c r="B6" s="37" t="s">
        <v>11</v>
      </c>
      <c r="C6" s="13">
        <f>shirbedr</f>
        <v>260</v>
      </c>
      <c r="D6" s="43">
        <f>H24</f>
        <v>300</v>
      </c>
      <c r="E6" s="8">
        <f>H24</f>
        <v>300</v>
      </c>
      <c r="F6" s="54"/>
      <c r="G6" s="54"/>
      <c r="H6" s="7">
        <f t="array" ref="H6">IFERROR(INDEX(Таблица11[Тип коляски],SMALL(IF(Таблица11[Значние]=$C$7,ROW(Таблица11[Значние])-ROW($Y$6)+1),ROW()-ROW($H$6)+1)),"")</f>
        <v>3</v>
      </c>
      <c r="I6" s="7">
        <f t="array" ref="I6">IFERROR(INDEX(Таблица12[Тип коляски],SMALL(IF(Таблица12[Значние]=$C$8,ROW(Таблица12[Значние])-ROW($AB$6)+1),ROW()-ROW($I$6)+1)),"")</f>
        <v>1</v>
      </c>
      <c r="J6" s="54"/>
      <c r="K6" s="54"/>
      <c r="L6" s="54"/>
      <c r="N6" s="7">
        <v>270</v>
      </c>
      <c r="O6" s="7">
        <f>Таблица7[[#This Row],[Ширина]]-Таблица7[[#This Row],[Зазор]]</f>
        <v>220</v>
      </c>
      <c r="P6" s="49">
        <v>50</v>
      </c>
      <c r="R6" s="7" t="s">
        <v>30</v>
      </c>
      <c r="S6" s="7">
        <v>300</v>
      </c>
      <c r="T6" s="50" t="s">
        <v>42</v>
      </c>
      <c r="V6" s="51" t="s">
        <v>57</v>
      </c>
      <c r="W6" s="7">
        <v>100</v>
      </c>
      <c r="Y6" s="13">
        <v>290</v>
      </c>
      <c r="Z6" s="13">
        <v>1</v>
      </c>
      <c r="AB6">
        <v>100</v>
      </c>
      <c r="AC6">
        <v>1</v>
      </c>
      <c r="AE6" s="7">
        <v>200</v>
      </c>
      <c r="AF6" s="7">
        <v>200</v>
      </c>
      <c r="AH6" s="78">
        <v>300</v>
      </c>
      <c r="AI6" s="7">
        <v>1</v>
      </c>
      <c r="AL6" s="13">
        <v>60</v>
      </c>
      <c r="AM6" s="13" t="s">
        <v>991</v>
      </c>
      <c r="AN6" s="13" t="s">
        <v>1003</v>
      </c>
      <c r="AO6" s="13" t="s">
        <v>991</v>
      </c>
      <c r="AP6" s="13" t="s">
        <v>1003</v>
      </c>
      <c r="AQ6" s="13" t="s">
        <v>1003</v>
      </c>
      <c r="AR6" s="13" t="s">
        <v>1003</v>
      </c>
      <c r="AS6" s="13" t="s">
        <v>1003</v>
      </c>
      <c r="AU6" s="162">
        <f>Таблица6[[#This Row],[Длина голени]]</f>
        <v>60</v>
      </c>
      <c r="AV6" s="162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7" spans="2:48" x14ac:dyDescent="0.3">
      <c r="B7" s="37" t="s">
        <v>12</v>
      </c>
      <c r="C7" s="13">
        <f>dlinbedr</f>
        <v>400</v>
      </c>
      <c r="D7" s="42">
        <f>$H$33</f>
        <v>3</v>
      </c>
      <c r="E7" s="9" t="str">
        <f>INDEX($G$16:G22,MATCH($D$7,$H$16:H22,0))</f>
        <v>330-370</v>
      </c>
      <c r="F7" s="54"/>
      <c r="G7" s="54"/>
      <c r="H7" s="7">
        <f t="array" ref="H7">IFERROR(INDEX(Таблица11[Тип коляски],SMALL(IF(Таблица11[Значние]=$C$7,ROW(Таблица11[Значние])-ROW($Y$6)+1),ROW()-ROW($H$6)+1)),"")</f>
        <v>4</v>
      </c>
      <c r="I7" s="7">
        <f t="array" ref="I7">IFERROR(INDEX(Таблица12[Тип коляски],SMALL(IF(Таблица12[Значние]=$C$8,ROW(Таблица12[Значние])-ROW($AB$6)+1),ROW()-ROW($I$6)+1)),"")</f>
        <v>3</v>
      </c>
      <c r="J7" s="54"/>
      <c r="K7" s="54"/>
      <c r="L7" s="54"/>
      <c r="N7" s="7">
        <v>270</v>
      </c>
      <c r="O7" s="7">
        <f>Таблица7[[#This Row],[Ширина]]-Таблица7[[#This Row],[Зазор]]</f>
        <v>230</v>
      </c>
      <c r="P7" s="49">
        <v>40</v>
      </c>
      <c r="R7" s="7" t="s">
        <v>30</v>
      </c>
      <c r="S7" s="7">
        <v>310</v>
      </c>
      <c r="T7" s="50" t="s">
        <v>42</v>
      </c>
      <c r="V7" s="51" t="s">
        <v>57</v>
      </c>
      <c r="W7" s="7">
        <v>110</v>
      </c>
      <c r="Y7" s="13">
        <v>290</v>
      </c>
      <c r="Z7" s="13">
        <v>2</v>
      </c>
      <c r="AB7">
        <v>100</v>
      </c>
      <c r="AC7">
        <v>3</v>
      </c>
      <c r="AE7" s="7">
        <v>210</v>
      </c>
      <c r="AF7" s="7">
        <v>200</v>
      </c>
      <c r="AH7" s="79">
        <v>300</v>
      </c>
      <c r="AI7" s="7">
        <v>2</v>
      </c>
      <c r="AL7" s="13">
        <v>70</v>
      </c>
      <c r="AM7" s="13" t="s">
        <v>991</v>
      </c>
      <c r="AN7" s="13" t="s">
        <v>1003</v>
      </c>
      <c r="AO7" s="13" t="s">
        <v>991</v>
      </c>
      <c r="AP7" s="13" t="s">
        <v>1003</v>
      </c>
      <c r="AQ7" s="13" t="s">
        <v>991</v>
      </c>
      <c r="AR7" s="13" t="s">
        <v>1003</v>
      </c>
      <c r="AS7" s="13" t="s">
        <v>1003</v>
      </c>
      <c r="AU7" s="163">
        <f>Таблица6[[#This Row],[Длина голени]]</f>
        <v>70</v>
      </c>
      <c r="AV7" s="163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8" spans="2:48" x14ac:dyDescent="0.3">
      <c r="B8" s="37" t="s">
        <v>45</v>
      </c>
      <c r="C8" s="13">
        <f>visotakol</f>
        <v>160</v>
      </c>
      <c r="D8" s="42">
        <f>$H$33</f>
        <v>3</v>
      </c>
      <c r="E8" s="9" t="str">
        <f>INDEX($G$16:G23,MATCH($D$7,$H$16:H23,0))</f>
        <v>330-370</v>
      </c>
      <c r="F8" s="54"/>
      <c r="G8" s="54"/>
      <c r="H8" s="7" t="str">
        <f t="array" ref="H8">IFERROR(INDEX(Таблица11[Тип коляски],SMALL(IF(Таблица11[Значние]=$C$7,ROW(Таблица11[Значние])-ROW($Y$6)+1),ROW()-ROW($H$6)+1)),"")</f>
        <v/>
      </c>
      <c r="I8" s="7">
        <f t="array" ref="I8">IFERROR(INDEX(Таблица12[Тип коляски],SMALL(IF(Таблица12[Значние]=$C$8,ROW(Таблица12[Значние])-ROW($AB$6)+1),ROW()-ROW($I$6)+1)),"")</f>
        <v>5</v>
      </c>
      <c r="J8" s="54"/>
      <c r="K8" s="54"/>
      <c r="L8" s="54"/>
      <c r="N8" s="7">
        <v>270</v>
      </c>
      <c r="O8" s="7">
        <f>Таблица7[[#This Row],[Ширина]]-Таблица7[[#This Row],[Зазор]]</f>
        <v>240</v>
      </c>
      <c r="P8" s="49">
        <v>30</v>
      </c>
      <c r="R8" s="7" t="s">
        <v>30</v>
      </c>
      <c r="S8" s="7">
        <v>320</v>
      </c>
      <c r="T8" s="50" t="s">
        <v>42</v>
      </c>
      <c r="V8" s="51" t="s">
        <v>57</v>
      </c>
      <c r="W8" s="7">
        <v>120</v>
      </c>
      <c r="Y8" s="7">
        <v>300</v>
      </c>
      <c r="Z8" s="7">
        <v>1</v>
      </c>
      <c r="AB8">
        <v>100</v>
      </c>
      <c r="AC8">
        <v>5</v>
      </c>
      <c r="AE8" s="7">
        <v>220</v>
      </c>
      <c r="AF8" s="7">
        <v>220</v>
      </c>
      <c r="AH8" s="78">
        <v>360</v>
      </c>
      <c r="AI8" s="7">
        <v>3</v>
      </c>
      <c r="AL8" s="13">
        <v>80</v>
      </c>
      <c r="AM8" s="13" t="s">
        <v>991</v>
      </c>
      <c r="AN8" s="13" t="s">
        <v>1003</v>
      </c>
      <c r="AO8" s="13" t="s">
        <v>991</v>
      </c>
      <c r="AP8" s="13" t="s">
        <v>1003</v>
      </c>
      <c r="AQ8" s="13" t="s">
        <v>991</v>
      </c>
      <c r="AR8" s="13" t="s">
        <v>1003</v>
      </c>
      <c r="AS8" s="13" t="s">
        <v>1003</v>
      </c>
      <c r="AU8" s="162">
        <f>Таблица6[[#This Row],[Длина голени]]</f>
        <v>80</v>
      </c>
      <c r="AV8" s="162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9" spans="2:48" x14ac:dyDescent="0.3">
      <c r="B9" s="40" t="s">
        <v>13</v>
      </c>
      <c r="C9" s="13">
        <f>dlingolen</f>
        <v>350</v>
      </c>
      <c r="D9" s="155" t="str">
        <f>INDEX(AV6:AV44,MATCH(Таблица8[[#This Row],[мм]],$AU$6:$AU$44,0))</f>
        <v>П</v>
      </c>
      <c r="E9" s="10"/>
      <c r="F9" s="54"/>
      <c r="H9" s="7" t="str">
        <f t="array" ref="H9">IFERROR(INDEX(Таблица11[Тип коляски],SMALL(IF(Таблица11[Значние]=$C$7,ROW(Таблица11[Значние])-ROW($Y$6)+1),ROW()-ROW($H$6)+1)),"")</f>
        <v/>
      </c>
      <c r="I9" s="7" t="str">
        <f t="array" ref="I9">IFERROR(INDEX(Таблица12[Тип коляски],SMALL(IF(Таблица12[Значние]=$C$8,ROW(Таблица12[Значние])-ROW($AB$6)+1),ROW()-ROW($I$6)+1)),"")</f>
        <v/>
      </c>
      <c r="N9" s="7">
        <v>300</v>
      </c>
      <c r="O9" s="7">
        <f>Таблица7[[#This Row],[Ширина]]-Таблица7[[#This Row],[Зазор]]</f>
        <v>250</v>
      </c>
      <c r="P9" s="49">
        <v>50</v>
      </c>
      <c r="R9" s="7" t="s">
        <v>30</v>
      </c>
      <c r="S9" s="7">
        <v>330</v>
      </c>
      <c r="T9" s="50" t="s">
        <v>42</v>
      </c>
      <c r="V9" s="51" t="s">
        <v>57</v>
      </c>
      <c r="W9" s="7">
        <v>130</v>
      </c>
      <c r="Y9" s="7">
        <v>300</v>
      </c>
      <c r="Z9" s="7">
        <v>2</v>
      </c>
      <c r="AB9">
        <v>110</v>
      </c>
      <c r="AC9">
        <v>1</v>
      </c>
      <c r="AE9" s="7">
        <v>230</v>
      </c>
      <c r="AF9" s="7">
        <v>220</v>
      </c>
      <c r="AH9" s="79">
        <v>360</v>
      </c>
      <c r="AI9" s="7">
        <v>4</v>
      </c>
      <c r="AL9" s="13">
        <v>90</v>
      </c>
      <c r="AM9" s="13" t="s">
        <v>991</v>
      </c>
      <c r="AN9" s="13" t="s">
        <v>1003</v>
      </c>
      <c r="AO9" s="13" t="s">
        <v>991</v>
      </c>
      <c r="AP9" s="13" t="s">
        <v>1003</v>
      </c>
      <c r="AQ9" s="13" t="s">
        <v>991</v>
      </c>
      <c r="AR9" s="13" t="s">
        <v>1003</v>
      </c>
      <c r="AS9" s="13" t="s">
        <v>1003</v>
      </c>
      <c r="AU9" s="163">
        <f>Таблица6[[#This Row],[Длина голени]]</f>
        <v>90</v>
      </c>
      <c r="AV9" s="163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10" spans="2:48" x14ac:dyDescent="0.3">
      <c r="B10" s="37" t="s">
        <v>237</v>
      </c>
      <c r="C10" s="13">
        <f>visotaSpin</f>
        <v>300</v>
      </c>
      <c r="D10" s="80">
        <f>INDEX(Таблица112[Тип трубки спинки],MATCH($C$10,Таблица112[Значние],0))</f>
        <v>300</v>
      </c>
      <c r="E10" s="81"/>
      <c r="H10" s="7" t="str">
        <f t="array" ref="H10">IFERROR(INDEX(Таблица11[Тип коляски],SMALL(IF(Таблица11[Значние]=$C$7,ROW(Таблица11[Значние])-ROW($Y$6)+1),ROW()-ROW($H$6)+1)),"")</f>
        <v/>
      </c>
      <c r="I10" s="7" t="str">
        <f t="array" ref="I10">IFERROR(INDEX(Таблица12[Тип коляски],SMALL(IF(Таблица12[Значние]=$C$8,ROW(Таблица12[Значние])-ROW($AB$6)+1),ROW()-ROW($I$6)+1)),"")</f>
        <v/>
      </c>
      <c r="N10" s="7">
        <v>300</v>
      </c>
      <c r="O10" s="7">
        <f>Таблица7[[#This Row],[Ширина]]-Таблица7[[#This Row],[Зазор]]</f>
        <v>260</v>
      </c>
      <c r="P10" s="49">
        <v>40</v>
      </c>
      <c r="R10" s="7" t="s">
        <v>30</v>
      </c>
      <c r="S10" s="7">
        <v>340</v>
      </c>
      <c r="T10" s="50" t="s">
        <v>42</v>
      </c>
      <c r="V10" s="51" t="s">
        <v>57</v>
      </c>
      <c r="W10" s="7">
        <v>140</v>
      </c>
      <c r="Y10">
        <v>310</v>
      </c>
      <c r="Z10">
        <v>1</v>
      </c>
      <c r="AB10">
        <v>110</v>
      </c>
      <c r="AC10">
        <v>3</v>
      </c>
      <c r="AE10" s="7">
        <v>240</v>
      </c>
      <c r="AF10" s="7">
        <v>240</v>
      </c>
      <c r="AH10" s="78">
        <v>420</v>
      </c>
      <c r="AI10" s="7">
        <v>5</v>
      </c>
      <c r="AL10" s="78">
        <v>100</v>
      </c>
      <c r="AM10" s="7" t="s">
        <v>991</v>
      </c>
      <c r="AN10" s="13" t="s">
        <v>1003</v>
      </c>
      <c r="AO10" s="7" t="s">
        <v>991</v>
      </c>
      <c r="AP10" s="13" t="s">
        <v>1003</v>
      </c>
      <c r="AQ10" s="7" t="s">
        <v>991</v>
      </c>
      <c r="AR10" s="13" t="s">
        <v>1003</v>
      </c>
      <c r="AS10" s="13" t="s">
        <v>1003</v>
      </c>
      <c r="AU10" s="78">
        <f>Таблица6[[#This Row],[Длина голени]]</f>
        <v>100</v>
      </c>
      <c r="AV10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11" spans="2:48" x14ac:dyDescent="0.3">
      <c r="B11" s="37"/>
      <c r="C11" s="13"/>
      <c r="D11" s="80"/>
      <c r="E11" s="81"/>
      <c r="H11" s="7" t="str">
        <f t="array" ref="H11">IFERROR(INDEX(Таблица11[Тип коляски],SMALL(IF(Таблица11[Значние]=$C$7,ROW(Таблица11[Значние])-ROW($Y$6)+1),ROW()-ROW($H$6)+1)),"")</f>
        <v/>
      </c>
      <c r="I11" s="7" t="str">
        <f t="array" ref="I11">IFERROR(INDEX(Таблица12[Тип коляски],SMALL(IF(Таблица12[Значние]=$C$8,ROW(Таблица12[Значние])-ROW($AB$6)+1),ROW()-ROW($I$6)+1)),"")</f>
        <v/>
      </c>
      <c r="N11" s="7">
        <v>300</v>
      </c>
      <c r="O11" s="7">
        <f>Таблица7[[#This Row],[Ширина]]-Таблица7[[#This Row],[Зазор]]</f>
        <v>270</v>
      </c>
      <c r="P11" s="49">
        <v>30</v>
      </c>
      <c r="R11" s="7" t="s">
        <v>30</v>
      </c>
      <c r="S11" s="7">
        <v>350</v>
      </c>
      <c r="T11" s="50" t="s">
        <v>42</v>
      </c>
      <c r="V11" s="51" t="s">
        <v>57</v>
      </c>
      <c r="W11" s="7">
        <v>150</v>
      </c>
      <c r="Y11">
        <v>310</v>
      </c>
      <c r="Z11">
        <v>2</v>
      </c>
      <c r="AB11">
        <v>110</v>
      </c>
      <c r="AC11">
        <v>5</v>
      </c>
      <c r="AE11" s="7">
        <v>250</v>
      </c>
      <c r="AF11" s="7">
        <v>240</v>
      </c>
      <c r="AH11" s="79">
        <v>420</v>
      </c>
      <c r="AI11" s="7">
        <v>6</v>
      </c>
      <c r="AL11" s="79">
        <v>110</v>
      </c>
      <c r="AM11" s="7" t="s">
        <v>991</v>
      </c>
      <c r="AN11" s="79" t="s">
        <v>991</v>
      </c>
      <c r="AO11" s="7" t="s">
        <v>991</v>
      </c>
      <c r="AP11" s="79" t="s">
        <v>991</v>
      </c>
      <c r="AQ11" s="7" t="s">
        <v>991</v>
      </c>
      <c r="AR11" s="13" t="s">
        <v>1003</v>
      </c>
      <c r="AS11" s="13" t="s">
        <v>1003</v>
      </c>
      <c r="AU11" s="79">
        <f>Таблица6[[#This Row],[Длина голени]]</f>
        <v>110</v>
      </c>
      <c r="AV11" s="79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12" spans="2:48" ht="28.8" x14ac:dyDescent="0.3">
      <c r="B12" s="40" t="s">
        <v>246</v>
      </c>
      <c r="C12" s="41"/>
      <c r="D12" s="86">
        <f>INDEX(Таблица1124[Значние],MATCH($D$7,Таблица1124[Тип трубки спинки],0))</f>
        <v>360</v>
      </c>
      <c r="E12" s="87"/>
      <c r="N12" s="7">
        <v>330</v>
      </c>
      <c r="O12" s="7">
        <f>Таблица7[[#This Row],[Ширина]]-Таблица7[[#This Row],[Зазор]]</f>
        <v>280</v>
      </c>
      <c r="P12" s="49">
        <v>50</v>
      </c>
      <c r="R12" s="7" t="s">
        <v>35</v>
      </c>
      <c r="S12" s="7">
        <v>360</v>
      </c>
      <c r="T12" s="50" t="s">
        <v>43</v>
      </c>
      <c r="V12" s="51" t="s">
        <v>57</v>
      </c>
      <c r="W12" s="7">
        <v>160</v>
      </c>
      <c r="Y12">
        <v>320</v>
      </c>
      <c r="Z12">
        <v>1</v>
      </c>
      <c r="AB12">
        <v>120</v>
      </c>
      <c r="AC12">
        <v>1</v>
      </c>
      <c r="AE12" s="7">
        <v>260</v>
      </c>
      <c r="AF12" s="7">
        <v>260</v>
      </c>
      <c r="AH12" s="78">
        <v>420</v>
      </c>
      <c r="AI12" s="7">
        <v>7</v>
      </c>
      <c r="AL12" s="78">
        <v>120</v>
      </c>
      <c r="AM12" s="7" t="s">
        <v>991</v>
      </c>
      <c r="AN12" s="78" t="s">
        <v>991</v>
      </c>
      <c r="AO12" s="7" t="s">
        <v>991</v>
      </c>
      <c r="AP12" s="78" t="s">
        <v>991</v>
      </c>
      <c r="AQ12" s="7" t="s">
        <v>991</v>
      </c>
      <c r="AR12" s="78" t="s">
        <v>991</v>
      </c>
      <c r="AS12" s="7" t="s">
        <v>991</v>
      </c>
      <c r="AU12" s="78">
        <f>Таблица6[[#This Row],[Длина голени]]</f>
        <v>120</v>
      </c>
      <c r="AV12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13" spans="2:48" x14ac:dyDescent="0.3">
      <c r="N13" s="7">
        <v>330</v>
      </c>
      <c r="O13" s="7">
        <f>Таблица7[[#This Row],[Ширина]]-Таблица7[[#This Row],[Зазор]]</f>
        <v>290</v>
      </c>
      <c r="P13" s="49">
        <v>40</v>
      </c>
      <c r="R13" s="7" t="s">
        <v>35</v>
      </c>
      <c r="S13" s="7">
        <v>370</v>
      </c>
      <c r="T13" s="50" t="s">
        <v>43</v>
      </c>
      <c r="V13" s="51" t="s">
        <v>57</v>
      </c>
      <c r="W13" s="7">
        <v>170</v>
      </c>
      <c r="Y13">
        <v>320</v>
      </c>
      <c r="Z13">
        <v>2</v>
      </c>
      <c r="AB13">
        <v>120</v>
      </c>
      <c r="AC13">
        <v>3</v>
      </c>
      <c r="AE13" s="7">
        <v>270</v>
      </c>
      <c r="AF13" s="7">
        <v>260</v>
      </c>
      <c r="AL13" s="13">
        <v>130</v>
      </c>
      <c r="AM13" s="13" t="s">
        <v>991</v>
      </c>
      <c r="AN13" s="13" t="s">
        <v>991</v>
      </c>
      <c r="AO13" s="13" t="s">
        <v>991</v>
      </c>
      <c r="AP13" s="13" t="s">
        <v>991</v>
      </c>
      <c r="AQ13" s="13" t="s">
        <v>991</v>
      </c>
      <c r="AR13" s="13" t="s">
        <v>991</v>
      </c>
      <c r="AS13" s="13" t="s">
        <v>991</v>
      </c>
      <c r="AU13" s="163">
        <f>Таблица6[[#This Row],[Длина голени]]</f>
        <v>130</v>
      </c>
      <c r="AV13" s="163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14" spans="2:48" x14ac:dyDescent="0.3">
      <c r="N14" s="7">
        <v>330</v>
      </c>
      <c r="O14" s="7">
        <f>Таблица7[[#This Row],[Ширина]]-Таблица7[[#This Row],[Зазор]]</f>
        <v>300</v>
      </c>
      <c r="P14" s="49">
        <v>30</v>
      </c>
      <c r="R14" s="7" t="s">
        <v>35</v>
      </c>
      <c r="S14" s="7">
        <v>380</v>
      </c>
      <c r="T14" s="50" t="s">
        <v>43</v>
      </c>
      <c r="V14" s="51" t="s">
        <v>58</v>
      </c>
      <c r="W14" s="7">
        <v>180</v>
      </c>
      <c r="Y14">
        <v>330</v>
      </c>
      <c r="Z14">
        <v>1</v>
      </c>
      <c r="AB14">
        <v>120</v>
      </c>
      <c r="AC14">
        <v>5</v>
      </c>
      <c r="AE14" s="7">
        <v>280</v>
      </c>
      <c r="AF14" s="7">
        <v>280</v>
      </c>
      <c r="AL14" s="78">
        <v>140</v>
      </c>
      <c r="AM14" s="7" t="s">
        <v>991</v>
      </c>
      <c r="AN14" s="78" t="s">
        <v>991</v>
      </c>
      <c r="AO14" s="7" t="s">
        <v>991</v>
      </c>
      <c r="AP14" s="78" t="s">
        <v>991</v>
      </c>
      <c r="AQ14" s="7" t="s">
        <v>991</v>
      </c>
      <c r="AR14" s="78" t="s">
        <v>991</v>
      </c>
      <c r="AS14" s="7" t="s">
        <v>991</v>
      </c>
      <c r="AU14" s="78">
        <f>Таблица6[[#This Row],[Длина голени]]</f>
        <v>140</v>
      </c>
      <c r="AV14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15" spans="2:48" x14ac:dyDescent="0.3">
      <c r="G15" s="218" t="s">
        <v>73</v>
      </c>
      <c r="H15" s="219"/>
      <c r="I15" s="220"/>
      <c r="N15" s="7">
        <v>360</v>
      </c>
      <c r="O15" s="7">
        <f>Таблица7[[#This Row],[Ширина]]-Таблица7[[#This Row],[Зазор]]</f>
        <v>310</v>
      </c>
      <c r="P15" s="49">
        <v>50</v>
      </c>
      <c r="R15" s="7" t="s">
        <v>35</v>
      </c>
      <c r="S15" s="7">
        <v>390</v>
      </c>
      <c r="T15" s="50" t="s">
        <v>43</v>
      </c>
      <c r="V15" s="51" t="s">
        <v>58</v>
      </c>
      <c r="W15" s="7">
        <v>190</v>
      </c>
      <c r="Y15">
        <v>330</v>
      </c>
      <c r="Z15">
        <v>2</v>
      </c>
      <c r="AB15">
        <v>130</v>
      </c>
      <c r="AC15">
        <v>1</v>
      </c>
      <c r="AE15" s="7">
        <v>290</v>
      </c>
      <c r="AF15" s="7">
        <v>280</v>
      </c>
      <c r="AL15" s="79">
        <v>150</v>
      </c>
      <c r="AM15" s="7" t="s">
        <v>991</v>
      </c>
      <c r="AN15" s="79" t="s">
        <v>991</v>
      </c>
      <c r="AO15" s="7" t="s">
        <v>991</v>
      </c>
      <c r="AP15" s="79" t="s">
        <v>991</v>
      </c>
      <c r="AQ15" s="7" t="s">
        <v>991</v>
      </c>
      <c r="AR15" s="79" t="s">
        <v>991</v>
      </c>
      <c r="AS15" s="7" t="s">
        <v>991</v>
      </c>
      <c r="AU15" s="79">
        <f>Таблица6[[#This Row],[Длина голени]]</f>
        <v>150</v>
      </c>
      <c r="AV15" s="79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16" spans="2:48" x14ac:dyDescent="0.3">
      <c r="G16" s="7" t="s">
        <v>30</v>
      </c>
      <c r="H16" s="7">
        <v>1</v>
      </c>
      <c r="I16" s="7">
        <f t="shared" ref="I16:I22" si="0">COUNTIF($H$6:$I$11,H16)</f>
        <v>1</v>
      </c>
      <c r="N16" s="7">
        <v>360</v>
      </c>
      <c r="O16" s="7">
        <f>Таблица7[[#This Row],[Ширина]]-Таблица7[[#This Row],[Зазор]]</f>
        <v>320</v>
      </c>
      <c r="P16" s="49">
        <v>40</v>
      </c>
      <c r="R16" s="7" t="s">
        <v>35</v>
      </c>
      <c r="S16" s="7">
        <v>400</v>
      </c>
      <c r="T16" s="50" t="s">
        <v>43</v>
      </c>
      <c r="V16" s="51" t="s">
        <v>58</v>
      </c>
      <c r="W16" s="7">
        <v>200</v>
      </c>
      <c r="Y16">
        <v>340</v>
      </c>
      <c r="Z16">
        <v>1</v>
      </c>
      <c r="AB16">
        <v>130</v>
      </c>
      <c r="AC16">
        <v>3</v>
      </c>
      <c r="AE16" s="7">
        <v>300</v>
      </c>
      <c r="AF16" s="7">
        <v>300</v>
      </c>
      <c r="AL16" s="78">
        <v>160</v>
      </c>
      <c r="AM16" s="7" t="s">
        <v>991</v>
      </c>
      <c r="AN16" s="78" t="s">
        <v>991</v>
      </c>
      <c r="AO16" s="7" t="s">
        <v>991</v>
      </c>
      <c r="AP16" s="78" t="s">
        <v>991</v>
      </c>
      <c r="AQ16" s="7" t="s">
        <v>991</v>
      </c>
      <c r="AR16" s="78" t="s">
        <v>991</v>
      </c>
      <c r="AS16" s="7" t="s">
        <v>991</v>
      </c>
      <c r="AU16" s="78">
        <f>Таблица6[[#This Row],[Длина голени]]</f>
        <v>160</v>
      </c>
      <c r="AV16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17" spans="7:48" x14ac:dyDescent="0.3">
      <c r="G17" s="7" t="s">
        <v>30</v>
      </c>
      <c r="H17" s="7">
        <v>2</v>
      </c>
      <c r="I17" s="7">
        <f t="shared" si="0"/>
        <v>0</v>
      </c>
      <c r="N17" s="7">
        <v>360</v>
      </c>
      <c r="O17" s="7">
        <f>Таблица7[[#This Row],[Ширина]]-Таблица7[[#This Row],[Зазор]]</f>
        <v>330</v>
      </c>
      <c r="P17" s="49">
        <v>30</v>
      </c>
      <c r="R17" s="7" t="s">
        <v>35</v>
      </c>
      <c r="S17" s="7">
        <v>410</v>
      </c>
      <c r="T17" s="50" t="s">
        <v>43</v>
      </c>
      <c r="V17" s="51" t="s">
        <v>58</v>
      </c>
      <c r="W17" s="7">
        <v>210</v>
      </c>
      <c r="Y17">
        <v>340</v>
      </c>
      <c r="Z17">
        <v>2</v>
      </c>
      <c r="AB17">
        <v>130</v>
      </c>
      <c r="AC17">
        <v>5</v>
      </c>
      <c r="AE17" s="7">
        <v>310</v>
      </c>
      <c r="AF17" s="7">
        <v>300</v>
      </c>
      <c r="AL17" s="79">
        <v>170</v>
      </c>
      <c r="AM17" s="7" t="s">
        <v>991</v>
      </c>
      <c r="AN17" s="79" t="s">
        <v>991</v>
      </c>
      <c r="AO17" s="7" t="s">
        <v>991</v>
      </c>
      <c r="AP17" s="79" t="s">
        <v>991</v>
      </c>
      <c r="AQ17" s="7" t="s">
        <v>991</v>
      </c>
      <c r="AR17" s="79" t="s">
        <v>991</v>
      </c>
      <c r="AS17" s="7" t="s">
        <v>991</v>
      </c>
      <c r="AU17" s="79">
        <f>Таблица6[[#This Row],[Длина голени]]</f>
        <v>170</v>
      </c>
      <c r="AV17" s="79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18" spans="7:48" ht="17.399999999999999" customHeight="1" x14ac:dyDescent="0.3">
      <c r="G18" s="7" t="s">
        <v>35</v>
      </c>
      <c r="H18" s="7">
        <v>3</v>
      </c>
      <c r="I18" s="7">
        <f t="shared" si="0"/>
        <v>2</v>
      </c>
      <c r="N18" s="7">
        <v>390</v>
      </c>
      <c r="O18" s="7">
        <f>Таблица7[[#This Row],[Ширина]]-Таблица7[[#This Row],[Зазор]]</f>
        <v>340</v>
      </c>
      <c r="P18" s="49">
        <v>50</v>
      </c>
      <c r="R18" s="7" t="s">
        <v>954</v>
      </c>
      <c r="S18" s="7">
        <v>420</v>
      </c>
      <c r="T18" s="50" t="s">
        <v>44</v>
      </c>
      <c r="V18" s="51" t="s">
        <v>58</v>
      </c>
      <c r="W18" s="7">
        <v>220</v>
      </c>
      <c r="Y18">
        <v>350</v>
      </c>
      <c r="Z18">
        <v>1</v>
      </c>
      <c r="AB18">
        <v>140</v>
      </c>
      <c r="AC18">
        <v>1</v>
      </c>
      <c r="AE18" s="7">
        <v>320</v>
      </c>
      <c r="AF18" s="7">
        <v>320</v>
      </c>
      <c r="AL18" s="78">
        <v>180</v>
      </c>
      <c r="AM18" s="7" t="s">
        <v>991</v>
      </c>
      <c r="AN18" s="78" t="s">
        <v>991</v>
      </c>
      <c r="AO18" s="7" t="s">
        <v>991</v>
      </c>
      <c r="AP18" s="78" t="s">
        <v>991</v>
      </c>
      <c r="AQ18" s="7" t="s">
        <v>991</v>
      </c>
      <c r="AR18" s="78" t="s">
        <v>991</v>
      </c>
      <c r="AS18" s="7" t="s">
        <v>991</v>
      </c>
      <c r="AU18" s="78">
        <f>Таблица6[[#This Row],[Длина голени]]</f>
        <v>180</v>
      </c>
      <c r="AV18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19" spans="7:48" x14ac:dyDescent="0.3">
      <c r="G19" s="7" t="s">
        <v>35</v>
      </c>
      <c r="H19" s="7">
        <v>4</v>
      </c>
      <c r="I19" s="7">
        <f t="shared" si="0"/>
        <v>1</v>
      </c>
      <c r="N19" s="7">
        <v>390</v>
      </c>
      <c r="O19" s="7">
        <f>Таблица7[[#This Row],[Ширина]]-Таблица7[[#This Row],[Зазор]]</f>
        <v>350</v>
      </c>
      <c r="P19" s="49">
        <v>40</v>
      </c>
      <c r="R19" s="7" t="s">
        <v>954</v>
      </c>
      <c r="S19" s="7">
        <v>430</v>
      </c>
      <c r="T19" s="50" t="s">
        <v>44</v>
      </c>
      <c r="V19" s="51" t="s">
        <v>58</v>
      </c>
      <c r="W19" s="7">
        <v>230</v>
      </c>
      <c r="Y19">
        <v>350</v>
      </c>
      <c r="Z19">
        <v>2</v>
      </c>
      <c r="AB19">
        <v>140</v>
      </c>
      <c r="AC19">
        <v>3</v>
      </c>
      <c r="AE19" s="7">
        <v>330</v>
      </c>
      <c r="AF19" s="7">
        <v>320</v>
      </c>
      <c r="AL19" s="79">
        <v>190</v>
      </c>
      <c r="AM19" s="7" t="s">
        <v>991</v>
      </c>
      <c r="AN19" s="79" t="s">
        <v>991</v>
      </c>
      <c r="AO19" s="7" t="s">
        <v>991</v>
      </c>
      <c r="AP19" s="79" t="s">
        <v>991</v>
      </c>
      <c r="AQ19" s="7" t="s">
        <v>991</v>
      </c>
      <c r="AR19" s="79" t="s">
        <v>991</v>
      </c>
      <c r="AS19" s="7" t="s">
        <v>991</v>
      </c>
      <c r="AU19" s="79">
        <f>Таблица6[[#This Row],[Длина голени]]</f>
        <v>190</v>
      </c>
      <c r="AV19" s="79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20" spans="7:48" x14ac:dyDescent="0.3">
      <c r="G20" s="7" t="s">
        <v>954</v>
      </c>
      <c r="H20" s="7">
        <v>5</v>
      </c>
      <c r="I20" s="7">
        <f t="shared" si="0"/>
        <v>1</v>
      </c>
      <c r="N20" s="7">
        <v>390</v>
      </c>
      <c r="O20" s="7">
        <f>Таблица7[[#This Row],[Ширина]]-Таблица7[[#This Row],[Зазор]]</f>
        <v>360</v>
      </c>
      <c r="P20" s="49">
        <v>30</v>
      </c>
      <c r="R20" s="7" t="s">
        <v>954</v>
      </c>
      <c r="S20" s="7">
        <v>440</v>
      </c>
      <c r="T20" s="50" t="s">
        <v>44</v>
      </c>
      <c r="V20" s="51" t="s">
        <v>58</v>
      </c>
      <c r="W20" s="7">
        <v>240</v>
      </c>
      <c r="Y20">
        <v>360</v>
      </c>
      <c r="Z20">
        <v>3</v>
      </c>
      <c r="AB20">
        <v>140</v>
      </c>
      <c r="AC20">
        <v>5</v>
      </c>
      <c r="AE20" s="7">
        <v>340</v>
      </c>
      <c r="AF20" s="7">
        <v>340</v>
      </c>
      <c r="AL20" s="78">
        <v>200</v>
      </c>
      <c r="AM20" s="13" t="s">
        <v>992</v>
      </c>
      <c r="AN20" s="78" t="s">
        <v>991</v>
      </c>
      <c r="AO20" s="7" t="s">
        <v>991</v>
      </c>
      <c r="AP20" s="78" t="s">
        <v>991</v>
      </c>
      <c r="AQ20" s="7" t="s">
        <v>991</v>
      </c>
      <c r="AR20" s="78" t="s">
        <v>991</v>
      </c>
      <c r="AS20" s="7" t="s">
        <v>991</v>
      </c>
      <c r="AU20" s="78">
        <f>Таблица6[[#This Row],[Длина голени]]</f>
        <v>200</v>
      </c>
      <c r="AV20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21" spans="7:48" x14ac:dyDescent="0.3">
      <c r="G21" s="7" t="s">
        <v>954</v>
      </c>
      <c r="H21" s="7">
        <v>6</v>
      </c>
      <c r="I21" s="7">
        <f t="shared" si="0"/>
        <v>0</v>
      </c>
      <c r="N21" s="7">
        <v>420</v>
      </c>
      <c r="O21" s="7">
        <f>Таблица7[[#This Row],[Ширина]]-Таблица7[[#This Row],[Зазор]]</f>
        <v>370</v>
      </c>
      <c r="P21" s="49">
        <v>50</v>
      </c>
      <c r="R21" s="7" t="s">
        <v>954</v>
      </c>
      <c r="S21" s="7">
        <v>450</v>
      </c>
      <c r="T21" s="50" t="s">
        <v>44</v>
      </c>
      <c r="V21" s="52" t="s">
        <v>1078</v>
      </c>
      <c r="W21" s="7">
        <v>250</v>
      </c>
      <c r="Y21">
        <v>360</v>
      </c>
      <c r="Z21">
        <v>4</v>
      </c>
      <c r="AB21">
        <v>150</v>
      </c>
      <c r="AC21">
        <v>1</v>
      </c>
      <c r="AE21" s="7">
        <v>350</v>
      </c>
      <c r="AF21" s="7">
        <v>340</v>
      </c>
      <c r="AL21" s="13">
        <v>210</v>
      </c>
      <c r="AM21" s="13" t="s">
        <v>992</v>
      </c>
      <c r="AN21" s="13" t="s">
        <v>991</v>
      </c>
      <c r="AO21" s="13" t="s">
        <v>991</v>
      </c>
      <c r="AP21" s="13" t="s">
        <v>991</v>
      </c>
      <c r="AQ21" s="13" t="s">
        <v>991</v>
      </c>
      <c r="AR21" s="13" t="s">
        <v>991</v>
      </c>
      <c r="AS21" s="13" t="s">
        <v>991</v>
      </c>
      <c r="AU21" s="163">
        <f>Таблица6[[#This Row],[Длина голени]]</f>
        <v>210</v>
      </c>
      <c r="AV21" s="163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НП</v>
      </c>
    </row>
    <row r="22" spans="7:48" x14ac:dyDescent="0.3">
      <c r="G22" s="7" t="s">
        <v>954</v>
      </c>
      <c r="H22" s="7">
        <v>7</v>
      </c>
      <c r="I22" s="7">
        <f t="shared" si="0"/>
        <v>0</v>
      </c>
      <c r="N22" s="7">
        <v>420</v>
      </c>
      <c r="O22" s="7">
        <f>Таблица7[[#This Row],[Ширина]]-Таблица7[[#This Row],[Зазор]]</f>
        <v>380</v>
      </c>
      <c r="P22" s="49">
        <v>40</v>
      </c>
      <c r="R22" s="7" t="s">
        <v>954</v>
      </c>
      <c r="S22" s="7">
        <v>460</v>
      </c>
      <c r="T22" s="50" t="s">
        <v>44</v>
      </c>
      <c r="V22" s="52">
        <v>7</v>
      </c>
      <c r="W22" s="7">
        <v>260</v>
      </c>
      <c r="Y22">
        <v>370</v>
      </c>
      <c r="Z22">
        <v>3</v>
      </c>
      <c r="AB22">
        <v>150</v>
      </c>
      <c r="AC22">
        <v>3</v>
      </c>
      <c r="AE22" s="7">
        <v>360</v>
      </c>
      <c r="AF22" s="7">
        <v>360</v>
      </c>
      <c r="AL22" s="78">
        <v>220</v>
      </c>
      <c r="AM22" s="7" t="s">
        <v>992</v>
      </c>
      <c r="AN22" s="78" t="s">
        <v>991</v>
      </c>
      <c r="AO22" s="7" t="s">
        <v>992</v>
      </c>
      <c r="AP22" s="78" t="s">
        <v>991</v>
      </c>
      <c r="AQ22" s="7" t="s">
        <v>992</v>
      </c>
      <c r="AR22" s="78" t="s">
        <v>991</v>
      </c>
      <c r="AS22" s="7" t="s">
        <v>991</v>
      </c>
      <c r="AU22" s="78">
        <f>Таблица6[[#This Row],[Длина голени]]</f>
        <v>220</v>
      </c>
      <c r="AV22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</v>
      </c>
    </row>
    <row r="23" spans="7:48" x14ac:dyDescent="0.3">
      <c r="N23" s="7">
        <v>420</v>
      </c>
      <c r="O23" s="7">
        <f>Таблица7[[#This Row],[Ширина]]-Таблица7[[#This Row],[Зазор]]</f>
        <v>390</v>
      </c>
      <c r="P23" s="49">
        <v>30</v>
      </c>
      <c r="R23" s="7" t="s">
        <v>954</v>
      </c>
      <c r="S23" s="7">
        <v>470</v>
      </c>
      <c r="T23" s="50" t="s">
        <v>44</v>
      </c>
      <c r="V23" s="52">
        <v>7</v>
      </c>
      <c r="W23" s="7">
        <v>270</v>
      </c>
      <c r="Y23">
        <v>370</v>
      </c>
      <c r="Z23">
        <v>4</v>
      </c>
      <c r="AB23">
        <v>150</v>
      </c>
      <c r="AC23">
        <v>5</v>
      </c>
      <c r="AE23" s="7">
        <v>370</v>
      </c>
      <c r="AF23" s="7">
        <v>360</v>
      </c>
      <c r="AL23" s="79">
        <v>230</v>
      </c>
      <c r="AM23" s="7" t="s">
        <v>992</v>
      </c>
      <c r="AN23" s="79" t="s">
        <v>991</v>
      </c>
      <c r="AO23" s="7" t="s">
        <v>992</v>
      </c>
      <c r="AP23" s="79" t="s">
        <v>991</v>
      </c>
      <c r="AQ23" s="7" t="s">
        <v>992</v>
      </c>
      <c r="AR23" s="79" t="s">
        <v>991</v>
      </c>
      <c r="AS23" s="7" t="s">
        <v>991</v>
      </c>
      <c r="AU23" s="79">
        <f>Таблица6[[#This Row],[Длина голени]]</f>
        <v>230</v>
      </c>
      <c r="AV23" s="79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</v>
      </c>
    </row>
    <row r="24" spans="7:48" x14ac:dyDescent="0.3">
      <c r="G24" s="56" t="s">
        <v>82</v>
      </c>
      <c r="H24" s="7">
        <f t="array" ref="H24">IFERROR(INDEX(Таблица7[Ширина],SMALL(IF(Таблица7[Фактическое значение]=$C$6,ROW(Таблица7[Фактическое значение])-ROW($N$6)+1),ROW()-ROW(H24)+1)),"")</f>
        <v>300</v>
      </c>
      <c r="R24" s="7" t="s">
        <v>954</v>
      </c>
      <c r="S24" s="7">
        <v>480</v>
      </c>
      <c r="T24" s="50" t="s">
        <v>44</v>
      </c>
      <c r="Y24">
        <v>380</v>
      </c>
      <c r="Z24">
        <v>3</v>
      </c>
      <c r="AB24">
        <v>160</v>
      </c>
      <c r="AC24">
        <v>1</v>
      </c>
      <c r="AE24" s="7">
        <v>380</v>
      </c>
      <c r="AF24" s="7">
        <v>380</v>
      </c>
      <c r="AL24" s="78">
        <v>240</v>
      </c>
      <c r="AM24" s="7" t="s">
        <v>992</v>
      </c>
      <c r="AN24" s="78" t="s">
        <v>991</v>
      </c>
      <c r="AO24" s="7" t="s">
        <v>992</v>
      </c>
      <c r="AP24" s="78" t="s">
        <v>991</v>
      </c>
      <c r="AQ24" s="7" t="s">
        <v>992</v>
      </c>
      <c r="AR24" s="78" t="s">
        <v>991</v>
      </c>
      <c r="AS24" s="7" t="s">
        <v>991</v>
      </c>
      <c r="AU24" s="78">
        <f>Таблица6[[#This Row],[Длина голени]]</f>
        <v>240</v>
      </c>
      <c r="AV24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</v>
      </c>
    </row>
    <row r="25" spans="7:48" x14ac:dyDescent="0.3">
      <c r="Y25">
        <v>380</v>
      </c>
      <c r="Z25">
        <v>4</v>
      </c>
      <c r="AB25">
        <v>160</v>
      </c>
      <c r="AC25">
        <v>3</v>
      </c>
      <c r="AE25" s="7">
        <v>390</v>
      </c>
      <c r="AF25" s="7">
        <v>380</v>
      </c>
      <c r="AL25" s="79">
        <v>250</v>
      </c>
      <c r="AM25" s="7" t="s">
        <v>992</v>
      </c>
      <c r="AN25" s="79" t="s">
        <v>991</v>
      </c>
      <c r="AO25" s="7" t="s">
        <v>992</v>
      </c>
      <c r="AP25" s="79" t="s">
        <v>991</v>
      </c>
      <c r="AQ25" s="7" t="s">
        <v>992</v>
      </c>
      <c r="AR25" s="79" t="s">
        <v>991</v>
      </c>
      <c r="AS25" s="7" t="s">
        <v>991</v>
      </c>
      <c r="AU25" s="79">
        <f>Таблица6[[#This Row],[Длина голени]]</f>
        <v>250</v>
      </c>
      <c r="AV25" s="79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</v>
      </c>
    </row>
    <row r="26" spans="7:48" ht="15" thickBot="1" x14ac:dyDescent="0.35">
      <c r="Y26">
        <v>390</v>
      </c>
      <c r="Z26">
        <v>3</v>
      </c>
      <c r="AB26">
        <v>160</v>
      </c>
      <c r="AC26">
        <v>5</v>
      </c>
      <c r="AE26" s="7">
        <v>400</v>
      </c>
      <c r="AF26" s="7">
        <v>400</v>
      </c>
      <c r="AL26" s="78">
        <v>260</v>
      </c>
      <c r="AM26" s="7" t="s">
        <v>992</v>
      </c>
      <c r="AN26" s="78" t="s">
        <v>992</v>
      </c>
      <c r="AO26" s="7" t="s">
        <v>992</v>
      </c>
      <c r="AP26" s="79" t="s">
        <v>992</v>
      </c>
      <c r="AQ26" s="7" t="s">
        <v>992</v>
      </c>
      <c r="AR26" s="78" t="s">
        <v>991</v>
      </c>
      <c r="AS26" s="7" t="s">
        <v>991</v>
      </c>
      <c r="AU26" s="78">
        <f>Таблица6[[#This Row],[Длина голени]]</f>
        <v>260</v>
      </c>
      <c r="AV26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</v>
      </c>
    </row>
    <row r="27" spans="7:48" ht="29.4" thickBot="1" x14ac:dyDescent="0.35">
      <c r="G27" s="137" t="s">
        <v>910</v>
      </c>
      <c r="H27" s="138"/>
      <c r="I27" s="139"/>
      <c r="Y27">
        <v>390</v>
      </c>
      <c r="Z27">
        <v>4</v>
      </c>
      <c r="AB27">
        <v>170</v>
      </c>
      <c r="AC27">
        <v>1</v>
      </c>
      <c r="AE27" s="7">
        <v>410</v>
      </c>
      <c r="AF27" s="7">
        <v>400</v>
      </c>
      <c r="AL27" s="79">
        <v>270</v>
      </c>
      <c r="AM27" s="7" t="s">
        <v>992</v>
      </c>
      <c r="AN27" s="79" t="s">
        <v>992</v>
      </c>
      <c r="AO27" s="7" t="s">
        <v>992</v>
      </c>
      <c r="AP27" s="79" t="s">
        <v>992</v>
      </c>
      <c r="AQ27" s="7" t="s">
        <v>992</v>
      </c>
      <c r="AR27" s="79" t="s">
        <v>992</v>
      </c>
      <c r="AS27" s="7" t="s">
        <v>991</v>
      </c>
      <c r="AU27" s="79">
        <f>Таблица6[[#This Row],[Длина голени]]</f>
        <v>270</v>
      </c>
      <c r="AV27" s="79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</v>
      </c>
    </row>
    <row r="28" spans="7:48" x14ac:dyDescent="0.3">
      <c r="G28" s="134">
        <v>2</v>
      </c>
      <c r="H28" s="135">
        <f>INDEX($H$16:$H$22,MATCH(2,$I$16:$I$22,0))</f>
        <v>3</v>
      </c>
      <c r="I28" s="136" t="str">
        <f>_xlfn.IFNA(IF(OR($H$28=1,$H$28=2,$H$28=3,$H$28=4,$H$28=5,$H$28=6,$H$28=7),"Ок","ОШИБКА"),"ОШИБКА")</f>
        <v>Ок</v>
      </c>
      <c r="Y28">
        <v>400</v>
      </c>
      <c r="Z28">
        <v>3</v>
      </c>
      <c r="AB28">
        <v>170</v>
      </c>
      <c r="AC28">
        <v>3</v>
      </c>
      <c r="AE28" s="7">
        <v>420</v>
      </c>
      <c r="AF28" s="7">
        <v>420</v>
      </c>
      <c r="AL28" s="78">
        <v>280</v>
      </c>
      <c r="AM28" s="7" t="s">
        <v>992</v>
      </c>
      <c r="AN28" s="78" t="s">
        <v>992</v>
      </c>
      <c r="AO28" s="7" t="s">
        <v>992</v>
      </c>
      <c r="AP28" s="78" t="s">
        <v>992</v>
      </c>
      <c r="AQ28" s="7" t="s">
        <v>992</v>
      </c>
      <c r="AR28" s="78" t="s">
        <v>992</v>
      </c>
      <c r="AS28" s="7" t="s">
        <v>992</v>
      </c>
      <c r="AU28" s="78">
        <f>Таблица6[[#This Row],[Длина голени]]</f>
        <v>280</v>
      </c>
      <c r="AV28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</v>
      </c>
    </row>
    <row r="29" spans="7:48" x14ac:dyDescent="0.3">
      <c r="G29" s="33">
        <v>3</v>
      </c>
      <c r="H29" s="7" t="e">
        <f>INDEX($H$16:$H$22,MATCH(3,$I$16:$I$22,0))</f>
        <v>#N/A</v>
      </c>
      <c r="I29" s="133" t="str">
        <f>_xlfn.IFNA(IF(OR($H$29=1,$H$29=2,$H$29=3,$H$29=4,$H$29=5,$H$29=6,$H$29=7),"Ок","ОШИБКА"),"ОШИБКА")</f>
        <v>ОШИБКА</v>
      </c>
      <c r="Y29">
        <v>400</v>
      </c>
      <c r="Z29">
        <v>4</v>
      </c>
      <c r="AB29">
        <v>170</v>
      </c>
      <c r="AC29">
        <v>5</v>
      </c>
      <c r="AE29" s="7">
        <v>430</v>
      </c>
      <c r="AF29" s="7">
        <v>420</v>
      </c>
      <c r="AL29" s="13">
        <v>290</v>
      </c>
      <c r="AM29" s="13" t="s">
        <v>992</v>
      </c>
      <c r="AN29" s="13" t="s">
        <v>992</v>
      </c>
      <c r="AO29" s="13" t="s">
        <v>992</v>
      </c>
      <c r="AP29" s="13" t="s">
        <v>992</v>
      </c>
      <c r="AQ29" s="13" t="s">
        <v>992</v>
      </c>
      <c r="AR29" s="13" t="s">
        <v>992</v>
      </c>
      <c r="AS29" s="13" t="s">
        <v>992</v>
      </c>
      <c r="AU29" s="163">
        <f>Таблица6[[#This Row],[Длина голени]]</f>
        <v>290</v>
      </c>
      <c r="AV29" s="163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</v>
      </c>
    </row>
    <row r="30" spans="7:48" x14ac:dyDescent="0.3">
      <c r="G30" s="33">
        <v>4</v>
      </c>
      <c r="H30" s="7" t="e">
        <f>INDEX($H$16:$H$22,MATCH(4,$I$16:$I$22,0))</f>
        <v>#N/A</v>
      </c>
      <c r="I30" s="133" t="str">
        <f>_xlfn.IFNA(IF(OR($H$30=1,$H$30=2,$H$30=3,$H$30=4,$H$30=5,$H$30=6,$H$30=7),"Ок","ОШИБКА"),"ОШИБКА")</f>
        <v>ОШИБКА</v>
      </c>
      <c r="Y30">
        <v>410</v>
      </c>
      <c r="Z30">
        <v>3</v>
      </c>
      <c r="AB30">
        <v>180</v>
      </c>
      <c r="AC30">
        <v>2</v>
      </c>
      <c r="AE30" s="7">
        <v>440</v>
      </c>
      <c r="AF30" s="7">
        <v>440</v>
      </c>
      <c r="AL30" s="78">
        <v>300</v>
      </c>
      <c r="AM30" s="7" t="s">
        <v>992</v>
      </c>
      <c r="AN30" s="78" t="s">
        <v>992</v>
      </c>
      <c r="AO30" s="7" t="s">
        <v>992</v>
      </c>
      <c r="AP30" s="78" t="s">
        <v>992</v>
      </c>
      <c r="AQ30" s="7" t="s">
        <v>992</v>
      </c>
      <c r="AR30" s="78" t="s">
        <v>992</v>
      </c>
      <c r="AS30" s="7" t="s">
        <v>992</v>
      </c>
      <c r="AU30" s="78">
        <f>Таблица6[[#This Row],[Длина голени]]</f>
        <v>300</v>
      </c>
      <c r="AV30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</v>
      </c>
    </row>
    <row r="31" spans="7:48" ht="15" thickBot="1" x14ac:dyDescent="0.35">
      <c r="G31" s="30">
        <v>5</v>
      </c>
      <c r="H31" s="5" t="e">
        <f>INDEX($H$16:$H$22,MATCH(5,$I$16:$I$22,0))</f>
        <v>#N/A</v>
      </c>
      <c r="I31" s="6" t="str">
        <f>_xlfn.IFNA(IF(OR($H$31=1,$H$31=2,$H$31=3,$H$31=4,$H$31=5,$H$31=6,$H$31=7),"Ок","ОШИБКА"),"ОШИБКА")</f>
        <v>ОШИБКА</v>
      </c>
      <c r="Y31">
        <v>410</v>
      </c>
      <c r="Z31">
        <v>4</v>
      </c>
      <c r="AB31">
        <v>180</v>
      </c>
      <c r="AC31">
        <v>4</v>
      </c>
      <c r="AE31" s="7">
        <v>450</v>
      </c>
      <c r="AF31" s="7">
        <v>440</v>
      </c>
      <c r="AL31" s="79">
        <v>310</v>
      </c>
      <c r="AM31" s="7" t="s">
        <v>992</v>
      </c>
      <c r="AN31" s="79" t="s">
        <v>992</v>
      </c>
      <c r="AO31" s="7" t="s">
        <v>992</v>
      </c>
      <c r="AP31" s="79" t="s">
        <v>992</v>
      </c>
      <c r="AQ31" s="7" t="s">
        <v>992</v>
      </c>
      <c r="AR31" s="79" t="s">
        <v>992</v>
      </c>
      <c r="AS31" s="7" t="s">
        <v>992</v>
      </c>
      <c r="AU31" s="79">
        <f>Таблица6[[#This Row],[Длина голени]]</f>
        <v>310</v>
      </c>
      <c r="AV31" s="79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</v>
      </c>
    </row>
    <row r="32" spans="7:48" ht="15" thickBot="1" x14ac:dyDescent="0.35">
      <c r="Y32">
        <v>420</v>
      </c>
      <c r="Z32">
        <v>5</v>
      </c>
      <c r="AB32">
        <v>180</v>
      </c>
      <c r="AC32">
        <v>6</v>
      </c>
      <c r="AE32" s="7">
        <v>460</v>
      </c>
      <c r="AF32" s="7">
        <v>460</v>
      </c>
      <c r="AL32" s="78">
        <v>320</v>
      </c>
      <c r="AM32" s="7" t="s">
        <v>992</v>
      </c>
      <c r="AN32" s="78" t="s">
        <v>992</v>
      </c>
      <c r="AO32" s="7" t="s">
        <v>992</v>
      </c>
      <c r="AP32" s="78" t="s">
        <v>992</v>
      </c>
      <c r="AQ32" s="7" t="s">
        <v>992</v>
      </c>
      <c r="AR32" s="78" t="s">
        <v>992</v>
      </c>
      <c r="AS32" s="7" t="s">
        <v>992</v>
      </c>
      <c r="AU32" s="78">
        <f>Таблица6[[#This Row],[Длина голени]]</f>
        <v>320</v>
      </c>
      <c r="AV32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</v>
      </c>
    </row>
    <row r="33" spans="7:48" ht="15" thickBot="1" x14ac:dyDescent="0.35">
      <c r="G33" s="18" t="s">
        <v>911</v>
      </c>
      <c r="H33" s="132">
        <f>INDEX(H28:H31,MATCH("Ок",I28:I31,0))</f>
        <v>3</v>
      </c>
      <c r="Y33">
        <v>420</v>
      </c>
      <c r="Z33">
        <v>6</v>
      </c>
      <c r="AB33">
        <v>190</v>
      </c>
      <c r="AC33">
        <v>2</v>
      </c>
      <c r="AL33" s="79">
        <v>330</v>
      </c>
      <c r="AM33" s="7" t="s">
        <v>993</v>
      </c>
      <c r="AN33" s="78" t="s">
        <v>992</v>
      </c>
      <c r="AO33" s="7" t="s">
        <v>993</v>
      </c>
      <c r="AP33" s="79" t="s">
        <v>992</v>
      </c>
      <c r="AQ33" s="7" t="s">
        <v>992</v>
      </c>
      <c r="AR33" s="79" t="s">
        <v>992</v>
      </c>
      <c r="AS33" s="7" t="s">
        <v>992</v>
      </c>
      <c r="AU33" s="79">
        <f>Таблица6[[#This Row],[Длина голени]]</f>
        <v>330</v>
      </c>
      <c r="AV33" s="79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П</v>
      </c>
    </row>
    <row r="34" spans="7:48" x14ac:dyDescent="0.3">
      <c r="Y34">
        <v>420</v>
      </c>
      <c r="Z34">
        <v>7</v>
      </c>
      <c r="AB34">
        <v>190</v>
      </c>
      <c r="AC34">
        <v>4</v>
      </c>
      <c r="AL34" s="78">
        <v>340</v>
      </c>
      <c r="AM34" s="7" t="s">
        <v>993</v>
      </c>
      <c r="AN34" s="78" t="s">
        <v>993</v>
      </c>
      <c r="AO34" s="7" t="s">
        <v>993</v>
      </c>
      <c r="AP34" s="78" t="s">
        <v>992</v>
      </c>
      <c r="AQ34" s="7" t="s">
        <v>993</v>
      </c>
      <c r="AR34" s="78" t="s">
        <v>992</v>
      </c>
      <c r="AS34" s="7" t="s">
        <v>992</v>
      </c>
      <c r="AU34" s="78">
        <f>Таблица6[[#This Row],[Длина голени]]</f>
        <v>340</v>
      </c>
      <c r="AV34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П</v>
      </c>
    </row>
    <row r="35" spans="7:48" x14ac:dyDescent="0.3">
      <c r="Y35">
        <v>430</v>
      </c>
      <c r="Z35">
        <v>5</v>
      </c>
      <c r="AB35">
        <v>190</v>
      </c>
      <c r="AC35">
        <v>6</v>
      </c>
      <c r="AL35" s="79">
        <v>350</v>
      </c>
      <c r="AM35" s="7" t="s">
        <v>993</v>
      </c>
      <c r="AN35" s="79" t="s">
        <v>993</v>
      </c>
      <c r="AO35" s="7" t="s">
        <v>993</v>
      </c>
      <c r="AP35" s="79" t="s">
        <v>992</v>
      </c>
      <c r="AQ35" s="7" t="s">
        <v>993</v>
      </c>
      <c r="AR35" s="79" t="s">
        <v>992</v>
      </c>
      <c r="AS35" s="7" t="s">
        <v>992</v>
      </c>
      <c r="AU35" s="79">
        <f>Таблица6[[#This Row],[Длина голени]]</f>
        <v>350</v>
      </c>
      <c r="AV35" s="79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П</v>
      </c>
    </row>
    <row r="36" spans="7:48" x14ac:dyDescent="0.3">
      <c r="Y36">
        <v>430</v>
      </c>
      <c r="Z36">
        <v>6</v>
      </c>
      <c r="AB36">
        <v>200</v>
      </c>
      <c r="AC36">
        <v>2</v>
      </c>
      <c r="AL36" s="78">
        <v>360</v>
      </c>
      <c r="AM36" s="7" t="s">
        <v>993</v>
      </c>
      <c r="AN36" s="78" t="s">
        <v>993</v>
      </c>
      <c r="AO36" s="7" t="s">
        <v>993</v>
      </c>
      <c r="AP36" s="78" t="s">
        <v>992</v>
      </c>
      <c r="AQ36" s="7" t="s">
        <v>993</v>
      </c>
      <c r="AR36" s="78" t="s">
        <v>992</v>
      </c>
      <c r="AS36" s="7" t="s">
        <v>992</v>
      </c>
      <c r="AU36" s="78">
        <f>Таблица6[[#This Row],[Длина голени]]</f>
        <v>360</v>
      </c>
      <c r="AV36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П</v>
      </c>
    </row>
    <row r="37" spans="7:48" x14ac:dyDescent="0.3">
      <c r="Y37">
        <v>430</v>
      </c>
      <c r="Z37">
        <v>7</v>
      </c>
      <c r="AB37">
        <v>200</v>
      </c>
      <c r="AC37">
        <v>4</v>
      </c>
      <c r="AL37" s="13">
        <v>370</v>
      </c>
      <c r="AM37" s="13" t="s">
        <v>993</v>
      </c>
      <c r="AN37" s="13" t="s">
        <v>993</v>
      </c>
      <c r="AO37" s="13" t="s">
        <v>993</v>
      </c>
      <c r="AP37" s="13" t="s">
        <v>992</v>
      </c>
      <c r="AQ37" s="13" t="s">
        <v>993</v>
      </c>
      <c r="AR37" s="13" t="s">
        <v>992</v>
      </c>
      <c r="AS37" s="13" t="s">
        <v>992</v>
      </c>
      <c r="AU37" s="163">
        <f>Таблица6[[#This Row],[Длина голени]]</f>
        <v>370</v>
      </c>
      <c r="AV37" s="163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П</v>
      </c>
    </row>
    <row r="38" spans="7:48" x14ac:dyDescent="0.3">
      <c r="Y38">
        <v>440</v>
      </c>
      <c r="Z38">
        <v>5</v>
      </c>
      <c r="AB38">
        <v>200</v>
      </c>
      <c r="AC38">
        <v>6</v>
      </c>
      <c r="AL38" s="78">
        <v>380</v>
      </c>
      <c r="AM38" s="7" t="s">
        <v>993</v>
      </c>
      <c r="AN38" s="78" t="s">
        <v>993</v>
      </c>
      <c r="AO38" s="7" t="s">
        <v>993</v>
      </c>
      <c r="AP38" s="78" t="s">
        <v>993</v>
      </c>
      <c r="AQ38" s="7" t="s">
        <v>993</v>
      </c>
      <c r="AR38" s="78" t="s">
        <v>993</v>
      </c>
      <c r="AS38" s="7" t="s">
        <v>992</v>
      </c>
      <c r="AU38" s="78">
        <f>Таблица6[[#This Row],[Длина голени]]</f>
        <v>380</v>
      </c>
      <c r="AV38" s="78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П</v>
      </c>
    </row>
    <row r="39" spans="7:48" x14ac:dyDescent="0.3">
      <c r="Y39">
        <v>440</v>
      </c>
      <c r="Z39">
        <v>6</v>
      </c>
      <c r="AB39">
        <v>210</v>
      </c>
      <c r="AC39">
        <v>2</v>
      </c>
      <c r="AL39" s="79">
        <v>390</v>
      </c>
      <c r="AM39" s="13" t="s">
        <v>1003</v>
      </c>
      <c r="AN39" s="79" t="s">
        <v>993</v>
      </c>
      <c r="AO39" s="13" t="s">
        <v>1003</v>
      </c>
      <c r="AP39" s="79" t="s">
        <v>993</v>
      </c>
      <c r="AQ39" s="7" t="s">
        <v>993</v>
      </c>
      <c r="AR39" s="79" t="s">
        <v>993</v>
      </c>
      <c r="AS39" s="7" t="s">
        <v>993</v>
      </c>
      <c r="AU39" s="79">
        <f>Таблица6[[#This Row],[Длина голени]]</f>
        <v>390</v>
      </c>
      <c r="AV39" s="163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Нет</v>
      </c>
    </row>
    <row r="40" spans="7:48" x14ac:dyDescent="0.3">
      <c r="Y40">
        <v>440</v>
      </c>
      <c r="Z40">
        <v>7</v>
      </c>
      <c r="AB40">
        <v>210</v>
      </c>
      <c r="AC40">
        <v>4</v>
      </c>
      <c r="AL40" s="78">
        <v>400</v>
      </c>
      <c r="AM40" s="13" t="s">
        <v>1003</v>
      </c>
      <c r="AN40" s="78" t="s">
        <v>993</v>
      </c>
      <c r="AO40" s="13" t="s">
        <v>1003</v>
      </c>
      <c r="AP40" s="78" t="s">
        <v>993</v>
      </c>
      <c r="AQ40" s="13" t="s">
        <v>1003</v>
      </c>
      <c r="AR40" s="78" t="s">
        <v>993</v>
      </c>
      <c r="AS40" s="7" t="s">
        <v>993</v>
      </c>
      <c r="AU40" s="78">
        <f>Таблица6[[#This Row],[Длина голени]]</f>
        <v>400</v>
      </c>
      <c r="AV40" s="162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Нет</v>
      </c>
    </row>
    <row r="41" spans="7:48" x14ac:dyDescent="0.3">
      <c r="Y41">
        <v>450</v>
      </c>
      <c r="Z41">
        <v>5</v>
      </c>
      <c r="AB41">
        <v>210</v>
      </c>
      <c r="AC41">
        <v>6</v>
      </c>
      <c r="AL41" s="79">
        <v>410</v>
      </c>
      <c r="AM41" s="13" t="s">
        <v>1003</v>
      </c>
      <c r="AN41" s="79" t="s">
        <v>993</v>
      </c>
      <c r="AO41" s="13" t="s">
        <v>1003</v>
      </c>
      <c r="AP41" s="79" t="s">
        <v>993</v>
      </c>
      <c r="AQ41" s="13" t="s">
        <v>1003</v>
      </c>
      <c r="AR41" s="79" t="s">
        <v>993</v>
      </c>
      <c r="AS41" s="7" t="s">
        <v>993</v>
      </c>
      <c r="AU41" s="79">
        <f>Таблица6[[#This Row],[Длина голени]]</f>
        <v>410</v>
      </c>
      <c r="AV41" s="163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Нет</v>
      </c>
    </row>
    <row r="42" spans="7:48" x14ac:dyDescent="0.3">
      <c r="Y42">
        <v>450</v>
      </c>
      <c r="Z42">
        <v>6</v>
      </c>
      <c r="AB42">
        <v>220</v>
      </c>
      <c r="AC42">
        <v>2</v>
      </c>
      <c r="AL42" s="78">
        <v>420</v>
      </c>
      <c r="AM42" s="13" t="s">
        <v>1003</v>
      </c>
      <c r="AN42" s="78" t="s">
        <v>993</v>
      </c>
      <c r="AO42" s="13" t="s">
        <v>1003</v>
      </c>
      <c r="AP42" s="78" t="s">
        <v>993</v>
      </c>
      <c r="AQ42" s="13" t="s">
        <v>1003</v>
      </c>
      <c r="AR42" s="78" t="s">
        <v>993</v>
      </c>
      <c r="AS42" s="7" t="s">
        <v>993</v>
      </c>
      <c r="AU42" s="78">
        <f>Таблица6[[#This Row],[Длина голени]]</f>
        <v>420</v>
      </c>
      <c r="AV42" s="162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Нет</v>
      </c>
    </row>
    <row r="43" spans="7:48" x14ac:dyDescent="0.3">
      <c r="Y43">
        <v>450</v>
      </c>
      <c r="Z43">
        <v>7</v>
      </c>
      <c r="AB43">
        <v>220</v>
      </c>
      <c r="AC43">
        <v>4</v>
      </c>
      <c r="AL43" s="79">
        <v>430</v>
      </c>
      <c r="AM43" s="13" t="s">
        <v>1003</v>
      </c>
      <c r="AN43" s="79" t="s">
        <v>993</v>
      </c>
      <c r="AO43" s="13" t="s">
        <v>1003</v>
      </c>
      <c r="AP43" s="79" t="s">
        <v>993</v>
      </c>
      <c r="AQ43" s="13" t="s">
        <v>1003</v>
      </c>
      <c r="AR43" s="79" t="s">
        <v>993</v>
      </c>
      <c r="AS43" s="7" t="s">
        <v>993</v>
      </c>
      <c r="AU43" s="79">
        <f>Таблица6[[#This Row],[Длина голени]]</f>
        <v>430</v>
      </c>
      <c r="AV43" s="163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Нет</v>
      </c>
    </row>
    <row r="44" spans="7:48" x14ac:dyDescent="0.3">
      <c r="Y44">
        <v>460</v>
      </c>
      <c r="Z44">
        <v>5</v>
      </c>
      <c r="AB44">
        <v>220</v>
      </c>
      <c r="AC44">
        <v>6</v>
      </c>
      <c r="AL44" s="78">
        <v>440</v>
      </c>
      <c r="AM44" s="13" t="s">
        <v>1003</v>
      </c>
      <c r="AN44" s="13" t="s">
        <v>1003</v>
      </c>
      <c r="AO44" s="13" t="s">
        <v>1003</v>
      </c>
      <c r="AP44" s="13" t="s">
        <v>1003</v>
      </c>
      <c r="AQ44" s="13" t="s">
        <v>1003</v>
      </c>
      <c r="AR44" s="13" t="s">
        <v>1003</v>
      </c>
      <c r="AS44" s="7" t="s">
        <v>993</v>
      </c>
      <c r="AU44" s="78">
        <f>Таблица6[[#This Row],[Длина голени]]</f>
        <v>440</v>
      </c>
      <c r="AV44" s="162" t="str">
        <f>IF($AV$5=1,Таблица6[[#This Row],[1]],IF($AV$5=2,Таблица6[[#This Row],[2]],IF($AV$5=3,Таблица6[[#This Row],[3]],IF($AV$5=4,Таблица6[[#This Row],[4]],IF($AV$5=5,Таблица6[[#This Row],[5]],IF($AV$5=6,Таблица6[[#This Row],[6]],IF($AV$5=7,Таблица6[[#This Row],[7]],"ОШИБКА")))))))</f>
        <v>Нет</v>
      </c>
    </row>
    <row r="45" spans="7:48" x14ac:dyDescent="0.3">
      <c r="Y45">
        <v>460</v>
      </c>
      <c r="Z45">
        <v>6</v>
      </c>
      <c r="AB45">
        <v>230</v>
      </c>
      <c r="AC45">
        <v>2</v>
      </c>
    </row>
    <row r="46" spans="7:48" x14ac:dyDescent="0.3">
      <c r="Y46">
        <v>460</v>
      </c>
      <c r="Z46">
        <v>7</v>
      </c>
      <c r="AB46">
        <v>230</v>
      </c>
      <c r="AC46">
        <v>4</v>
      </c>
    </row>
    <row r="47" spans="7:48" x14ac:dyDescent="0.3">
      <c r="Y47">
        <v>470</v>
      </c>
      <c r="Z47">
        <v>5</v>
      </c>
      <c r="AB47">
        <v>230</v>
      </c>
      <c r="AC47">
        <v>6</v>
      </c>
    </row>
    <row r="48" spans="7:48" x14ac:dyDescent="0.3">
      <c r="Y48">
        <v>470</v>
      </c>
      <c r="Z48">
        <v>6</v>
      </c>
      <c r="AB48">
        <v>240</v>
      </c>
      <c r="AC48">
        <v>2</v>
      </c>
    </row>
    <row r="49" spans="25:29" x14ac:dyDescent="0.3">
      <c r="Y49">
        <v>470</v>
      </c>
      <c r="Z49">
        <v>7</v>
      </c>
      <c r="AB49">
        <v>240</v>
      </c>
      <c r="AC49">
        <v>4</v>
      </c>
    </row>
    <row r="50" spans="25:29" x14ac:dyDescent="0.3">
      <c r="Y50">
        <v>480</v>
      </c>
      <c r="Z50">
        <v>5</v>
      </c>
      <c r="AB50">
        <v>240</v>
      </c>
      <c r="AC50">
        <v>6</v>
      </c>
    </row>
    <row r="51" spans="25:29" x14ac:dyDescent="0.3">
      <c r="Y51">
        <v>480</v>
      </c>
      <c r="Z51">
        <v>6</v>
      </c>
      <c r="AB51">
        <v>250</v>
      </c>
      <c r="AC51">
        <v>2</v>
      </c>
    </row>
    <row r="52" spans="25:29" x14ac:dyDescent="0.3">
      <c r="Y52">
        <v>480</v>
      </c>
      <c r="Z52">
        <v>7</v>
      </c>
      <c r="AB52">
        <v>250</v>
      </c>
      <c r="AC52">
        <v>4</v>
      </c>
    </row>
    <row r="53" spans="25:29" x14ac:dyDescent="0.3">
      <c r="AB53">
        <v>250</v>
      </c>
      <c r="AC53">
        <v>6</v>
      </c>
    </row>
    <row r="54" spans="25:29" x14ac:dyDescent="0.3">
      <c r="AB54">
        <v>250</v>
      </c>
      <c r="AC54">
        <v>7</v>
      </c>
    </row>
    <row r="55" spans="25:29" x14ac:dyDescent="0.3">
      <c r="AB55">
        <v>260</v>
      </c>
      <c r="AC55">
        <v>7</v>
      </c>
    </row>
    <row r="56" spans="25:29" x14ac:dyDescent="0.3">
      <c r="AB56">
        <v>260</v>
      </c>
      <c r="AC56">
        <v>7</v>
      </c>
    </row>
    <row r="57" spans="25:29" x14ac:dyDescent="0.3">
      <c r="AB57">
        <v>260</v>
      </c>
      <c r="AC57">
        <v>7</v>
      </c>
    </row>
    <row r="58" spans="25:29" x14ac:dyDescent="0.3">
      <c r="AB58">
        <v>270</v>
      </c>
      <c r="AC58">
        <v>7</v>
      </c>
    </row>
  </sheetData>
  <mergeCells count="11">
    <mergeCell ref="B4:E4"/>
    <mergeCell ref="H4:I4"/>
    <mergeCell ref="N4:P4"/>
    <mergeCell ref="V4:W4"/>
    <mergeCell ref="Y4:Z4"/>
    <mergeCell ref="R4:T4"/>
    <mergeCell ref="AL4:AS4"/>
    <mergeCell ref="AE4:AF4"/>
    <mergeCell ref="AH4:AI4"/>
    <mergeCell ref="G15:I15"/>
    <mergeCell ref="AB4:AC4"/>
  </mergeCells>
  <conditionalFormatting sqref="AL1:AS1048576">
    <cfRule type="containsText" dxfId="39" priority="2" operator="containsText" text="Нет">
      <formula>NOT(ISERROR(SEARCH("Нет",AL1)))</formula>
    </cfRule>
  </conditionalFormatting>
  <conditionalFormatting sqref="AU5:AV44">
    <cfRule type="containsText" dxfId="38" priority="1" operator="containsText" text="Нет">
      <formula>NOT(ISERROR(SEARCH("Нет",AU5)))</formula>
    </cfRule>
  </conditionalFormatting>
  <pageMargins left="0.7" right="0.7" top="0.75" bottom="0.75" header="0.3" footer="0.3"/>
  <pageSetup paperSize="9" orientation="portrait" verticalDpi="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211E-3225-4DF7-9AD8-AE1B6D9E89B6}">
  <dimension ref="A2:AM27"/>
  <sheetViews>
    <sheetView workbookViewId="0">
      <selection activeCell="AS12" sqref="AS12"/>
    </sheetView>
  </sheetViews>
  <sheetFormatPr defaultRowHeight="14.4" x14ac:dyDescent="0.3"/>
  <cols>
    <col min="11" max="11" width="16.88671875" customWidth="1"/>
    <col min="17" max="17" width="13.44140625" customWidth="1"/>
    <col min="19" max="19" width="1.109375" customWidth="1"/>
    <col min="20" max="20" width="1.6640625" hidden="1" customWidth="1"/>
    <col min="22" max="22" width="0.5546875" customWidth="1"/>
    <col min="23" max="23" width="3.5546875" hidden="1" customWidth="1"/>
    <col min="24" max="24" width="8.88671875" customWidth="1"/>
    <col min="25" max="25" width="3" customWidth="1"/>
    <col min="26" max="26" width="1.6640625" customWidth="1"/>
    <col min="27" max="27" width="8.44140625" customWidth="1"/>
    <col min="28" max="29" width="8.88671875" hidden="1" customWidth="1"/>
    <col min="30" max="30" width="5.6640625" customWidth="1"/>
    <col min="31" max="31" width="8.88671875" hidden="1" customWidth="1"/>
    <col min="32" max="32" width="3.109375" customWidth="1"/>
    <col min="33" max="33" width="7.88671875" customWidth="1"/>
    <col min="34" max="35" width="8.88671875" hidden="1" customWidth="1"/>
    <col min="37" max="37" width="3.44140625" customWidth="1"/>
    <col min="38" max="38" width="8.88671875" hidden="1" customWidth="1"/>
  </cols>
  <sheetData>
    <row r="2" spans="1:39" ht="15" thickBot="1" x14ac:dyDescent="0.35"/>
    <row r="3" spans="1:39" ht="36.75" customHeight="1" thickBot="1" x14ac:dyDescent="0.35">
      <c r="A3" s="46"/>
      <c r="B3" s="47" t="s">
        <v>51</v>
      </c>
      <c r="C3" s="48" t="s">
        <v>52</v>
      </c>
      <c r="D3" s="47" t="s">
        <v>12</v>
      </c>
      <c r="E3" s="47" t="s">
        <v>53</v>
      </c>
      <c r="F3" s="48" t="s">
        <v>54</v>
      </c>
      <c r="G3" s="48" t="s">
        <v>13</v>
      </c>
      <c r="H3" s="48" t="s">
        <v>55</v>
      </c>
      <c r="I3" s="47" t="s">
        <v>45</v>
      </c>
      <c r="J3" s="47" t="s">
        <v>56</v>
      </c>
      <c r="K3" s="47"/>
    </row>
    <row r="4" spans="1:39" ht="53.4" thickBot="1" x14ac:dyDescent="0.35">
      <c r="A4" s="45"/>
      <c r="B4" s="105" t="s">
        <v>874</v>
      </c>
      <c r="C4" s="104" t="s">
        <v>875</v>
      </c>
      <c r="D4" s="104">
        <v>390</v>
      </c>
      <c r="E4" s="104" t="s">
        <v>653</v>
      </c>
      <c r="F4" s="104">
        <v>300</v>
      </c>
      <c r="G4" s="104">
        <v>300</v>
      </c>
      <c r="H4" s="104" t="s">
        <v>876</v>
      </c>
      <c r="I4" s="104">
        <v>180</v>
      </c>
      <c r="J4" s="104">
        <v>200</v>
      </c>
      <c r="K4" s="131" t="s">
        <v>877</v>
      </c>
      <c r="O4" s="14"/>
    </row>
    <row r="8" spans="1:39" x14ac:dyDescent="0.3">
      <c r="Q8" s="226" t="s">
        <v>967</v>
      </c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  <c r="AH8" s="227"/>
      <c r="AI8" s="227"/>
      <c r="AJ8" s="227"/>
      <c r="AK8" s="227"/>
      <c r="AL8" s="228"/>
      <c r="AM8" s="149"/>
    </row>
    <row r="9" spans="1:39" x14ac:dyDescent="0.3">
      <c r="C9" t="s">
        <v>22</v>
      </c>
      <c r="Q9" s="150"/>
      <c r="R9" s="229" t="s">
        <v>968</v>
      </c>
      <c r="S9" s="229"/>
      <c r="T9" s="229"/>
      <c r="U9" s="229"/>
      <c r="V9" s="229"/>
      <c r="W9" s="229"/>
      <c r="X9" s="229"/>
      <c r="Y9" s="229"/>
      <c r="Z9" s="229"/>
      <c r="AA9" s="229"/>
      <c r="AB9" s="229"/>
      <c r="AC9" s="229"/>
      <c r="AD9" s="229"/>
      <c r="AE9" s="229"/>
      <c r="AF9" s="229"/>
      <c r="AG9" s="229"/>
      <c r="AH9" s="229"/>
      <c r="AI9" s="229"/>
      <c r="AJ9" s="229"/>
      <c r="AK9" s="229"/>
      <c r="AL9" s="229"/>
      <c r="AM9" s="149"/>
    </row>
    <row r="10" spans="1:39" ht="28.2" thickBot="1" x14ac:dyDescent="0.35">
      <c r="Q10" s="151" t="s">
        <v>969</v>
      </c>
      <c r="R10" s="230">
        <v>1</v>
      </c>
      <c r="S10" s="230"/>
      <c r="T10" s="230"/>
      <c r="U10" s="230">
        <v>2</v>
      </c>
      <c r="V10" s="230"/>
      <c r="W10" s="230"/>
      <c r="X10" s="230">
        <v>3</v>
      </c>
      <c r="Y10" s="230"/>
      <c r="Z10" s="230"/>
      <c r="AA10" s="230">
        <v>4</v>
      </c>
      <c r="AB10" s="230"/>
      <c r="AC10" s="230"/>
      <c r="AD10" s="230">
        <v>5</v>
      </c>
      <c r="AE10" s="230"/>
      <c r="AF10" s="230"/>
      <c r="AG10" s="230">
        <v>6</v>
      </c>
      <c r="AH10" s="230"/>
      <c r="AI10" s="230"/>
      <c r="AJ10" s="230">
        <v>7</v>
      </c>
      <c r="AK10" s="230"/>
      <c r="AL10" s="230"/>
      <c r="AM10" s="152"/>
    </row>
    <row r="11" spans="1:39" ht="42" thickBot="1" x14ac:dyDescent="0.35">
      <c r="C11" s="15" t="s">
        <v>23</v>
      </c>
      <c r="D11" s="16" t="s">
        <v>24</v>
      </c>
      <c r="E11" s="16" t="s">
        <v>25</v>
      </c>
      <c r="F11" s="16" t="s">
        <v>26</v>
      </c>
      <c r="G11" s="17" t="s">
        <v>27</v>
      </c>
      <c r="I11" t="s">
        <v>49</v>
      </c>
      <c r="J11" t="s">
        <v>50</v>
      </c>
      <c r="Q11" s="153" t="s">
        <v>970</v>
      </c>
      <c r="R11" s="223" t="s">
        <v>971</v>
      </c>
      <c r="S11" s="223"/>
      <c r="T11" s="223"/>
      <c r="U11" s="223" t="s">
        <v>972</v>
      </c>
      <c r="V11" s="223"/>
      <c r="W11" s="223"/>
      <c r="X11" s="223" t="s">
        <v>973</v>
      </c>
      <c r="Y11" s="223"/>
      <c r="Z11" s="223"/>
      <c r="AA11" s="223" t="s">
        <v>974</v>
      </c>
      <c r="AB11" s="223"/>
      <c r="AC11" s="223"/>
      <c r="AD11" s="223" t="s">
        <v>975</v>
      </c>
      <c r="AE11" s="223"/>
      <c r="AF11" s="223"/>
      <c r="AG11" s="223" t="s">
        <v>976</v>
      </c>
      <c r="AH11" s="223"/>
      <c r="AI11" s="223"/>
      <c r="AJ11" s="223" t="s">
        <v>977</v>
      </c>
      <c r="AK11" s="223"/>
      <c r="AL11" s="223"/>
      <c r="AM11" s="154"/>
    </row>
    <row r="12" spans="1:39" ht="27.6" x14ac:dyDescent="0.3">
      <c r="C12" s="22" t="s">
        <v>30</v>
      </c>
      <c r="D12" s="23">
        <v>120</v>
      </c>
      <c r="E12" s="23">
        <v>0</v>
      </c>
      <c r="F12" s="23">
        <f>D12-E12</f>
        <v>120</v>
      </c>
      <c r="G12" s="24">
        <v>60</v>
      </c>
      <c r="H12" s="14">
        <v>1</v>
      </c>
      <c r="I12" s="44">
        <v>20</v>
      </c>
      <c r="J12" t="s">
        <v>47</v>
      </c>
      <c r="Q12" s="153" t="s">
        <v>978</v>
      </c>
      <c r="R12" s="223" t="s">
        <v>979</v>
      </c>
      <c r="S12" s="223"/>
      <c r="T12" s="223"/>
      <c r="U12" s="223" t="s">
        <v>980</v>
      </c>
      <c r="V12" s="223"/>
      <c r="W12" s="223"/>
      <c r="X12" s="223" t="s">
        <v>981</v>
      </c>
      <c r="Y12" s="223"/>
      <c r="Z12" s="223"/>
      <c r="AA12" s="223" t="s">
        <v>982</v>
      </c>
      <c r="AB12" s="223"/>
      <c r="AC12" s="223"/>
      <c r="AD12" s="223" t="s">
        <v>983</v>
      </c>
      <c r="AE12" s="223"/>
      <c r="AF12" s="223"/>
      <c r="AG12" s="223" t="s">
        <v>984</v>
      </c>
      <c r="AH12" s="223"/>
      <c r="AI12" s="223"/>
      <c r="AJ12" s="223" t="s">
        <v>985</v>
      </c>
      <c r="AK12" s="223"/>
      <c r="AL12" s="223"/>
      <c r="AM12" s="154"/>
    </row>
    <row r="13" spans="1:39" ht="42" thickBot="1" x14ac:dyDescent="0.35">
      <c r="C13" s="30"/>
      <c r="D13" s="31">
        <v>200</v>
      </c>
      <c r="E13" s="31">
        <v>30</v>
      </c>
      <c r="F13" s="31">
        <f>D13-E13</f>
        <v>170</v>
      </c>
      <c r="G13" s="32">
        <v>60</v>
      </c>
      <c r="H13" s="14">
        <v>2</v>
      </c>
      <c r="I13" s="44">
        <v>30</v>
      </c>
      <c r="J13" t="s">
        <v>48</v>
      </c>
      <c r="Q13" s="153" t="s">
        <v>986</v>
      </c>
      <c r="R13" s="223" t="s">
        <v>987</v>
      </c>
      <c r="S13" s="223"/>
      <c r="T13" s="223"/>
      <c r="U13" s="223" t="s">
        <v>988</v>
      </c>
      <c r="V13" s="223"/>
      <c r="W13" s="223"/>
      <c r="X13" s="223" t="s">
        <v>987</v>
      </c>
      <c r="Y13" s="223"/>
      <c r="Z13" s="223"/>
      <c r="AA13" s="223" t="s">
        <v>988</v>
      </c>
      <c r="AB13" s="223"/>
      <c r="AC13" s="223"/>
      <c r="AD13" s="223" t="s">
        <v>989</v>
      </c>
      <c r="AE13" s="223"/>
      <c r="AF13" s="223"/>
      <c r="AG13" s="223" t="s">
        <v>988</v>
      </c>
      <c r="AH13" s="223"/>
      <c r="AI13" s="223"/>
      <c r="AJ13" s="223" t="s">
        <v>990</v>
      </c>
      <c r="AK13" s="223"/>
      <c r="AL13" s="223"/>
      <c r="AM13" s="154"/>
    </row>
    <row r="14" spans="1:39" x14ac:dyDescent="0.3">
      <c r="C14" s="22" t="s">
        <v>35</v>
      </c>
      <c r="D14" s="23">
        <v>120</v>
      </c>
      <c r="E14" s="23">
        <v>20</v>
      </c>
      <c r="F14" s="23">
        <f>D14-E14</f>
        <v>100</v>
      </c>
      <c r="G14" s="17">
        <v>70</v>
      </c>
      <c r="H14" s="14">
        <v>3</v>
      </c>
      <c r="I14" s="44">
        <v>20</v>
      </c>
      <c r="J14" t="s">
        <v>47</v>
      </c>
    </row>
    <row r="15" spans="1:39" x14ac:dyDescent="0.3">
      <c r="C15" s="33"/>
      <c r="D15" s="34">
        <v>200</v>
      </c>
      <c r="E15" s="34">
        <v>30</v>
      </c>
      <c r="F15" s="34">
        <f>D15-E15</f>
        <v>170</v>
      </c>
      <c r="G15" s="24">
        <v>70</v>
      </c>
      <c r="H15" s="14">
        <v>4</v>
      </c>
      <c r="I15" s="44">
        <v>30</v>
      </c>
      <c r="J15" t="s">
        <v>48</v>
      </c>
    </row>
    <row r="16" spans="1:39" ht="15" thickBot="1" x14ac:dyDescent="0.35">
      <c r="C16" s="30"/>
      <c r="D16" s="35"/>
      <c r="E16" s="35"/>
      <c r="F16" s="35"/>
      <c r="G16" s="32"/>
      <c r="H16" s="14"/>
      <c r="I16" s="44"/>
    </row>
    <row r="17" spans="3:11" x14ac:dyDescent="0.3">
      <c r="C17" s="22" t="s">
        <v>36</v>
      </c>
      <c r="D17" s="23">
        <v>120</v>
      </c>
      <c r="E17" s="23">
        <v>0</v>
      </c>
      <c r="F17" s="23">
        <f>D17-E17</f>
        <v>120</v>
      </c>
      <c r="G17" s="25">
        <v>90</v>
      </c>
      <c r="H17" s="14">
        <v>5</v>
      </c>
      <c r="I17" s="44">
        <v>20</v>
      </c>
      <c r="J17" t="s">
        <v>47</v>
      </c>
    </row>
    <row r="18" spans="3:11" x14ac:dyDescent="0.3">
      <c r="C18" s="33"/>
      <c r="D18" s="34">
        <v>200</v>
      </c>
      <c r="E18" s="34">
        <v>30</v>
      </c>
      <c r="F18" s="34">
        <f>D18-E18</f>
        <v>170</v>
      </c>
      <c r="G18" s="24">
        <v>90</v>
      </c>
      <c r="H18" s="14">
        <v>6</v>
      </c>
      <c r="I18" s="44">
        <v>30</v>
      </c>
      <c r="J18" t="s">
        <v>48</v>
      </c>
    </row>
    <row r="19" spans="3:11" ht="15" thickBot="1" x14ac:dyDescent="0.35">
      <c r="C19" s="30"/>
      <c r="D19" s="36" t="s">
        <v>37</v>
      </c>
      <c r="E19" s="36">
        <v>40</v>
      </c>
      <c r="F19" s="36">
        <f>220-E19</f>
        <v>180</v>
      </c>
      <c r="G19" s="32">
        <v>90</v>
      </c>
      <c r="H19" s="14">
        <v>7</v>
      </c>
      <c r="I19" s="44"/>
      <c r="J19" t="s">
        <v>47</v>
      </c>
    </row>
    <row r="20" spans="3:11" ht="15" thickBot="1" x14ac:dyDescent="0.35"/>
    <row r="21" spans="3:11" ht="15" thickBot="1" x14ac:dyDescent="0.35">
      <c r="C21" s="18" t="s">
        <v>28</v>
      </c>
      <c r="D21" s="18"/>
      <c r="E21" s="19">
        <v>1</v>
      </c>
      <c r="F21" s="20">
        <v>2</v>
      </c>
      <c r="G21" s="20">
        <v>3</v>
      </c>
      <c r="H21" s="20">
        <v>4</v>
      </c>
      <c r="I21" s="20">
        <v>5</v>
      </c>
      <c r="J21" s="20">
        <v>6</v>
      </c>
      <c r="K21" s="21">
        <v>7</v>
      </c>
    </row>
    <row r="22" spans="3:11" x14ac:dyDescent="0.3">
      <c r="C22" s="25" t="s">
        <v>31</v>
      </c>
      <c r="D22" s="1" t="s">
        <v>32</v>
      </c>
      <c r="E22" s="1">
        <v>468</v>
      </c>
      <c r="F22" s="2">
        <v>468</v>
      </c>
      <c r="G22" s="2">
        <v>495</v>
      </c>
      <c r="H22" s="2">
        <v>495</v>
      </c>
      <c r="I22" s="2">
        <v>555</v>
      </c>
      <c r="J22" s="2">
        <v>555</v>
      </c>
      <c r="K22" s="3">
        <v>555</v>
      </c>
    </row>
    <row r="23" spans="3:11" ht="15" thickBot="1" x14ac:dyDescent="0.35">
      <c r="C23" s="32" t="s">
        <v>1</v>
      </c>
      <c r="D23" s="4" t="s">
        <v>34</v>
      </c>
      <c r="E23" s="4">
        <v>232</v>
      </c>
      <c r="F23" s="5">
        <v>283</v>
      </c>
      <c r="G23" s="4">
        <v>232</v>
      </c>
      <c r="H23" s="5">
        <v>283</v>
      </c>
      <c r="I23" s="4">
        <v>232</v>
      </c>
      <c r="J23" s="5">
        <v>283</v>
      </c>
      <c r="K23" s="6">
        <v>298</v>
      </c>
    </row>
    <row r="24" spans="3:11" ht="15" thickBot="1" x14ac:dyDescent="0.35"/>
    <row r="25" spans="3:11" ht="15" thickBot="1" x14ac:dyDescent="0.35">
      <c r="C25" s="224" t="s">
        <v>29</v>
      </c>
      <c r="D25" s="225"/>
      <c r="E25" s="19">
        <v>1</v>
      </c>
      <c r="F25" s="20">
        <v>2</v>
      </c>
      <c r="G25" s="20">
        <v>3</v>
      </c>
      <c r="H25" s="20">
        <v>4</v>
      </c>
      <c r="I25" s="20">
        <v>5</v>
      </c>
      <c r="J25" s="20">
        <v>6</v>
      </c>
      <c r="K25" s="21">
        <v>7</v>
      </c>
    </row>
    <row r="26" spans="3:11" ht="15" thickBot="1" x14ac:dyDescent="0.35">
      <c r="C26" s="26" t="s">
        <v>31</v>
      </c>
      <c r="D26" s="26" t="s">
        <v>33</v>
      </c>
      <c r="E26" s="27">
        <v>72</v>
      </c>
      <c r="F26" s="28">
        <v>122</v>
      </c>
      <c r="G26" s="27">
        <v>72</v>
      </c>
      <c r="H26" s="28">
        <v>122</v>
      </c>
      <c r="I26" s="27">
        <v>72</v>
      </c>
      <c r="J26" s="28">
        <v>122</v>
      </c>
      <c r="K26" s="29">
        <v>132</v>
      </c>
    </row>
    <row r="27" spans="3:11" x14ac:dyDescent="0.3">
      <c r="E27">
        <f t="shared" ref="E27:K27" si="0">E26+3.4</f>
        <v>75.400000000000006</v>
      </c>
      <c r="F27">
        <f t="shared" si="0"/>
        <v>125.4</v>
      </c>
      <c r="G27">
        <f t="shared" si="0"/>
        <v>75.400000000000006</v>
      </c>
      <c r="H27">
        <f t="shared" si="0"/>
        <v>125.4</v>
      </c>
      <c r="I27">
        <f t="shared" si="0"/>
        <v>75.400000000000006</v>
      </c>
      <c r="J27">
        <f t="shared" si="0"/>
        <v>125.4</v>
      </c>
      <c r="K27">
        <f t="shared" si="0"/>
        <v>135.4</v>
      </c>
    </row>
  </sheetData>
  <mergeCells count="31">
    <mergeCell ref="C25:D25"/>
    <mergeCell ref="Q8:AL8"/>
    <mergeCell ref="R9:AL9"/>
    <mergeCell ref="R10:T10"/>
    <mergeCell ref="U10:W10"/>
    <mergeCell ref="X10:Z10"/>
    <mergeCell ref="AA10:AC10"/>
    <mergeCell ref="AD10:AF10"/>
    <mergeCell ref="AG10:AI10"/>
    <mergeCell ref="AJ10:AL10"/>
    <mergeCell ref="R11:T11"/>
    <mergeCell ref="U11:W11"/>
    <mergeCell ref="X11:Z11"/>
    <mergeCell ref="AA11:AC11"/>
    <mergeCell ref="AD11:AF11"/>
    <mergeCell ref="AG11:AI11"/>
    <mergeCell ref="AJ11:AL11"/>
    <mergeCell ref="R12:T12"/>
    <mergeCell ref="U12:W12"/>
    <mergeCell ref="X12:Z12"/>
    <mergeCell ref="AA12:AC12"/>
    <mergeCell ref="AD12:AF12"/>
    <mergeCell ref="AG12:AI12"/>
    <mergeCell ref="AJ12:AL12"/>
    <mergeCell ref="AG13:AI13"/>
    <mergeCell ref="AJ13:AL13"/>
    <mergeCell ref="R13:T13"/>
    <mergeCell ref="U13:W13"/>
    <mergeCell ref="X13:Z13"/>
    <mergeCell ref="AA13:AC13"/>
    <mergeCell ref="AD13:AF13"/>
  </mergeCells>
  <conditionalFormatting sqref="J3:K3">
    <cfRule type="cellIs" dxfId="0" priority="2" operator="equal">
      <formula>"?"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E953-6B50-450E-958D-BF0DEC853DBD}">
  <dimension ref="B3:L46"/>
  <sheetViews>
    <sheetView topLeftCell="A19" workbookViewId="0">
      <selection activeCell="Q15" sqref="Q15"/>
    </sheetView>
  </sheetViews>
  <sheetFormatPr defaultRowHeight="14.4" x14ac:dyDescent="0.3"/>
  <sheetData>
    <row r="3" spans="2:12" x14ac:dyDescent="0.3">
      <c r="B3">
        <v>1</v>
      </c>
      <c r="C3">
        <v>1</v>
      </c>
      <c r="D3" t="s">
        <v>100</v>
      </c>
      <c r="E3" t="s">
        <v>126</v>
      </c>
      <c r="F3" t="s">
        <v>180</v>
      </c>
      <c r="G3">
        <v>2</v>
      </c>
      <c r="H3">
        <v>468</v>
      </c>
      <c r="I3">
        <v>232</v>
      </c>
      <c r="J3" t="s">
        <v>77</v>
      </c>
      <c r="K3" t="s">
        <v>10</v>
      </c>
      <c r="L3" t="s">
        <v>181</v>
      </c>
    </row>
    <row r="4" spans="2:12" x14ac:dyDescent="0.3">
      <c r="B4">
        <v>2</v>
      </c>
      <c r="C4" t="s">
        <v>2</v>
      </c>
      <c r="D4" t="s">
        <v>100</v>
      </c>
      <c r="E4" t="s">
        <v>127</v>
      </c>
      <c r="F4" t="s">
        <v>182</v>
      </c>
      <c r="G4">
        <v>1</v>
      </c>
      <c r="H4">
        <v>468</v>
      </c>
      <c r="I4">
        <v>232</v>
      </c>
      <c r="J4" t="s">
        <v>77</v>
      </c>
      <c r="K4" t="s">
        <v>60</v>
      </c>
      <c r="L4" t="s">
        <v>181</v>
      </c>
    </row>
    <row r="5" spans="2:12" x14ac:dyDescent="0.3">
      <c r="B5">
        <v>3</v>
      </c>
      <c r="C5" t="s">
        <v>59</v>
      </c>
      <c r="D5" t="s">
        <v>100</v>
      </c>
      <c r="E5" t="s">
        <v>128</v>
      </c>
      <c r="F5" t="s">
        <v>183</v>
      </c>
      <c r="G5">
        <v>1</v>
      </c>
      <c r="H5">
        <v>468</v>
      </c>
      <c r="I5">
        <v>232</v>
      </c>
      <c r="J5" t="s">
        <v>77</v>
      </c>
      <c r="K5" t="s">
        <v>66</v>
      </c>
      <c r="L5" t="s">
        <v>181</v>
      </c>
    </row>
    <row r="6" spans="2:12" x14ac:dyDescent="0.3">
      <c r="B6">
        <v>4</v>
      </c>
      <c r="C6">
        <v>2</v>
      </c>
      <c r="D6" t="s">
        <v>101</v>
      </c>
      <c r="E6" t="s">
        <v>129</v>
      </c>
      <c r="F6" t="s">
        <v>184</v>
      </c>
      <c r="G6">
        <v>2</v>
      </c>
      <c r="H6">
        <v>468</v>
      </c>
      <c r="I6">
        <v>283</v>
      </c>
      <c r="J6" t="s">
        <v>77</v>
      </c>
      <c r="K6" t="s">
        <v>10</v>
      </c>
      <c r="L6" t="s">
        <v>181</v>
      </c>
    </row>
    <row r="7" spans="2:12" x14ac:dyDescent="0.3">
      <c r="B7">
        <v>5</v>
      </c>
      <c r="C7" t="s">
        <v>3</v>
      </c>
      <c r="D7" t="s">
        <v>101</v>
      </c>
      <c r="E7" t="s">
        <v>130</v>
      </c>
      <c r="F7" t="s">
        <v>185</v>
      </c>
      <c r="G7">
        <v>1</v>
      </c>
      <c r="H7">
        <v>468</v>
      </c>
      <c r="I7">
        <v>283</v>
      </c>
      <c r="J7" t="s">
        <v>77</v>
      </c>
      <c r="K7" t="s">
        <v>60</v>
      </c>
      <c r="L7" t="s">
        <v>186</v>
      </c>
    </row>
    <row r="8" spans="2:12" x14ac:dyDescent="0.3">
      <c r="B8">
        <v>6</v>
      </c>
      <c r="C8" t="s">
        <v>61</v>
      </c>
      <c r="D8" t="s">
        <v>101</v>
      </c>
      <c r="E8" t="s">
        <v>131</v>
      </c>
      <c r="F8" t="s">
        <v>187</v>
      </c>
      <c r="G8">
        <v>1</v>
      </c>
      <c r="H8">
        <v>468</v>
      </c>
      <c r="I8">
        <v>283</v>
      </c>
      <c r="J8" t="s">
        <v>77</v>
      </c>
      <c r="K8" t="s">
        <v>66</v>
      </c>
      <c r="L8" t="s">
        <v>186</v>
      </c>
    </row>
    <row r="9" spans="2:12" x14ac:dyDescent="0.3">
      <c r="B9">
        <v>7</v>
      </c>
      <c r="C9">
        <v>3</v>
      </c>
      <c r="D9" t="s">
        <v>102</v>
      </c>
      <c r="E9" t="s">
        <v>132</v>
      </c>
      <c r="F9" t="s">
        <v>188</v>
      </c>
      <c r="G9">
        <v>2</v>
      </c>
      <c r="H9">
        <v>495</v>
      </c>
      <c r="I9">
        <v>232</v>
      </c>
      <c r="J9" t="s">
        <v>77</v>
      </c>
      <c r="K9" t="s">
        <v>10</v>
      </c>
      <c r="L9" t="s">
        <v>181</v>
      </c>
    </row>
    <row r="10" spans="2:12" x14ac:dyDescent="0.3">
      <c r="B10">
        <v>8</v>
      </c>
      <c r="C10" t="s">
        <v>4</v>
      </c>
      <c r="D10" t="s">
        <v>102</v>
      </c>
      <c r="E10" t="s">
        <v>133</v>
      </c>
      <c r="F10" t="s">
        <v>189</v>
      </c>
      <c r="G10">
        <v>1</v>
      </c>
      <c r="H10">
        <v>495</v>
      </c>
      <c r="I10">
        <v>232</v>
      </c>
      <c r="J10" t="s">
        <v>77</v>
      </c>
      <c r="K10" t="s">
        <v>60</v>
      </c>
      <c r="L10" t="s">
        <v>181</v>
      </c>
    </row>
    <row r="11" spans="2:12" x14ac:dyDescent="0.3">
      <c r="B11">
        <v>9</v>
      </c>
      <c r="C11" t="s">
        <v>62</v>
      </c>
      <c r="D11" t="s">
        <v>102</v>
      </c>
      <c r="E11" t="s">
        <v>134</v>
      </c>
      <c r="F11" t="s">
        <v>190</v>
      </c>
      <c r="G11">
        <v>1</v>
      </c>
      <c r="H11">
        <v>495</v>
      </c>
      <c r="I11">
        <v>232</v>
      </c>
      <c r="J11" t="s">
        <v>77</v>
      </c>
      <c r="K11" t="s">
        <v>66</v>
      </c>
      <c r="L11" t="s">
        <v>181</v>
      </c>
    </row>
    <row r="12" spans="2:12" x14ac:dyDescent="0.3">
      <c r="B12">
        <v>10</v>
      </c>
      <c r="C12">
        <v>4</v>
      </c>
      <c r="D12" t="s">
        <v>103</v>
      </c>
      <c r="E12" t="s">
        <v>135</v>
      </c>
      <c r="F12" t="s">
        <v>191</v>
      </c>
      <c r="G12">
        <v>2</v>
      </c>
      <c r="H12">
        <v>495</v>
      </c>
      <c r="I12">
        <v>283</v>
      </c>
      <c r="J12" t="s">
        <v>77</v>
      </c>
      <c r="K12" t="s">
        <v>10</v>
      </c>
      <c r="L12" t="s">
        <v>181</v>
      </c>
    </row>
    <row r="13" spans="2:12" x14ac:dyDescent="0.3">
      <c r="B13">
        <v>11</v>
      </c>
      <c r="C13" t="s">
        <v>5</v>
      </c>
      <c r="D13" t="s">
        <v>103</v>
      </c>
      <c r="E13" t="s">
        <v>136</v>
      </c>
      <c r="F13" t="s">
        <v>192</v>
      </c>
      <c r="G13">
        <v>1</v>
      </c>
      <c r="H13">
        <v>495</v>
      </c>
      <c r="I13">
        <v>283</v>
      </c>
      <c r="J13" t="s">
        <v>77</v>
      </c>
      <c r="K13" t="s">
        <v>60</v>
      </c>
      <c r="L13" t="s">
        <v>181</v>
      </c>
    </row>
    <row r="14" spans="2:12" x14ac:dyDescent="0.3">
      <c r="B14">
        <v>12</v>
      </c>
      <c r="C14" t="s">
        <v>63</v>
      </c>
      <c r="D14" t="s">
        <v>103</v>
      </c>
      <c r="E14" t="s">
        <v>137</v>
      </c>
      <c r="F14" t="s">
        <v>193</v>
      </c>
      <c r="G14">
        <v>1</v>
      </c>
      <c r="H14">
        <v>495</v>
      </c>
      <c r="I14">
        <v>283</v>
      </c>
      <c r="J14" t="s">
        <v>77</v>
      </c>
      <c r="K14" t="s">
        <v>66</v>
      </c>
      <c r="L14" t="s">
        <v>181</v>
      </c>
    </row>
    <row r="15" spans="2:12" x14ac:dyDescent="0.3">
      <c r="B15">
        <v>13</v>
      </c>
      <c r="C15">
        <v>5</v>
      </c>
      <c r="D15" t="s">
        <v>104</v>
      </c>
      <c r="E15" t="s">
        <v>138</v>
      </c>
      <c r="F15" t="s">
        <v>194</v>
      </c>
      <c r="G15">
        <v>2</v>
      </c>
      <c r="H15">
        <v>555</v>
      </c>
      <c r="I15">
        <v>232</v>
      </c>
      <c r="J15" t="s">
        <v>77</v>
      </c>
      <c r="K15" t="s">
        <v>10</v>
      </c>
      <c r="L15" t="s">
        <v>181</v>
      </c>
    </row>
    <row r="16" spans="2:12" x14ac:dyDescent="0.3">
      <c r="B16">
        <v>14</v>
      </c>
      <c r="C16" t="s">
        <v>6</v>
      </c>
      <c r="D16" t="s">
        <v>104</v>
      </c>
      <c r="E16" t="s">
        <v>139</v>
      </c>
      <c r="F16" t="s">
        <v>195</v>
      </c>
      <c r="G16">
        <v>1</v>
      </c>
      <c r="H16">
        <v>555</v>
      </c>
      <c r="I16">
        <v>232</v>
      </c>
      <c r="J16" t="s">
        <v>77</v>
      </c>
      <c r="K16" t="s">
        <v>60</v>
      </c>
      <c r="L16" t="s">
        <v>181</v>
      </c>
    </row>
    <row r="17" spans="2:12" x14ac:dyDescent="0.3">
      <c r="B17">
        <v>15</v>
      </c>
      <c r="C17" t="s">
        <v>64</v>
      </c>
      <c r="D17" t="s">
        <v>104</v>
      </c>
      <c r="E17" t="s">
        <v>140</v>
      </c>
      <c r="F17" t="s">
        <v>196</v>
      </c>
      <c r="G17">
        <v>1</v>
      </c>
      <c r="H17">
        <v>555</v>
      </c>
      <c r="I17">
        <v>232</v>
      </c>
      <c r="J17" t="s">
        <v>77</v>
      </c>
      <c r="K17" t="s">
        <v>66</v>
      </c>
      <c r="L17" t="s">
        <v>181</v>
      </c>
    </row>
    <row r="18" spans="2:12" x14ac:dyDescent="0.3">
      <c r="B18">
        <v>16</v>
      </c>
      <c r="C18">
        <v>6</v>
      </c>
      <c r="D18" t="s">
        <v>105</v>
      </c>
      <c r="E18" t="s">
        <v>141</v>
      </c>
      <c r="F18" t="s">
        <v>197</v>
      </c>
      <c r="G18">
        <v>2</v>
      </c>
      <c r="H18">
        <v>555</v>
      </c>
      <c r="I18">
        <v>283</v>
      </c>
      <c r="J18" t="s">
        <v>77</v>
      </c>
      <c r="K18" t="s">
        <v>10</v>
      </c>
      <c r="L18" t="s">
        <v>181</v>
      </c>
    </row>
    <row r="19" spans="2:12" x14ac:dyDescent="0.3">
      <c r="B19">
        <v>17</v>
      </c>
      <c r="C19" t="s">
        <v>7</v>
      </c>
      <c r="D19" t="s">
        <v>105</v>
      </c>
      <c r="E19" t="s">
        <v>142</v>
      </c>
      <c r="F19" t="s">
        <v>198</v>
      </c>
      <c r="G19">
        <v>1</v>
      </c>
      <c r="H19">
        <v>555</v>
      </c>
      <c r="I19">
        <v>283</v>
      </c>
      <c r="J19" t="s">
        <v>77</v>
      </c>
      <c r="K19" t="s">
        <v>60</v>
      </c>
      <c r="L19" t="s">
        <v>181</v>
      </c>
    </row>
    <row r="20" spans="2:12" x14ac:dyDescent="0.3">
      <c r="B20">
        <v>18</v>
      </c>
      <c r="C20" t="s">
        <v>67</v>
      </c>
      <c r="D20" t="s">
        <v>105</v>
      </c>
      <c r="E20" t="s">
        <v>143</v>
      </c>
      <c r="F20" t="s">
        <v>199</v>
      </c>
      <c r="G20">
        <v>1</v>
      </c>
      <c r="H20">
        <v>555</v>
      </c>
      <c r="I20">
        <v>283</v>
      </c>
      <c r="J20" t="s">
        <v>77</v>
      </c>
      <c r="K20" t="s">
        <v>66</v>
      </c>
      <c r="L20" t="s">
        <v>181</v>
      </c>
    </row>
    <row r="21" spans="2:12" x14ac:dyDescent="0.3">
      <c r="B21">
        <v>19</v>
      </c>
      <c r="C21">
        <v>7</v>
      </c>
      <c r="D21" t="s">
        <v>106</v>
      </c>
      <c r="E21" t="s">
        <v>144</v>
      </c>
      <c r="F21" t="s">
        <v>200</v>
      </c>
      <c r="G21">
        <v>2</v>
      </c>
      <c r="H21">
        <v>555</v>
      </c>
      <c r="I21">
        <v>298</v>
      </c>
      <c r="J21" t="s">
        <v>77</v>
      </c>
      <c r="K21" t="s">
        <v>10</v>
      </c>
      <c r="L21" t="s">
        <v>181</v>
      </c>
    </row>
    <row r="22" spans="2:12" x14ac:dyDescent="0.3">
      <c r="B22">
        <v>20</v>
      </c>
      <c r="C22" t="s">
        <v>8</v>
      </c>
      <c r="D22" t="s">
        <v>106</v>
      </c>
      <c r="E22" t="s">
        <v>145</v>
      </c>
      <c r="F22" t="s">
        <v>201</v>
      </c>
      <c r="G22">
        <v>1</v>
      </c>
      <c r="H22">
        <v>555</v>
      </c>
      <c r="I22">
        <v>298</v>
      </c>
      <c r="J22" t="s">
        <v>77</v>
      </c>
      <c r="K22" t="s">
        <v>60</v>
      </c>
      <c r="L22" t="s">
        <v>181</v>
      </c>
    </row>
    <row r="23" spans="2:12" x14ac:dyDescent="0.3">
      <c r="B23">
        <v>21</v>
      </c>
      <c r="C23" t="s">
        <v>65</v>
      </c>
      <c r="D23" t="s">
        <v>106</v>
      </c>
      <c r="E23" t="s">
        <v>146</v>
      </c>
      <c r="F23" t="s">
        <v>202</v>
      </c>
      <c r="G23">
        <v>1</v>
      </c>
      <c r="H23">
        <v>555</v>
      </c>
      <c r="I23">
        <v>298</v>
      </c>
      <c r="J23" t="s">
        <v>77</v>
      </c>
      <c r="K23" t="s">
        <v>66</v>
      </c>
      <c r="L23" t="s">
        <v>181</v>
      </c>
    </row>
    <row r="24" spans="2:12" x14ac:dyDescent="0.3">
      <c r="B24">
        <v>22</v>
      </c>
      <c r="C24">
        <v>270</v>
      </c>
      <c r="D24" t="s">
        <v>107</v>
      </c>
      <c r="E24" t="s">
        <v>147</v>
      </c>
      <c r="F24" t="s">
        <v>203</v>
      </c>
      <c r="G24">
        <v>1</v>
      </c>
      <c r="H24" t="s">
        <v>77</v>
      </c>
      <c r="I24" t="s">
        <v>77</v>
      </c>
      <c r="K24" t="s">
        <v>170</v>
      </c>
      <c r="L24" t="s">
        <v>181</v>
      </c>
    </row>
    <row r="25" spans="2:12" x14ac:dyDescent="0.3">
      <c r="B25">
        <v>23</v>
      </c>
      <c r="C25">
        <v>300</v>
      </c>
      <c r="D25" t="s">
        <v>108</v>
      </c>
      <c r="E25" t="s">
        <v>148</v>
      </c>
      <c r="F25" t="s">
        <v>204</v>
      </c>
      <c r="G25">
        <v>1</v>
      </c>
      <c r="H25" t="s">
        <v>77</v>
      </c>
      <c r="I25" t="s">
        <v>77</v>
      </c>
      <c r="K25" t="s">
        <v>171</v>
      </c>
      <c r="L25" t="s">
        <v>181</v>
      </c>
    </row>
    <row r="26" spans="2:12" x14ac:dyDescent="0.3">
      <c r="B26">
        <v>24</v>
      </c>
      <c r="C26">
        <v>330</v>
      </c>
      <c r="D26" t="s">
        <v>109</v>
      </c>
      <c r="E26" t="s">
        <v>149</v>
      </c>
      <c r="F26" t="s">
        <v>205</v>
      </c>
      <c r="G26">
        <v>1</v>
      </c>
      <c r="H26" t="s">
        <v>77</v>
      </c>
      <c r="I26" t="s">
        <v>77</v>
      </c>
      <c r="K26" t="s">
        <v>172</v>
      </c>
      <c r="L26" t="s">
        <v>181</v>
      </c>
    </row>
    <row r="27" spans="2:12" x14ac:dyDescent="0.3">
      <c r="B27">
        <v>25</v>
      </c>
      <c r="C27">
        <v>360</v>
      </c>
      <c r="D27" t="s">
        <v>110</v>
      </c>
      <c r="E27" t="s">
        <v>150</v>
      </c>
      <c r="F27" t="s">
        <v>206</v>
      </c>
      <c r="G27">
        <v>1</v>
      </c>
      <c r="H27" t="s">
        <v>77</v>
      </c>
      <c r="I27" t="s">
        <v>77</v>
      </c>
      <c r="K27" t="s">
        <v>173</v>
      </c>
      <c r="L27" t="s">
        <v>181</v>
      </c>
    </row>
    <row r="28" spans="2:12" x14ac:dyDescent="0.3">
      <c r="B28">
        <v>26</v>
      </c>
      <c r="C28">
        <v>390</v>
      </c>
      <c r="D28" t="s">
        <v>111</v>
      </c>
      <c r="E28" t="s">
        <v>151</v>
      </c>
      <c r="F28" t="s">
        <v>207</v>
      </c>
      <c r="G28">
        <v>1</v>
      </c>
      <c r="H28" t="s">
        <v>77</v>
      </c>
      <c r="I28" t="s">
        <v>77</v>
      </c>
      <c r="K28" t="s">
        <v>174</v>
      </c>
      <c r="L28" t="s">
        <v>186</v>
      </c>
    </row>
    <row r="29" spans="2:12" x14ac:dyDescent="0.3">
      <c r="B29">
        <v>27</v>
      </c>
      <c r="C29">
        <v>420</v>
      </c>
      <c r="D29" t="s">
        <v>112</v>
      </c>
      <c r="E29" t="s">
        <v>152</v>
      </c>
      <c r="F29" t="s">
        <v>208</v>
      </c>
      <c r="G29">
        <v>1</v>
      </c>
      <c r="H29" t="s">
        <v>77</v>
      </c>
      <c r="I29" t="s">
        <v>77</v>
      </c>
      <c r="K29" t="s">
        <v>175</v>
      </c>
      <c r="L29" t="s">
        <v>181</v>
      </c>
    </row>
    <row r="30" spans="2:12" x14ac:dyDescent="0.3">
      <c r="B30">
        <v>28</v>
      </c>
      <c r="C30" t="s">
        <v>90</v>
      </c>
      <c r="D30" t="s">
        <v>113</v>
      </c>
      <c r="E30" t="s">
        <v>153</v>
      </c>
      <c r="F30" t="s">
        <v>209</v>
      </c>
      <c r="G30">
        <v>2</v>
      </c>
      <c r="H30" t="s">
        <v>77</v>
      </c>
      <c r="J30" t="s">
        <v>77</v>
      </c>
      <c r="K30" t="s">
        <v>177</v>
      </c>
      <c r="L30" t="s">
        <v>181</v>
      </c>
    </row>
    <row r="31" spans="2:12" x14ac:dyDescent="0.3">
      <c r="B31">
        <v>29</v>
      </c>
      <c r="C31" t="s">
        <v>91</v>
      </c>
      <c r="D31" t="s">
        <v>113</v>
      </c>
      <c r="E31" t="s">
        <v>153</v>
      </c>
      <c r="F31" t="s">
        <v>209</v>
      </c>
      <c r="G31">
        <v>2</v>
      </c>
      <c r="H31" t="s">
        <v>77</v>
      </c>
      <c r="J31" t="s">
        <v>77</v>
      </c>
      <c r="K31" t="s">
        <v>177</v>
      </c>
      <c r="L31" t="s">
        <v>181</v>
      </c>
    </row>
    <row r="32" spans="2:12" x14ac:dyDescent="0.3">
      <c r="B32">
        <v>30</v>
      </c>
      <c r="C32" t="s">
        <v>92</v>
      </c>
      <c r="D32" t="s">
        <v>113</v>
      </c>
      <c r="E32" t="s">
        <v>153</v>
      </c>
      <c r="F32" t="s">
        <v>209</v>
      </c>
      <c r="G32">
        <v>2</v>
      </c>
      <c r="H32" t="s">
        <v>77</v>
      </c>
      <c r="J32" t="s">
        <v>77</v>
      </c>
      <c r="K32" t="s">
        <v>177</v>
      </c>
      <c r="L32" t="s">
        <v>181</v>
      </c>
    </row>
    <row r="33" spans="2:12" x14ac:dyDescent="0.3">
      <c r="B33">
        <v>31</v>
      </c>
      <c r="C33" t="s">
        <v>93</v>
      </c>
      <c r="D33" t="s">
        <v>114</v>
      </c>
      <c r="E33" t="s">
        <v>154</v>
      </c>
      <c r="F33" t="s">
        <v>210</v>
      </c>
      <c r="G33">
        <v>2</v>
      </c>
      <c r="H33" t="s">
        <v>77</v>
      </c>
      <c r="J33" t="s">
        <v>77</v>
      </c>
      <c r="K33" t="s">
        <v>176</v>
      </c>
      <c r="L33" t="s">
        <v>186</v>
      </c>
    </row>
    <row r="34" spans="2:12" x14ac:dyDescent="0.3">
      <c r="B34">
        <v>32</v>
      </c>
      <c r="C34" t="s">
        <v>94</v>
      </c>
      <c r="D34" t="s">
        <v>114</v>
      </c>
      <c r="E34" t="s">
        <v>154</v>
      </c>
      <c r="F34" t="s">
        <v>210</v>
      </c>
      <c r="G34">
        <v>2</v>
      </c>
      <c r="H34" t="s">
        <v>77</v>
      </c>
      <c r="J34" t="s">
        <v>77</v>
      </c>
      <c r="K34" t="s">
        <v>176</v>
      </c>
      <c r="L34" t="s">
        <v>181</v>
      </c>
    </row>
    <row r="35" spans="2:12" x14ac:dyDescent="0.3">
      <c r="B35">
        <v>33</v>
      </c>
      <c r="C35" t="s">
        <v>96</v>
      </c>
      <c r="D35" t="s">
        <v>114</v>
      </c>
      <c r="E35" t="s">
        <v>154</v>
      </c>
      <c r="F35" t="s">
        <v>210</v>
      </c>
      <c r="G35">
        <v>2</v>
      </c>
      <c r="H35" t="s">
        <v>77</v>
      </c>
      <c r="J35" t="s">
        <v>77</v>
      </c>
      <c r="K35" t="s">
        <v>176</v>
      </c>
      <c r="L35" t="s">
        <v>181</v>
      </c>
    </row>
    <row r="36" spans="2:12" x14ac:dyDescent="0.3">
      <c r="B36">
        <v>34</v>
      </c>
      <c r="C36" t="s">
        <v>95</v>
      </c>
      <c r="D36" t="s">
        <v>115</v>
      </c>
      <c r="E36" t="s">
        <v>155</v>
      </c>
      <c r="F36" t="s">
        <v>211</v>
      </c>
      <c r="G36">
        <v>2</v>
      </c>
      <c r="H36" t="s">
        <v>77</v>
      </c>
      <c r="J36" t="s">
        <v>77</v>
      </c>
      <c r="K36" t="s">
        <v>178</v>
      </c>
      <c r="L36" t="s">
        <v>181</v>
      </c>
    </row>
    <row r="37" spans="2:12" x14ac:dyDescent="0.3">
      <c r="B37">
        <v>35</v>
      </c>
      <c r="C37" t="s">
        <v>80</v>
      </c>
      <c r="D37" t="s">
        <v>116</v>
      </c>
      <c r="E37" t="s">
        <v>156</v>
      </c>
      <c r="F37" t="s">
        <v>212</v>
      </c>
      <c r="G37">
        <v>2</v>
      </c>
      <c r="K37" t="s">
        <v>81</v>
      </c>
      <c r="L37" t="s">
        <v>186</v>
      </c>
    </row>
    <row r="38" spans="2:12" x14ac:dyDescent="0.3">
      <c r="B38">
        <v>36</v>
      </c>
      <c r="C38">
        <v>270</v>
      </c>
      <c r="D38" t="s">
        <v>117</v>
      </c>
      <c r="E38" t="s">
        <v>157</v>
      </c>
      <c r="F38" t="s">
        <v>213</v>
      </c>
      <c r="G38">
        <v>1</v>
      </c>
      <c r="K38" t="s">
        <v>170</v>
      </c>
      <c r="L38" t="s">
        <v>181</v>
      </c>
    </row>
    <row r="39" spans="2:12" x14ac:dyDescent="0.3">
      <c r="B39">
        <v>37</v>
      </c>
      <c r="C39">
        <v>300</v>
      </c>
      <c r="D39" t="s">
        <v>118</v>
      </c>
      <c r="E39" t="s">
        <v>158</v>
      </c>
      <c r="F39" t="s">
        <v>214</v>
      </c>
      <c r="G39">
        <v>1</v>
      </c>
      <c r="K39" t="s">
        <v>171</v>
      </c>
      <c r="L39" t="s">
        <v>181</v>
      </c>
    </row>
    <row r="40" spans="2:12" x14ac:dyDescent="0.3">
      <c r="B40">
        <v>38</v>
      </c>
      <c r="C40">
        <v>330</v>
      </c>
      <c r="D40" t="s">
        <v>119</v>
      </c>
      <c r="E40" t="s">
        <v>159</v>
      </c>
      <c r="F40" t="s">
        <v>215</v>
      </c>
      <c r="G40">
        <v>1</v>
      </c>
      <c r="K40" t="s">
        <v>172</v>
      </c>
      <c r="L40" t="s">
        <v>181</v>
      </c>
    </row>
    <row r="41" spans="2:12" x14ac:dyDescent="0.3">
      <c r="B41">
        <v>39</v>
      </c>
      <c r="C41">
        <v>360</v>
      </c>
      <c r="D41" t="s">
        <v>120</v>
      </c>
      <c r="E41" t="s">
        <v>160</v>
      </c>
      <c r="F41" t="s">
        <v>216</v>
      </c>
      <c r="G41">
        <v>1</v>
      </c>
      <c r="K41" t="s">
        <v>173</v>
      </c>
      <c r="L41" t="s">
        <v>181</v>
      </c>
    </row>
    <row r="42" spans="2:12" x14ac:dyDescent="0.3">
      <c r="B42">
        <v>40</v>
      </c>
      <c r="C42">
        <v>390</v>
      </c>
      <c r="D42" t="s">
        <v>121</v>
      </c>
      <c r="E42" t="s">
        <v>161</v>
      </c>
      <c r="F42" t="s">
        <v>217</v>
      </c>
      <c r="G42">
        <v>1</v>
      </c>
      <c r="K42" t="s">
        <v>174</v>
      </c>
      <c r="L42" t="s">
        <v>186</v>
      </c>
    </row>
    <row r="43" spans="2:12" x14ac:dyDescent="0.3">
      <c r="B43">
        <v>41</v>
      </c>
      <c r="C43">
        <v>420</v>
      </c>
      <c r="D43" t="s">
        <v>122</v>
      </c>
      <c r="E43" t="s">
        <v>162</v>
      </c>
      <c r="F43" t="s">
        <v>218</v>
      </c>
      <c r="G43">
        <v>1</v>
      </c>
      <c r="K43" t="s">
        <v>175</v>
      </c>
      <c r="L43" t="s">
        <v>181</v>
      </c>
    </row>
    <row r="44" spans="2:12" x14ac:dyDescent="0.3">
      <c r="B44">
        <v>42</v>
      </c>
      <c r="C44" t="s">
        <v>80</v>
      </c>
      <c r="D44" t="s">
        <v>123</v>
      </c>
      <c r="E44" t="s">
        <v>163</v>
      </c>
      <c r="F44" t="s">
        <v>219</v>
      </c>
      <c r="G44">
        <v>2</v>
      </c>
      <c r="H44" t="s">
        <v>77</v>
      </c>
      <c r="I44" t="s">
        <v>77</v>
      </c>
      <c r="J44" t="s">
        <v>77</v>
      </c>
      <c r="K44" t="s">
        <v>81</v>
      </c>
      <c r="L44" t="s">
        <v>186</v>
      </c>
    </row>
    <row r="45" spans="2:12" x14ac:dyDescent="0.3">
      <c r="B45">
        <v>43</v>
      </c>
      <c r="C45" t="s">
        <v>80</v>
      </c>
      <c r="D45" t="s">
        <v>124</v>
      </c>
      <c r="E45" t="s">
        <v>164</v>
      </c>
      <c r="F45" t="s">
        <v>220</v>
      </c>
      <c r="G45">
        <v>2</v>
      </c>
      <c r="H45" t="s">
        <v>77</v>
      </c>
      <c r="I45" t="s">
        <v>77</v>
      </c>
      <c r="J45" t="s">
        <v>77</v>
      </c>
      <c r="K45" t="s">
        <v>81</v>
      </c>
      <c r="L45" t="s">
        <v>186</v>
      </c>
    </row>
    <row r="46" spans="2:12" x14ac:dyDescent="0.3">
      <c r="B46">
        <v>44</v>
      </c>
      <c r="C46" t="s">
        <v>80</v>
      </c>
      <c r="D46" t="s">
        <v>125</v>
      </c>
      <c r="E46" t="s">
        <v>165</v>
      </c>
      <c r="F46" t="s">
        <v>221</v>
      </c>
      <c r="G46">
        <v>2</v>
      </c>
      <c r="H46" t="s">
        <v>77</v>
      </c>
      <c r="I46" t="s">
        <v>77</v>
      </c>
      <c r="J46" t="s">
        <v>77</v>
      </c>
      <c r="K46" t="s">
        <v>81</v>
      </c>
      <c r="L4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9</vt:i4>
      </vt:variant>
    </vt:vector>
  </HeadingPairs>
  <TitlesOfParts>
    <vt:vector size="15" baseType="lpstr">
      <vt:lpstr>GOOgle</vt:lpstr>
      <vt:lpstr>Вводимые параметры</vt:lpstr>
      <vt:lpstr>Рама буфер всех чертежей</vt:lpstr>
      <vt:lpstr>Буфер</vt:lpstr>
      <vt:lpstr>Хлам</vt:lpstr>
      <vt:lpstr>Лист1</vt:lpstr>
      <vt:lpstr>dlinbedr</vt:lpstr>
      <vt:lpstr>dlingolen</vt:lpstr>
      <vt:lpstr>podbor_shireni_kolyaski</vt:lpstr>
      <vt:lpstr>shirbedr</vt:lpstr>
      <vt:lpstr>typebanan</vt:lpstr>
      <vt:lpstr>typewheelch</vt:lpstr>
      <vt:lpstr>visotakol</vt:lpstr>
      <vt:lpstr>visotaSpin</vt:lpstr>
      <vt:lpstr>подбор_ширины_коляски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2023-09-20T09:58:10Z</dcterms:modified>
</cp:coreProperties>
</file>