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1520" windowHeight="7160"/>
  </bookViews>
  <sheets>
    <sheet name="Intro" sheetId="11" r:id="rId1"/>
    <sheet name="Revenue D" sheetId="1" r:id="rId2"/>
    <sheet name="Cost D" sheetId="2" r:id="rId3"/>
    <sheet name="P&amp;L" sheetId="3" r:id="rId4"/>
    <sheet name="BS" sheetId="6" r:id="rId5"/>
    <sheet name="Debt schedule" sheetId="5" r:id="rId6"/>
    <sheet name="FAS" sheetId="4" r:id="rId7"/>
    <sheet name="Cashflow" sheetId="7" r:id="rId8"/>
    <sheet name="Output" sheetId="8" r:id="rId9"/>
    <sheet name="Sheet2" sheetId="9" r:id="rId10"/>
    <sheet name="Sheet1" sheetId="10" r:id="rId11"/>
  </sheets>
  <externalReferences>
    <externalReference r:id="rId12"/>
    <externalReference r:id="rId13"/>
    <externalReference r:id="rId1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8" l="1"/>
  <c r="B35" i="10"/>
  <c r="H8" i="10"/>
  <c r="K8" i="10"/>
  <c r="K7" i="10"/>
  <c r="J8" i="10"/>
  <c r="J7" i="10"/>
  <c r="I7" i="10"/>
  <c r="I8" i="10"/>
  <c r="H7" i="10"/>
  <c r="E8" i="10"/>
  <c r="E7" i="10"/>
  <c r="D8" i="10"/>
  <c r="D7" i="10"/>
  <c r="C8" i="10"/>
  <c r="C7" i="10"/>
  <c r="B8" i="10"/>
  <c r="B7" i="10"/>
  <c r="D15" i="8"/>
  <c r="H25" i="10"/>
  <c r="H15" i="10"/>
  <c r="H24" i="10"/>
  <c r="H17" i="10"/>
  <c r="H26" i="10"/>
  <c r="E35" i="10"/>
  <c r="E34" i="10"/>
  <c r="B34" i="10"/>
  <c r="E33" i="10"/>
  <c r="B33" i="10"/>
  <c r="B39" i="10"/>
  <c r="H35" i="10"/>
  <c r="J34" i="10"/>
  <c r="N26" i="10"/>
  <c r="G35" i="10"/>
  <c r="N25" i="10"/>
  <c r="D34" i="10"/>
  <c r="F35" i="10"/>
  <c r="C34" i="10"/>
  <c r="E40" i="10"/>
  <c r="C35" i="10"/>
  <c r="F34" i="10"/>
  <c r="J35" i="10"/>
  <c r="I35" i="10"/>
  <c r="I34" i="10"/>
  <c r="K35" i="10"/>
  <c r="E39" i="10"/>
  <c r="H34" i="10"/>
  <c r="B40" i="10"/>
  <c r="K34" i="10"/>
  <c r="B47" i="10"/>
  <c r="C47" i="10"/>
  <c r="C44" i="10"/>
  <c r="B44" i="10"/>
  <c r="D35" i="10"/>
  <c r="G34" i="10"/>
  <c r="H3" i="9"/>
  <c r="H2" i="9"/>
  <c r="H5" i="9"/>
  <c r="B28" i="8"/>
  <c r="B24" i="8"/>
  <c r="B22" i="8"/>
  <c r="G1" i="8"/>
  <c r="F1" i="8"/>
  <c r="E1" i="8"/>
  <c r="D1" i="8"/>
  <c r="C1" i="8"/>
  <c r="C24" i="7"/>
  <c r="D24" i="7"/>
  <c r="E24" i="7"/>
  <c r="F24" i="7"/>
  <c r="G24" i="7"/>
  <c r="C25" i="7"/>
  <c r="D25" i="7"/>
  <c r="E25" i="7"/>
  <c r="F25" i="7"/>
  <c r="G25" i="7"/>
  <c r="C26" i="7"/>
  <c r="D26" i="7"/>
  <c r="E26" i="7"/>
  <c r="F26" i="7"/>
  <c r="G26" i="7"/>
  <c r="B35" i="7"/>
  <c r="E10" i="1"/>
  <c r="B23" i="3"/>
  <c r="B22" i="3"/>
  <c r="C23" i="3"/>
  <c r="C22" i="3"/>
  <c r="I12" i="3"/>
  <c r="B19" i="3"/>
  <c r="B15" i="3"/>
  <c r="B17" i="3"/>
  <c r="C19" i="3"/>
  <c r="C12" i="3"/>
  <c r="C15" i="3"/>
  <c r="C17" i="3"/>
  <c r="D19" i="3"/>
  <c r="D12" i="3"/>
  <c r="H12" i="3"/>
  <c r="G12" i="3"/>
  <c r="F12" i="3"/>
  <c r="E12" i="3"/>
  <c r="E44" i="7"/>
  <c r="F44" i="7"/>
  <c r="G44" i="7"/>
  <c r="E43" i="7"/>
  <c r="F43" i="7"/>
  <c r="G43" i="7"/>
  <c r="D42" i="7"/>
  <c r="E42" i="7"/>
  <c r="F42" i="7"/>
  <c r="D35" i="7"/>
  <c r="E35" i="7"/>
  <c r="F35" i="7"/>
  <c r="G35" i="7"/>
  <c r="D20" i="7"/>
  <c r="E20" i="7"/>
  <c r="F20" i="7"/>
  <c r="G20" i="7"/>
  <c r="B6" i="7"/>
  <c r="B7" i="7"/>
  <c r="B8" i="7"/>
  <c r="B9" i="7"/>
  <c r="B10" i="7"/>
  <c r="B11" i="7"/>
  <c r="B12" i="7"/>
  <c r="B13" i="7"/>
  <c r="B22" i="6"/>
  <c r="B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52" i="7"/>
  <c r="B42" i="7"/>
  <c r="B43" i="7"/>
  <c r="B44" i="7"/>
  <c r="B45" i="7"/>
  <c r="B46" i="7"/>
  <c r="B47" i="7"/>
  <c r="B49" i="7"/>
  <c r="B31" i="7"/>
  <c r="B32" i="7"/>
  <c r="B33" i="7"/>
  <c r="B34" i="7"/>
  <c r="B37" i="7"/>
  <c r="B38" i="7"/>
  <c r="B39" i="7"/>
  <c r="B3" i="7"/>
  <c r="B5" i="7"/>
  <c r="B14" i="7"/>
  <c r="B16" i="7"/>
  <c r="B18" i="7"/>
  <c r="B20" i="7"/>
  <c r="B21" i="7"/>
  <c r="B22" i="7"/>
  <c r="B23" i="7"/>
  <c r="B24" i="7"/>
  <c r="B25" i="7"/>
  <c r="B26" i="7"/>
  <c r="B27" i="7"/>
  <c r="B28" i="7"/>
  <c r="B29" i="7"/>
  <c r="C34" i="6"/>
  <c r="D34" i="6"/>
  <c r="E34" i="6"/>
  <c r="F34" i="6"/>
  <c r="G34" i="6"/>
  <c r="B8" i="6"/>
  <c r="C8" i="6"/>
  <c r="D8" i="6"/>
  <c r="E8" i="6"/>
  <c r="F8" i="6"/>
  <c r="G8" i="6"/>
  <c r="B30" i="6"/>
  <c r="B31" i="6"/>
  <c r="C31" i="6"/>
  <c r="D31" i="6"/>
  <c r="E31" i="6"/>
  <c r="F31" i="6"/>
  <c r="G31" i="6"/>
  <c r="B32" i="6"/>
  <c r="C32" i="6"/>
  <c r="D32" i="6"/>
  <c r="E32" i="6"/>
  <c r="F32" i="6"/>
  <c r="G32" i="6"/>
  <c r="B35" i="6"/>
  <c r="B36" i="6"/>
  <c r="C36" i="6"/>
  <c r="D36" i="6"/>
  <c r="E36" i="6"/>
  <c r="F36" i="6"/>
  <c r="G36" i="6"/>
  <c r="B37" i="6"/>
  <c r="C37" i="6"/>
  <c r="D37" i="6"/>
  <c r="E37" i="6"/>
  <c r="F37" i="6"/>
  <c r="G37" i="6"/>
  <c r="B7" i="6"/>
  <c r="C7" i="6"/>
  <c r="D7" i="6"/>
  <c r="E7" i="6"/>
  <c r="F7" i="6"/>
  <c r="G7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8" i="6"/>
  <c r="C18" i="6"/>
  <c r="D18" i="6"/>
  <c r="E18" i="6"/>
  <c r="F18" i="6"/>
  <c r="G18" i="6"/>
  <c r="B19" i="6"/>
  <c r="B10" i="5"/>
  <c r="B5" i="5"/>
  <c r="B8" i="5"/>
  <c r="B12" i="5"/>
  <c r="B20" i="8"/>
  <c r="D17" i="3"/>
  <c r="E27" i="8"/>
  <c r="B21" i="8"/>
  <c r="B25" i="8"/>
  <c r="C61" i="4"/>
  <c r="C58" i="4"/>
  <c r="C59" i="4"/>
  <c r="C63" i="4"/>
  <c r="C62" i="4"/>
  <c r="C64" i="4"/>
  <c r="C72" i="4"/>
  <c r="C76" i="4"/>
  <c r="D71" i="4"/>
  <c r="C71" i="4"/>
  <c r="C75" i="4"/>
  <c r="C77" i="4"/>
  <c r="D58" i="4"/>
  <c r="C50" i="4"/>
  <c r="C48" i="4"/>
  <c r="C52" i="4"/>
  <c r="D47" i="4"/>
  <c r="C47" i="4"/>
  <c r="C40" i="4"/>
  <c r="C38" i="4"/>
  <c r="C42" i="4"/>
  <c r="D37" i="4"/>
  <c r="C37" i="4"/>
  <c r="C29" i="4"/>
  <c r="C27" i="4"/>
  <c r="C31" i="4"/>
  <c r="D26" i="4"/>
  <c r="C26" i="4"/>
  <c r="C18" i="4"/>
  <c r="C16" i="4"/>
  <c r="C20" i="4"/>
  <c r="D15" i="4"/>
  <c r="C15" i="4"/>
  <c r="C7" i="4"/>
  <c r="C5" i="4"/>
  <c r="C9" i="4"/>
  <c r="B6" i="6"/>
  <c r="D4" i="4"/>
  <c r="C4" i="4"/>
  <c r="C8" i="4"/>
  <c r="C19" i="4"/>
  <c r="C30" i="4"/>
  <c r="C41" i="4"/>
  <c r="C51" i="4"/>
  <c r="D15" i="3"/>
  <c r="C22" i="4"/>
  <c r="C33" i="4"/>
  <c r="C44" i="4"/>
  <c r="C54" i="4"/>
  <c r="C4" i="2"/>
  <c r="C8" i="3"/>
  <c r="B4" i="2"/>
  <c r="B8" i="3"/>
  <c r="D10" i="2"/>
  <c r="D11" i="3"/>
  <c r="D8" i="2"/>
  <c r="D10" i="3"/>
  <c r="D6" i="2"/>
  <c r="D4" i="2"/>
  <c r="D8" i="3"/>
  <c r="C10" i="2"/>
  <c r="C11" i="3"/>
  <c r="C8" i="2"/>
  <c r="C10" i="3"/>
  <c r="C6" i="2"/>
  <c r="C9" i="3"/>
  <c r="B12" i="2"/>
  <c r="B12" i="3"/>
  <c r="B10" i="2"/>
  <c r="B11" i="3"/>
  <c r="B8" i="2"/>
  <c r="B10" i="3"/>
  <c r="B6" i="2"/>
  <c r="B9" i="3"/>
  <c r="D6" i="1"/>
  <c r="E6" i="1"/>
  <c r="D3" i="1"/>
  <c r="C3" i="1"/>
  <c r="D9" i="1"/>
  <c r="E9" i="1"/>
  <c r="F9" i="1"/>
  <c r="G9" i="1"/>
  <c r="H9" i="1"/>
  <c r="I9" i="1"/>
  <c r="D4" i="1"/>
  <c r="E4" i="1"/>
  <c r="F4" i="1"/>
  <c r="G4" i="1"/>
  <c r="H4" i="1"/>
  <c r="I4" i="1"/>
  <c r="D5" i="1"/>
  <c r="C6" i="1"/>
  <c r="C5" i="1"/>
  <c r="C7" i="1"/>
  <c r="B6" i="1"/>
  <c r="B5" i="1"/>
  <c r="C4" i="1"/>
  <c r="B4" i="1"/>
  <c r="B3" i="1"/>
  <c r="D7" i="1"/>
  <c r="B7" i="1"/>
  <c r="F6" i="1"/>
  <c r="G6" i="1"/>
  <c r="B18" i="8"/>
  <c r="H6" i="1"/>
  <c r="C2" i="2"/>
  <c r="C5" i="3"/>
  <c r="C13" i="3"/>
  <c r="C14" i="3"/>
  <c r="C16" i="3"/>
  <c r="C18" i="3"/>
  <c r="B2" i="2"/>
  <c r="B5" i="3"/>
  <c r="E6" i="2"/>
  <c r="D9" i="3"/>
  <c r="C9" i="1"/>
  <c r="B13" i="3"/>
  <c r="B51" i="7"/>
  <c r="B53" i="7"/>
  <c r="B17" i="6"/>
  <c r="G42" i="7"/>
  <c r="C6" i="4"/>
  <c r="C17" i="4"/>
  <c r="D5" i="3"/>
  <c r="B6" i="10"/>
  <c r="C60" i="4"/>
  <c r="C39" i="4"/>
  <c r="C73" i="4"/>
  <c r="D2" i="2"/>
  <c r="C28" i="4"/>
  <c r="C49" i="4"/>
  <c r="D13" i="3"/>
  <c r="D14" i="3"/>
  <c r="E3" i="1"/>
  <c r="C11" i="4"/>
  <c r="C7" i="5"/>
  <c r="C43" i="7"/>
  <c r="C5" i="5"/>
  <c r="C8" i="5"/>
  <c r="C10" i="5"/>
  <c r="E17" i="3"/>
  <c r="C14" i="7"/>
  <c r="B28" i="6"/>
  <c r="B39" i="6"/>
  <c r="B14" i="3"/>
  <c r="B16" i="3"/>
  <c r="B18" i="3"/>
  <c r="B20" i="3"/>
  <c r="C52" i="7"/>
  <c r="B20" i="6"/>
  <c r="B40" i="6"/>
  <c r="C22" i="6"/>
  <c r="D16" i="3"/>
  <c r="D18" i="3"/>
  <c r="H6" i="10"/>
  <c r="H33" i="10"/>
  <c r="C30" i="6"/>
  <c r="D5" i="5"/>
  <c r="E5" i="1"/>
  <c r="E7" i="1"/>
  <c r="D27" i="4"/>
  <c r="D59" i="4"/>
  <c r="D5" i="4"/>
  <c r="I6" i="1"/>
  <c r="D8" i="4"/>
  <c r="C7" i="2"/>
  <c r="C5" i="2"/>
  <c r="C11" i="2"/>
  <c r="C9" i="2"/>
  <c r="F3" i="1"/>
  <c r="D16" i="4"/>
  <c r="D5" i="2"/>
  <c r="D11" i="2"/>
  <c r="D7" i="2"/>
  <c r="D9" i="2"/>
  <c r="I33" i="10"/>
  <c r="C33" i="10"/>
  <c r="E9" i="3"/>
  <c r="F6" i="2"/>
  <c r="B5" i="2"/>
  <c r="B9" i="2"/>
  <c r="E9" i="2"/>
  <c r="F9" i="2"/>
  <c r="G9" i="2"/>
  <c r="H9" i="2"/>
  <c r="I9" i="2"/>
  <c r="B11" i="2"/>
  <c r="E11" i="2"/>
  <c r="F11" i="2"/>
  <c r="G11" i="2"/>
  <c r="H11" i="2"/>
  <c r="I11" i="2"/>
  <c r="B7" i="2"/>
  <c r="B21" i="3"/>
  <c r="B24" i="3"/>
  <c r="C20" i="3"/>
  <c r="C21" i="3"/>
  <c r="C24" i="3"/>
  <c r="D22" i="6"/>
  <c r="D19" i="4"/>
  <c r="D20" i="4"/>
  <c r="E15" i="4"/>
  <c r="G3" i="1"/>
  <c r="F5" i="1"/>
  <c r="F7" i="1"/>
  <c r="C39" i="10"/>
  <c r="C40" i="10"/>
  <c r="D72" i="4"/>
  <c r="D30" i="4"/>
  <c r="E5" i="2"/>
  <c r="F5" i="2"/>
  <c r="G5" i="2"/>
  <c r="H5" i="2"/>
  <c r="I5" i="2"/>
  <c r="I39" i="10"/>
  <c r="I40" i="10"/>
  <c r="B62" i="10"/>
  <c r="C62" i="10"/>
  <c r="D62" i="10"/>
  <c r="F9" i="3"/>
  <c r="G6" i="2"/>
  <c r="E5" i="3"/>
  <c r="E2" i="2"/>
  <c r="D38" i="4"/>
  <c r="D8" i="5"/>
  <c r="D10" i="5"/>
  <c r="F17" i="3"/>
  <c r="D14" i="7"/>
  <c r="D48" i="4"/>
  <c r="H39" i="10"/>
  <c r="H40" i="10"/>
  <c r="B61" i="10"/>
  <c r="C61" i="10"/>
  <c r="D61" i="10"/>
  <c r="D9" i="4"/>
  <c r="D62" i="4"/>
  <c r="D63" i="4"/>
  <c r="E58" i="4"/>
  <c r="D21" i="3"/>
  <c r="D20" i="3"/>
  <c r="E20" i="3"/>
  <c r="F20" i="3"/>
  <c r="B26" i="3"/>
  <c r="B27" i="3"/>
  <c r="C26" i="3"/>
  <c r="C27" i="3"/>
  <c r="E22" i="6"/>
  <c r="D41" i="4"/>
  <c r="D51" i="4"/>
  <c r="D75" i="4"/>
  <c r="E15" i="3"/>
  <c r="D79" i="4"/>
  <c r="C31" i="7"/>
  <c r="C39" i="7"/>
  <c r="D76" i="4"/>
  <c r="E71" i="4"/>
  <c r="F5" i="3"/>
  <c r="F2" i="2"/>
  <c r="E16" i="4"/>
  <c r="E19" i="4"/>
  <c r="E27" i="4"/>
  <c r="E5" i="4"/>
  <c r="E72" i="4"/>
  <c r="E59" i="4"/>
  <c r="E48" i="4"/>
  <c r="E38" i="4"/>
  <c r="E79" i="4"/>
  <c r="D31" i="7"/>
  <c r="D39" i="7"/>
  <c r="E8" i="2"/>
  <c r="E10" i="3"/>
  <c r="E4" i="2"/>
  <c r="E10" i="2"/>
  <c r="E11" i="3"/>
  <c r="C45" i="10"/>
  <c r="B45" i="10"/>
  <c r="H3" i="1"/>
  <c r="G5" i="1"/>
  <c r="G7" i="1"/>
  <c r="D52" i="4"/>
  <c r="E47" i="4"/>
  <c r="C7" i="8"/>
  <c r="C19" i="6"/>
  <c r="C21" i="7"/>
  <c r="C6" i="10"/>
  <c r="C52" i="10"/>
  <c r="B52" i="10"/>
  <c r="D31" i="4"/>
  <c r="E26" i="4"/>
  <c r="E4" i="4"/>
  <c r="D24" i="3"/>
  <c r="D27" i="3"/>
  <c r="D26" i="3"/>
  <c r="B51" i="10"/>
  <c r="C51" i="10"/>
  <c r="D30" i="6"/>
  <c r="E5" i="5"/>
  <c r="G9" i="3"/>
  <c r="H6" i="2"/>
  <c r="G20" i="3"/>
  <c r="F22" i="6"/>
  <c r="E51" i="4"/>
  <c r="E52" i="4"/>
  <c r="F47" i="4"/>
  <c r="E75" i="4"/>
  <c r="E76" i="4"/>
  <c r="F71" i="4"/>
  <c r="C6" i="8"/>
  <c r="C5" i="7"/>
  <c r="E8" i="4"/>
  <c r="E9" i="4"/>
  <c r="F10" i="2"/>
  <c r="F11" i="3"/>
  <c r="F4" i="2"/>
  <c r="F8" i="2"/>
  <c r="F10" i="3"/>
  <c r="E20" i="4"/>
  <c r="F15" i="4"/>
  <c r="F33" i="10"/>
  <c r="K33" i="10"/>
  <c r="D7" i="8"/>
  <c r="D19" i="6"/>
  <c r="D21" i="7"/>
  <c r="D6" i="10"/>
  <c r="E62" i="4"/>
  <c r="E63" i="4"/>
  <c r="F58" i="4"/>
  <c r="G5" i="3"/>
  <c r="G2" i="2"/>
  <c r="F59" i="4"/>
  <c r="F72" i="4"/>
  <c r="F48" i="4"/>
  <c r="F16" i="4"/>
  <c r="F27" i="4"/>
  <c r="F5" i="4"/>
  <c r="F38" i="4"/>
  <c r="E7" i="8"/>
  <c r="D42" i="4"/>
  <c r="E8" i="5"/>
  <c r="E10" i="5"/>
  <c r="G17" i="3"/>
  <c r="E14" i="7"/>
  <c r="E30" i="4"/>
  <c r="E31" i="4"/>
  <c r="F26" i="4"/>
  <c r="H9" i="3"/>
  <c r="I6" i="2"/>
  <c r="I9" i="3"/>
  <c r="I3" i="1"/>
  <c r="I5" i="1"/>
  <c r="I7" i="1"/>
  <c r="H5" i="1"/>
  <c r="H7" i="1"/>
  <c r="C13" i="6"/>
  <c r="C22" i="7"/>
  <c r="E8" i="3"/>
  <c r="H20" i="3"/>
  <c r="G22" i="6"/>
  <c r="F30" i="4"/>
  <c r="F31" i="4"/>
  <c r="G26" i="4"/>
  <c r="F62" i="4"/>
  <c r="F63" i="4"/>
  <c r="G58" i="4"/>
  <c r="F51" i="4"/>
  <c r="F52" i="4"/>
  <c r="G47" i="4"/>
  <c r="H5" i="3"/>
  <c r="F19" i="6"/>
  <c r="H2" i="2"/>
  <c r="G48" i="4"/>
  <c r="G27" i="4"/>
  <c r="G59" i="4"/>
  <c r="G72" i="4"/>
  <c r="G38" i="4"/>
  <c r="G16" i="4"/>
  <c r="G5" i="4"/>
  <c r="G79" i="4"/>
  <c r="F31" i="7"/>
  <c r="F39" i="7"/>
  <c r="F7" i="8"/>
  <c r="E37" i="4"/>
  <c r="C6" i="6"/>
  <c r="G8" i="2"/>
  <c r="G10" i="3"/>
  <c r="G10" i="2"/>
  <c r="G11" i="3"/>
  <c r="G4" i="2"/>
  <c r="K39" i="10"/>
  <c r="K40" i="10"/>
  <c r="B64" i="10"/>
  <c r="C64" i="10"/>
  <c r="D64" i="10"/>
  <c r="D13" i="6"/>
  <c r="D22" i="7"/>
  <c r="F8" i="3"/>
  <c r="F4" i="4"/>
  <c r="F75" i="4"/>
  <c r="F76" i="4"/>
  <c r="G71" i="4"/>
  <c r="I5" i="3"/>
  <c r="G19" i="6"/>
  <c r="G21" i="7"/>
  <c r="I2" i="2"/>
  <c r="H38" i="4"/>
  <c r="H16" i="4"/>
  <c r="H5" i="4"/>
  <c r="H59" i="4"/>
  <c r="H72" i="4"/>
  <c r="H48" i="4"/>
  <c r="H27" i="4"/>
  <c r="E19" i="6"/>
  <c r="E21" i="7"/>
  <c r="E6" i="10"/>
  <c r="N24" i="10"/>
  <c r="F40" i="10"/>
  <c r="F39" i="10"/>
  <c r="C35" i="6"/>
  <c r="C23" i="7"/>
  <c r="C8" i="8"/>
  <c r="E13" i="3"/>
  <c r="E14" i="3"/>
  <c r="F79" i="4"/>
  <c r="E31" i="7"/>
  <c r="E39" i="7"/>
  <c r="F19" i="4"/>
  <c r="F20" i="4"/>
  <c r="G15" i="4"/>
  <c r="E30" i="6"/>
  <c r="F5" i="5"/>
  <c r="I20" i="3"/>
  <c r="G75" i="4"/>
  <c r="G76" i="4"/>
  <c r="H71" i="4"/>
  <c r="G51" i="4"/>
  <c r="G52" i="4"/>
  <c r="H47" i="4"/>
  <c r="G19" i="4"/>
  <c r="G20" i="4"/>
  <c r="H15" i="4"/>
  <c r="G62" i="4"/>
  <c r="G63" i="4"/>
  <c r="H58" i="4"/>
  <c r="G30" i="4"/>
  <c r="G31" i="4"/>
  <c r="H26" i="4"/>
  <c r="F8" i="5"/>
  <c r="F10" i="5"/>
  <c r="H17" i="3"/>
  <c r="F14" i="7"/>
  <c r="E16" i="3"/>
  <c r="I6" i="10"/>
  <c r="J33" i="10"/>
  <c r="D35" i="6"/>
  <c r="D23" i="7"/>
  <c r="D8" i="8"/>
  <c r="F13" i="3"/>
  <c r="F14" i="3"/>
  <c r="E13" i="6"/>
  <c r="E22" i="7"/>
  <c r="G8" i="3"/>
  <c r="E41" i="4"/>
  <c r="E42" i="4"/>
  <c r="F15" i="3"/>
  <c r="H10" i="2"/>
  <c r="H11" i="3"/>
  <c r="H4" i="2"/>
  <c r="H8" i="2"/>
  <c r="H10" i="3"/>
  <c r="D33" i="10"/>
  <c r="G33" i="10"/>
  <c r="H79" i="4"/>
  <c r="G31" i="7"/>
  <c r="G39" i="7"/>
  <c r="F21" i="7"/>
  <c r="I10" i="2"/>
  <c r="I11" i="3"/>
  <c r="I8" i="2"/>
  <c r="I10" i="3"/>
  <c r="I4" i="2"/>
  <c r="B54" i="10"/>
  <c r="C54" i="10"/>
  <c r="B48" i="10"/>
  <c r="C48" i="10"/>
  <c r="G7" i="8"/>
  <c r="F8" i="4"/>
  <c r="H19" i="4"/>
  <c r="H20" i="4"/>
  <c r="H51" i="4"/>
  <c r="H52" i="4"/>
  <c r="H62" i="4"/>
  <c r="H63" i="4"/>
  <c r="H30" i="4"/>
  <c r="H31" i="4"/>
  <c r="H75" i="4"/>
  <c r="H76" i="4"/>
  <c r="F37" i="4"/>
  <c r="D6" i="6"/>
  <c r="J39" i="10"/>
  <c r="J40" i="10"/>
  <c r="B63" i="10"/>
  <c r="C63" i="10"/>
  <c r="D63" i="10"/>
  <c r="F30" i="6"/>
  <c r="G5" i="5"/>
  <c r="G13" i="6"/>
  <c r="I8" i="3"/>
  <c r="E35" i="6"/>
  <c r="E23" i="7"/>
  <c r="E8" i="8"/>
  <c r="G13" i="3"/>
  <c r="G14" i="3"/>
  <c r="G40" i="10"/>
  <c r="G39" i="10"/>
  <c r="E18" i="3"/>
  <c r="C3" i="8"/>
  <c r="F9" i="4"/>
  <c r="F13" i="6"/>
  <c r="F22" i="7"/>
  <c r="H8" i="3"/>
  <c r="D39" i="10"/>
  <c r="D40" i="10"/>
  <c r="D6" i="8"/>
  <c r="D5" i="7"/>
  <c r="F16" i="3"/>
  <c r="J6" i="10"/>
  <c r="B46" i="10"/>
  <c r="C46" i="10"/>
  <c r="C3" i="7"/>
  <c r="C18" i="7"/>
  <c r="C27" i="7"/>
  <c r="E19" i="3"/>
  <c r="C28" i="7"/>
  <c r="E21" i="3"/>
  <c r="G8" i="5"/>
  <c r="G30" i="6"/>
  <c r="F18" i="3"/>
  <c r="D3" i="8"/>
  <c r="F41" i="4"/>
  <c r="F42" i="4"/>
  <c r="G37" i="4"/>
  <c r="G15" i="3"/>
  <c r="B53" i="10"/>
  <c r="C53" i="10"/>
  <c r="G4" i="4"/>
  <c r="F35" i="6"/>
  <c r="F23" i="7"/>
  <c r="F8" i="8"/>
  <c r="H13" i="3"/>
  <c r="H14" i="3"/>
  <c r="C49" i="10"/>
  <c r="B49" i="10"/>
  <c r="G35" i="6"/>
  <c r="I13" i="3"/>
  <c r="I14" i="3"/>
  <c r="C4" i="8"/>
  <c r="C5" i="8"/>
  <c r="C9" i="8"/>
  <c r="C11" i="8"/>
  <c r="G16" i="3"/>
  <c r="K6" i="10"/>
  <c r="G22" i="7"/>
  <c r="G8" i="4"/>
  <c r="G9" i="4"/>
  <c r="G41" i="4"/>
  <c r="G42" i="4"/>
  <c r="H37" i="4"/>
  <c r="D4" i="8"/>
  <c r="D5" i="8"/>
  <c r="D9" i="8"/>
  <c r="D11" i="8"/>
  <c r="G44" i="10"/>
  <c r="F44" i="10"/>
  <c r="G18" i="3"/>
  <c r="E3" i="8"/>
  <c r="G23" i="7"/>
  <c r="G8" i="8"/>
  <c r="D3" i="7"/>
  <c r="D18" i="7"/>
  <c r="D27" i="7"/>
  <c r="F19" i="3"/>
  <c r="D28" i="7"/>
  <c r="F21" i="3"/>
  <c r="E22" i="3"/>
  <c r="E23" i="3"/>
  <c r="E24" i="3"/>
  <c r="C24" i="6"/>
  <c r="C45" i="7"/>
  <c r="E6" i="6"/>
  <c r="E6" i="8"/>
  <c r="E5" i="7"/>
  <c r="G10" i="5"/>
  <c r="I17" i="3"/>
  <c r="G14" i="7"/>
  <c r="C29" i="7"/>
  <c r="H41" i="4"/>
  <c r="H42" i="4"/>
  <c r="F6" i="6"/>
  <c r="H4" i="4"/>
  <c r="C46" i="7"/>
  <c r="E26" i="3"/>
  <c r="D29" i="7"/>
  <c r="E3" i="7"/>
  <c r="E18" i="7"/>
  <c r="E27" i="7"/>
  <c r="G19" i="3"/>
  <c r="E28" i="7"/>
  <c r="E29" i="7"/>
  <c r="C28" i="6"/>
  <c r="C39" i="6"/>
  <c r="C49" i="7"/>
  <c r="C51" i="7"/>
  <c r="C53" i="7"/>
  <c r="F22" i="3"/>
  <c r="F23" i="3"/>
  <c r="F24" i="3"/>
  <c r="D24" i="6"/>
  <c r="D45" i="7"/>
  <c r="E4" i="8"/>
  <c r="E5" i="8"/>
  <c r="E9" i="8"/>
  <c r="E11" i="8"/>
  <c r="H15" i="3"/>
  <c r="D28" i="6"/>
  <c r="D39" i="6"/>
  <c r="G21" i="3"/>
  <c r="C17" i="6"/>
  <c r="C20" i="6"/>
  <c r="D52" i="7"/>
  <c r="C40" i="6"/>
  <c r="H8" i="4"/>
  <c r="I15" i="3"/>
  <c r="F5" i="7"/>
  <c r="F6" i="8"/>
  <c r="H16" i="3"/>
  <c r="D46" i="7"/>
  <c r="D49" i="7"/>
  <c r="D51" i="7"/>
  <c r="F26" i="3"/>
  <c r="G22" i="3"/>
  <c r="E45" i="7"/>
  <c r="G23" i="3"/>
  <c r="G6" i="8"/>
  <c r="G5" i="7"/>
  <c r="I16" i="3"/>
  <c r="D53" i="7"/>
  <c r="H18" i="3"/>
  <c r="F3" i="8"/>
  <c r="H9" i="4"/>
  <c r="G6" i="6"/>
  <c r="F3" i="7"/>
  <c r="F18" i="7"/>
  <c r="F27" i="7"/>
  <c r="H19" i="3"/>
  <c r="F28" i="7"/>
  <c r="F29" i="7"/>
  <c r="H21" i="3"/>
  <c r="E46" i="7"/>
  <c r="G26" i="3"/>
  <c r="D17" i="6"/>
  <c r="D20" i="6"/>
  <c r="D40" i="6"/>
  <c r="E52" i="7"/>
  <c r="I18" i="3"/>
  <c r="G3" i="8"/>
  <c r="E49" i="7"/>
  <c r="E51" i="7"/>
  <c r="F4" i="8"/>
  <c r="F5" i="8"/>
  <c r="F9" i="8"/>
  <c r="F11" i="8"/>
  <c r="G24" i="3"/>
  <c r="E24" i="6"/>
  <c r="G3" i="7"/>
  <c r="G18" i="7"/>
  <c r="G27" i="7"/>
  <c r="I19" i="3"/>
  <c r="G28" i="7"/>
  <c r="I21" i="3"/>
  <c r="E53" i="7"/>
  <c r="H23" i="3"/>
  <c r="H22" i="3"/>
  <c r="F45" i="7"/>
  <c r="E28" i="6"/>
  <c r="E39" i="6"/>
  <c r="G4" i="8"/>
  <c r="G5" i="8"/>
  <c r="G9" i="8"/>
  <c r="G10" i="8"/>
  <c r="G11" i="8"/>
  <c r="C13" i="8"/>
  <c r="C14" i="8"/>
  <c r="C15" i="8"/>
  <c r="I22" i="3"/>
  <c r="G45" i="7"/>
  <c r="I23" i="3"/>
  <c r="C57" i="10"/>
  <c r="B57" i="10"/>
  <c r="H26" i="3"/>
  <c r="F46" i="7"/>
  <c r="F49" i="7"/>
  <c r="F51" i="7"/>
  <c r="G29" i="7"/>
  <c r="F52" i="7"/>
  <c r="E17" i="6"/>
  <c r="E20" i="6"/>
  <c r="E40" i="6"/>
  <c r="H24" i="3"/>
  <c r="F24" i="6"/>
  <c r="F28" i="6"/>
  <c r="F39" i="6"/>
  <c r="G46" i="7"/>
  <c r="G49" i="7"/>
  <c r="G51" i="7"/>
  <c r="I26" i="3"/>
  <c r="F53" i="7"/>
  <c r="I24" i="3"/>
  <c r="G24" i="6"/>
  <c r="G28" i="6"/>
  <c r="G39" i="6"/>
  <c r="G52" i="7"/>
  <c r="G53" i="7"/>
  <c r="G17" i="6"/>
  <c r="G20" i="6"/>
  <c r="G40" i="6"/>
  <c r="F17" i="6"/>
  <c r="F20" i="6"/>
  <c r="F40" i="6"/>
</calcChain>
</file>

<file path=xl/comments1.xml><?xml version="1.0" encoding="utf-8"?>
<comments xmlns="http://schemas.openxmlformats.org/spreadsheetml/2006/main">
  <authors>
    <author>Anita Haridas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Anita Haridas:</t>
        </r>
        <r>
          <rPr>
            <sz val="9"/>
            <color indexed="81"/>
            <rFont val="Tahoma"/>
            <family val="2"/>
          </rPr>
          <t xml:space="preserve">
DTA, Non current tax assets, other non current assets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Anita Haridas:</t>
        </r>
        <r>
          <rPr>
            <sz val="9"/>
            <color indexed="81"/>
            <rFont val="Tahoma"/>
            <family val="2"/>
          </rPr>
          <t xml:space="preserve">
Other current liabilities, provisions, current tax liabilities</t>
        </r>
      </text>
    </comment>
  </commentList>
</comments>
</file>

<file path=xl/sharedStrings.xml><?xml version="1.0" encoding="utf-8"?>
<sst xmlns="http://schemas.openxmlformats.org/spreadsheetml/2006/main" count="1367" uniqueCount="1193">
  <si>
    <t>V-Mart</t>
  </si>
  <si>
    <t xml:space="preserve"> </t>
  </si>
  <si>
    <t>Number of outlets</t>
  </si>
  <si>
    <t>Avg.  Sq.ft/outlet</t>
  </si>
  <si>
    <t>Total area in sq. ft</t>
  </si>
  <si>
    <t>Sales/sq. ft</t>
  </si>
  <si>
    <t>Total sales in cr.</t>
  </si>
  <si>
    <t>Purchase of traded goods</t>
  </si>
  <si>
    <t>Change in inventories</t>
  </si>
  <si>
    <t>Employee benefit expenses</t>
  </si>
  <si>
    <t>Other expenses</t>
  </si>
  <si>
    <t>Prior period items</t>
  </si>
  <si>
    <t>Revenue</t>
  </si>
  <si>
    <t>Purchase of stock in trade</t>
  </si>
  <si>
    <t>Changes in inventories</t>
  </si>
  <si>
    <t>Employee benefit exp.</t>
  </si>
  <si>
    <t>EBITDA</t>
  </si>
  <si>
    <t>Total expenses</t>
  </si>
  <si>
    <t>Beg.Bal</t>
  </si>
  <si>
    <t>Additions</t>
  </si>
  <si>
    <t>Deletions</t>
  </si>
  <si>
    <t>Depreciation</t>
  </si>
  <si>
    <t>Ending Bal</t>
  </si>
  <si>
    <t xml:space="preserve">Leasehold </t>
  </si>
  <si>
    <t>Computers</t>
  </si>
  <si>
    <t>Furniture</t>
  </si>
  <si>
    <t>Depreciation rate</t>
  </si>
  <si>
    <t>Additions/Rev</t>
  </si>
  <si>
    <t>Plant &amp; Equipments</t>
  </si>
  <si>
    <t>2019F</t>
  </si>
  <si>
    <t>2020F</t>
  </si>
  <si>
    <t>2021F</t>
  </si>
  <si>
    <t>2022F</t>
  </si>
  <si>
    <t>2023F</t>
  </si>
  <si>
    <t>Amortisation</t>
  </si>
  <si>
    <t>Less:Expenses</t>
  </si>
  <si>
    <t>Less:Depriciation &amp;amortisation</t>
  </si>
  <si>
    <t>EBIT</t>
  </si>
  <si>
    <t>Office &amp; Equipments</t>
  </si>
  <si>
    <t>computer software</t>
  </si>
  <si>
    <t>Vehicles</t>
  </si>
  <si>
    <t>Debt schedule</t>
  </si>
  <si>
    <t>Addition</t>
  </si>
  <si>
    <t>Repayment</t>
  </si>
  <si>
    <t>Closing bal</t>
  </si>
  <si>
    <t>Opening bal</t>
  </si>
  <si>
    <t>Intrest</t>
  </si>
  <si>
    <t>Intrest rate</t>
  </si>
  <si>
    <t>Less:Intrest</t>
  </si>
  <si>
    <t>EBT</t>
  </si>
  <si>
    <t>Less:Tax</t>
  </si>
  <si>
    <t>PAT</t>
  </si>
  <si>
    <t>Sources of fund</t>
  </si>
  <si>
    <t>Uses of fund</t>
  </si>
  <si>
    <t>Fixed assets</t>
  </si>
  <si>
    <t>Cash</t>
  </si>
  <si>
    <t>Total</t>
  </si>
  <si>
    <t xml:space="preserve">Equity </t>
  </si>
  <si>
    <t>Reserve &amp; surplus</t>
  </si>
  <si>
    <t>Securities premium reserve</t>
  </si>
  <si>
    <t>Amalgamation reserves</t>
  </si>
  <si>
    <t>Shares option outstanding account</t>
  </si>
  <si>
    <t>Other equity</t>
  </si>
  <si>
    <t>Total Equity</t>
  </si>
  <si>
    <t>Non- Current assets:</t>
  </si>
  <si>
    <t>WIP</t>
  </si>
  <si>
    <t>Investments</t>
  </si>
  <si>
    <t>Loans</t>
  </si>
  <si>
    <t>Other Financial assets</t>
  </si>
  <si>
    <t>Other non-current assets</t>
  </si>
  <si>
    <t>Current assets:</t>
  </si>
  <si>
    <t>Inventories</t>
  </si>
  <si>
    <t>Other bank balances</t>
  </si>
  <si>
    <t>Other current assets</t>
  </si>
  <si>
    <t>Borrowings</t>
  </si>
  <si>
    <t>Other financial liabilities</t>
  </si>
  <si>
    <t>Provisions</t>
  </si>
  <si>
    <t>Non- Current liabilities:</t>
  </si>
  <si>
    <t>Current liablities:</t>
  </si>
  <si>
    <t>Trade payables</t>
  </si>
  <si>
    <t>Other financial liablities</t>
  </si>
  <si>
    <t>Other current liabilities</t>
  </si>
  <si>
    <t>Cash Flows</t>
  </si>
  <si>
    <t>Cash flows from operating activities:</t>
  </si>
  <si>
    <t>Adjustment for:</t>
  </si>
  <si>
    <t>Changes in working capital :</t>
  </si>
  <si>
    <t>Provision against doubtful advances</t>
  </si>
  <si>
    <t xml:space="preserve">Net profit before tax </t>
  </si>
  <si>
    <t xml:space="preserve">Depreciation and amortisation expense </t>
  </si>
  <si>
    <t xml:space="preserve">(Profit)/loss on sale of fixed assets </t>
  </si>
  <si>
    <t xml:space="preserve">Profit on sale of investments (net) </t>
  </si>
  <si>
    <t xml:space="preserve">Fixed assets written off  </t>
  </si>
  <si>
    <t xml:space="preserve">Employee compensation expense under ESOP </t>
  </si>
  <si>
    <t xml:space="preserve">Balances written off  </t>
  </si>
  <si>
    <t xml:space="preserve">Dividend income  </t>
  </si>
  <si>
    <t xml:space="preserve">Interest income  </t>
  </si>
  <si>
    <t xml:space="preserve">Liabilities written back  </t>
  </si>
  <si>
    <t xml:space="preserve">Finance costs  </t>
  </si>
  <si>
    <t xml:space="preserve">Profit on fair valuation of investments </t>
  </si>
  <si>
    <t xml:space="preserve">Interest and expenses for fair valuation of deposits (net) </t>
  </si>
  <si>
    <t>Operating profit before working capital changes</t>
  </si>
  <si>
    <t xml:space="preserve">Movement in other financial assets  </t>
  </si>
  <si>
    <t xml:space="preserve">Movement in other current assets  </t>
  </si>
  <si>
    <t xml:space="preserve">Movement in inventories </t>
  </si>
  <si>
    <t xml:space="preserve">Movement in trade payables </t>
  </si>
  <si>
    <t xml:space="preserve">Movement in other financial liabilities  </t>
  </si>
  <si>
    <t xml:space="preserve">Movement in other liabilities  </t>
  </si>
  <si>
    <t xml:space="preserve">Movement in provisions </t>
  </si>
  <si>
    <t xml:space="preserve">Cash generated from operations  </t>
  </si>
  <si>
    <t xml:space="preserve">Taxes paid  </t>
  </si>
  <si>
    <t xml:space="preserve">Net cash flow from operating activities </t>
  </si>
  <si>
    <t>Cash flows from investing activities:</t>
  </si>
  <si>
    <t>Purchase of property, plant and equipment, including intangible assets, capital work in progress and capital advances</t>
  </si>
  <si>
    <t xml:space="preserve">Purchase of investments  </t>
  </si>
  <si>
    <t xml:space="preserve">Proceeds from sale of investments </t>
  </si>
  <si>
    <t xml:space="preserve">Proceeds from sale of fixed assets  </t>
  </si>
  <si>
    <t>Redemption of/(investment in bank deposits (having original maturity of more than three months)</t>
  </si>
  <si>
    <t xml:space="preserve">Earmarked bank deposits (refer note 11) </t>
  </si>
  <si>
    <t xml:space="preserve">Movement in pledged fixed deposits  </t>
  </si>
  <si>
    <t xml:space="preserve">Net cash flow used in investing activities  </t>
  </si>
  <si>
    <t xml:space="preserve">Interest received  </t>
  </si>
  <si>
    <t>Cash flows from financing activities:</t>
  </si>
  <si>
    <t xml:space="preserve">Proceeds from issue of equity shares including securities premium  </t>
  </si>
  <si>
    <t xml:space="preserve">Repayment of long term borrowings </t>
  </si>
  <si>
    <t xml:space="preserve">(Repayments of)/proceeds from short term borrowings (net)  </t>
  </si>
  <si>
    <t xml:space="preserve">Equity dividend paid  </t>
  </si>
  <si>
    <t xml:space="preserve">Corporate dividend tax paid  </t>
  </si>
  <si>
    <t xml:space="preserve">Finance charges paid  </t>
  </si>
  <si>
    <t xml:space="preserve">Proceeds from long term borrowings </t>
  </si>
  <si>
    <t xml:space="preserve">Net cash flow used in financing activities  </t>
  </si>
  <si>
    <t>Net increase in cash and cash equivalents</t>
  </si>
  <si>
    <t>Cash beginning of the year</t>
  </si>
  <si>
    <t>Cash closing of the year</t>
  </si>
  <si>
    <t>Dividend paid:</t>
  </si>
  <si>
    <t>DDT</t>
  </si>
  <si>
    <t>DDT Ratio</t>
  </si>
  <si>
    <t>Dividend paid ratio</t>
  </si>
  <si>
    <t>Dividend Ratio</t>
  </si>
  <si>
    <t>Final Profit</t>
  </si>
  <si>
    <t>Valuation</t>
  </si>
  <si>
    <t>Detailed Projection</t>
  </si>
  <si>
    <t>Less: Taxes on EBIT</t>
  </si>
  <si>
    <t>Debt free earning</t>
  </si>
  <si>
    <t>Add: Depreciation and Amortisation</t>
  </si>
  <si>
    <t>Less: Capex</t>
  </si>
  <si>
    <t>Less/Add : Change in Working capital</t>
  </si>
  <si>
    <t>FCFF (Free Cash Flow to Firm)</t>
  </si>
  <si>
    <t>Add: Terminal Value (TV)</t>
  </si>
  <si>
    <t>Cash flows including TV</t>
  </si>
  <si>
    <t>PV of all the future FCFF (Enterprise Value)</t>
  </si>
  <si>
    <t>Equity Value</t>
  </si>
  <si>
    <t>Share Price</t>
  </si>
  <si>
    <t>Shares Outstanding</t>
  </si>
  <si>
    <t>Calculating Discount Rate : Cost of Capital</t>
  </si>
  <si>
    <t>WACC (Kd*Wd*(1-t)+Ke*We)</t>
  </si>
  <si>
    <t>Kd</t>
  </si>
  <si>
    <t>weight of debt</t>
  </si>
  <si>
    <t>1- tax rate</t>
  </si>
  <si>
    <t>Ke (Rf + beta*(Rm-Rf))</t>
  </si>
  <si>
    <t>weight of equity</t>
  </si>
  <si>
    <t>Market cap</t>
  </si>
  <si>
    <t>Rf</t>
  </si>
  <si>
    <t>MV of debt</t>
  </si>
  <si>
    <t>Beta</t>
  </si>
  <si>
    <t>Rm</t>
  </si>
  <si>
    <t>Revenue Growth</t>
  </si>
  <si>
    <t>EBIT Margin</t>
  </si>
  <si>
    <t>Long term sustainable growth rate</t>
  </si>
  <si>
    <t>Date</t>
  </si>
  <si>
    <t>Price</t>
  </si>
  <si>
    <t>Re</t>
  </si>
  <si>
    <t>Dec 03, 2018</t>
  </si>
  <si>
    <t>Cov(Rm,Re)</t>
  </si>
  <si>
    <t>Nov 30, 2018</t>
  </si>
  <si>
    <t>Var Rm</t>
  </si>
  <si>
    <t>Nov 29, 2018</t>
  </si>
  <si>
    <t>Nov 28, 2018</t>
  </si>
  <si>
    <t xml:space="preserve">Beta </t>
  </si>
  <si>
    <t>Nov 27, 2018</t>
  </si>
  <si>
    <t>Nov 26, 2018</t>
  </si>
  <si>
    <t>Nov 22,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</si>
  <si>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</si>
  <si>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</si>
  <si>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</si>
  <si>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</si>
  <si>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</si>
  <si>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</si>
  <si>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</si>
  <si>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</si>
  <si>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</si>
  <si>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</si>
  <si>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</si>
  <si>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</si>
  <si>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</si>
  <si>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</si>
  <si>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</si>
  <si>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</si>
  <si>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</si>
  <si>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</si>
  <si>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</si>
  <si>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</si>
  <si>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</si>
  <si>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</si>
  <si>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</si>
  <si>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</si>
  <si>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</si>
  <si>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</si>
  <si>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</si>
  <si>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</si>
  <si>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</si>
  <si>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</si>
  <si>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</si>
  <si>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</si>
  <si>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</si>
  <si>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</si>
  <si>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</si>
  <si>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</si>
  <si>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</si>
  <si>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</si>
  <si>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</si>
  <si>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</si>
  <si>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</si>
  <si>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19, 2018</t>
  </si>
  <si>
    <t>Sep 18, 2018</t>
  </si>
  <si>
    <t>Sep 17, 2018</t>
  </si>
  <si>
    <t>Sep 14,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</si>
  <si>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</si>
  <si>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</si>
  <si>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</si>
  <si>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</si>
  <si>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</si>
  <si>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</si>
  <si>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</si>
  <si>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</si>
  <si>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</si>
  <si>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</si>
  <si>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</si>
  <si>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</si>
  <si>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</si>
  <si>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</si>
  <si>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</si>
  <si>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21, 2018</t>
  </si>
  <si>
    <t>Aug 20, 2018</t>
  </si>
  <si>
    <t>Aug 17, 2018</t>
  </si>
  <si>
    <t>Aug 16,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</si>
  <si>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</si>
  <si>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</si>
  <si>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</si>
  <si>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</si>
  <si>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</si>
  <si>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</si>
  <si>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</si>
  <si>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</si>
  <si>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</si>
  <si>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</si>
  <si>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</si>
  <si>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</si>
  <si>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</si>
  <si>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</si>
  <si>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</si>
  <si>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</si>
  <si>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</si>
  <si>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</si>
  <si>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</si>
  <si>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</si>
  <si>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</si>
  <si>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</si>
  <si>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</si>
  <si>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</si>
  <si>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</si>
  <si>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</si>
  <si>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</si>
  <si>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</si>
  <si>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</si>
  <si>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</si>
  <si>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</si>
  <si>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</si>
  <si>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</si>
  <si>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</si>
  <si>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</si>
  <si>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</si>
  <si>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</si>
  <si>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</si>
  <si>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</si>
  <si>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</si>
  <si>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</si>
  <si>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</si>
  <si>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</si>
  <si>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</si>
  <si>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</si>
  <si>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</si>
  <si>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</si>
  <si>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</si>
  <si>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</si>
  <si>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</si>
  <si>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</si>
  <si>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</si>
  <si>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</si>
  <si>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</si>
  <si>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</si>
  <si>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</si>
  <si>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</si>
  <si>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</si>
  <si>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</si>
  <si>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</si>
  <si>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</si>
  <si>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</si>
  <si>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</si>
  <si>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</si>
  <si>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</si>
  <si>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</si>
  <si>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</si>
  <si>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</si>
  <si>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</si>
  <si>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</si>
  <si>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</si>
  <si>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</si>
  <si>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</si>
  <si>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</si>
  <si>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</si>
  <si>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</si>
  <si>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</si>
  <si>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</si>
  <si>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</si>
  <si>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</si>
  <si>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</si>
  <si>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</si>
  <si>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</si>
  <si>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</si>
  <si>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</si>
  <si>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</si>
  <si>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</si>
  <si>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</si>
  <si>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</si>
  <si>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</si>
  <si>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</si>
  <si>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</si>
  <si>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</si>
  <si>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</si>
  <si>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</si>
  <si>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</si>
  <si>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</si>
  <si>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</si>
  <si>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</si>
  <si>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</si>
  <si>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</si>
  <si>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</si>
  <si>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</si>
  <si>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</si>
  <si>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</si>
  <si>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</si>
  <si>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</si>
  <si>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</si>
  <si>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</si>
  <si>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</si>
  <si>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</si>
  <si>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</si>
  <si>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</si>
  <si>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</si>
  <si>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</si>
  <si>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</si>
  <si>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</si>
  <si>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</si>
  <si>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</si>
  <si>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</si>
  <si>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</si>
  <si>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</si>
  <si>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19, 2018</t>
  </si>
  <si>
    <t>Feb 16, 2018</t>
  </si>
  <si>
    <t>Feb 15, 2018</t>
  </si>
  <si>
    <t>Feb 14,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</si>
  <si>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</si>
  <si>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</si>
  <si>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</si>
  <si>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</si>
  <si>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</si>
  <si>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</si>
  <si>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</si>
  <si>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</si>
  <si>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</si>
  <si>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</si>
  <si>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</si>
  <si>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</si>
  <si>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</si>
  <si>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</si>
  <si>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</si>
  <si>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</si>
  <si>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</si>
  <si>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</si>
  <si>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</si>
  <si>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</si>
  <si>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</si>
  <si>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</si>
  <si>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</si>
  <si>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</si>
  <si>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</si>
  <si>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</si>
  <si>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</si>
  <si>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</si>
  <si>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</si>
  <si>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</si>
  <si>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</si>
  <si>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</si>
  <si>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</si>
  <si>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</si>
  <si>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</si>
  <si>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</si>
  <si>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</si>
  <si>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</si>
  <si>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</si>
  <si>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</si>
  <si>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</si>
  <si>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</si>
  <si>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</si>
  <si>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</si>
  <si>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</si>
  <si>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</si>
  <si>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</si>
  <si>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</si>
  <si>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</si>
  <si>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</si>
  <si>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</si>
  <si>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</si>
  <si>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</si>
  <si>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</si>
  <si>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</si>
  <si>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</si>
  <si>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</si>
  <si>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</si>
  <si>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</si>
  <si>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</si>
  <si>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</si>
  <si>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</si>
  <si>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</si>
  <si>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</si>
  <si>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</si>
  <si>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</si>
  <si>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</si>
  <si>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</si>
  <si>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</si>
  <si>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</si>
  <si>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</si>
  <si>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</si>
  <si>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</si>
  <si>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</si>
  <si>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</si>
  <si>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</si>
  <si>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</si>
  <si>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</si>
  <si>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</si>
  <si>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</si>
  <si>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</si>
  <si>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</si>
  <si>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</si>
  <si>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</si>
  <si>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</si>
  <si>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</si>
  <si>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</si>
  <si>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</si>
  <si>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</si>
  <si>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</si>
  <si>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</si>
  <si>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</si>
  <si>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</si>
  <si>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</si>
  <si>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</si>
  <si>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</si>
  <si>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</si>
  <si>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</si>
  <si>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</si>
  <si>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</si>
  <si>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</si>
  <si>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</si>
  <si>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</si>
  <si>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</si>
  <si>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</si>
  <si>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</si>
  <si>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</si>
  <si>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</si>
  <si>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</si>
  <si>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</si>
  <si>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</si>
  <si>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</si>
  <si>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</si>
  <si>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</si>
  <si>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</si>
  <si>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</si>
  <si>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</si>
  <si>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</si>
  <si>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</si>
  <si>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</si>
  <si>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</si>
  <si>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</si>
  <si>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</si>
  <si>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</si>
  <si>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</si>
  <si>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</si>
  <si>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</si>
  <si>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</si>
  <si>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</si>
  <si>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</si>
  <si>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</si>
  <si>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</si>
  <si>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</si>
  <si>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</si>
  <si>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</si>
  <si>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</si>
  <si>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</si>
  <si>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</si>
  <si>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</si>
  <si>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</si>
  <si>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</si>
  <si>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</si>
  <si>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</si>
  <si>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</si>
  <si>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</si>
  <si>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</si>
  <si>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</si>
  <si>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</si>
  <si>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</si>
  <si>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</si>
  <si>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</si>
  <si>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</si>
  <si>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</si>
  <si>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</si>
  <si>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</si>
  <si>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Jun 30, 2017</t>
  </si>
  <si>
    <t>Jun 29, 2017</t>
  </si>
  <si>
    <t>Jun 28, 2017</t>
  </si>
  <si>
    <t>Jun 27,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</si>
  <si>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</si>
  <si>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</si>
  <si>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</si>
  <si>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</si>
  <si>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</si>
  <si>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</si>
  <si>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</si>
  <si>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</si>
  <si>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</si>
  <si>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</si>
  <si>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</si>
  <si>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</si>
  <si>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</si>
  <si>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</si>
  <si>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</si>
  <si>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</si>
  <si>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</si>
  <si>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</si>
  <si>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</si>
  <si>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</si>
  <si>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</si>
  <si>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</si>
  <si>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</si>
  <si>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</si>
  <si>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</si>
  <si>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</si>
  <si>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</si>
  <si>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</si>
  <si>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</si>
  <si>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</si>
  <si>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</si>
  <si>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</si>
  <si>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</si>
  <si>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</si>
  <si>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</si>
  <si>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</si>
  <si>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</si>
  <si>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</si>
  <si>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</si>
  <si>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</si>
  <si>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</si>
  <si>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</si>
  <si>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</si>
  <si>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</si>
  <si>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</si>
  <si>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</si>
  <si>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</si>
  <si>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</si>
  <si>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</si>
  <si>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</si>
  <si>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</si>
  <si>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</si>
  <si>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</si>
  <si>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</si>
  <si>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</si>
  <si>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</si>
  <si>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</si>
  <si>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</si>
  <si>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</si>
  <si>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</si>
  <si>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</si>
  <si>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</si>
  <si>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</si>
  <si>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</si>
  <si>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</si>
  <si>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</si>
  <si>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</si>
  <si>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</si>
  <si>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</si>
  <si>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</si>
  <si>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</si>
  <si>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</si>
  <si>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</si>
  <si>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</si>
  <si>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</si>
  <si>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</si>
  <si>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</si>
  <si>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</si>
  <si>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</si>
  <si>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</si>
  <si>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</si>
  <si>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</si>
  <si>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</si>
  <si>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</si>
  <si>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</si>
  <si>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</si>
  <si>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</si>
  <si>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</si>
  <si>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</si>
  <si>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</si>
  <si>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</si>
  <si>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</si>
  <si>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</si>
  <si>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</si>
  <si>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</si>
  <si>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</si>
  <si>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</si>
  <si>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</si>
  <si>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</si>
  <si>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</si>
  <si>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</si>
  <si>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</si>
  <si>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</si>
  <si>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</si>
  <si>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</si>
  <si>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</si>
  <si>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</si>
  <si>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</si>
  <si>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</si>
  <si>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</si>
  <si>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</si>
  <si>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</si>
  <si>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</si>
  <si>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</si>
  <si>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</si>
  <si>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</si>
  <si>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</si>
  <si>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</si>
  <si>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</si>
  <si>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</si>
  <si>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</si>
  <si>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</si>
  <si>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</si>
  <si>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</si>
  <si>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</si>
  <si>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</si>
  <si>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</si>
  <si>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</si>
  <si>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</si>
  <si>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</si>
  <si>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</si>
  <si>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</si>
  <si>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</si>
  <si>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</si>
  <si>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</si>
  <si>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</si>
  <si>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</si>
  <si>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</si>
  <si>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</si>
  <si>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</si>
  <si>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</si>
  <si>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</si>
  <si>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</si>
  <si>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</si>
  <si>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</si>
  <si>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</si>
  <si>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</si>
  <si>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</si>
  <si>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</si>
  <si>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</si>
  <si>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</si>
  <si>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</si>
  <si>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</si>
  <si>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</si>
  <si>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</si>
  <si>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</si>
  <si>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</si>
  <si>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</si>
  <si>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</si>
  <si>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</si>
  <si>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</si>
  <si>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</si>
  <si>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30,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</si>
  <si>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</si>
  <si>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</si>
  <si>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</si>
  <si>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</si>
  <si>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</si>
  <si>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</si>
  <si>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</si>
  <si>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</si>
  <si>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</si>
  <si>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</si>
  <si>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</si>
  <si>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</si>
  <si>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</si>
  <si>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</si>
  <si>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</si>
  <si>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</si>
  <si>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</si>
  <si>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</si>
  <si>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</si>
  <si>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</si>
  <si>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</si>
  <si>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</si>
  <si>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</si>
  <si>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</si>
  <si>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</si>
  <si>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</si>
  <si>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</si>
  <si>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</si>
  <si>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</si>
  <si>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</si>
  <si>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</si>
  <si>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</si>
  <si>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</si>
  <si>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</si>
  <si>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</si>
  <si>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</si>
  <si>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</si>
  <si>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</si>
  <si>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</si>
  <si>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</si>
  <si>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</si>
  <si>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</si>
  <si>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</si>
  <si>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</si>
  <si>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</si>
  <si>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</si>
  <si>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</si>
  <si>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</si>
  <si>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</si>
  <si>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</si>
  <si>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</si>
  <si>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</si>
  <si>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</si>
  <si>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</si>
  <si>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</si>
  <si>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</si>
  <si>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</si>
  <si>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</si>
  <si>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</si>
  <si>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</si>
  <si>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</si>
  <si>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</si>
  <si>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</si>
  <si>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</si>
  <si>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</si>
  <si>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</si>
  <si>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</si>
  <si>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</si>
  <si>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</si>
  <si>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</si>
  <si>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</si>
  <si>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</si>
  <si>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</si>
  <si>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</si>
  <si>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</si>
  <si>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</si>
  <si>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</si>
  <si>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</si>
  <si>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</si>
  <si>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</si>
  <si>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</si>
  <si>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</si>
  <si>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</si>
  <si>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</si>
  <si>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</si>
  <si>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</si>
  <si>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</si>
  <si>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</si>
  <si>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</si>
  <si>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</si>
  <si>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</si>
  <si>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</si>
  <si>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</si>
  <si>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</si>
  <si>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</si>
  <si>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</si>
  <si>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</si>
  <si>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</si>
  <si>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</si>
  <si>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</si>
  <si>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</si>
  <si>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</si>
  <si>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</si>
  <si>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</si>
  <si>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</si>
  <si>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</si>
  <si>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</si>
  <si>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</si>
  <si>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</si>
  <si>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</si>
  <si>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</si>
  <si>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</si>
  <si>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</si>
  <si>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</si>
  <si>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</si>
  <si>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</si>
  <si>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</si>
  <si>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</si>
  <si>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</si>
  <si>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</si>
  <si>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</si>
  <si>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</si>
  <si>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</si>
  <si>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</si>
  <si>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</si>
  <si>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</si>
  <si>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</si>
  <si>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</si>
  <si>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</si>
  <si>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</si>
  <si>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</si>
  <si>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</si>
  <si>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18,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</si>
  <si>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</si>
  <si>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</si>
  <si>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</si>
  <si>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</si>
  <si>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</si>
  <si>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</si>
  <si>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</si>
  <si>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</si>
  <si>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</si>
  <si>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</si>
  <si>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</si>
  <si>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</si>
  <si>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</si>
  <si>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</si>
  <si>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</si>
  <si>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</si>
  <si>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</si>
  <si>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</si>
  <si>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</si>
  <si>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</si>
  <si>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</si>
  <si>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</si>
  <si>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</si>
  <si>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</si>
  <si>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</si>
  <si>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</si>
  <si>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</si>
  <si>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</si>
  <si>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</si>
  <si>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</si>
  <si>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</si>
  <si>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</si>
  <si>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</si>
  <si>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</si>
  <si>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</si>
  <si>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</si>
  <si>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</si>
  <si>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</si>
  <si>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</si>
  <si>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15,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</si>
  <si>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</si>
  <si>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</si>
  <si>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</si>
  <si>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</si>
  <si>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</si>
  <si>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</si>
  <si>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</si>
  <si>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</si>
  <si>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</si>
  <si>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</si>
  <si>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</si>
  <si>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</si>
  <si>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</si>
  <si>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</si>
  <si>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</si>
  <si>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</si>
  <si>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</si>
  <si>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</si>
  <si>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</si>
  <si>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</si>
  <si>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</si>
  <si>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</si>
  <si>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</si>
  <si>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</si>
  <si>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</si>
  <si>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</si>
  <si>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</si>
  <si>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</si>
  <si>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</si>
  <si>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</si>
  <si>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</si>
  <si>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</si>
  <si>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</si>
  <si>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</si>
  <si>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</si>
  <si>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</si>
  <si>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</si>
  <si>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</si>
  <si>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</si>
  <si>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</si>
  <si>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</si>
  <si>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</si>
  <si>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</si>
  <si>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</si>
  <si>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</si>
  <si>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</si>
  <si>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</si>
  <si>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</si>
  <si>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</si>
  <si>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</si>
  <si>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</si>
  <si>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</si>
  <si>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</si>
  <si>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</si>
  <si>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</si>
  <si>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</si>
  <si>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</si>
  <si>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</si>
  <si>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</si>
  <si>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</si>
  <si>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</si>
  <si>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</si>
  <si>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</si>
  <si>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</si>
  <si>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</si>
  <si>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</si>
  <si>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</si>
  <si>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</si>
  <si>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</si>
  <si>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</si>
  <si>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</si>
  <si>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</si>
  <si>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</si>
  <si>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</si>
  <si>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</si>
  <si>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</si>
  <si>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</si>
  <si>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</si>
  <si>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</si>
  <si>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</si>
  <si>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</si>
  <si>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</si>
  <si>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</si>
  <si>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</si>
  <si>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</si>
  <si>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</si>
  <si>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</si>
  <si>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</si>
  <si>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</si>
  <si>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</si>
  <si>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01, 2015</t>
  </si>
  <si>
    <t>Sep 30, 2015</t>
  </si>
  <si>
    <t>Sep 29, 2015</t>
  </si>
  <si>
    <t>Sep 28, 2015</t>
  </si>
  <si>
    <t>Sep 24, 2015</t>
  </si>
  <si>
    <t>Sep 23, 2015</t>
  </si>
  <si>
    <t>Sep 22, 2015</t>
  </si>
  <si>
    <t>Sep 21, 2015</t>
  </si>
  <si>
    <t>Sep 18,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</si>
  <si>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</si>
  <si>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</si>
  <si>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</si>
  <si>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</si>
  <si>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</si>
  <si>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</si>
  <si>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</si>
  <si>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</si>
  <si>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</si>
  <si>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</si>
  <si>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</si>
  <si>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</si>
  <si>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</si>
  <si>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</si>
  <si>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</si>
  <si>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</si>
  <si>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</si>
  <si>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</si>
  <si>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</si>
  <si>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</si>
  <si>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</si>
  <si>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</si>
  <si>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</si>
  <si>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</si>
  <si>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</si>
  <si>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</si>
  <si>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</si>
  <si>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</si>
  <si>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</si>
  <si>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</si>
  <si>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</si>
  <si>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</si>
  <si>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</si>
  <si>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</si>
  <si>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</si>
  <si>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</si>
  <si>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</si>
  <si>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</si>
  <si>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</si>
  <si>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</si>
  <si>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</si>
  <si>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</si>
  <si>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</si>
  <si>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</si>
  <si>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</si>
  <si>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</si>
  <si>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</si>
  <si>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</si>
  <si>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</si>
  <si>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</si>
  <si>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</si>
  <si>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</si>
  <si>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</si>
  <si>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</si>
  <si>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</si>
  <si>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</si>
  <si>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</si>
  <si>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</si>
  <si>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</si>
  <si>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</si>
  <si>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</si>
  <si>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</si>
  <si>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</si>
  <si>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</si>
  <si>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</si>
  <si>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</si>
  <si>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</si>
  <si>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</si>
  <si>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</si>
  <si>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</si>
  <si>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</si>
  <si>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</si>
  <si>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</si>
  <si>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</si>
  <si>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</si>
  <si>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</si>
  <si>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</si>
  <si>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</si>
  <si>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</si>
  <si>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</si>
  <si>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</si>
  <si>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</si>
  <si>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</si>
  <si>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</si>
  <si>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</si>
  <si>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</si>
  <si>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</si>
  <si>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</si>
  <si>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</si>
  <si>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</si>
  <si>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</si>
  <si>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</si>
  <si>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</si>
  <si>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</si>
  <si>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</si>
  <si>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</si>
  <si>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</si>
  <si>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</si>
  <si>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</si>
  <si>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</si>
  <si>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</si>
  <si>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</si>
  <si>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</si>
  <si>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</si>
  <si>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</si>
  <si>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</si>
  <si>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</si>
  <si>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</si>
  <si>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</si>
  <si>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</si>
  <si>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13, 2015</t>
  </si>
  <si>
    <t>Apr 10, 2015</t>
  </si>
  <si>
    <t>Apr 09, 2015</t>
  </si>
  <si>
    <t>Apr 08, 2015</t>
  </si>
  <si>
    <t>Apr 07, 2015</t>
  </si>
  <si>
    <t>Apr 06,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</si>
  <si>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</si>
  <si>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</si>
  <si>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</si>
  <si>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</si>
  <si>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</si>
  <si>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</si>
  <si>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</si>
  <si>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</si>
  <si>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</si>
  <si>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</si>
  <si>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</si>
  <si>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</si>
  <si>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</si>
  <si>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</si>
  <si>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</si>
  <si>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</si>
  <si>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</si>
  <si>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</si>
  <si>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</si>
  <si>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</si>
  <si>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</si>
  <si>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</si>
  <si>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</si>
  <si>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</si>
  <si>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</si>
  <si>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</si>
  <si>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</si>
  <si>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</si>
  <si>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</si>
  <si>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</si>
  <si>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</si>
  <si>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</si>
  <si>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</si>
  <si>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</si>
  <si>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</si>
  <si>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</si>
  <si>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</si>
  <si>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</si>
  <si>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</si>
  <si>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</si>
  <si>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</si>
  <si>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</si>
  <si>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</si>
  <si>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</si>
  <si>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</si>
  <si>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</si>
  <si>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</si>
  <si>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</si>
  <si>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</si>
  <si>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</si>
  <si>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</si>
  <si>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</si>
  <si>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</si>
  <si>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</si>
  <si>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</si>
  <si>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</si>
  <si>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</si>
  <si>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</si>
  <si>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</si>
  <si>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</si>
  <si>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</si>
  <si>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</si>
  <si>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Sales</t>
  </si>
  <si>
    <t>MV Debt</t>
  </si>
  <si>
    <t>2018A</t>
  </si>
  <si>
    <t>BV Cash</t>
  </si>
  <si>
    <t>No. of Shares</t>
  </si>
  <si>
    <t>EPS</t>
  </si>
  <si>
    <t xml:space="preserve">Share Price </t>
  </si>
  <si>
    <t>EV</t>
  </si>
  <si>
    <t>Sales Growth</t>
  </si>
  <si>
    <t>Trailing</t>
  </si>
  <si>
    <t>Leading</t>
  </si>
  <si>
    <t>P/E</t>
  </si>
  <si>
    <t>P/S</t>
  </si>
  <si>
    <t>PEG</t>
  </si>
  <si>
    <t>EV/EBITDA</t>
  </si>
  <si>
    <t>EV/Sales</t>
  </si>
  <si>
    <t>Mean</t>
  </si>
  <si>
    <t>Median</t>
  </si>
  <si>
    <t>Avenue Supermarkets</t>
  </si>
  <si>
    <t>Future Retail</t>
  </si>
  <si>
    <t>Price Valuation</t>
  </si>
  <si>
    <t>Minimum</t>
  </si>
  <si>
    <t>Maximum</t>
  </si>
  <si>
    <t>Weights</t>
  </si>
  <si>
    <t>Trailing P/E</t>
  </si>
  <si>
    <t>Trailing P/S</t>
  </si>
  <si>
    <t>Trailing PEG</t>
  </si>
  <si>
    <t>Leading P/E</t>
  </si>
  <si>
    <t>Leading P/S</t>
  </si>
  <si>
    <t>Leading PEG</t>
  </si>
  <si>
    <t>Trailing EV/Sales</t>
  </si>
  <si>
    <t>Trailing EV/EBITDA</t>
  </si>
  <si>
    <t>Leading EV/Sales</t>
  </si>
  <si>
    <t>Leading EV/EBITDA</t>
  </si>
  <si>
    <t>DCF</t>
  </si>
  <si>
    <t>Stock Price</t>
  </si>
  <si>
    <t>Price Band</t>
  </si>
  <si>
    <t>Reference Model</t>
  </si>
  <si>
    <t>Year</t>
  </si>
  <si>
    <t>http://proschoolonline.com</t>
  </si>
  <si>
    <t>Mumbai</t>
  </si>
  <si>
    <t>IMS Proschool Pvt Ltd,</t>
  </si>
  <si>
    <t>Maharashtra High School Complex,</t>
  </si>
  <si>
    <t>Principal N.M Kale Marg, Off Gokhale Rd,</t>
  </si>
  <si>
    <t>Dadar (W), Mumbai 400028</t>
  </si>
  <si>
    <t>+91 9372895050</t>
  </si>
  <si>
    <t xml:space="preserve">Prepared By: </t>
  </si>
  <si>
    <r>
      <t>Email ID : </t>
    </r>
    <r>
      <rPr>
        <sz val="9"/>
        <color indexed="63"/>
        <rFont val="Tahoma"/>
        <family val="2"/>
      </rPr>
      <t>mumbai@proschoolonline.com</t>
    </r>
  </si>
  <si>
    <r>
      <t>Tel. No. :</t>
    </r>
    <r>
      <rPr>
        <sz val="9"/>
        <color indexed="63"/>
        <rFont val="Tahoma"/>
        <family val="2"/>
      </rPr>
      <t> 022-65285393/94</t>
    </r>
  </si>
  <si>
    <t>Anita haridas , Sanika Umrani , Pushpak Vichare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</si>
</sst>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 * #,##0.00_ ;_ * \-#,##0.00_ ;_ * &quot;-&quot;??_ ;_ @_ "/>
    <numFmt numFmtId="165" formatCode="&quot;F.Y&quot;\ 0"/>
    <numFmt numFmtId="166" formatCode="#,##0.0000000"/>
    <numFmt numFmtId="167" formatCode="0.00;[Red]0.00"/>
    <numFmt numFmtId="168" formatCode="0;[Red]0"/>
    <numFmt numFmtId="169" formatCode="&quot;FY&quot;0"/>
    <numFmt numFmtId="170" formatCode="&quot;FY&quot;0&quot;E&quot;"/>
    <numFmt numFmtId="171" formatCode="_(* #,##0_);_(* \(#,##0\);_(* &quot;-&quot;??_);_(@_)"/>
    <numFmt numFmtId="172" formatCode="_(* #,##0.00_);_(* \(#,##0.00\);_(* &quot;-&quot;??_);_(@_)"/>
    <numFmt numFmtId="173" formatCode="_ * #,##0.00000_ ;_ * \-#,##0.00000_ ;_ * &quot;-&quot;??_ ;_ @_ "/>
    <numFmt numFmtId="174" formatCode="_ * #,##0_ ;_ * \-#,##0_ ;_ * &quot;-&quot;??_ ;_ @_ "/>
    <numFmt numFmtId="175" formatCode="_(* #,##0.000_);_(* \(#,##0.000\);_(* &quot;-&quot;??_);_(@_)"/>
  </numFmts>
  <fonts count="31" x14ac:knownFonts="1">
    <font>
      <sz val="12"/>
      <color theme="1"/>
      <name val="Cambria"/>
      <family val="2"/>
    </font>
    <font>
      <b/>
      <sz val="12"/>
      <color theme="1"/>
      <name val="Cambria"/>
      <family val="1"/>
    </font>
    <font>
      <b/>
      <sz val="12"/>
      <color theme="1"/>
      <name val="Calibri"/>
      <family val="2"/>
      <scheme val="minor"/>
    </font>
    <font>
      <sz val="25"/>
      <color theme="1"/>
      <name val="Century Gothic"/>
      <family val="2"/>
    </font>
    <font>
      <b/>
      <sz val="20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2"/>
    </font>
    <font>
      <sz val="12"/>
      <color theme="1"/>
      <name val="Cambria"/>
      <family val="2"/>
    </font>
    <font>
      <u/>
      <sz val="12"/>
      <color theme="1"/>
      <name val="Cambri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"/>
      <name val="Cambria"/>
      <family val="1"/>
    </font>
    <font>
      <u/>
      <sz val="12"/>
      <color theme="1"/>
      <name val="Cambria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2"/>
    </font>
    <font>
      <b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u/>
      <sz val="22"/>
      <color rgb="FF404040"/>
      <name val="Calibri"/>
      <family val="2"/>
    </font>
    <font>
      <b/>
      <sz val="9"/>
      <color rgb="FF444444"/>
      <name val="Tahoma"/>
      <family val="2"/>
    </font>
    <font>
      <sz val="9"/>
      <color rgb="FF444444"/>
      <name val="Tahoma"/>
      <family val="2"/>
    </font>
    <font>
      <u/>
      <sz val="12"/>
      <color theme="10"/>
      <name val="Cambria"/>
      <family val="2"/>
    </font>
    <font>
      <sz val="11"/>
      <color theme="1"/>
      <name val="Calibri"/>
      <family val="2"/>
    </font>
    <font>
      <b/>
      <sz val="32"/>
      <color theme="1"/>
      <name val="Calibri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/>
      <name val="Calibri"/>
    </font>
    <font>
      <u/>
      <sz val="11"/>
      <color rgb="FF0000FF"/>
      <name val="Calibri"/>
      <family val="2"/>
    </font>
    <font>
      <sz val="9"/>
      <color indexed="63"/>
      <name val="Tahoma"/>
      <family val="2"/>
    </font>
    <font>
      <u/>
      <sz val="12"/>
      <color theme="11"/>
      <name val="Cambri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1499984740745262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 tint="-0.14999847407452621"/>
      </bottom>
      <diagonal/>
    </border>
    <border>
      <left style="medium">
        <color auto="1"/>
      </left>
      <right style="medium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auto="1"/>
      </left>
      <right style="medium">
        <color auto="1"/>
      </right>
      <top style="thin">
        <color theme="0" tint="-0.14999847407452621"/>
      </top>
      <bottom style="medium">
        <color auto="1"/>
      </bottom>
      <diagonal/>
    </border>
  </borders>
  <cellStyleXfs count="6">
    <xf numFmtId="0" fontId="0" fillId="0" borderId="0"/>
    <xf numFmtId="9" fontId="8" fillId="0" borderId="0" applyFont="0" applyFill="0" applyBorder="0" applyAlignment="0" applyProtection="0"/>
    <xf numFmtId="0" fontId="14" fillId="0" borderId="0"/>
    <xf numFmtId="164" fontId="8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Fill="1"/>
    <xf numFmtId="4" fontId="0" fillId="0" borderId="0" xfId="0" applyNumberForma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65" fontId="4" fillId="2" borderId="1" xfId="0" applyNumberFormat="1" applyFont="1" applyFill="1" applyBorder="1"/>
    <xf numFmtId="0" fontId="6" fillId="2" borderId="3" xfId="0" applyFont="1" applyFill="1" applyBorder="1"/>
    <xf numFmtId="4" fontId="6" fillId="0" borderId="3" xfId="0" applyNumberFormat="1" applyFont="1" applyBorder="1"/>
    <xf numFmtId="4" fontId="6" fillId="0" borderId="4" xfId="0" applyNumberFormat="1" applyFont="1" applyBorder="1"/>
    <xf numFmtId="166" fontId="6" fillId="0" borderId="3" xfId="0" applyNumberFormat="1" applyFont="1" applyBorder="1"/>
    <xf numFmtId="0" fontId="5" fillId="3" borderId="2" xfId="0" applyFont="1" applyFill="1" applyBorder="1"/>
    <xf numFmtId="4" fontId="5" fillId="3" borderId="2" xfId="0" applyNumberFormat="1" applyFont="1" applyFill="1" applyBorder="1"/>
    <xf numFmtId="0" fontId="0" fillId="0" borderId="0" xfId="0" applyFill="1" applyBorder="1"/>
    <xf numFmtId="0" fontId="7" fillId="0" borderId="0" xfId="0" applyFont="1" applyFill="1" applyBorder="1"/>
    <xf numFmtId="4" fontId="0" fillId="0" borderId="0" xfId="0" applyNumberFormat="1"/>
    <xf numFmtId="0" fontId="1" fillId="0" borderId="0" xfId="0" applyFont="1"/>
    <xf numFmtId="9" fontId="0" fillId="0" borderId="0" xfId="1" applyFont="1"/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5" xfId="0" applyBorder="1"/>
    <xf numFmtId="2" fontId="0" fillId="0" borderId="0" xfId="1" applyNumberFormat="1" applyFont="1"/>
    <xf numFmtId="167" fontId="0" fillId="0" borderId="5" xfId="0" applyNumberFormat="1" applyBorder="1"/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0" fillId="6" borderId="0" xfId="0" applyFill="1"/>
    <xf numFmtId="10" fontId="0" fillId="0" borderId="0" xfId="0" applyNumberFormat="1"/>
    <xf numFmtId="164" fontId="0" fillId="0" borderId="0" xfId="3" applyFont="1"/>
    <xf numFmtId="0" fontId="1" fillId="0" borderId="0" xfId="0" applyFont="1" applyFill="1"/>
    <xf numFmtId="2" fontId="0" fillId="0" borderId="0" xfId="0" applyNumberFormat="1" applyFill="1"/>
    <xf numFmtId="171" fontId="0" fillId="0" borderId="0" xfId="3" applyNumberFormat="1" applyFont="1" applyBorder="1"/>
    <xf numFmtId="0" fontId="0" fillId="0" borderId="0" xfId="0" applyBorder="1"/>
    <xf numFmtId="171" fontId="0" fillId="0" borderId="0" xfId="0" applyNumberFormat="1" applyBorder="1"/>
    <xf numFmtId="172" fontId="0" fillId="0" borderId="0" xfId="3" applyNumberFormat="1" applyFont="1" applyBorder="1"/>
    <xf numFmtId="173" fontId="0" fillId="0" borderId="0" xfId="3" applyNumberFormat="1" applyFont="1" applyBorder="1"/>
    <xf numFmtId="171" fontId="1" fillId="0" borderId="0" xfId="3" applyNumberFormat="1" applyFont="1" applyBorder="1"/>
    <xf numFmtId="0" fontId="0" fillId="0" borderId="6" xfId="0" applyBorder="1"/>
    <xf numFmtId="9" fontId="0" fillId="0" borderId="0" xfId="1" applyFont="1" applyBorder="1"/>
    <xf numFmtId="174" fontId="0" fillId="0" borderId="6" xfId="3" applyNumberFormat="1" applyFont="1" applyBorder="1"/>
    <xf numFmtId="164" fontId="0" fillId="0" borderId="0" xfId="0" applyNumberFormat="1" applyBorder="1"/>
    <xf numFmtId="2" fontId="0" fillId="0" borderId="0" xfId="1" applyNumberFormat="1" applyFont="1" applyBorder="1"/>
    <xf numFmtId="0" fontId="16" fillId="7" borderId="0" xfId="0" applyFont="1" applyFill="1"/>
    <xf numFmtId="0" fontId="16" fillId="4" borderId="0" xfId="0" applyFont="1" applyFill="1"/>
    <xf numFmtId="0" fontId="16" fillId="0" borderId="0" xfId="0" applyFont="1"/>
    <xf numFmtId="1" fontId="0" fillId="0" borderId="0" xfId="0" applyNumberFormat="1"/>
    <xf numFmtId="0" fontId="16" fillId="7" borderId="0" xfId="0" applyFont="1" applyFill="1" applyAlignment="1"/>
    <xf numFmtId="0" fontId="16" fillId="0" borderId="0" xfId="0" applyFont="1" applyFill="1"/>
    <xf numFmtId="0" fontId="16" fillId="8" borderId="7" xfId="0" applyFont="1" applyFill="1" applyBorder="1"/>
    <xf numFmtId="2" fontId="0" fillId="0" borderId="0" xfId="0" applyNumberFormat="1" applyFont="1"/>
    <xf numFmtId="2" fontId="16" fillId="0" borderId="0" xfId="0" applyNumberFormat="1" applyFont="1"/>
    <xf numFmtId="175" fontId="0" fillId="0" borderId="6" xfId="3" applyNumberFormat="1" applyFont="1" applyBorder="1"/>
    <xf numFmtId="0" fontId="0" fillId="5" borderId="2" xfId="0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vertical="center"/>
    </xf>
    <xf numFmtId="0" fontId="17" fillId="0" borderId="0" xfId="0" applyFont="1" applyFill="1"/>
    <xf numFmtId="4" fontId="0" fillId="0" borderId="1" xfId="0" applyNumberFormat="1" applyFill="1" applyBorder="1" applyAlignment="1">
      <alignment vertical="center"/>
    </xf>
    <xf numFmtId="0" fontId="0" fillId="0" borderId="3" xfId="0" applyFill="1" applyBorder="1"/>
    <xf numFmtId="4" fontId="0" fillId="0" borderId="3" xfId="0" applyNumberFormat="1" applyFill="1" applyBorder="1" applyAlignment="1">
      <alignment vertical="center"/>
    </xf>
    <xf numFmtId="4" fontId="0" fillId="0" borderId="9" xfId="0" applyNumberFormat="1" applyFill="1" applyBorder="1" applyAlignment="1">
      <alignment vertical="center"/>
    </xf>
    <xf numFmtId="0" fontId="0" fillId="0" borderId="9" xfId="0" applyFill="1" applyBorder="1"/>
    <xf numFmtId="4" fontId="7" fillId="2" borderId="1" xfId="0" applyNumberFormat="1" applyFont="1" applyFill="1" applyBorder="1" applyAlignment="1">
      <alignment vertical="center"/>
    </xf>
    <xf numFmtId="0" fontId="7" fillId="2" borderId="3" xfId="0" applyFont="1" applyFill="1" applyBorder="1"/>
    <xf numFmtId="4" fontId="7" fillId="2" borderId="3" xfId="0" applyNumberFormat="1" applyFont="1" applyFill="1" applyBorder="1" applyAlignment="1">
      <alignment vertical="center"/>
    </xf>
    <xf numFmtId="4" fontId="7" fillId="2" borderId="9" xfId="0" applyNumberFormat="1" applyFont="1" applyFill="1" applyBorder="1" applyAlignment="1">
      <alignment vertical="center"/>
    </xf>
    <xf numFmtId="0" fontId="17" fillId="0" borderId="0" xfId="0" applyFont="1"/>
    <xf numFmtId="9" fontId="17" fillId="0" borderId="0" xfId="1" applyFont="1"/>
    <xf numFmtId="10" fontId="17" fillId="0" borderId="0" xfId="1" applyNumberFormat="1" applyFont="1"/>
    <xf numFmtId="0" fontId="0" fillId="5" borderId="1" xfId="0" applyFill="1" applyBorder="1" applyAlignment="1">
      <alignment horizontal="center" vertical="center"/>
    </xf>
    <xf numFmtId="4" fontId="0" fillId="0" borderId="8" xfId="0" applyNumberFormat="1" applyBorder="1"/>
    <xf numFmtId="0" fontId="0" fillId="0" borderId="4" xfId="0" applyBorder="1"/>
    <xf numFmtId="4" fontId="0" fillId="0" borderId="4" xfId="0" applyNumberFormat="1" applyBorder="1"/>
    <xf numFmtId="4" fontId="1" fillId="0" borderId="13" xfId="0" applyNumberFormat="1" applyFont="1" applyBorder="1"/>
    <xf numFmtId="2" fontId="0" fillId="0" borderId="4" xfId="1" applyNumberFormat="1" applyFont="1" applyBorder="1"/>
    <xf numFmtId="2" fontId="1" fillId="0" borderId="13" xfId="0" applyNumberFormat="1" applyFont="1" applyBorder="1"/>
    <xf numFmtId="9" fontId="0" fillId="0" borderId="4" xfId="0" applyNumberFormat="1" applyBorder="1"/>
    <xf numFmtId="0" fontId="0" fillId="0" borderId="15" xfId="0" applyBorder="1"/>
    <xf numFmtId="4" fontId="0" fillId="0" borderId="1" xfId="0" applyNumberFormat="1" applyBorder="1"/>
    <xf numFmtId="0" fontId="0" fillId="0" borderId="3" xfId="0" applyBorder="1"/>
    <xf numFmtId="4" fontId="0" fillId="0" borderId="3" xfId="0" applyNumberFormat="1" applyBorder="1"/>
    <xf numFmtId="4" fontId="1" fillId="0" borderId="18" xfId="0" applyNumberFormat="1" applyFont="1" applyBorder="1"/>
    <xf numFmtId="2" fontId="0" fillId="0" borderId="3" xfId="1" applyNumberFormat="1" applyFont="1" applyBorder="1"/>
    <xf numFmtId="2" fontId="1" fillId="0" borderId="18" xfId="0" applyNumberFormat="1" applyFont="1" applyBorder="1"/>
    <xf numFmtId="9" fontId="0" fillId="0" borderId="3" xfId="1" applyFont="1" applyBorder="1"/>
    <xf numFmtId="0" fontId="0" fillId="0" borderId="19" xfId="0" applyBorder="1"/>
    <xf numFmtId="9" fontId="0" fillId="0" borderId="3" xfId="0" applyNumberFormat="1" applyBorder="1"/>
    <xf numFmtId="0" fontId="0" fillId="2" borderId="0" xfId="0" applyFill="1"/>
    <xf numFmtId="0" fontId="0" fillId="2" borderId="11" xfId="0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2" borderId="14" xfId="0" applyFill="1" applyBorder="1"/>
    <xf numFmtId="0" fontId="1" fillId="5" borderId="16" xfId="0" applyFont="1" applyFill="1" applyBorder="1"/>
    <xf numFmtId="2" fontId="1" fillId="5" borderId="9" xfId="0" applyNumberFormat="1" applyFont="1" applyFill="1" applyBorder="1"/>
    <xf numFmtId="2" fontId="1" fillId="5" borderId="17" xfId="0" applyNumberFormat="1" applyFont="1" applyFill="1" applyBorder="1"/>
    <xf numFmtId="0" fontId="1" fillId="2" borderId="10" xfId="0" applyFont="1" applyFill="1" applyBorder="1"/>
    <xf numFmtId="0" fontId="0" fillId="0" borderId="1" xfId="0" applyFill="1" applyBorder="1"/>
    <xf numFmtId="4" fontId="0" fillId="0" borderId="3" xfId="0" applyNumberFormat="1" applyFill="1" applyBorder="1"/>
    <xf numFmtId="0" fontId="1" fillId="0" borderId="3" xfId="0" applyFont="1" applyFill="1" applyBorder="1"/>
    <xf numFmtId="2" fontId="0" fillId="0" borderId="3" xfId="0" applyNumberFormat="1" applyFill="1" applyBorder="1"/>
    <xf numFmtId="2" fontId="9" fillId="0" borderId="3" xfId="0" applyNumberFormat="1" applyFont="1" applyFill="1" applyBorder="1"/>
    <xf numFmtId="0" fontId="0" fillId="0" borderId="1" xfId="0" applyBorder="1"/>
    <xf numFmtId="0" fontId="1" fillId="0" borderId="3" xfId="0" applyFont="1" applyBorder="1"/>
    <xf numFmtId="2" fontId="0" fillId="0" borderId="3" xfId="0" applyNumberFormat="1" applyBorder="1"/>
    <xf numFmtId="2" fontId="9" fillId="0" borderId="3" xfId="0" applyNumberFormat="1" applyFont="1" applyBorder="1"/>
    <xf numFmtId="0" fontId="12" fillId="0" borderId="3" xfId="0" applyFont="1" applyBorder="1"/>
    <xf numFmtId="0" fontId="9" fillId="0" borderId="3" xfId="0" applyFont="1" applyBorder="1"/>
    <xf numFmtId="0" fontId="13" fillId="0" borderId="3" xfId="0" applyFont="1" applyBorder="1"/>
    <xf numFmtId="0" fontId="1" fillId="5" borderId="2" xfId="0" applyFont="1" applyFill="1" applyBorder="1"/>
    <xf numFmtId="2" fontId="1" fillId="5" borderId="2" xfId="0" applyNumberFormat="1" applyFont="1" applyFill="1" applyBorder="1"/>
    <xf numFmtId="2" fontId="17" fillId="0" borderId="0" xfId="0" applyNumberFormat="1" applyFont="1" applyFill="1"/>
    <xf numFmtId="2" fontId="17" fillId="0" borderId="0" xfId="0" applyNumberFormat="1" applyFont="1"/>
    <xf numFmtId="0" fontId="0" fillId="0" borderId="9" xfId="0" applyBorder="1"/>
    <xf numFmtId="0" fontId="0" fillId="5" borderId="2" xfId="0" applyFill="1" applyBorder="1"/>
    <xf numFmtId="0" fontId="1" fillId="5" borderId="2" xfId="0" applyFont="1" applyFill="1" applyBorder="1" applyAlignment="1">
      <alignment horizontal="center" vertical="center"/>
    </xf>
    <xf numFmtId="168" fontId="0" fillId="9" borderId="0" xfId="0" applyNumberForma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13" fillId="5" borderId="3" xfId="0" applyFont="1" applyFill="1" applyBorder="1" applyAlignment="1">
      <alignment wrapText="1"/>
    </xf>
    <xf numFmtId="0" fontId="9" fillId="5" borderId="3" xfId="0" applyFont="1" applyFill="1" applyBorder="1" applyAlignment="1">
      <alignment wrapText="1"/>
    </xf>
    <xf numFmtId="0" fontId="0" fillId="5" borderId="19" xfId="0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4" fontId="1" fillId="0" borderId="3" xfId="0" applyNumberFormat="1" applyFont="1" applyFill="1" applyBorder="1"/>
    <xf numFmtId="0" fontId="0" fillId="0" borderId="19" xfId="0" applyFill="1" applyBorder="1"/>
    <xf numFmtId="4" fontId="0" fillId="0" borderId="19" xfId="0" applyNumberFormat="1" applyFill="1" applyBorder="1"/>
    <xf numFmtId="4" fontId="1" fillId="0" borderId="3" xfId="0" applyNumberFormat="1" applyFont="1" applyBorder="1"/>
    <xf numFmtId="0" fontId="0" fillId="6" borderId="3" xfId="0" applyFill="1" applyBorder="1"/>
    <xf numFmtId="4" fontId="1" fillId="2" borderId="2" xfId="0" applyNumberFormat="1" applyFont="1" applyFill="1" applyBorder="1"/>
    <xf numFmtId="0" fontId="1" fillId="2" borderId="2" xfId="0" applyFont="1" applyFill="1" applyBorder="1" applyAlignment="1">
      <alignment wrapText="1"/>
    </xf>
    <xf numFmtId="164" fontId="0" fillId="0" borderId="4" xfId="3" applyNumberFormat="1" applyFont="1" applyBorder="1"/>
    <xf numFmtId="171" fontId="0" fillId="0" borderId="20" xfId="3" applyNumberFormat="1" applyFont="1" applyBorder="1"/>
    <xf numFmtId="171" fontId="0" fillId="0" borderId="4" xfId="3" applyNumberFormat="1" applyFont="1" applyBorder="1"/>
    <xf numFmtId="0" fontId="18" fillId="5" borderId="1" xfId="2" applyFont="1" applyFill="1" applyBorder="1" applyAlignment="1">
      <alignment horizontal="center"/>
    </xf>
    <xf numFmtId="0" fontId="18" fillId="5" borderId="3" xfId="2" applyFont="1" applyFill="1" applyBorder="1" applyAlignment="1">
      <alignment horizontal="center"/>
    </xf>
    <xf numFmtId="0" fontId="0" fillId="0" borderId="23" xfId="0" applyFont="1" applyBorder="1"/>
    <xf numFmtId="169" fontId="18" fillId="5" borderId="1" xfId="0" applyNumberFormat="1" applyFont="1" applyFill="1" applyBorder="1" applyAlignment="1">
      <alignment horizontal="center"/>
    </xf>
    <xf numFmtId="9" fontId="15" fillId="0" borderId="3" xfId="1" applyFont="1" applyBorder="1"/>
    <xf numFmtId="171" fontId="0" fillId="0" borderId="3" xfId="3" applyNumberFormat="1" applyFont="1" applyBorder="1"/>
    <xf numFmtId="171" fontId="0" fillId="0" borderId="23" xfId="3" applyNumberFormat="1" applyFont="1" applyBorder="1"/>
    <xf numFmtId="171" fontId="0" fillId="0" borderId="3" xfId="0" applyNumberFormat="1" applyBorder="1"/>
    <xf numFmtId="170" fontId="18" fillId="5" borderId="2" xfId="0" applyNumberFormat="1" applyFont="1" applyFill="1" applyBorder="1" applyAlignment="1">
      <alignment horizontal="center"/>
    </xf>
    <xf numFmtId="171" fontId="0" fillId="0" borderId="1" xfId="3" applyNumberFormat="1" applyFont="1" applyBorder="1"/>
    <xf numFmtId="164" fontId="0" fillId="0" borderId="3" xfId="3" applyNumberFormat="1" applyFont="1" applyBorder="1"/>
    <xf numFmtId="0" fontId="0" fillId="9" borderId="22" xfId="0" applyFill="1" applyBorder="1"/>
    <xf numFmtId="0" fontId="0" fillId="9" borderId="3" xfId="0" applyFill="1" applyBorder="1"/>
    <xf numFmtId="0" fontId="0" fillId="9" borderId="23" xfId="0" applyFont="1" applyFill="1" applyBorder="1"/>
    <xf numFmtId="0" fontId="0" fillId="9" borderId="23" xfId="0" applyFill="1" applyBorder="1"/>
    <xf numFmtId="0" fontId="16" fillId="5" borderId="24" xfId="0" applyFont="1" applyFill="1" applyBorder="1"/>
    <xf numFmtId="171" fontId="16" fillId="5" borderId="24" xfId="0" applyNumberFormat="1" applyFont="1" applyFill="1" applyBorder="1"/>
    <xf numFmtId="171" fontId="16" fillId="5" borderId="24" xfId="3" applyNumberFormat="1" applyFont="1" applyFill="1" applyBorder="1"/>
    <xf numFmtId="171" fontId="16" fillId="5" borderId="21" xfId="3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28" xfId="0" applyNumberFormat="1" applyBorder="1"/>
    <xf numFmtId="9" fontId="0" fillId="0" borderId="29" xfId="0" applyNumberFormat="1" applyBorder="1"/>
    <xf numFmtId="10" fontId="0" fillId="0" borderId="29" xfId="1" applyNumberFormat="1" applyFont="1" applyBorder="1"/>
    <xf numFmtId="9" fontId="0" fillId="0" borderId="29" xfId="1" applyFont="1" applyBorder="1"/>
    <xf numFmtId="10" fontId="14" fillId="0" borderId="29" xfId="0" applyNumberFormat="1" applyFont="1" applyBorder="1"/>
    <xf numFmtId="0" fontId="14" fillId="0" borderId="29" xfId="0" applyFont="1" applyBorder="1"/>
    <xf numFmtId="9" fontId="14" fillId="0" borderId="30" xfId="0" applyNumberFormat="1" applyFont="1" applyBorder="1"/>
    <xf numFmtId="9" fontId="14" fillId="0" borderId="0" xfId="0" applyNumberFormat="1" applyFont="1" applyBorder="1"/>
    <xf numFmtId="0" fontId="16" fillId="0" borderId="2" xfId="0" applyFont="1" applyBorder="1"/>
    <xf numFmtId="169" fontId="18" fillId="5" borderId="9" xfId="0" applyNumberFormat="1" applyFont="1" applyFill="1" applyBorder="1" applyAlignment="1"/>
    <xf numFmtId="0" fontId="19" fillId="0" borderId="0" xfId="0" applyFont="1"/>
    <xf numFmtId="0" fontId="24" fillId="0" borderId="0" xfId="0" applyFont="1" applyBorder="1"/>
    <xf numFmtId="0" fontId="20" fillId="0" borderId="0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Border="1" applyAlignment="1">
      <alignment horizontal="center"/>
    </xf>
    <xf numFmtId="0" fontId="28" fillId="0" borderId="0" xfId="4" applyNumberFormat="1" applyFont="1" applyBorder="1" applyAlignment="1" applyProtection="1">
      <alignment horizontal="center"/>
    </xf>
    <xf numFmtId="0" fontId="2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9" fontId="18" fillId="5" borderId="25" xfId="0" applyNumberFormat="1" applyFont="1" applyFill="1" applyBorder="1" applyAlignment="1">
      <alignment horizontal="center"/>
    </xf>
    <xf numFmtId="169" fontId="18" fillId="5" borderId="26" xfId="0" applyNumberFormat="1" applyFont="1" applyFill="1" applyBorder="1" applyAlignment="1">
      <alignment horizontal="center"/>
    </xf>
    <xf numFmtId="169" fontId="18" fillId="5" borderId="27" xfId="0" applyNumberFormat="1" applyFont="1" applyFill="1" applyBorder="1" applyAlignment="1">
      <alignment horizontal="center"/>
    </xf>
    <xf numFmtId="0" fontId="16" fillId="5" borderId="25" xfId="2" applyFont="1" applyFill="1" applyBorder="1" applyAlignment="1">
      <alignment horizontal="center"/>
    </xf>
    <xf numFmtId="0" fontId="16" fillId="5" borderId="27" xfId="2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6">
    <cellStyle name="Comma" xfId="3" builtinId="3"/>
    <cellStyle name="Followed Hyperlink" xfId="5" builtinId="9" hidden="1"/>
    <cellStyle name="Hyperlink" xfId="4" builtinId="8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6</xdr:col>
      <xdr:colOff>838200</xdr:colOff>
      <xdr:row>11</xdr:row>
      <xdr:rowOff>50800</xdr:rowOff>
    </xdr:to>
    <xdr:sp macro="" textlink="">
      <xdr:nvSpPr>
        <xdr:cNvPr id="2049" name="AutoShape 1" descr="ttp://proschoolonline.com/wp/wp-content/uploads/2011/02/proschool.png"/>
        <xdr:cNvSpPr>
          <a:spLocks noChangeAspect="1" noChangeArrowheads="1"/>
        </xdr:cNvSpPr>
      </xdr:nvSpPr>
      <xdr:spPr bwMode="auto">
        <a:xfrm>
          <a:off x="2857500" y="1816100"/>
          <a:ext cx="36957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</xdr:col>
      <xdr:colOff>139700</xdr:colOff>
      <xdr:row>6</xdr:row>
      <xdr:rowOff>50800</xdr:rowOff>
    </xdr:from>
    <xdr:to>
      <xdr:col>6</xdr:col>
      <xdr:colOff>508000</xdr:colOff>
      <xdr:row>10</xdr:row>
      <xdr:rowOff>127000</xdr:rowOff>
    </xdr:to>
    <xdr:pic>
      <xdr:nvPicPr>
        <xdr:cNvPr id="3" name="Picture 2" descr="http://proschoolonline.com/wp/wp-content/uploads/2011/02/proschoo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1625600"/>
          <a:ext cx="3670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%20Haridas/Downloads/Revenue%20Model_Retai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%20Haridas/Downloads/KPIT_Template%20(Recovered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ta%20Haridas/Downloads/Retail%20Model(V-Mart)-%20balancesheet%20181118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upoint Analysis"/>
      <sheetName val="Revenue Model"/>
      <sheetName val="Sheet2"/>
      <sheetName val="Sheet3"/>
    </sheetNames>
    <sheetDataSet>
      <sheetData sheetId="0">
        <row r="15">
          <cell r="E15">
            <v>123</v>
          </cell>
          <cell r="F15">
            <v>141</v>
          </cell>
          <cell r="G15">
            <v>171</v>
          </cell>
          <cell r="H15">
            <v>1010000</v>
          </cell>
          <cell r="I15">
            <v>1200000</v>
          </cell>
          <cell r="J15">
            <v>1400000</v>
          </cell>
          <cell r="K15">
            <v>8211.3821138211388</v>
          </cell>
          <cell r="L15">
            <v>8510.6382978723395</v>
          </cell>
          <cell r="M15">
            <v>8187.1345029239765</v>
          </cell>
          <cell r="N15">
            <v>8.0123762376237628E-4</v>
          </cell>
          <cell r="O15">
            <v>8.3477500000000006E-4</v>
          </cell>
          <cell r="P15">
            <v>8.7312142857142849E-4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P&amp;L"/>
      <sheetName val="DS"/>
      <sheetName val="FAS"/>
      <sheetName val="BS"/>
      <sheetName val="CFS"/>
      <sheetName val="Output"/>
      <sheetName val="Sheet1"/>
      <sheetName val="Valuation"/>
    </sheetNames>
    <sheetDataSet>
      <sheetData sheetId="0"/>
      <sheetData sheetId="1">
        <row r="1">
          <cell r="F1">
            <v>19</v>
          </cell>
          <cell r="G1">
            <v>20</v>
          </cell>
          <cell r="H1">
            <v>21</v>
          </cell>
          <cell r="I1">
            <v>22</v>
          </cell>
          <cell r="J1">
            <v>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venue D"/>
      <sheetName val="Cost D"/>
      <sheetName val="P&amp;L"/>
      <sheetName val="BS"/>
      <sheetName val="Debt schedule"/>
      <sheetName val="FAS"/>
      <sheetName val="Cashflow"/>
      <sheetName val="Outpu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H5">
            <v>0.81425741770229099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oschoolonline.com/" TargetMode="Externa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showRowColHeaders="0" tabSelected="1" workbookViewId="0">
      <selection activeCell="E6" sqref="E6"/>
    </sheetView>
  </sheetViews>
  <sheetFormatPr baseColWidth="10" defaultRowHeight="15" x14ac:dyDescent="0"/>
  <sheetData>
    <row r="1" spans="1:7">
      <c r="A1" s="164"/>
      <c r="B1" s="164"/>
      <c r="C1" s="164"/>
      <c r="D1" s="164"/>
      <c r="E1" s="164"/>
      <c r="F1" s="164"/>
      <c r="G1" s="164"/>
    </row>
    <row r="2" spans="1:7" ht="28">
      <c r="A2" s="164"/>
      <c r="B2" s="164"/>
      <c r="C2" s="164"/>
      <c r="D2" s="164"/>
      <c r="E2" s="165" t="s">
        <v>1180</v>
      </c>
      <c r="F2" s="164"/>
      <c r="G2" s="164"/>
    </row>
    <row r="3" spans="1:7">
      <c r="A3" s="164"/>
      <c r="B3" s="164"/>
      <c r="C3" s="164"/>
      <c r="D3" s="164"/>
      <c r="E3" s="164"/>
      <c r="F3" s="164"/>
      <c r="G3" s="164"/>
    </row>
    <row r="4" spans="1:7" ht="40">
      <c r="A4" s="164"/>
      <c r="B4" s="164"/>
      <c r="C4" s="164"/>
      <c r="D4" s="164"/>
      <c r="E4" s="166" t="s">
        <v>0</v>
      </c>
      <c r="F4" s="164"/>
      <c r="G4" s="164"/>
    </row>
    <row r="5" spans="1:7">
      <c r="A5" s="164"/>
      <c r="B5" s="164"/>
      <c r="C5" s="164"/>
      <c r="D5" s="167" t="s">
        <v>1189</v>
      </c>
      <c r="E5" t="s">
        <v>1192</v>
      </c>
      <c r="F5" s="164"/>
      <c r="G5" s="164"/>
    </row>
    <row r="6" spans="1:7">
      <c r="A6" s="164"/>
      <c r="B6" s="164"/>
      <c r="C6" s="164"/>
      <c r="D6" s="168" t="s">
        <v>1181</v>
      </c>
      <c r="E6" s="168">
        <v>2018</v>
      </c>
      <c r="F6" s="164"/>
      <c r="G6" s="164"/>
    </row>
    <row r="7" spans="1:7">
      <c r="A7" s="164"/>
      <c r="B7" s="164"/>
      <c r="C7" s="164"/>
      <c r="D7" s="164"/>
      <c r="E7" s="164"/>
      <c r="F7" s="164"/>
      <c r="G7" s="164"/>
    </row>
    <row r="8" spans="1:7">
      <c r="A8" s="164"/>
      <c r="B8" s="164"/>
      <c r="C8" s="164"/>
      <c r="D8" s="164"/>
      <c r="E8" s="164"/>
      <c r="F8" s="164"/>
      <c r="G8" s="164"/>
    </row>
    <row r="9" spans="1:7">
      <c r="A9" s="164"/>
      <c r="B9" s="164"/>
      <c r="C9" s="164"/>
      <c r="D9" s="164"/>
      <c r="E9" s="164"/>
      <c r="F9" s="164"/>
      <c r="G9" s="164"/>
    </row>
    <row r="10" spans="1:7">
      <c r="A10" s="164"/>
      <c r="B10" s="164"/>
      <c r="C10" s="164"/>
      <c r="D10" s="164"/>
      <c r="E10" s="164"/>
      <c r="F10" s="164"/>
      <c r="G10" s="164"/>
    </row>
    <row r="11" spans="1:7">
      <c r="A11" s="164"/>
      <c r="B11" s="164"/>
      <c r="C11" s="164"/>
      <c r="D11" s="164"/>
      <c r="E11" s="164"/>
      <c r="F11" s="164"/>
      <c r="G11" s="164"/>
    </row>
    <row r="12" spans="1:7">
      <c r="A12" s="164"/>
      <c r="B12" s="164"/>
      <c r="C12" s="164"/>
      <c r="D12" s="164"/>
      <c r="E12" s="164"/>
      <c r="F12" s="164"/>
      <c r="G12" s="164"/>
    </row>
    <row r="13" spans="1:7">
      <c r="A13" s="164"/>
      <c r="B13" s="164"/>
      <c r="C13" s="164"/>
      <c r="D13" s="164"/>
      <c r="E13" s="169" t="s">
        <v>1182</v>
      </c>
      <c r="F13" s="164"/>
      <c r="G13" s="164"/>
    </row>
    <row r="14" spans="1:7">
      <c r="A14" s="164"/>
      <c r="B14" s="164"/>
      <c r="C14" s="164"/>
      <c r="D14" s="164"/>
      <c r="E14" s="170" t="s">
        <v>1190</v>
      </c>
      <c r="F14" s="164"/>
      <c r="G14" s="164"/>
    </row>
    <row r="15" spans="1:7">
      <c r="A15" s="164"/>
      <c r="B15" s="164"/>
      <c r="C15" s="164"/>
      <c r="D15" s="164"/>
      <c r="E15" s="170"/>
      <c r="F15" s="164"/>
      <c r="G15" s="164"/>
    </row>
    <row r="16" spans="1:7">
      <c r="A16" s="164"/>
      <c r="B16" s="164"/>
      <c r="C16" s="164"/>
      <c r="D16" s="164"/>
      <c r="E16" s="170" t="s">
        <v>1183</v>
      </c>
      <c r="F16" s="164"/>
      <c r="G16" s="164"/>
    </row>
    <row r="17" spans="1:7">
      <c r="A17" s="164"/>
      <c r="B17" s="164"/>
      <c r="C17" s="164"/>
      <c r="D17" s="164"/>
      <c r="E17" s="171"/>
      <c r="F17" s="164"/>
      <c r="G17" s="164"/>
    </row>
    <row r="18" spans="1:7">
      <c r="A18" s="164"/>
      <c r="B18" s="164"/>
      <c r="C18" s="164"/>
      <c r="D18" s="164"/>
      <c r="E18" s="172" t="s">
        <v>1184</v>
      </c>
      <c r="F18" s="164"/>
      <c r="G18" s="164"/>
    </row>
    <row r="19" spans="1:7">
      <c r="A19" s="164"/>
      <c r="B19" s="164"/>
      <c r="C19" s="164"/>
      <c r="D19" s="164"/>
      <c r="E19" s="172" t="s">
        <v>1185</v>
      </c>
      <c r="F19" s="164"/>
      <c r="G19" s="164"/>
    </row>
    <row r="20" spans="1:7">
      <c r="A20" s="164"/>
      <c r="B20" s="164"/>
      <c r="C20" s="164"/>
      <c r="D20" s="164"/>
      <c r="E20" s="172" t="s">
        <v>1186</v>
      </c>
      <c r="F20" s="164"/>
      <c r="G20" s="164"/>
    </row>
    <row r="21" spans="1:7">
      <c r="A21" s="164"/>
      <c r="B21" s="164"/>
      <c r="C21" s="164"/>
      <c r="D21" s="164"/>
      <c r="E21" s="172" t="s">
        <v>1187</v>
      </c>
      <c r="F21" s="164"/>
      <c r="G21" s="164"/>
    </row>
    <row r="22" spans="1:7">
      <c r="A22" s="164"/>
      <c r="B22" s="164"/>
      <c r="C22" s="164"/>
      <c r="D22" s="164"/>
      <c r="E22" s="170" t="s">
        <v>1191</v>
      </c>
      <c r="F22" s="164"/>
      <c r="G22" s="164"/>
    </row>
    <row r="23" spans="1:7">
      <c r="A23" s="164"/>
      <c r="B23" s="164"/>
      <c r="C23" s="164"/>
      <c r="D23" s="164"/>
      <c r="E23" s="172" t="s">
        <v>1188</v>
      </c>
      <c r="F23" s="164"/>
      <c r="G23" s="164"/>
    </row>
    <row r="24" spans="1:7">
      <c r="A24" s="163"/>
      <c r="B24" s="163"/>
      <c r="C24" s="163"/>
      <c r="D24" s="163"/>
      <c r="E24" s="163"/>
      <c r="F24" s="163"/>
      <c r="G24" s="163"/>
    </row>
    <row r="25" spans="1:7">
      <c r="A25" s="163"/>
      <c r="B25" s="163"/>
      <c r="C25" s="163"/>
      <c r="D25" s="163"/>
      <c r="E25" s="163"/>
      <c r="F25" s="163"/>
      <c r="G25" s="163"/>
    </row>
  </sheetData>
  <hyperlinks>
    <hyperlink ref="E13" r:id="rId1" display="http://proschoolonline.com/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0"/>
  <sheetViews>
    <sheetView workbookViewId="0">
      <selection activeCell="B1" sqref="B1"/>
    </sheetView>
  </sheetViews>
  <sheetFormatPr baseColWidth="10" defaultColWidth="8.7109375" defaultRowHeight="15" x14ac:dyDescent="0"/>
  <sheetData>
    <row r="1" spans="1:8">
      <c r="A1" s="14" t="s">
        <v>168</v>
      </c>
      <c r="B1" s="14" t="s">
        <v>169</v>
      </c>
      <c r="C1" s="14" t="s">
        <v>170</v>
      </c>
      <c r="D1" s="14"/>
      <c r="E1" s="14" t="s">
        <v>169</v>
      </c>
      <c r="F1" s="14" t="s">
        <v>164</v>
      </c>
    </row>
    <row r="2" spans="1:8">
      <c r="A2" t="s">
        <v>171</v>
      </c>
      <c r="B2" s="13">
        <v>2645</v>
      </c>
      <c r="C2" s="25">
        <v>-2.52E-2</v>
      </c>
      <c r="E2" s="13">
        <v>10867.1</v>
      </c>
      <c r="F2" s="25">
        <v>-8.9999999999999998E-4</v>
      </c>
      <c r="G2" t="s">
        <v>172</v>
      </c>
      <c r="H2">
        <f>_xlfn.COVARIANCE.S(F2:F970,C2:C970)</f>
        <v>5.9382309827802393E-5</v>
      </c>
    </row>
    <row r="3" spans="1:8">
      <c r="A3" t="s">
        <v>173</v>
      </c>
      <c r="B3" s="13">
        <v>2713.35</v>
      </c>
      <c r="C3" s="25">
        <v>-4.4200000000000003E-2</v>
      </c>
      <c r="E3" s="13">
        <v>10876.75</v>
      </c>
      <c r="F3" s="25">
        <v>1.6999999999999999E-3</v>
      </c>
      <c r="G3" t="s">
        <v>174</v>
      </c>
      <c r="H3">
        <f>_xlfn.VAR.S(F2:F970)</f>
        <v>7.2928177916229645E-5</v>
      </c>
    </row>
    <row r="4" spans="1:8">
      <c r="A4" t="s">
        <v>175</v>
      </c>
      <c r="B4" s="13">
        <v>2838.75</v>
      </c>
      <c r="C4" s="25">
        <v>4.1399999999999999E-2</v>
      </c>
      <c r="E4" s="13">
        <v>10858.7</v>
      </c>
      <c r="F4" s="25">
        <v>1.21E-2</v>
      </c>
    </row>
    <row r="5" spans="1:8">
      <c r="A5" t="s">
        <v>176</v>
      </c>
      <c r="B5" s="13">
        <v>2726</v>
      </c>
      <c r="C5" s="25">
        <v>3.78E-2</v>
      </c>
      <c r="E5" s="13">
        <v>10728.85</v>
      </c>
      <c r="F5" s="25">
        <v>4.0000000000000001E-3</v>
      </c>
      <c r="G5" t="s">
        <v>177</v>
      </c>
      <c r="H5">
        <f>H2/H3</f>
        <v>0.81425741770229099</v>
      </c>
    </row>
    <row r="6" spans="1:8">
      <c r="A6" t="s">
        <v>178</v>
      </c>
      <c r="B6" s="13">
        <v>2626.65</v>
      </c>
      <c r="C6" s="25">
        <v>0.05</v>
      </c>
      <c r="E6" s="13">
        <v>10685.6</v>
      </c>
      <c r="F6" s="25">
        <v>5.4000000000000003E-3</v>
      </c>
    </row>
    <row r="7" spans="1:8">
      <c r="A7" t="s">
        <v>179</v>
      </c>
      <c r="B7" s="13">
        <v>2501.6</v>
      </c>
      <c r="C7" s="25">
        <v>0.05</v>
      </c>
      <c r="E7" s="13">
        <v>10628.6</v>
      </c>
      <c r="F7" s="25">
        <v>9.7000000000000003E-3</v>
      </c>
    </row>
    <row r="8" spans="1:8">
      <c r="A8" t="s">
        <v>180</v>
      </c>
      <c r="B8" s="13">
        <v>2382.5</v>
      </c>
      <c r="C8" s="25">
        <v>-2.92E-2</v>
      </c>
      <c r="E8" s="13">
        <v>10526.75</v>
      </c>
      <c r="F8" s="25">
        <v>-6.8999999999999999E-3</v>
      </c>
    </row>
    <row r="9" spans="1:8">
      <c r="A9" t="s">
        <v>181</v>
      </c>
      <c r="B9" s="13">
        <v>2454.25</v>
      </c>
      <c r="C9" s="25">
        <v>6.7000000000000002E-3</v>
      </c>
      <c r="E9" s="13">
        <v>10600.05</v>
      </c>
      <c r="F9" s="25">
        <v>-5.3E-3</v>
      </c>
    </row>
    <row r="10" spans="1:8">
      <c r="A10" t="s">
        <v>182</v>
      </c>
      <c r="B10" s="13">
        <v>2438</v>
      </c>
      <c r="C10" s="25">
        <v>4.6800000000000001E-2</v>
      </c>
      <c r="E10" s="13">
        <v>10656.2</v>
      </c>
      <c r="F10" s="25">
        <v>-0.01</v>
      </c>
    </row>
    <row r="11" spans="1:8">
      <c r="A11" t="s">
        <v>183</v>
      </c>
      <c r="B11" s="13">
        <v>2328.9499999999998</v>
      </c>
      <c r="C11" s="25">
        <v>3.61E-2</v>
      </c>
      <c r="E11" s="13">
        <v>10763.4</v>
      </c>
      <c r="F11" s="25">
        <v>7.6E-3</v>
      </c>
    </row>
    <row r="12" spans="1:8">
      <c r="A12" t="s">
        <v>184</v>
      </c>
      <c r="B12" s="13">
        <v>2247.75</v>
      </c>
      <c r="C12" s="25">
        <v>2.1299999999999999E-2</v>
      </c>
      <c r="E12" s="13">
        <v>10682.2</v>
      </c>
      <c r="F12" s="25">
        <v>6.1999999999999998E-3</v>
      </c>
    </row>
    <row r="13" spans="1:8">
      <c r="A13" t="s">
        <v>185</v>
      </c>
      <c r="B13" s="13">
        <v>2200.85</v>
      </c>
      <c r="C13" s="25">
        <v>-4.1000000000000003E-3</v>
      </c>
      <c r="E13" s="13">
        <v>10616.7</v>
      </c>
      <c r="F13" s="25">
        <v>3.8E-3</v>
      </c>
    </row>
    <row r="14" spans="1:8">
      <c r="A14" t="s">
        <v>186</v>
      </c>
      <c r="B14" s="13">
        <v>2210</v>
      </c>
      <c r="C14" s="25">
        <v>-1.47E-2</v>
      </c>
      <c r="E14" s="13">
        <v>10576.3</v>
      </c>
      <c r="F14" s="25">
        <v>-5.9999999999999995E-4</v>
      </c>
    </row>
    <row r="15" spans="1:8">
      <c r="A15" t="s">
        <v>187</v>
      </c>
      <c r="B15" s="13">
        <v>2242.9499999999998</v>
      </c>
      <c r="C15" s="25">
        <v>9.5999999999999992E-3</v>
      </c>
      <c r="E15" s="13">
        <v>10582.5</v>
      </c>
      <c r="F15" s="25">
        <v>9.5999999999999992E-3</v>
      </c>
    </row>
    <row r="16" spans="1:8">
      <c r="A16" t="s">
        <v>188</v>
      </c>
      <c r="B16" s="13">
        <v>2221.5500000000002</v>
      </c>
      <c r="C16" s="25">
        <v>-1.8800000000000001E-2</v>
      </c>
      <c r="E16" s="13">
        <v>10482.200000000001</v>
      </c>
      <c r="F16" s="25">
        <v>-9.7000000000000003E-3</v>
      </c>
    </row>
    <row r="17" spans="1:6">
      <c r="A17" t="s">
        <v>189</v>
      </c>
      <c r="B17" s="13">
        <v>2264.1999999999998</v>
      </c>
      <c r="C17" s="25">
        <v>-0.05</v>
      </c>
      <c r="E17" s="13">
        <v>10585.2</v>
      </c>
      <c r="F17" s="25">
        <v>-1.2999999999999999E-3</v>
      </c>
    </row>
    <row r="18" spans="1:6">
      <c r="A18" t="s">
        <v>190</v>
      </c>
      <c r="B18" s="13">
        <v>2383.35</v>
      </c>
      <c r="C18" s="25">
        <v>-0.05</v>
      </c>
      <c r="E18" s="13">
        <v>10598.85</v>
      </c>
      <c r="F18" s="25">
        <v>6.4999999999999997E-3</v>
      </c>
    </row>
    <row r="19" spans="1:6">
      <c r="A19" t="s">
        <v>191</v>
      </c>
      <c r="B19" s="13">
        <v>2508.75</v>
      </c>
      <c r="C19" s="25">
        <v>-0.05</v>
      </c>
      <c r="E19" s="13">
        <v>10530</v>
      </c>
      <c r="F19" s="25">
        <v>5.9999999999999995E-4</v>
      </c>
    </row>
    <row r="20" spans="1:6">
      <c r="A20" t="s">
        <v>192</v>
      </c>
      <c r="B20" s="13">
        <v>2640.75</v>
      </c>
      <c r="C20" s="25">
        <v>-0.05</v>
      </c>
      <c r="E20" s="13">
        <v>10524</v>
      </c>
      <c r="F20" s="25">
        <v>-2.7000000000000001E-3</v>
      </c>
    </row>
    <row r="21" spans="1:6">
      <c r="A21" t="s">
        <v>193</v>
      </c>
      <c r="B21" s="13">
        <v>2779.7</v>
      </c>
      <c r="C21" s="25">
        <v>9.4299999999999995E-2</v>
      </c>
      <c r="E21" s="13">
        <v>10553</v>
      </c>
      <c r="F21" s="25">
        <v>1.66E-2</v>
      </c>
    </row>
    <row r="22" spans="1:6">
      <c r="A22" t="s">
        <v>194</v>
      </c>
      <c r="B22" s="13">
        <v>2540.25</v>
      </c>
      <c r="C22" s="25">
        <v>5.2299999999999999E-2</v>
      </c>
      <c r="E22" s="13">
        <v>10380.450000000001</v>
      </c>
      <c r="F22" s="25">
        <v>-5.9999999999999995E-4</v>
      </c>
    </row>
    <row r="23" spans="1:6">
      <c r="A23" t="s">
        <v>195</v>
      </c>
      <c r="B23" s="13">
        <v>2413.9499999999998</v>
      </c>
      <c r="C23" s="25">
        <v>2.46E-2</v>
      </c>
      <c r="E23" s="13">
        <v>10386.6</v>
      </c>
      <c r="F23" s="25">
        <v>1.8499999999999999E-2</v>
      </c>
    </row>
    <row r="24" spans="1:6">
      <c r="A24" t="s">
        <v>196</v>
      </c>
      <c r="B24" s="13">
        <v>2356.0500000000002</v>
      </c>
      <c r="C24" s="25">
        <v>9.9199999999999997E-2</v>
      </c>
      <c r="E24" s="13">
        <v>10198.4</v>
      </c>
      <c r="F24" s="25">
        <v>-5.1000000000000004E-3</v>
      </c>
    </row>
    <row r="25" spans="1:6">
      <c r="A25" t="s">
        <v>197</v>
      </c>
      <c r="B25" s="13">
        <v>2143.4499999999998</v>
      </c>
      <c r="C25" s="25">
        <v>0.05</v>
      </c>
      <c r="E25" s="13">
        <v>10250.85</v>
      </c>
      <c r="F25" s="25">
        <v>2.1999999999999999E-2</v>
      </c>
    </row>
    <row r="26" spans="1:6">
      <c r="A26" t="s">
        <v>198</v>
      </c>
      <c r="B26" s="13">
        <v>2041.4</v>
      </c>
      <c r="C26" s="25">
        <v>3.1600000000000003E-2</v>
      </c>
      <c r="E26" s="13">
        <v>10030</v>
      </c>
      <c r="F26" s="25">
        <v>-9.4000000000000004E-3</v>
      </c>
    </row>
    <row r="27" spans="1:6">
      <c r="A27" t="s">
        <v>199</v>
      </c>
      <c r="B27" s="13">
        <v>1978.8</v>
      </c>
      <c r="C27" s="25">
        <v>-1.6000000000000001E-3</v>
      </c>
      <c r="E27" s="13">
        <v>10124.9</v>
      </c>
      <c r="F27" s="25">
        <v>-9.7999999999999997E-3</v>
      </c>
    </row>
    <row r="28" spans="1:6">
      <c r="A28" t="s">
        <v>200</v>
      </c>
      <c r="B28" s="13">
        <v>1982</v>
      </c>
      <c r="C28" s="25">
        <v>1.2999999999999999E-2</v>
      </c>
      <c r="E28" s="13">
        <v>10224.75</v>
      </c>
      <c r="F28" s="25">
        <v>7.7000000000000002E-3</v>
      </c>
    </row>
    <row r="29" spans="1:6">
      <c r="A29" t="s">
        <v>201</v>
      </c>
      <c r="B29" s="13">
        <v>1956.65</v>
      </c>
      <c r="C29" s="25">
        <v>-4.9599999999999998E-2</v>
      </c>
      <c r="E29" s="13">
        <v>10146.799999999999</v>
      </c>
      <c r="F29" s="25">
        <v>-9.5999999999999992E-3</v>
      </c>
    </row>
    <row r="30" spans="1:6">
      <c r="A30" t="s">
        <v>202</v>
      </c>
      <c r="B30" s="13">
        <v>2058.85</v>
      </c>
      <c r="C30" s="25">
        <v>-4.5400000000000003E-2</v>
      </c>
      <c r="E30" s="13">
        <v>10245.25</v>
      </c>
      <c r="F30" s="25">
        <v>-5.7000000000000002E-3</v>
      </c>
    </row>
    <row r="31" spans="1:6">
      <c r="A31" t="s">
        <v>203</v>
      </c>
      <c r="B31" s="13">
        <v>2156.8000000000002</v>
      </c>
      <c r="C31" s="25">
        <v>-2.0000000000000001E-4</v>
      </c>
      <c r="E31" s="13">
        <v>10303.549999999999</v>
      </c>
      <c r="F31" s="25">
        <v>-1.43E-2</v>
      </c>
    </row>
    <row r="32" spans="1:6">
      <c r="A32" t="s">
        <v>204</v>
      </c>
      <c r="B32" s="13">
        <v>2157.3000000000002</v>
      </c>
      <c r="C32" s="25">
        <v>2.6700000000000002E-2</v>
      </c>
      <c r="E32" s="13">
        <v>10453.049999999999</v>
      </c>
      <c r="F32" s="25">
        <v>-1.24E-2</v>
      </c>
    </row>
    <row r="33" spans="1:6">
      <c r="A33" t="s">
        <v>205</v>
      </c>
      <c r="B33" s="13">
        <v>2101.15</v>
      </c>
      <c r="C33" s="25">
        <v>0.05</v>
      </c>
      <c r="E33" s="13">
        <v>10584.75</v>
      </c>
      <c r="F33" s="25">
        <v>6.8999999999999999E-3</v>
      </c>
    </row>
    <row r="34" spans="1:6">
      <c r="A34" t="s">
        <v>206</v>
      </c>
      <c r="B34" s="13">
        <v>2001.1</v>
      </c>
      <c r="C34" s="25">
        <v>1.5E-3</v>
      </c>
      <c r="E34" s="13">
        <v>10512.5</v>
      </c>
      <c r="F34" s="25">
        <v>3.8E-3</v>
      </c>
    </row>
    <row r="35" spans="1:6">
      <c r="A35" t="s">
        <v>207</v>
      </c>
      <c r="B35" s="13">
        <v>1998.15</v>
      </c>
      <c r="C35" s="25">
        <v>2.5999999999999999E-2</v>
      </c>
      <c r="E35" s="13">
        <v>10472.5</v>
      </c>
      <c r="F35" s="25">
        <v>2.3199999999999998E-2</v>
      </c>
    </row>
    <row r="36" spans="1:6">
      <c r="A36" t="s">
        <v>208</v>
      </c>
      <c r="B36" s="13">
        <v>1947.6</v>
      </c>
      <c r="C36" s="25">
        <v>-0.05</v>
      </c>
      <c r="E36" s="13">
        <v>10234.65</v>
      </c>
      <c r="F36" s="25">
        <v>-2.1600000000000001E-2</v>
      </c>
    </row>
    <row r="37" spans="1:6">
      <c r="A37" t="s">
        <v>209</v>
      </c>
      <c r="B37" s="13">
        <v>2050.1</v>
      </c>
      <c r="C37" s="25">
        <v>3.5000000000000001E-3</v>
      </c>
      <c r="E37" s="13">
        <v>10460.1</v>
      </c>
      <c r="F37" s="25">
        <v>1.54E-2</v>
      </c>
    </row>
    <row r="38" spans="1:6">
      <c r="A38" t="s">
        <v>210</v>
      </c>
      <c r="B38" s="13">
        <v>2043.05</v>
      </c>
      <c r="C38" s="25">
        <v>-0.05</v>
      </c>
      <c r="E38" s="13">
        <v>10301.049999999999</v>
      </c>
      <c r="F38" s="25">
        <v>-4.4999999999999997E-3</v>
      </c>
    </row>
    <row r="39" spans="1:6">
      <c r="A39" t="s">
        <v>211</v>
      </c>
      <c r="B39" s="13">
        <v>2150.5500000000002</v>
      </c>
      <c r="C39" s="25">
        <v>-3.7699999999999997E-2</v>
      </c>
      <c r="E39" s="13">
        <v>10348.049999999999</v>
      </c>
      <c r="F39" s="25">
        <v>3.0999999999999999E-3</v>
      </c>
    </row>
    <row r="40" spans="1:6">
      <c r="A40" t="s">
        <v>212</v>
      </c>
      <c r="B40" s="13">
        <v>2234.9</v>
      </c>
      <c r="C40" s="25">
        <v>-3.1E-2</v>
      </c>
      <c r="E40" s="13">
        <v>10316.450000000001</v>
      </c>
      <c r="F40" s="25">
        <v>-2.6700000000000002E-2</v>
      </c>
    </row>
    <row r="41" spans="1:6">
      <c r="A41" t="s">
        <v>213</v>
      </c>
      <c r="B41" s="13">
        <v>2306.35</v>
      </c>
      <c r="C41" s="25">
        <v>-0.05</v>
      </c>
      <c r="E41" s="13">
        <v>10599.25</v>
      </c>
      <c r="F41" s="25">
        <v>-2.3900000000000001E-2</v>
      </c>
    </row>
    <row r="42" spans="1:6">
      <c r="A42" t="s">
        <v>214</v>
      </c>
      <c r="B42" s="13">
        <v>2427.6999999999998</v>
      </c>
      <c r="C42" s="25">
        <v>-4.9700000000000001E-2</v>
      </c>
      <c r="E42" s="13">
        <v>10858.25</v>
      </c>
      <c r="F42" s="25">
        <v>-1.3599999999999999E-2</v>
      </c>
    </row>
    <row r="43" spans="1:6">
      <c r="A43" t="s">
        <v>215</v>
      </c>
      <c r="B43" s="13">
        <v>2554.65</v>
      </c>
      <c r="C43" s="25">
        <v>1.89E-2</v>
      </c>
      <c r="E43" s="13">
        <v>11008.3</v>
      </c>
      <c r="F43" s="25">
        <v>7.1000000000000004E-3</v>
      </c>
    </row>
    <row r="44" spans="1:6">
      <c r="A44" t="s">
        <v>216</v>
      </c>
      <c r="B44" s="13">
        <v>2507.35</v>
      </c>
      <c r="C44" s="25">
        <v>-0.05</v>
      </c>
      <c r="E44" s="13">
        <v>10930.45</v>
      </c>
      <c r="F44" s="25">
        <v>-4.3E-3</v>
      </c>
    </row>
    <row r="45" spans="1:6">
      <c r="A45" t="s">
        <v>217</v>
      </c>
      <c r="B45" s="13">
        <v>2639.25</v>
      </c>
      <c r="C45" s="25">
        <v>-1.21E-2</v>
      </c>
      <c r="E45" s="13">
        <v>10977.55</v>
      </c>
      <c r="F45" s="25">
        <v>-6.8999999999999999E-3</v>
      </c>
    </row>
    <row r="46" spans="1:6">
      <c r="A46" t="s">
        <v>218</v>
      </c>
      <c r="B46" s="13">
        <v>2671.6</v>
      </c>
      <c r="C46" s="25">
        <v>4.0599999999999997E-2</v>
      </c>
      <c r="E46" s="13">
        <v>11053.8</v>
      </c>
      <c r="F46" s="25">
        <v>-1.1999999999999999E-3</v>
      </c>
    </row>
    <row r="47" spans="1:6">
      <c r="A47" t="s">
        <v>219</v>
      </c>
      <c r="B47" s="13">
        <v>2567.25</v>
      </c>
      <c r="C47" s="25">
        <v>1.6E-2</v>
      </c>
      <c r="E47" s="13">
        <v>11067.45</v>
      </c>
      <c r="F47" s="25">
        <v>9.1000000000000004E-3</v>
      </c>
    </row>
    <row r="48" spans="1:6">
      <c r="A48" t="s">
        <v>220</v>
      </c>
      <c r="B48" s="13">
        <v>2526.8000000000002</v>
      </c>
      <c r="C48" s="25">
        <v>-5.7000000000000002E-3</v>
      </c>
      <c r="E48" s="13">
        <v>10967.4</v>
      </c>
      <c r="F48" s="25">
        <v>-1.5800000000000002E-2</v>
      </c>
    </row>
    <row r="49" spans="1:6">
      <c r="A49" t="s">
        <v>221</v>
      </c>
      <c r="B49" s="13">
        <v>2541.25</v>
      </c>
      <c r="C49" s="25">
        <v>-3.2500000000000001E-2</v>
      </c>
      <c r="E49" s="13">
        <v>11143.1</v>
      </c>
      <c r="F49" s="25">
        <v>-8.0999999999999996E-3</v>
      </c>
    </row>
    <row r="50" spans="1:6">
      <c r="A50" t="s">
        <v>222</v>
      </c>
      <c r="B50" s="13">
        <v>2626.65</v>
      </c>
      <c r="C50" s="25">
        <v>-2.3999999999999998E-3</v>
      </c>
      <c r="E50" s="13">
        <v>11234.35</v>
      </c>
      <c r="F50" s="25">
        <v>-3.8999999999999998E-3</v>
      </c>
    </row>
    <row r="51" spans="1:6">
      <c r="A51" t="s">
        <v>223</v>
      </c>
      <c r="B51" s="13">
        <v>2632.85</v>
      </c>
      <c r="C51" s="25">
        <v>-2.1600000000000001E-2</v>
      </c>
      <c r="E51" s="13">
        <v>11278.9</v>
      </c>
      <c r="F51" s="25">
        <v>-8.6999999999999994E-3</v>
      </c>
    </row>
    <row r="52" spans="1:6">
      <c r="A52" t="s">
        <v>224</v>
      </c>
      <c r="B52" s="13">
        <v>2691.1</v>
      </c>
      <c r="C52" s="25">
        <v>-2.9600000000000001E-2</v>
      </c>
      <c r="E52" s="13">
        <v>11377.75</v>
      </c>
      <c r="F52" s="25">
        <v>-1.1900000000000001E-2</v>
      </c>
    </row>
    <row r="53" spans="1:6">
      <c r="A53" t="s">
        <v>225</v>
      </c>
      <c r="B53" s="13">
        <v>2773.25</v>
      </c>
      <c r="C53" s="25">
        <v>-1.15E-2</v>
      </c>
      <c r="E53" s="13">
        <v>11515.2</v>
      </c>
      <c r="F53" s="25">
        <v>1.2800000000000001E-2</v>
      </c>
    </row>
    <row r="54" spans="1:6">
      <c r="A54" t="s">
        <v>226</v>
      </c>
      <c r="B54" s="13">
        <v>2805.65</v>
      </c>
      <c r="C54" s="25">
        <v>-3.0099999999999998E-2</v>
      </c>
      <c r="E54" s="13">
        <v>11369.9</v>
      </c>
      <c r="F54" s="25">
        <v>7.3000000000000001E-3</v>
      </c>
    </row>
    <row r="55" spans="1:6">
      <c r="A55" t="s">
        <v>227</v>
      </c>
      <c r="B55" s="13">
        <v>2892.85</v>
      </c>
      <c r="C55" s="25">
        <v>1.37E-2</v>
      </c>
      <c r="E55" s="13">
        <v>11287.5</v>
      </c>
      <c r="F55" s="25">
        <v>-1.32E-2</v>
      </c>
    </row>
    <row r="56" spans="1:6">
      <c r="A56" t="s">
        <v>228</v>
      </c>
      <c r="B56" s="13">
        <v>2853.8</v>
      </c>
      <c r="C56" s="25">
        <v>2.7400000000000001E-2</v>
      </c>
      <c r="E56" s="13">
        <v>11438.1</v>
      </c>
      <c r="F56" s="25">
        <v>-1.2999999999999999E-2</v>
      </c>
    </row>
    <row r="57" spans="1:6">
      <c r="A57" t="s">
        <v>229</v>
      </c>
      <c r="B57" s="13">
        <v>2777.7</v>
      </c>
      <c r="C57" s="25">
        <v>-1.1299999999999999E-2</v>
      </c>
      <c r="E57" s="13">
        <v>11589.1</v>
      </c>
      <c r="F57" s="25">
        <v>4.4999999999999997E-3</v>
      </c>
    </row>
    <row r="58" spans="1:6">
      <c r="A58" t="s">
        <v>230</v>
      </c>
      <c r="B58" s="13">
        <v>2809.45</v>
      </c>
      <c r="C58" s="25">
        <v>-4.8599999999999997E-2</v>
      </c>
      <c r="E58" s="13">
        <v>11536.9</v>
      </c>
      <c r="F58" s="25">
        <v>5.1999999999999998E-3</v>
      </c>
    </row>
    <row r="59" spans="1:6">
      <c r="A59" t="s">
        <v>231</v>
      </c>
      <c r="B59" s="13">
        <v>2953</v>
      </c>
      <c r="C59" s="25">
        <v>-3.8899999999999997E-2</v>
      </c>
      <c r="E59" s="13">
        <v>11476.95</v>
      </c>
      <c r="F59" s="25">
        <v>-3.8E-3</v>
      </c>
    </row>
    <row r="60" spans="1:6">
      <c r="A60" t="s">
        <v>232</v>
      </c>
      <c r="B60" s="13">
        <v>3072.6</v>
      </c>
      <c r="C60" s="25">
        <v>-4.8599999999999997E-2</v>
      </c>
      <c r="E60" s="13">
        <v>11520.3</v>
      </c>
      <c r="F60" s="25">
        <v>-5.4000000000000003E-3</v>
      </c>
    </row>
    <row r="61" spans="1:6">
      <c r="A61" t="s">
        <v>233</v>
      </c>
      <c r="B61" s="13">
        <v>3229.7</v>
      </c>
      <c r="C61" s="25">
        <v>1.47E-2</v>
      </c>
      <c r="E61" s="13">
        <v>11582.35</v>
      </c>
      <c r="F61" s="25">
        <v>-8.3999999999999995E-3</v>
      </c>
    </row>
    <row r="62" spans="1:6">
      <c r="A62" t="s">
        <v>234</v>
      </c>
      <c r="B62" s="13">
        <v>3182.85</v>
      </c>
      <c r="C62" s="25">
        <v>4.1200000000000001E-2</v>
      </c>
      <c r="E62" s="13">
        <v>11680.5</v>
      </c>
      <c r="F62" s="25">
        <v>2.9999999999999997E-4</v>
      </c>
    </row>
    <row r="63" spans="1:6">
      <c r="A63" t="s">
        <v>235</v>
      </c>
      <c r="B63" s="13">
        <v>3056.8</v>
      </c>
      <c r="C63" s="25">
        <v>-2.86E-2</v>
      </c>
      <c r="E63" s="13">
        <v>11676.8</v>
      </c>
      <c r="F63" s="25">
        <v>-1.2999999999999999E-3</v>
      </c>
    </row>
    <row r="64" spans="1:6">
      <c r="A64" t="s">
        <v>236</v>
      </c>
      <c r="B64" s="13">
        <v>3146.65</v>
      </c>
      <c r="C64" s="25">
        <v>6.6E-3</v>
      </c>
      <c r="E64" s="13">
        <v>11691.9</v>
      </c>
      <c r="F64" s="25">
        <v>-4.0000000000000001E-3</v>
      </c>
    </row>
    <row r="65" spans="1:6">
      <c r="A65" t="s">
        <v>237</v>
      </c>
      <c r="B65" s="13">
        <v>3126</v>
      </c>
      <c r="C65" s="25">
        <v>3.5299999999999998E-2</v>
      </c>
      <c r="E65" s="13">
        <v>11738.5</v>
      </c>
      <c r="F65" s="25">
        <v>4.0000000000000001E-3</v>
      </c>
    </row>
    <row r="66" spans="1:6">
      <c r="A66" t="s">
        <v>238</v>
      </c>
      <c r="B66" s="13">
        <v>3019.5</v>
      </c>
      <c r="C66" s="25">
        <v>7.3000000000000001E-3</v>
      </c>
      <c r="E66" s="13">
        <v>11691.95</v>
      </c>
      <c r="F66" s="25">
        <v>1.17E-2</v>
      </c>
    </row>
    <row r="67" spans="1:6">
      <c r="A67" t="s">
        <v>239</v>
      </c>
      <c r="B67" s="13">
        <v>2997.7</v>
      </c>
      <c r="C67" s="25">
        <v>8.0000000000000004E-4</v>
      </c>
      <c r="E67" s="13">
        <v>11557.1</v>
      </c>
      <c r="F67" s="25">
        <v>-2.2000000000000001E-3</v>
      </c>
    </row>
    <row r="68" spans="1:6">
      <c r="A68" t="s">
        <v>240</v>
      </c>
      <c r="B68" s="13">
        <v>2995.25</v>
      </c>
      <c r="C68" s="25">
        <v>-9.5999999999999992E-3</v>
      </c>
      <c r="E68" s="13">
        <v>11582.75</v>
      </c>
      <c r="F68" s="25">
        <v>1E-3</v>
      </c>
    </row>
    <row r="69" spans="1:6">
      <c r="A69" t="s">
        <v>241</v>
      </c>
      <c r="B69" s="13">
        <v>3024.3</v>
      </c>
      <c r="C69" s="25">
        <v>4.8800000000000003E-2</v>
      </c>
      <c r="E69" s="13">
        <v>11570.9</v>
      </c>
      <c r="F69" s="25">
        <v>1.6999999999999999E-3</v>
      </c>
    </row>
    <row r="70" spans="1:6">
      <c r="A70" t="s">
        <v>242</v>
      </c>
      <c r="B70" s="13">
        <v>2883.7</v>
      </c>
      <c r="C70" s="25">
        <v>6.3E-3</v>
      </c>
      <c r="E70" s="13">
        <v>11551.75</v>
      </c>
      <c r="F70" s="25">
        <v>7.1000000000000004E-3</v>
      </c>
    </row>
    <row r="71" spans="1:6">
      <c r="A71" t="s">
        <v>243</v>
      </c>
      <c r="B71" s="13">
        <v>2865.6</v>
      </c>
      <c r="C71" s="25">
        <v>-5.8999999999999999E-3</v>
      </c>
      <c r="E71" s="13">
        <v>11470.75</v>
      </c>
      <c r="F71" s="25">
        <v>7.4999999999999997E-3</v>
      </c>
    </row>
    <row r="72" spans="1:6">
      <c r="A72" t="s">
        <v>244</v>
      </c>
      <c r="B72" s="13">
        <v>2882.6</v>
      </c>
      <c r="C72" s="25">
        <v>3.3999999999999998E-3</v>
      </c>
      <c r="E72" s="13">
        <v>11385.05</v>
      </c>
      <c r="F72" s="25">
        <v>-4.4000000000000003E-3</v>
      </c>
    </row>
    <row r="73" spans="1:6">
      <c r="A73" t="s">
        <v>245</v>
      </c>
      <c r="B73" s="13">
        <v>2872.7</v>
      </c>
      <c r="C73" s="25">
        <v>-6.0000000000000001E-3</v>
      </c>
      <c r="E73" s="13">
        <v>11435.1</v>
      </c>
      <c r="F73" s="25">
        <v>7.0000000000000001E-3</v>
      </c>
    </row>
    <row r="74" spans="1:6">
      <c r="A74" t="s">
        <v>246</v>
      </c>
      <c r="B74" s="13">
        <v>2890.1</v>
      </c>
      <c r="C74" s="25">
        <v>1.9599999999999999E-2</v>
      </c>
      <c r="E74" s="13">
        <v>11355.75</v>
      </c>
      <c r="F74" s="25">
        <v>-6.4999999999999997E-3</v>
      </c>
    </row>
    <row r="75" spans="1:6">
      <c r="A75" t="s">
        <v>247</v>
      </c>
      <c r="B75" s="13">
        <v>2834.45</v>
      </c>
      <c r="C75" s="25">
        <v>2.24E-2</v>
      </c>
      <c r="E75" s="13">
        <v>11429.5</v>
      </c>
      <c r="F75" s="25">
        <v>-3.5999999999999999E-3</v>
      </c>
    </row>
    <row r="76" spans="1:6">
      <c r="A76" t="s">
        <v>248</v>
      </c>
      <c r="B76" s="13">
        <v>2772.4</v>
      </c>
      <c r="C76" s="25">
        <v>1.72E-2</v>
      </c>
      <c r="E76" s="13">
        <v>11470.7</v>
      </c>
      <c r="F76" s="25">
        <v>1.8E-3</v>
      </c>
    </row>
    <row r="77" spans="1:6">
      <c r="A77" t="s">
        <v>249</v>
      </c>
      <c r="B77" s="13">
        <v>2725.6</v>
      </c>
      <c r="C77" s="25">
        <v>-3.6200000000000003E-2</v>
      </c>
      <c r="E77" s="13">
        <v>11450</v>
      </c>
      <c r="F77" s="25">
        <v>5.3E-3</v>
      </c>
    </row>
    <row r="78" spans="1:6">
      <c r="A78" t="s">
        <v>250</v>
      </c>
      <c r="B78" s="13">
        <v>2827.95</v>
      </c>
      <c r="C78" s="25">
        <v>-2.3999999999999998E-3</v>
      </c>
      <c r="E78" s="13">
        <v>11389.45</v>
      </c>
      <c r="F78" s="25">
        <v>2.0000000000000001E-4</v>
      </c>
    </row>
    <row r="79" spans="1:6">
      <c r="A79" t="s">
        <v>251</v>
      </c>
      <c r="B79" s="13">
        <v>2834.65</v>
      </c>
      <c r="C79" s="25">
        <v>3.3099999999999997E-2</v>
      </c>
      <c r="E79" s="13">
        <v>11387.1</v>
      </c>
      <c r="F79" s="25">
        <v>2.3E-3</v>
      </c>
    </row>
    <row r="80" spans="1:6">
      <c r="A80" t="s">
        <v>252</v>
      </c>
      <c r="B80" s="13">
        <v>2743.8</v>
      </c>
      <c r="C80" s="25">
        <v>0.05</v>
      </c>
      <c r="E80" s="13">
        <v>11360.8</v>
      </c>
      <c r="F80" s="25">
        <v>1.03E-2</v>
      </c>
    </row>
    <row r="81" spans="1:6">
      <c r="A81" t="s">
        <v>253</v>
      </c>
      <c r="B81" s="13">
        <v>2613.15</v>
      </c>
      <c r="C81" s="25">
        <v>3.1600000000000003E-2</v>
      </c>
      <c r="E81" s="13">
        <v>11244.7</v>
      </c>
      <c r="F81" s="25">
        <v>-8.8999999999999999E-3</v>
      </c>
    </row>
    <row r="82" spans="1:6">
      <c r="A82" t="s">
        <v>254</v>
      </c>
      <c r="B82" s="13">
        <v>2533.1999999999998</v>
      </c>
      <c r="C82" s="25">
        <v>4.4699999999999997E-2</v>
      </c>
      <c r="E82" s="13">
        <v>11346.2</v>
      </c>
      <c r="F82" s="25">
        <v>-8.9999999999999998E-4</v>
      </c>
    </row>
    <row r="83" spans="1:6">
      <c r="A83" t="s">
        <v>255</v>
      </c>
      <c r="B83" s="13">
        <v>2424.75</v>
      </c>
      <c r="C83" s="25">
        <v>1.01E-2</v>
      </c>
      <c r="E83" s="13">
        <v>11356.5</v>
      </c>
      <c r="F83" s="25">
        <v>3.3E-3</v>
      </c>
    </row>
    <row r="84" spans="1:6">
      <c r="A84" t="s">
        <v>256</v>
      </c>
      <c r="B84" s="13">
        <v>2400.5500000000002</v>
      </c>
      <c r="C84" s="25">
        <v>7.9000000000000008E-3</v>
      </c>
      <c r="E84" s="13">
        <v>11319.55</v>
      </c>
      <c r="F84" s="25">
        <v>3.7000000000000002E-3</v>
      </c>
    </row>
    <row r="85" spans="1:6">
      <c r="A85" t="s">
        <v>257</v>
      </c>
      <c r="B85" s="13">
        <v>2381.65</v>
      </c>
      <c r="C85" s="25">
        <v>-5.9999999999999995E-4</v>
      </c>
      <c r="E85" s="13">
        <v>11278.35</v>
      </c>
      <c r="F85" s="25">
        <v>9.9000000000000008E-3</v>
      </c>
    </row>
    <row r="86" spans="1:6">
      <c r="A86" t="s">
        <v>258</v>
      </c>
      <c r="B86" s="13">
        <v>2383</v>
      </c>
      <c r="C86" s="25">
        <v>1.2500000000000001E-2</v>
      </c>
      <c r="E86" s="13">
        <v>11167.3</v>
      </c>
      <c r="F86" s="25">
        <v>3.2000000000000002E-3</v>
      </c>
    </row>
    <row r="87" spans="1:6">
      <c r="A87" t="s">
        <v>259</v>
      </c>
      <c r="B87" s="13">
        <v>2353.5500000000002</v>
      </c>
      <c r="C87" s="25">
        <v>-3.1199999999999999E-2</v>
      </c>
      <c r="E87" s="13">
        <v>11132</v>
      </c>
      <c r="F87" s="25">
        <v>-2.0000000000000001E-4</v>
      </c>
    </row>
    <row r="88" spans="1:6">
      <c r="A88" t="s">
        <v>260</v>
      </c>
      <c r="B88" s="13">
        <v>2429.35</v>
      </c>
      <c r="C88" s="25">
        <v>3.0800000000000001E-2</v>
      </c>
      <c r="E88" s="13">
        <v>11134.3</v>
      </c>
      <c r="F88" s="25">
        <v>4.4999999999999997E-3</v>
      </c>
    </row>
    <row r="89" spans="1:6">
      <c r="A89" t="s">
        <v>261</v>
      </c>
      <c r="B89" s="13">
        <v>2356.75</v>
      </c>
      <c r="C89" s="25">
        <v>3.78E-2</v>
      </c>
      <c r="E89" s="13">
        <v>11084.75</v>
      </c>
      <c r="F89" s="25">
        <v>6.7999999999999996E-3</v>
      </c>
    </row>
    <row r="90" spans="1:6">
      <c r="A90" t="s">
        <v>262</v>
      </c>
      <c r="B90" s="13">
        <v>2270.9499999999998</v>
      </c>
      <c r="C90" s="25">
        <v>-3.8699999999999998E-2</v>
      </c>
      <c r="E90" s="13">
        <v>11010.2</v>
      </c>
      <c r="F90" s="25">
        <v>4.7999999999999996E-3</v>
      </c>
    </row>
    <row r="91" spans="1:6">
      <c r="A91" t="s">
        <v>263</v>
      </c>
      <c r="B91" s="13">
        <v>2362.3000000000002</v>
      </c>
      <c r="C91" s="25">
        <v>0.05</v>
      </c>
      <c r="E91" s="13">
        <v>10957.1</v>
      </c>
      <c r="F91" s="25">
        <v>-2.0999999999999999E-3</v>
      </c>
    </row>
    <row r="92" spans="1:6">
      <c r="A92" t="s">
        <v>264</v>
      </c>
      <c r="B92" s="13">
        <v>2249.85</v>
      </c>
      <c r="C92" s="25">
        <v>-0.05</v>
      </c>
      <c r="E92" s="13">
        <v>10980.45</v>
      </c>
      <c r="F92" s="25">
        <v>-2.5000000000000001E-3</v>
      </c>
    </row>
    <row r="93" spans="1:6">
      <c r="A93" t="s">
        <v>265</v>
      </c>
      <c r="B93" s="13">
        <v>2368.25</v>
      </c>
      <c r="C93" s="25">
        <v>-0.05</v>
      </c>
      <c r="E93" s="13">
        <v>11008.05</v>
      </c>
      <c r="F93" s="25">
        <v>6.4999999999999997E-3</v>
      </c>
    </row>
    <row r="94" spans="1:6">
      <c r="A94" t="s">
        <v>266</v>
      </c>
      <c r="B94" s="13">
        <v>2492.85</v>
      </c>
      <c r="C94" s="25">
        <v>-0.05</v>
      </c>
      <c r="E94" s="13">
        <v>10936.85</v>
      </c>
      <c r="F94" s="25">
        <v>-7.4000000000000003E-3</v>
      </c>
    </row>
    <row r="95" spans="1:6">
      <c r="A95" t="s">
        <v>267</v>
      </c>
      <c r="B95" s="13">
        <v>2624.05</v>
      </c>
      <c r="C95" s="25">
        <v>-0.05</v>
      </c>
      <c r="E95" s="13">
        <v>11018.9</v>
      </c>
      <c r="F95" s="25">
        <v>-4.0000000000000002E-4</v>
      </c>
    </row>
    <row r="96" spans="1:6">
      <c r="A96" t="s">
        <v>268</v>
      </c>
      <c r="B96" s="13">
        <v>2762.15</v>
      </c>
      <c r="C96" s="25">
        <v>-0.05</v>
      </c>
      <c r="E96" s="13">
        <v>11023.2</v>
      </c>
      <c r="F96" s="25">
        <v>6.7999999999999996E-3</v>
      </c>
    </row>
    <row r="97" spans="1:6">
      <c r="A97" t="s">
        <v>269</v>
      </c>
      <c r="B97" s="13">
        <v>2907.5</v>
      </c>
      <c r="C97" s="25">
        <v>-0.05</v>
      </c>
      <c r="E97" s="13">
        <v>10948.3</v>
      </c>
      <c r="F97" s="25">
        <v>1E-4</v>
      </c>
    </row>
    <row r="98" spans="1:6">
      <c r="A98" t="s">
        <v>270</v>
      </c>
      <c r="B98" s="13">
        <v>3060.5</v>
      </c>
      <c r="C98" s="25">
        <v>-1.7100000000000001E-2</v>
      </c>
      <c r="E98" s="13">
        <v>10947.25</v>
      </c>
      <c r="F98" s="25">
        <v>8.6999999999999994E-3</v>
      </c>
    </row>
    <row r="99" spans="1:6">
      <c r="A99" t="s">
        <v>271</v>
      </c>
      <c r="B99" s="13">
        <v>3113.6</v>
      </c>
      <c r="C99" s="25">
        <v>0.107</v>
      </c>
      <c r="E99" s="13">
        <v>10852.9</v>
      </c>
      <c r="F99" s="25">
        <v>7.4000000000000003E-3</v>
      </c>
    </row>
    <row r="100" spans="1:6">
      <c r="A100" t="s">
        <v>272</v>
      </c>
      <c r="B100" s="13">
        <v>2812.55</v>
      </c>
      <c r="C100" s="25">
        <v>7.0599999999999996E-2</v>
      </c>
      <c r="E100" s="13">
        <v>10772.65</v>
      </c>
      <c r="F100" s="25">
        <v>2.0999999999999999E-3</v>
      </c>
    </row>
    <row r="101" spans="1:6">
      <c r="A101" t="s">
        <v>273</v>
      </c>
      <c r="B101" s="13">
        <v>2627</v>
      </c>
      <c r="C101" s="25">
        <v>4.65E-2</v>
      </c>
      <c r="E101" s="13">
        <v>10749.75</v>
      </c>
      <c r="F101" s="25">
        <v>-1.9E-3</v>
      </c>
    </row>
    <row r="102" spans="1:6">
      <c r="A102" t="s">
        <v>274</v>
      </c>
      <c r="B102" s="13">
        <v>2510.1999999999998</v>
      </c>
      <c r="C102" s="25">
        <v>1.2999999999999999E-2</v>
      </c>
      <c r="E102" s="13">
        <v>10769.9</v>
      </c>
      <c r="F102" s="25">
        <v>6.4999999999999997E-3</v>
      </c>
    </row>
    <row r="103" spans="1:6">
      <c r="A103" t="s">
        <v>275</v>
      </c>
      <c r="B103" s="13">
        <v>2478.1</v>
      </c>
      <c r="C103" s="25">
        <v>-6.8999999999999999E-3</v>
      </c>
      <c r="E103" s="13">
        <v>10699.9</v>
      </c>
      <c r="F103" s="25">
        <v>4.0000000000000001E-3</v>
      </c>
    </row>
    <row r="104" spans="1:6">
      <c r="A104" t="s">
        <v>276</v>
      </c>
      <c r="B104" s="13">
        <v>2495.1999999999998</v>
      </c>
      <c r="C104" s="25">
        <v>5.4999999999999997E-3</v>
      </c>
      <c r="E104" s="13">
        <v>10657.3</v>
      </c>
      <c r="F104" s="25">
        <v>-5.3E-3</v>
      </c>
    </row>
    <row r="105" spans="1:6">
      <c r="A105" t="s">
        <v>277</v>
      </c>
      <c r="B105" s="13">
        <v>2481.6</v>
      </c>
      <c r="C105" s="25">
        <v>5.0900000000000001E-2</v>
      </c>
      <c r="E105" s="13">
        <v>10714.3</v>
      </c>
      <c r="F105" s="25">
        <v>1.18E-2</v>
      </c>
    </row>
    <row r="106" spans="1:6">
      <c r="A106" t="s">
        <v>278</v>
      </c>
      <c r="B106" s="13">
        <v>2361.35</v>
      </c>
      <c r="C106" s="25">
        <v>-7.2900000000000006E-2</v>
      </c>
      <c r="E106" s="13">
        <v>10589.1</v>
      </c>
      <c r="F106" s="25">
        <v>-7.7000000000000002E-3</v>
      </c>
    </row>
    <row r="107" spans="1:6">
      <c r="A107" t="s">
        <v>279</v>
      </c>
      <c r="B107" s="13">
        <v>2546.9499999999998</v>
      </c>
      <c r="C107" s="25">
        <v>-3.0200000000000001E-2</v>
      </c>
      <c r="E107" s="13">
        <v>10671.4</v>
      </c>
      <c r="F107" s="25">
        <v>-9.1000000000000004E-3</v>
      </c>
    </row>
    <row r="108" spans="1:6">
      <c r="A108" t="s">
        <v>280</v>
      </c>
      <c r="B108" s="13">
        <v>2626.35</v>
      </c>
      <c r="C108" s="25">
        <v>8.8999999999999999E-3</v>
      </c>
      <c r="E108" s="13">
        <v>10769.15</v>
      </c>
      <c r="F108" s="25">
        <v>5.9999999999999995E-4</v>
      </c>
    </row>
    <row r="109" spans="1:6">
      <c r="A109" t="s">
        <v>281</v>
      </c>
      <c r="B109" s="13">
        <v>2603.3000000000002</v>
      </c>
      <c r="C109" s="25">
        <v>-5.3E-3</v>
      </c>
      <c r="E109" s="13">
        <v>10762.45</v>
      </c>
      <c r="F109" s="25">
        <v>-5.4999999999999997E-3</v>
      </c>
    </row>
    <row r="110" spans="1:6">
      <c r="A110" t="s">
        <v>282</v>
      </c>
      <c r="B110" s="13">
        <v>2617.1</v>
      </c>
      <c r="C110" s="25">
        <v>7.4999999999999997E-3</v>
      </c>
      <c r="E110" s="13">
        <v>10821.85</v>
      </c>
      <c r="F110" s="25">
        <v>7.4999999999999997E-3</v>
      </c>
    </row>
    <row r="111" spans="1:6">
      <c r="A111" t="s">
        <v>283</v>
      </c>
      <c r="B111" s="13">
        <v>2597.6</v>
      </c>
      <c r="C111" s="25">
        <v>2.3999999999999998E-3</v>
      </c>
      <c r="E111" s="13">
        <v>10741.1</v>
      </c>
      <c r="F111" s="25">
        <v>-2.8999999999999998E-3</v>
      </c>
    </row>
    <row r="112" spans="1:6">
      <c r="A112" t="s">
        <v>284</v>
      </c>
      <c r="B112" s="13">
        <v>2591.4</v>
      </c>
      <c r="C112" s="25">
        <v>2.1399999999999999E-2</v>
      </c>
      <c r="E112" s="13">
        <v>10772.05</v>
      </c>
      <c r="F112" s="25">
        <v>5.7999999999999996E-3</v>
      </c>
    </row>
    <row r="113" spans="1:6">
      <c r="A113" t="s">
        <v>285</v>
      </c>
      <c r="B113" s="13">
        <v>2537.15</v>
      </c>
      <c r="C113" s="25">
        <v>5.6399999999999999E-2</v>
      </c>
      <c r="E113" s="13">
        <v>10710.45</v>
      </c>
      <c r="F113" s="25">
        <v>-8.3000000000000001E-3</v>
      </c>
    </row>
    <row r="114" spans="1:6">
      <c r="A114" t="s">
        <v>286</v>
      </c>
      <c r="B114" s="13">
        <v>2401.65</v>
      </c>
      <c r="C114" s="25">
        <v>1.6999999999999999E-3</v>
      </c>
      <c r="E114" s="13">
        <v>10799.85</v>
      </c>
      <c r="F114" s="25">
        <v>-1.6999999999999999E-3</v>
      </c>
    </row>
    <row r="115" spans="1:6">
      <c r="A115" t="s">
        <v>287</v>
      </c>
      <c r="B115" s="13">
        <v>2397.65</v>
      </c>
      <c r="C115" s="25">
        <v>4.5999999999999999E-3</v>
      </c>
      <c r="E115" s="13">
        <v>10817.7</v>
      </c>
      <c r="F115" s="25">
        <v>8.9999999999999998E-4</v>
      </c>
    </row>
    <row r="116" spans="1:6">
      <c r="A116" t="s">
        <v>288</v>
      </c>
      <c r="B116" s="13">
        <v>2386.65</v>
      </c>
      <c r="C116" s="25">
        <v>-5.0000000000000001E-4</v>
      </c>
      <c r="E116" s="13">
        <v>10808.05</v>
      </c>
      <c r="F116" s="25">
        <v>-4.4999999999999997E-3</v>
      </c>
    </row>
    <row r="117" spans="1:6">
      <c r="A117" t="s">
        <v>289</v>
      </c>
      <c r="B117" s="13">
        <v>2387.8000000000002</v>
      </c>
      <c r="C117" s="25">
        <v>-1.06E-2</v>
      </c>
      <c r="E117" s="13">
        <v>10856.7</v>
      </c>
      <c r="F117" s="25">
        <v>1.2999999999999999E-3</v>
      </c>
    </row>
    <row r="118" spans="1:6">
      <c r="A118" t="s">
        <v>290</v>
      </c>
      <c r="B118" s="13">
        <v>2413.4</v>
      </c>
      <c r="C118" s="25">
        <v>1.44E-2</v>
      </c>
      <c r="E118" s="13">
        <v>10842.85</v>
      </c>
      <c r="F118" s="25">
        <v>5.1999999999999998E-3</v>
      </c>
    </row>
    <row r="119" spans="1:6">
      <c r="A119" t="s">
        <v>291</v>
      </c>
      <c r="B119" s="13">
        <v>2379.15</v>
      </c>
      <c r="C119" s="25">
        <v>-5.7000000000000002E-3</v>
      </c>
      <c r="E119" s="13">
        <v>10786.95</v>
      </c>
      <c r="F119" s="25">
        <v>1.8E-3</v>
      </c>
    </row>
    <row r="120" spans="1:6">
      <c r="A120" t="s">
        <v>292</v>
      </c>
      <c r="B120" s="13">
        <v>2392.75</v>
      </c>
      <c r="C120" s="25">
        <v>9.5999999999999992E-3</v>
      </c>
      <c r="E120" s="13">
        <v>10767.65</v>
      </c>
      <c r="F120" s="25">
        <v>-1E-4</v>
      </c>
    </row>
    <row r="121" spans="1:6">
      <c r="A121" t="s">
        <v>293</v>
      </c>
      <c r="B121" s="13">
        <v>2369.9499999999998</v>
      </c>
      <c r="C121" s="25">
        <v>0.1489</v>
      </c>
      <c r="E121" s="13">
        <v>10768.35</v>
      </c>
      <c r="F121" s="25">
        <v>7.7999999999999996E-3</v>
      </c>
    </row>
    <row r="122" spans="1:6">
      <c r="A122" t="s">
        <v>294</v>
      </c>
      <c r="B122" s="13">
        <v>2062.75</v>
      </c>
      <c r="C122" s="25">
        <v>1.09E-2</v>
      </c>
      <c r="E122" s="13">
        <v>10684.65</v>
      </c>
      <c r="F122" s="25">
        <v>8.6E-3</v>
      </c>
    </row>
    <row r="123" spans="1:6">
      <c r="A123" t="s">
        <v>295</v>
      </c>
      <c r="B123" s="13">
        <v>2040.6</v>
      </c>
      <c r="C123" s="25">
        <v>-7.6300000000000007E-2</v>
      </c>
      <c r="E123" s="13">
        <v>10593.15</v>
      </c>
      <c r="F123" s="25">
        <v>-3.3E-3</v>
      </c>
    </row>
    <row r="124" spans="1:6">
      <c r="A124" t="s">
        <v>296</v>
      </c>
      <c r="B124" s="13">
        <v>2209.15</v>
      </c>
      <c r="C124" s="25">
        <v>-3.6700000000000003E-2</v>
      </c>
      <c r="E124" s="13">
        <v>10628.5</v>
      </c>
      <c r="F124" s="25">
        <v>-6.3E-3</v>
      </c>
    </row>
    <row r="125" spans="1:6">
      <c r="A125" t="s">
        <v>297</v>
      </c>
      <c r="B125" s="13">
        <v>2293.1999999999998</v>
      </c>
      <c r="C125" s="25">
        <v>-4.5600000000000002E-2</v>
      </c>
      <c r="E125" s="13">
        <v>10696.2</v>
      </c>
      <c r="F125" s="25">
        <v>-3.7000000000000002E-3</v>
      </c>
    </row>
    <row r="126" spans="1:6">
      <c r="A126" t="s">
        <v>298</v>
      </c>
      <c r="B126" s="13">
        <v>2402.85</v>
      </c>
      <c r="C126" s="25">
        <v>1.6899999999999998E-2</v>
      </c>
      <c r="E126" s="13">
        <v>10736.15</v>
      </c>
      <c r="F126" s="25">
        <v>1.15E-2</v>
      </c>
    </row>
    <row r="127" spans="1:6">
      <c r="A127" t="s">
        <v>299</v>
      </c>
      <c r="B127" s="13">
        <v>2362.9499999999998</v>
      </c>
      <c r="C127" s="25">
        <v>4.4000000000000003E-3</v>
      </c>
      <c r="E127" s="13">
        <v>10614.35</v>
      </c>
      <c r="F127" s="25">
        <v>-1.8E-3</v>
      </c>
    </row>
    <row r="128" spans="1:6">
      <c r="A128" t="s">
        <v>300</v>
      </c>
      <c r="B128" s="13">
        <v>2352.6</v>
      </c>
      <c r="C128" s="25">
        <v>-1.2200000000000001E-2</v>
      </c>
      <c r="E128" s="13">
        <v>10633.3</v>
      </c>
      <c r="F128" s="25">
        <v>-5.1999999999999998E-3</v>
      </c>
    </row>
    <row r="129" spans="1:6">
      <c r="A129" t="s">
        <v>301</v>
      </c>
      <c r="B129" s="13">
        <v>2381.5500000000002</v>
      </c>
      <c r="C129" s="25">
        <v>2.9399999999999999E-2</v>
      </c>
      <c r="E129" s="13">
        <v>10688.65</v>
      </c>
      <c r="F129" s="25">
        <v>7.9000000000000008E-3</v>
      </c>
    </row>
    <row r="130" spans="1:6">
      <c r="A130" t="s">
        <v>302</v>
      </c>
      <c r="B130" s="13">
        <v>2313.6</v>
      </c>
      <c r="C130" s="25">
        <v>-7.1000000000000004E-3</v>
      </c>
      <c r="E130" s="13">
        <v>10605.15</v>
      </c>
      <c r="F130" s="25">
        <v>8.6999999999999994E-3</v>
      </c>
    </row>
    <row r="131" spans="1:6">
      <c r="A131" t="s">
        <v>303</v>
      </c>
      <c r="B131" s="13">
        <v>2330.25</v>
      </c>
      <c r="C131" s="25">
        <v>2.47E-2</v>
      </c>
      <c r="E131" s="13">
        <v>10513.85</v>
      </c>
      <c r="F131" s="25">
        <v>8.0000000000000002E-3</v>
      </c>
    </row>
    <row r="132" spans="1:6">
      <c r="A132" t="s">
        <v>304</v>
      </c>
      <c r="B132" s="13">
        <v>2274.0500000000002</v>
      </c>
      <c r="C132" s="25">
        <v>-2.3800000000000002E-2</v>
      </c>
      <c r="E132" s="13">
        <v>10430.35</v>
      </c>
      <c r="F132" s="25">
        <v>-1.01E-2</v>
      </c>
    </row>
    <row r="133" spans="1:6">
      <c r="A133" t="s">
        <v>305</v>
      </c>
      <c r="B133" s="13">
        <v>2329.6</v>
      </c>
      <c r="C133" s="25">
        <v>2.01E-2</v>
      </c>
      <c r="E133" s="13">
        <v>10536.7</v>
      </c>
      <c r="F133" s="25">
        <v>1.9E-3</v>
      </c>
    </row>
    <row r="134" spans="1:6">
      <c r="A134" t="s">
        <v>306</v>
      </c>
      <c r="B134" s="13">
        <v>2283.6999999999998</v>
      </c>
      <c r="C134" s="25">
        <v>-1.2800000000000001E-2</v>
      </c>
      <c r="E134" s="13">
        <v>10516.7</v>
      </c>
      <c r="F134" s="25">
        <v>-7.4999999999999997E-3</v>
      </c>
    </row>
    <row r="135" spans="1:6">
      <c r="A135" t="s">
        <v>307</v>
      </c>
      <c r="B135" s="13">
        <v>2313.25</v>
      </c>
      <c r="C135" s="25">
        <v>-4.3299999999999998E-2</v>
      </c>
      <c r="E135" s="13">
        <v>10596.4</v>
      </c>
      <c r="F135" s="25">
        <v>-8.0999999999999996E-3</v>
      </c>
    </row>
    <row r="136" spans="1:6">
      <c r="A136" t="s">
        <v>308</v>
      </c>
      <c r="B136" s="13">
        <v>2417.9</v>
      </c>
      <c r="C136" s="25">
        <v>-2.8000000000000001E-2</v>
      </c>
      <c r="E136" s="13">
        <v>10682.7</v>
      </c>
      <c r="F136" s="25">
        <v>-5.4000000000000003E-3</v>
      </c>
    </row>
    <row r="137" spans="1:6">
      <c r="A137" t="s">
        <v>309</v>
      </c>
      <c r="B137" s="13">
        <v>2487.65</v>
      </c>
      <c r="C137" s="25">
        <v>7.5899999999999995E-2</v>
      </c>
      <c r="E137" s="13">
        <v>10741.1</v>
      </c>
      <c r="F137" s="25">
        <v>-5.5999999999999999E-3</v>
      </c>
    </row>
    <row r="138" spans="1:6">
      <c r="A138" t="s">
        <v>310</v>
      </c>
      <c r="B138" s="13">
        <v>2312.25</v>
      </c>
      <c r="C138" s="25">
        <v>8.9399999999999993E-2</v>
      </c>
      <c r="E138" s="13">
        <v>10801.85</v>
      </c>
      <c r="F138" s="25">
        <v>-4.0000000000000002E-4</v>
      </c>
    </row>
    <row r="139" spans="1:6">
      <c r="A139" t="s">
        <v>311</v>
      </c>
      <c r="B139" s="13">
        <v>2122.5500000000002</v>
      </c>
      <c r="C139" s="25">
        <v>-5.5999999999999999E-3</v>
      </c>
      <c r="E139" s="13">
        <v>10806.6</v>
      </c>
      <c r="F139" s="25">
        <v>0</v>
      </c>
    </row>
    <row r="140" spans="1:6">
      <c r="A140" t="s">
        <v>312</v>
      </c>
      <c r="B140" s="13">
        <v>2134.6</v>
      </c>
      <c r="C140" s="25">
        <v>-1.6999999999999999E-3</v>
      </c>
      <c r="E140" s="13">
        <v>10806.5</v>
      </c>
      <c r="F140" s="25">
        <v>8.3999999999999995E-3</v>
      </c>
    </row>
    <row r="141" spans="1:6">
      <c r="A141" t="s">
        <v>313</v>
      </c>
      <c r="B141" s="13">
        <v>2138.3000000000002</v>
      </c>
      <c r="C141" s="25">
        <v>-2.0999999999999999E-3</v>
      </c>
      <c r="E141" s="13">
        <v>10716.55</v>
      </c>
      <c r="F141" s="25">
        <v>-2.3E-3</v>
      </c>
    </row>
    <row r="142" spans="1:6">
      <c r="A142" t="s">
        <v>314</v>
      </c>
      <c r="B142" s="13">
        <v>2142.9</v>
      </c>
      <c r="C142" s="25">
        <v>3.5000000000000001E-3</v>
      </c>
      <c r="E142" s="13">
        <v>10741.7</v>
      </c>
      <c r="F142" s="25">
        <v>2.2000000000000001E-3</v>
      </c>
    </row>
    <row r="143" spans="1:6">
      <c r="A143" t="s">
        <v>315</v>
      </c>
      <c r="B143" s="13">
        <v>2135.35</v>
      </c>
      <c r="C143" s="25">
        <v>4.0500000000000001E-2</v>
      </c>
      <c r="E143" s="13">
        <v>10717.8</v>
      </c>
      <c r="F143" s="25">
        <v>2.0000000000000001E-4</v>
      </c>
    </row>
    <row r="144" spans="1:6">
      <c r="A144" t="s">
        <v>316</v>
      </c>
      <c r="B144" s="13">
        <v>2052.25</v>
      </c>
      <c r="C144" s="25">
        <v>2.52E-2</v>
      </c>
      <c r="E144" s="13">
        <v>10715.5</v>
      </c>
      <c r="F144" s="25">
        <v>9.1999999999999998E-3</v>
      </c>
    </row>
    <row r="145" spans="1:6">
      <c r="A145" t="s">
        <v>317</v>
      </c>
      <c r="B145" s="13">
        <v>2001.8</v>
      </c>
      <c r="C145" s="25">
        <v>1.1599999999999999E-2</v>
      </c>
      <c r="E145" s="13">
        <v>10618.25</v>
      </c>
      <c r="F145" s="25">
        <v>-5.7000000000000002E-3</v>
      </c>
    </row>
    <row r="146" spans="1:6">
      <c r="A146" t="s">
        <v>318</v>
      </c>
      <c r="B146" s="13">
        <v>1978.85</v>
      </c>
      <c r="C146" s="25">
        <v>-2.01E-2</v>
      </c>
      <c r="E146" s="13">
        <v>10679.65</v>
      </c>
      <c r="F146" s="25">
        <v>-3.5999999999999999E-3</v>
      </c>
    </row>
    <row r="147" spans="1:6">
      <c r="A147" t="s">
        <v>319</v>
      </c>
      <c r="B147" s="13">
        <v>2019.5</v>
      </c>
      <c r="C147" s="25">
        <v>-3.2199999999999999E-2</v>
      </c>
      <c r="E147" s="13">
        <v>10718.05</v>
      </c>
      <c r="F147" s="25">
        <v>-2E-3</v>
      </c>
    </row>
    <row r="148" spans="1:6">
      <c r="A148" t="s">
        <v>320</v>
      </c>
      <c r="B148" s="13">
        <v>2086.75</v>
      </c>
      <c r="C148" s="25">
        <v>-1.34E-2</v>
      </c>
      <c r="E148" s="13">
        <v>10739.35</v>
      </c>
      <c r="F148" s="25">
        <v>4.4000000000000003E-3</v>
      </c>
    </row>
    <row r="149" spans="1:6">
      <c r="A149" t="s">
        <v>321</v>
      </c>
      <c r="B149" s="13">
        <v>2115.15</v>
      </c>
      <c r="C149" s="25">
        <v>-1.2999999999999999E-3</v>
      </c>
      <c r="E149" s="13">
        <v>10692.3</v>
      </c>
      <c r="F149" s="25">
        <v>7.0000000000000001E-3</v>
      </c>
    </row>
    <row r="150" spans="1:6">
      <c r="A150" t="s">
        <v>322</v>
      </c>
      <c r="B150" s="13">
        <v>2118</v>
      </c>
      <c r="C150" s="25">
        <v>1.2699999999999999E-2</v>
      </c>
      <c r="E150" s="13">
        <v>10617.8</v>
      </c>
      <c r="F150" s="25">
        <v>4.4999999999999997E-3</v>
      </c>
    </row>
    <row r="151" spans="1:6">
      <c r="A151" t="s">
        <v>323</v>
      </c>
      <c r="B151" s="13">
        <v>2091.4</v>
      </c>
      <c r="C151" s="25">
        <v>4.0000000000000002E-4</v>
      </c>
      <c r="E151" s="13">
        <v>10570.55</v>
      </c>
      <c r="F151" s="25">
        <v>-4.1000000000000003E-3</v>
      </c>
    </row>
    <row r="152" spans="1:6">
      <c r="A152" t="s">
        <v>324</v>
      </c>
      <c r="B152" s="13">
        <v>2090.6</v>
      </c>
      <c r="C152" s="25">
        <v>-8.3999999999999995E-3</v>
      </c>
      <c r="E152" s="13">
        <v>10614.35</v>
      </c>
      <c r="F152" s="25">
        <v>2.8E-3</v>
      </c>
    </row>
    <row r="153" spans="1:6">
      <c r="A153" t="s">
        <v>325</v>
      </c>
      <c r="B153" s="13">
        <v>2108.25</v>
      </c>
      <c r="C153" s="25">
        <v>-2.3300000000000001E-2</v>
      </c>
      <c r="E153" s="13">
        <v>10584.7</v>
      </c>
      <c r="F153" s="25">
        <v>2E-3</v>
      </c>
    </row>
    <row r="154" spans="1:6">
      <c r="A154" t="s">
        <v>326</v>
      </c>
      <c r="B154" s="13">
        <v>2158.5</v>
      </c>
      <c r="C154" s="25">
        <v>1.0699999999999999E-2</v>
      </c>
      <c r="E154" s="13">
        <v>10564.05</v>
      </c>
      <c r="F154" s="25">
        <v>-1E-4</v>
      </c>
    </row>
    <row r="155" spans="1:6">
      <c r="A155" t="s">
        <v>327</v>
      </c>
      <c r="B155" s="13">
        <v>2135.65</v>
      </c>
      <c r="C155" s="25">
        <v>1.77E-2</v>
      </c>
      <c r="E155" s="13">
        <v>10565.3</v>
      </c>
      <c r="F155" s="25">
        <v>3.7000000000000002E-3</v>
      </c>
    </row>
    <row r="156" spans="1:6">
      <c r="A156" t="s">
        <v>328</v>
      </c>
      <c r="B156" s="13">
        <v>2098.5500000000002</v>
      </c>
      <c r="C156" s="25">
        <v>6.7999999999999996E-3</v>
      </c>
      <c r="E156" s="13">
        <v>10526.2</v>
      </c>
      <c r="F156" s="25">
        <v>-2.0999999999999999E-3</v>
      </c>
    </row>
    <row r="157" spans="1:6">
      <c r="A157" t="s">
        <v>329</v>
      </c>
      <c r="B157" s="13">
        <v>2084.4</v>
      </c>
      <c r="C157" s="25">
        <v>-1.8599999999999998E-2</v>
      </c>
      <c r="E157" s="13">
        <v>10548.7</v>
      </c>
      <c r="F157" s="25">
        <v>1.9E-3</v>
      </c>
    </row>
    <row r="158" spans="1:6">
      <c r="A158" t="s">
        <v>330</v>
      </c>
      <c r="B158" s="13">
        <v>2123.8000000000002</v>
      </c>
      <c r="C158" s="25">
        <v>-5.9999999999999995E-4</v>
      </c>
      <c r="E158" s="13">
        <v>10528.35</v>
      </c>
      <c r="F158" s="25">
        <v>4.5999999999999999E-3</v>
      </c>
    </row>
    <row r="159" spans="1:6">
      <c r="A159" t="s">
        <v>331</v>
      </c>
      <c r="B159" s="13">
        <v>2125.1</v>
      </c>
      <c r="C159" s="25">
        <v>0.01</v>
      </c>
      <c r="E159" s="13">
        <v>10480.6</v>
      </c>
      <c r="F159" s="25">
        <v>2.0999999999999999E-3</v>
      </c>
    </row>
    <row r="160" spans="1:6">
      <c r="A160" t="s">
        <v>332</v>
      </c>
      <c r="B160" s="13">
        <v>2104</v>
      </c>
      <c r="C160" s="25">
        <v>-4.1399999999999999E-2</v>
      </c>
      <c r="E160" s="13">
        <v>10458.65</v>
      </c>
      <c r="F160" s="25">
        <v>4.0000000000000001E-3</v>
      </c>
    </row>
    <row r="161" spans="1:6">
      <c r="A161" t="s">
        <v>333</v>
      </c>
      <c r="B161" s="13">
        <v>2194.9</v>
      </c>
      <c r="C161" s="25">
        <v>5.1000000000000004E-3</v>
      </c>
      <c r="E161" s="13">
        <v>10417.15</v>
      </c>
      <c r="F161" s="25">
        <v>1.4E-3</v>
      </c>
    </row>
    <row r="162" spans="1:6">
      <c r="A162" t="s">
        <v>334</v>
      </c>
      <c r="B162" s="13">
        <v>2183.85</v>
      </c>
      <c r="C162" s="25">
        <v>-1.1000000000000001E-3</v>
      </c>
      <c r="E162" s="13">
        <v>10402.25</v>
      </c>
      <c r="F162" s="25">
        <v>2.2000000000000001E-3</v>
      </c>
    </row>
    <row r="163" spans="1:6">
      <c r="A163" t="s">
        <v>335</v>
      </c>
      <c r="B163" s="13">
        <v>2186.3000000000002</v>
      </c>
      <c r="C163" s="25">
        <v>-2.7000000000000001E-3</v>
      </c>
      <c r="E163" s="13">
        <v>10379.35</v>
      </c>
      <c r="F163" s="25">
        <v>4.5999999999999999E-3</v>
      </c>
    </row>
    <row r="164" spans="1:6">
      <c r="A164" t="s">
        <v>336</v>
      </c>
      <c r="B164" s="13">
        <v>2192.15</v>
      </c>
      <c r="C164" s="25">
        <v>-3.0000000000000001E-3</v>
      </c>
      <c r="E164" s="13">
        <v>10331.6</v>
      </c>
      <c r="F164" s="25">
        <v>5.9999999999999995E-4</v>
      </c>
    </row>
    <row r="165" spans="1:6">
      <c r="A165" t="s">
        <v>337</v>
      </c>
      <c r="B165" s="13">
        <v>2198.75</v>
      </c>
      <c r="C165" s="25">
        <v>1.9099999999999999E-2</v>
      </c>
      <c r="E165" s="13">
        <v>10325.15</v>
      </c>
      <c r="F165" s="25">
        <v>1.9400000000000001E-2</v>
      </c>
    </row>
    <row r="166" spans="1:6">
      <c r="A166" t="s">
        <v>338</v>
      </c>
      <c r="B166" s="13">
        <v>2157.6</v>
      </c>
      <c r="C166" s="25">
        <v>0.11210000000000001</v>
      </c>
      <c r="E166" s="13">
        <v>10128.4</v>
      </c>
      <c r="F166" s="25">
        <v>-1.14E-2</v>
      </c>
    </row>
    <row r="167" spans="1:6">
      <c r="A167" t="s">
        <v>339</v>
      </c>
      <c r="B167" s="13">
        <v>1940.1</v>
      </c>
      <c r="C167" s="25">
        <v>1.0999999999999999E-2</v>
      </c>
      <c r="E167" s="13">
        <v>10245</v>
      </c>
      <c r="F167" s="25">
        <v>3.3E-3</v>
      </c>
    </row>
    <row r="168" spans="1:6">
      <c r="A168" t="s">
        <v>340</v>
      </c>
      <c r="B168" s="13">
        <v>1918.95</v>
      </c>
      <c r="C168" s="25">
        <v>1.01E-2</v>
      </c>
      <c r="E168" s="13">
        <v>10211.799999999999</v>
      </c>
      <c r="F168" s="25">
        <v>9.7000000000000003E-3</v>
      </c>
    </row>
    <row r="169" spans="1:6">
      <c r="A169" t="s">
        <v>341</v>
      </c>
      <c r="B169" s="13">
        <v>1899.75</v>
      </c>
      <c r="C169" s="25">
        <v>-2.1399999999999999E-2</v>
      </c>
      <c r="E169" s="13">
        <v>10113.700000000001</v>
      </c>
      <c r="F169" s="25">
        <v>-6.8999999999999999E-3</v>
      </c>
    </row>
    <row r="170" spans="1:6">
      <c r="A170" t="s">
        <v>342</v>
      </c>
      <c r="B170" s="13">
        <v>1941.3</v>
      </c>
      <c r="C170" s="25">
        <v>2.7099999999999999E-2</v>
      </c>
      <c r="E170" s="13">
        <v>10184.15</v>
      </c>
      <c r="F170" s="25">
        <v>5.3E-3</v>
      </c>
    </row>
    <row r="171" spans="1:6">
      <c r="A171" t="s">
        <v>343</v>
      </c>
      <c r="B171" s="13">
        <v>1890.1</v>
      </c>
      <c r="C171" s="25">
        <v>-4.7999999999999996E-3</v>
      </c>
      <c r="E171" s="13">
        <v>10130.65</v>
      </c>
      <c r="F171" s="25">
        <v>1.3299999999999999E-2</v>
      </c>
    </row>
    <row r="172" spans="1:6">
      <c r="A172" t="s">
        <v>344</v>
      </c>
      <c r="B172" s="13">
        <v>1899.15</v>
      </c>
      <c r="C172" s="25">
        <v>5.7000000000000002E-3</v>
      </c>
      <c r="E172" s="13">
        <v>9998.0499999999993</v>
      </c>
      <c r="F172" s="25">
        <v>-1.15E-2</v>
      </c>
    </row>
    <row r="173" spans="1:6">
      <c r="A173" t="s">
        <v>345</v>
      </c>
      <c r="B173" s="13">
        <v>1888.35</v>
      </c>
      <c r="C173" s="25">
        <v>-3.0999999999999999E-3</v>
      </c>
      <c r="E173" s="13">
        <v>10114.75</v>
      </c>
      <c r="F173" s="25">
        <v>-4.0000000000000001E-3</v>
      </c>
    </row>
    <row r="174" spans="1:6">
      <c r="A174" t="s">
        <v>346</v>
      </c>
      <c r="B174" s="13">
        <v>1894.15</v>
      </c>
      <c r="C174" s="25">
        <v>2.1100000000000001E-2</v>
      </c>
      <c r="E174" s="13">
        <v>10155.25</v>
      </c>
      <c r="F174" s="25">
        <v>3.0999999999999999E-3</v>
      </c>
    </row>
    <row r="175" spans="1:6">
      <c r="A175" t="s">
        <v>347</v>
      </c>
      <c r="B175" s="13">
        <v>1855.1</v>
      </c>
      <c r="C175" s="25">
        <v>-2.2200000000000001E-2</v>
      </c>
      <c r="E175" s="13">
        <v>10124.35</v>
      </c>
      <c r="F175" s="25">
        <v>3.0000000000000001E-3</v>
      </c>
    </row>
    <row r="176" spans="1:6">
      <c r="A176" t="s">
        <v>348</v>
      </c>
      <c r="B176" s="13">
        <v>1897.25</v>
      </c>
      <c r="C176" s="25">
        <v>8.8000000000000005E-3</v>
      </c>
      <c r="E176" s="13">
        <v>10094.25</v>
      </c>
      <c r="F176" s="25">
        <v>-9.9000000000000008E-3</v>
      </c>
    </row>
    <row r="177" spans="1:6">
      <c r="A177" t="s">
        <v>349</v>
      </c>
      <c r="B177" s="13">
        <v>1880.65</v>
      </c>
      <c r="C177" s="25">
        <v>-2.5499999999999998E-2</v>
      </c>
      <c r="E177" s="13">
        <v>10195.15</v>
      </c>
      <c r="F177" s="25">
        <v>-1.5900000000000001E-2</v>
      </c>
    </row>
    <row r="178" spans="1:6">
      <c r="A178" t="s">
        <v>350</v>
      </c>
      <c r="B178" s="13">
        <v>1929.9</v>
      </c>
      <c r="C178" s="25">
        <v>4.5100000000000001E-2</v>
      </c>
      <c r="E178" s="13">
        <v>10360.15</v>
      </c>
      <c r="F178" s="25">
        <v>-4.8999999999999998E-3</v>
      </c>
    </row>
    <row r="179" spans="1:6">
      <c r="A179" t="s">
        <v>351</v>
      </c>
      <c r="B179" s="13">
        <v>1846.7</v>
      </c>
      <c r="C179" s="25">
        <v>-4.41E-2</v>
      </c>
      <c r="E179" s="13">
        <v>10410.9</v>
      </c>
      <c r="F179" s="25">
        <v>-1.5E-3</v>
      </c>
    </row>
    <row r="180" spans="1:6">
      <c r="A180" t="s">
        <v>352</v>
      </c>
      <c r="B180" s="13">
        <v>1931.95</v>
      </c>
      <c r="C180" s="25">
        <v>1.23E-2</v>
      </c>
      <c r="E180" s="13">
        <v>10426.85</v>
      </c>
      <c r="F180" s="25">
        <v>5.0000000000000001E-4</v>
      </c>
    </row>
    <row r="181" spans="1:6">
      <c r="A181" t="s">
        <v>353</v>
      </c>
      <c r="B181" s="13">
        <v>1908.4</v>
      </c>
      <c r="C181" s="25">
        <v>-4.5999999999999999E-3</v>
      </c>
      <c r="E181" s="13">
        <v>10421.4</v>
      </c>
      <c r="F181" s="25">
        <v>1.9E-2</v>
      </c>
    </row>
    <row r="182" spans="1:6">
      <c r="A182" t="s">
        <v>354</v>
      </c>
      <c r="B182" s="13">
        <v>1917.25</v>
      </c>
      <c r="C182" s="25">
        <v>-1.5900000000000001E-2</v>
      </c>
      <c r="E182" s="13">
        <v>10226.85</v>
      </c>
      <c r="F182" s="25">
        <v>-1.5E-3</v>
      </c>
    </row>
    <row r="183" spans="1:6">
      <c r="A183" t="s">
        <v>355</v>
      </c>
      <c r="B183" s="13">
        <v>1948.2</v>
      </c>
      <c r="C183" s="25">
        <v>2.06E-2</v>
      </c>
      <c r="E183" s="13">
        <v>10242.65</v>
      </c>
      <c r="F183" s="25">
        <v>8.6999999999999994E-3</v>
      </c>
    </row>
    <row r="184" spans="1:6">
      <c r="A184" t="s">
        <v>356</v>
      </c>
      <c r="B184" s="13">
        <v>1908.8</v>
      </c>
      <c r="C184" s="25">
        <v>4.1200000000000001E-2</v>
      </c>
      <c r="E184" s="13">
        <v>10154.200000000001</v>
      </c>
      <c r="F184" s="25">
        <v>-9.2999999999999992E-3</v>
      </c>
    </row>
    <row r="185" spans="1:6">
      <c r="A185" t="s">
        <v>357</v>
      </c>
      <c r="B185" s="13">
        <v>1833.2</v>
      </c>
      <c r="C185" s="25">
        <v>1.7000000000000001E-2</v>
      </c>
      <c r="E185" s="13">
        <v>10249.25</v>
      </c>
      <c r="F185" s="25">
        <v>-1.06E-2</v>
      </c>
    </row>
    <row r="186" spans="1:6">
      <c r="A186" t="s">
        <v>358</v>
      </c>
      <c r="B186" s="13">
        <v>1802.6</v>
      </c>
      <c r="C186" s="25">
        <v>8.8499999999999995E-2</v>
      </c>
      <c r="E186" s="13">
        <v>10358.85</v>
      </c>
      <c r="F186" s="25">
        <v>-9.4999999999999998E-3</v>
      </c>
    </row>
    <row r="187" spans="1:6">
      <c r="A187" t="s">
        <v>359</v>
      </c>
      <c r="B187" s="13">
        <v>1656.1</v>
      </c>
      <c r="C187" s="25">
        <v>2.2700000000000001E-2</v>
      </c>
      <c r="E187" s="13">
        <v>10458.35</v>
      </c>
      <c r="F187" s="25">
        <v>-3.3E-3</v>
      </c>
    </row>
    <row r="188" spans="1:6">
      <c r="A188" t="s">
        <v>360</v>
      </c>
      <c r="B188" s="13">
        <v>1619.35</v>
      </c>
      <c r="C188" s="25">
        <v>1.77E-2</v>
      </c>
      <c r="E188" s="13">
        <v>10492.85</v>
      </c>
      <c r="F188" s="25">
        <v>-5.7999999999999996E-3</v>
      </c>
    </row>
    <row r="189" spans="1:6">
      <c r="A189" t="s">
        <v>361</v>
      </c>
      <c r="B189" s="13">
        <v>1591.25</v>
      </c>
      <c r="C189" s="25">
        <v>-3.5000000000000001E-3</v>
      </c>
      <c r="E189" s="13">
        <v>10554.3</v>
      </c>
      <c r="F189" s="25">
        <v>-2.7000000000000001E-3</v>
      </c>
    </row>
    <row r="190" spans="1:6">
      <c r="A190" t="s">
        <v>362</v>
      </c>
      <c r="B190" s="13">
        <v>1596.8</v>
      </c>
      <c r="C190" s="25">
        <v>-2.9999999999999997E-4</v>
      </c>
      <c r="E190" s="13">
        <v>10582.6</v>
      </c>
      <c r="F190" s="25">
        <v>8.6999999999999994E-3</v>
      </c>
    </row>
    <row r="191" spans="1:6">
      <c r="A191" t="s">
        <v>363</v>
      </c>
      <c r="B191" s="13">
        <v>1597.35</v>
      </c>
      <c r="C191" s="25">
        <v>3.04E-2</v>
      </c>
      <c r="E191" s="13">
        <v>10491.05</v>
      </c>
      <c r="F191" s="25">
        <v>1.04E-2</v>
      </c>
    </row>
    <row r="192" spans="1:6">
      <c r="A192" t="s">
        <v>364</v>
      </c>
      <c r="B192" s="13">
        <v>1550.25</v>
      </c>
      <c r="C192" s="25">
        <v>2.0000000000000001E-4</v>
      </c>
      <c r="E192" s="13">
        <v>10382.700000000001</v>
      </c>
      <c r="F192" s="25">
        <v>-1.4E-3</v>
      </c>
    </row>
    <row r="193" spans="1:6">
      <c r="A193" t="s">
        <v>365</v>
      </c>
      <c r="B193" s="13">
        <v>1549.9</v>
      </c>
      <c r="C193" s="25">
        <v>1.7299999999999999E-2</v>
      </c>
      <c r="E193" s="13">
        <v>10397.450000000001</v>
      </c>
      <c r="F193" s="25">
        <v>3.5999999999999999E-3</v>
      </c>
    </row>
    <row r="194" spans="1:6">
      <c r="A194" t="s">
        <v>366</v>
      </c>
      <c r="B194" s="13">
        <v>1523.6</v>
      </c>
      <c r="C194" s="25">
        <v>-6.4999999999999997E-3</v>
      </c>
      <c r="E194" s="13">
        <v>10360.4</v>
      </c>
      <c r="F194" s="25">
        <v>-1.6999999999999999E-3</v>
      </c>
    </row>
    <row r="195" spans="1:6">
      <c r="A195" t="s">
        <v>367</v>
      </c>
      <c r="B195" s="13">
        <v>1533.55</v>
      </c>
      <c r="C195" s="25">
        <v>-2.18E-2</v>
      </c>
      <c r="E195" s="13">
        <v>10378.4</v>
      </c>
      <c r="F195" s="25">
        <v>-7.1000000000000004E-3</v>
      </c>
    </row>
    <row r="196" spans="1:6">
      <c r="A196" t="s">
        <v>368</v>
      </c>
      <c r="B196" s="13">
        <v>1567.75</v>
      </c>
      <c r="C196" s="25">
        <v>-2.07E-2</v>
      </c>
      <c r="E196" s="13">
        <v>10452.299999999999</v>
      </c>
      <c r="F196" s="25">
        <v>-8.8000000000000005E-3</v>
      </c>
    </row>
    <row r="197" spans="1:6">
      <c r="A197" t="s">
        <v>369</v>
      </c>
      <c r="B197" s="13">
        <v>1600.9</v>
      </c>
      <c r="C197" s="25">
        <v>-1.5E-3</v>
      </c>
      <c r="E197" s="13">
        <v>10545.5</v>
      </c>
      <c r="F197" s="25">
        <v>4.1999999999999997E-3</v>
      </c>
    </row>
    <row r="198" spans="1:6">
      <c r="A198" t="s">
        <v>370</v>
      </c>
      <c r="B198" s="13">
        <v>1603.25</v>
      </c>
      <c r="C198" s="25">
        <v>3.6400000000000002E-2</v>
      </c>
      <c r="E198" s="13">
        <v>10500.9</v>
      </c>
      <c r="F198" s="25">
        <v>-3.7000000000000002E-3</v>
      </c>
    </row>
    <row r="199" spans="1:6">
      <c r="A199" t="s">
        <v>371</v>
      </c>
      <c r="B199" s="13">
        <v>1546.9</v>
      </c>
      <c r="C199" s="25">
        <v>2.3900000000000001E-2</v>
      </c>
      <c r="E199" s="13">
        <v>10539.75</v>
      </c>
      <c r="F199" s="25">
        <v>8.0999999999999996E-3</v>
      </c>
    </row>
    <row r="200" spans="1:6">
      <c r="A200" t="s">
        <v>372</v>
      </c>
      <c r="B200" s="13">
        <v>1510.8</v>
      </c>
      <c r="C200" s="25">
        <v>2.1399999999999999E-2</v>
      </c>
      <c r="E200" s="13">
        <v>10454.950000000001</v>
      </c>
      <c r="F200" s="25">
        <v>-1.15E-2</v>
      </c>
    </row>
    <row r="201" spans="1:6">
      <c r="A201" t="s">
        <v>373</v>
      </c>
      <c r="B201" s="13">
        <v>1479.2</v>
      </c>
      <c r="C201" s="25">
        <v>4.2500000000000003E-2</v>
      </c>
      <c r="E201" s="13">
        <v>10576.85</v>
      </c>
      <c r="F201" s="25">
        <v>9.5999999999999992E-3</v>
      </c>
    </row>
    <row r="202" spans="1:6">
      <c r="A202" t="s">
        <v>374</v>
      </c>
      <c r="B202" s="13">
        <v>1418.85</v>
      </c>
      <c r="C202" s="25">
        <v>1.2999999999999999E-3</v>
      </c>
      <c r="E202" s="13">
        <v>10476.700000000001</v>
      </c>
      <c r="F202" s="25">
        <v>-2.0999999999999999E-3</v>
      </c>
    </row>
    <row r="203" spans="1:6">
      <c r="A203" t="s">
        <v>375</v>
      </c>
      <c r="B203" s="13">
        <v>1416.95</v>
      </c>
      <c r="C203" s="25">
        <v>-3.0800000000000001E-2</v>
      </c>
      <c r="E203" s="13">
        <v>10498.25</v>
      </c>
      <c r="F203" s="25">
        <v>-1.5800000000000002E-2</v>
      </c>
    </row>
    <row r="204" spans="1:6">
      <c r="A204" t="s">
        <v>376</v>
      </c>
      <c r="B204" s="13">
        <v>1462.05</v>
      </c>
      <c r="C204" s="25">
        <v>2.7000000000000001E-3</v>
      </c>
      <c r="E204" s="13">
        <v>10666.55</v>
      </c>
      <c r="F204" s="25">
        <v>-8.6999999999999994E-3</v>
      </c>
    </row>
    <row r="205" spans="1:6">
      <c r="A205" t="s">
        <v>377</v>
      </c>
      <c r="B205" s="13">
        <v>1458.1</v>
      </c>
      <c r="C205" s="25">
        <v>5.0000000000000001E-4</v>
      </c>
      <c r="E205" s="13">
        <v>10760.6</v>
      </c>
      <c r="F205" s="25">
        <v>-2.3300000000000001E-2</v>
      </c>
    </row>
    <row r="206" spans="1:6">
      <c r="A206" t="s">
        <v>378</v>
      </c>
      <c r="B206" s="13">
        <v>1457.35</v>
      </c>
      <c r="C206" s="25">
        <v>-1.9400000000000001E-2</v>
      </c>
      <c r="E206" s="13">
        <v>11016.9</v>
      </c>
      <c r="F206" s="25">
        <v>-1E-3</v>
      </c>
    </row>
    <row r="207" spans="1:6">
      <c r="A207" t="s">
        <v>379</v>
      </c>
      <c r="B207" s="13">
        <v>1486.25</v>
      </c>
      <c r="C207" s="25">
        <v>-3.8600000000000002E-2</v>
      </c>
      <c r="E207" s="13">
        <v>11027.7</v>
      </c>
      <c r="F207" s="25">
        <v>-2E-3</v>
      </c>
    </row>
    <row r="208" spans="1:6">
      <c r="A208" t="s">
        <v>380</v>
      </c>
      <c r="B208" s="13">
        <v>1546</v>
      </c>
      <c r="C208" s="25">
        <v>-6.0199999999999997E-2</v>
      </c>
      <c r="E208" s="13">
        <v>11049.65</v>
      </c>
      <c r="F208" s="25">
        <v>-7.3000000000000001E-3</v>
      </c>
    </row>
    <row r="209" spans="1:6">
      <c r="A209" t="s">
        <v>381</v>
      </c>
      <c r="B209" s="13">
        <v>1645</v>
      </c>
      <c r="C209" s="25">
        <v>-3.0000000000000001E-3</v>
      </c>
      <c r="E209" s="13">
        <v>11130.4</v>
      </c>
      <c r="F209" s="25">
        <v>5.4999999999999997E-3</v>
      </c>
    </row>
    <row r="210" spans="1:6">
      <c r="A210" t="s">
        <v>382</v>
      </c>
      <c r="B210" s="13">
        <v>1649.95</v>
      </c>
      <c r="C210" s="25">
        <v>-3.0999999999999999E-3</v>
      </c>
      <c r="E210" s="13">
        <v>11069.65</v>
      </c>
      <c r="F210" s="25">
        <v>-1.5E-3</v>
      </c>
    </row>
    <row r="211" spans="1:6">
      <c r="A211" t="s">
        <v>383</v>
      </c>
      <c r="B211" s="13">
        <v>1655.1</v>
      </c>
      <c r="C211" s="25">
        <v>2.0999999999999999E-3</v>
      </c>
      <c r="E211" s="13">
        <v>11086</v>
      </c>
      <c r="F211" s="25">
        <v>2.0000000000000001E-4</v>
      </c>
    </row>
    <row r="212" spans="1:6">
      <c r="A212" t="s">
        <v>384</v>
      </c>
      <c r="B212" s="13">
        <v>1651.65</v>
      </c>
      <c r="C212" s="25">
        <v>0.01</v>
      </c>
      <c r="E212" s="13">
        <v>11083.7</v>
      </c>
      <c r="F212" s="25">
        <v>1.0699999999999999E-2</v>
      </c>
    </row>
    <row r="213" spans="1:6">
      <c r="A213" t="s">
        <v>385</v>
      </c>
      <c r="B213" s="13">
        <v>1635.3</v>
      </c>
      <c r="C213" s="25">
        <v>3.0700000000000002E-2</v>
      </c>
      <c r="E213" s="13">
        <v>10966.2</v>
      </c>
      <c r="F213" s="25">
        <v>6.6E-3</v>
      </c>
    </row>
    <row r="214" spans="1:6">
      <c r="A214" t="s">
        <v>386</v>
      </c>
      <c r="B214" s="13">
        <v>1586.55</v>
      </c>
      <c r="C214" s="25">
        <v>-7.0000000000000001E-3</v>
      </c>
      <c r="E214" s="13">
        <v>10894.7</v>
      </c>
      <c r="F214" s="25">
        <v>7.1999999999999998E-3</v>
      </c>
    </row>
    <row r="215" spans="1:6">
      <c r="A215" t="s">
        <v>387</v>
      </c>
      <c r="B215" s="13">
        <v>1597.75</v>
      </c>
      <c r="C215" s="25">
        <v>-3.1399999999999997E-2</v>
      </c>
      <c r="E215" s="13">
        <v>10817</v>
      </c>
      <c r="F215" s="25">
        <v>2.5999999999999999E-3</v>
      </c>
    </row>
    <row r="216" spans="1:6">
      <c r="A216" t="s">
        <v>388</v>
      </c>
      <c r="B216" s="13">
        <v>1649.6</v>
      </c>
      <c r="C216" s="25">
        <v>-5.7000000000000002E-3</v>
      </c>
      <c r="E216" s="13">
        <v>10788.55</v>
      </c>
      <c r="F216" s="25">
        <v>8.2000000000000007E-3</v>
      </c>
    </row>
    <row r="217" spans="1:6">
      <c r="A217" t="s">
        <v>389</v>
      </c>
      <c r="B217" s="13">
        <v>1659.05</v>
      </c>
      <c r="C217" s="25">
        <v>-3.8199999999999998E-2</v>
      </c>
      <c r="E217" s="13">
        <v>10700.45</v>
      </c>
      <c r="F217" s="25">
        <v>-3.8E-3</v>
      </c>
    </row>
    <row r="218" spans="1:6">
      <c r="A218" t="s">
        <v>390</v>
      </c>
      <c r="B218" s="13">
        <v>1724.9</v>
      </c>
      <c r="C218" s="25">
        <v>2.3300000000000001E-2</v>
      </c>
      <c r="E218" s="13">
        <v>10741.55</v>
      </c>
      <c r="F218" s="25">
        <v>5.5999999999999999E-3</v>
      </c>
    </row>
    <row r="219" spans="1:6">
      <c r="A219" t="s">
        <v>391</v>
      </c>
      <c r="B219" s="13">
        <v>1685.7</v>
      </c>
      <c r="C219" s="25">
        <v>-4.5999999999999999E-3</v>
      </c>
      <c r="E219" s="13">
        <v>10681.25</v>
      </c>
      <c r="F219" s="25">
        <v>2.8E-3</v>
      </c>
    </row>
    <row r="220" spans="1:6">
      <c r="A220" t="s">
        <v>392</v>
      </c>
      <c r="B220" s="13">
        <v>1693.5</v>
      </c>
      <c r="C220" s="25">
        <v>-2.93E-2</v>
      </c>
      <c r="E220" s="13">
        <v>10651.2</v>
      </c>
      <c r="F220" s="25">
        <v>1.8E-3</v>
      </c>
    </row>
    <row r="221" spans="1:6">
      <c r="A221" t="s">
        <v>393</v>
      </c>
      <c r="B221" s="13">
        <v>1744.7</v>
      </c>
      <c r="C221" s="25">
        <v>4.0399999999999998E-2</v>
      </c>
      <c r="E221" s="13">
        <v>10632.2</v>
      </c>
      <c r="F221" s="25">
        <v>-5.0000000000000001E-4</v>
      </c>
    </row>
    <row r="222" spans="1:6">
      <c r="A222" t="s">
        <v>394</v>
      </c>
      <c r="B222" s="13">
        <v>1677</v>
      </c>
      <c r="C222" s="25">
        <v>5.8999999999999997E-2</v>
      </c>
      <c r="E222" s="13">
        <v>10637</v>
      </c>
      <c r="F222" s="25">
        <v>1.2999999999999999E-3</v>
      </c>
    </row>
    <row r="223" spans="1:6">
      <c r="A223" t="s">
        <v>395</v>
      </c>
      <c r="B223" s="13">
        <v>1583.5</v>
      </c>
      <c r="C223" s="25">
        <v>-3.3E-3</v>
      </c>
      <c r="E223" s="13">
        <v>10623.6</v>
      </c>
      <c r="F223" s="25">
        <v>6.1000000000000004E-3</v>
      </c>
    </row>
    <row r="224" spans="1:6">
      <c r="A224" t="s">
        <v>396</v>
      </c>
      <c r="B224" s="13">
        <v>1588.8</v>
      </c>
      <c r="C224" s="25">
        <v>-5.5999999999999999E-3</v>
      </c>
      <c r="E224" s="13">
        <v>10558.85</v>
      </c>
      <c r="F224" s="25">
        <v>5.1000000000000004E-3</v>
      </c>
    </row>
    <row r="225" spans="1:6">
      <c r="A225" t="s">
        <v>397</v>
      </c>
      <c r="B225" s="13">
        <v>1597.8</v>
      </c>
      <c r="C225" s="25">
        <v>6.3100000000000003E-2</v>
      </c>
      <c r="E225" s="13">
        <v>10504.8</v>
      </c>
      <c r="F225" s="25">
        <v>5.8999999999999999E-3</v>
      </c>
    </row>
    <row r="226" spans="1:6">
      <c r="A226" t="s">
        <v>398</v>
      </c>
      <c r="B226" s="13">
        <v>1503</v>
      </c>
      <c r="C226" s="25">
        <v>1.6E-2</v>
      </c>
      <c r="E226" s="13">
        <v>10443.200000000001</v>
      </c>
      <c r="F226" s="25">
        <v>1E-4</v>
      </c>
    </row>
    <row r="227" spans="1:6">
      <c r="A227" t="s">
        <v>399</v>
      </c>
      <c r="B227" s="13">
        <v>1479.35</v>
      </c>
      <c r="C227" s="25">
        <v>-6.4999999999999997E-3</v>
      </c>
      <c r="E227" s="13">
        <v>10442.200000000001</v>
      </c>
      <c r="F227" s="25">
        <v>5.9999999999999995E-4</v>
      </c>
    </row>
    <row r="228" spans="1:6">
      <c r="A228" t="s">
        <v>400</v>
      </c>
      <c r="B228" s="13">
        <v>1489</v>
      </c>
      <c r="C228" s="25">
        <v>-1.6000000000000001E-3</v>
      </c>
      <c r="E228" s="13">
        <v>10435.549999999999</v>
      </c>
      <c r="F228" s="25">
        <v>-8.9999999999999993E-3</v>
      </c>
    </row>
    <row r="229" spans="1:6">
      <c r="A229" t="s">
        <v>401</v>
      </c>
      <c r="B229" s="13">
        <v>1491.45</v>
      </c>
      <c r="C229" s="25">
        <v>-5.0000000000000001E-3</v>
      </c>
      <c r="E229" s="13">
        <v>10530.7</v>
      </c>
      <c r="F229" s="25">
        <v>5.0000000000000001E-3</v>
      </c>
    </row>
    <row r="230" spans="1:6">
      <c r="A230" t="s">
        <v>402</v>
      </c>
      <c r="B230" s="13">
        <v>1498.95</v>
      </c>
      <c r="C230" s="25">
        <v>-6.9999999999999999E-4</v>
      </c>
      <c r="E230" s="13">
        <v>10477.9</v>
      </c>
      <c r="F230" s="25">
        <v>-1.1999999999999999E-3</v>
      </c>
    </row>
    <row r="231" spans="1:6">
      <c r="A231" t="s">
        <v>403</v>
      </c>
      <c r="B231" s="13">
        <v>1499.95</v>
      </c>
      <c r="C231" s="25">
        <v>1.5E-3</v>
      </c>
      <c r="E231" s="13">
        <v>10490.75</v>
      </c>
      <c r="F231" s="25">
        <v>-3.8999999999999998E-3</v>
      </c>
    </row>
    <row r="232" spans="1:6">
      <c r="A232" t="s">
        <v>404</v>
      </c>
      <c r="B232" s="13">
        <v>1497.7</v>
      </c>
      <c r="C232" s="25">
        <v>-1E-4</v>
      </c>
      <c r="E232" s="13">
        <v>10531.5</v>
      </c>
      <c r="F232" s="25">
        <v>3.7000000000000002E-3</v>
      </c>
    </row>
    <row r="233" spans="1:6">
      <c r="A233" t="s">
        <v>405</v>
      </c>
      <c r="B233" s="13">
        <v>1497.9</v>
      </c>
      <c r="C233" s="25">
        <v>-1.1900000000000001E-2</v>
      </c>
      <c r="E233" s="13">
        <v>10493</v>
      </c>
      <c r="F233" s="25">
        <v>5.0000000000000001E-3</v>
      </c>
    </row>
    <row r="234" spans="1:6">
      <c r="A234" t="s">
        <v>406</v>
      </c>
      <c r="B234" s="13">
        <v>1515.95</v>
      </c>
      <c r="C234" s="25">
        <v>1.84E-2</v>
      </c>
      <c r="E234" s="13">
        <v>10440.299999999999</v>
      </c>
      <c r="F234" s="25">
        <v>-4.0000000000000002E-4</v>
      </c>
    </row>
    <row r="235" spans="1:6">
      <c r="A235" t="s">
        <v>407</v>
      </c>
      <c r="B235" s="13">
        <v>1488.55</v>
      </c>
      <c r="C235" s="25">
        <v>3.5700000000000003E-2</v>
      </c>
      <c r="E235" s="13">
        <v>10444.200000000001</v>
      </c>
      <c r="F235" s="25">
        <v>-1.8E-3</v>
      </c>
    </row>
    <row r="236" spans="1:6">
      <c r="A236" t="s">
        <v>408</v>
      </c>
      <c r="B236" s="13">
        <v>1437.3</v>
      </c>
      <c r="C236" s="25">
        <v>3.8100000000000002E-2</v>
      </c>
      <c r="E236" s="13">
        <v>10463.200000000001</v>
      </c>
      <c r="F236" s="25">
        <v>7.1999999999999998E-3</v>
      </c>
    </row>
    <row r="237" spans="1:6">
      <c r="A237" t="s">
        <v>409</v>
      </c>
      <c r="B237" s="13">
        <v>1384.5</v>
      </c>
      <c r="C237" s="25">
        <v>2.4199999999999999E-2</v>
      </c>
      <c r="E237" s="13">
        <v>10388.75</v>
      </c>
      <c r="F237" s="25">
        <v>5.4000000000000003E-3</v>
      </c>
    </row>
    <row r="238" spans="1:6">
      <c r="A238" t="s">
        <v>410</v>
      </c>
      <c r="B238" s="13">
        <v>1351.85</v>
      </c>
      <c r="C238" s="25">
        <v>1.95E-2</v>
      </c>
      <c r="E238" s="13">
        <v>10333.25</v>
      </c>
      <c r="F238" s="25">
        <v>7.9000000000000008E-3</v>
      </c>
    </row>
    <row r="239" spans="1:6">
      <c r="A239" t="s">
        <v>411</v>
      </c>
      <c r="B239" s="13">
        <v>1326</v>
      </c>
      <c r="C239" s="25">
        <v>-2.0199999999999999E-2</v>
      </c>
      <c r="E239" s="13">
        <v>10252.1</v>
      </c>
      <c r="F239" s="25">
        <v>5.7999999999999996E-3</v>
      </c>
    </row>
    <row r="240" spans="1:6">
      <c r="A240" t="s">
        <v>412</v>
      </c>
      <c r="B240" s="13">
        <v>1353.4</v>
      </c>
      <c r="C240" s="25">
        <v>7.3000000000000001E-3</v>
      </c>
      <c r="E240" s="13">
        <v>10192.950000000001</v>
      </c>
      <c r="F240" s="25">
        <v>-4.5999999999999999E-3</v>
      </c>
    </row>
    <row r="241" spans="1:6">
      <c r="A241" t="s">
        <v>413</v>
      </c>
      <c r="B241" s="13">
        <v>1343.55</v>
      </c>
      <c r="C241" s="25">
        <v>-6.1999999999999998E-3</v>
      </c>
      <c r="E241" s="13">
        <v>10240.15</v>
      </c>
      <c r="F241" s="25">
        <v>-8.0000000000000002E-3</v>
      </c>
    </row>
    <row r="242" spans="1:6">
      <c r="A242" t="s">
        <v>414</v>
      </c>
      <c r="B242" s="13">
        <v>1352</v>
      </c>
      <c r="C242" s="25">
        <v>6.4999999999999997E-3</v>
      </c>
      <c r="E242" s="13">
        <v>10322.25</v>
      </c>
      <c r="F242" s="25">
        <v>5.4999999999999997E-3</v>
      </c>
    </row>
    <row r="243" spans="1:6">
      <c r="A243" t="s">
        <v>415</v>
      </c>
      <c r="B243" s="13">
        <v>1343.3</v>
      </c>
      <c r="C243" s="25">
        <v>-1.14E-2</v>
      </c>
      <c r="E243" s="13">
        <v>10265.65</v>
      </c>
      <c r="F243" s="25">
        <v>9.7000000000000003E-3</v>
      </c>
    </row>
    <row r="244" spans="1:6">
      <c r="A244" t="s">
        <v>416</v>
      </c>
      <c r="B244" s="13">
        <v>1358.8</v>
      </c>
      <c r="C244" s="25">
        <v>-1.4E-3</v>
      </c>
      <c r="E244" s="13">
        <v>10166.700000000001</v>
      </c>
      <c r="F244" s="25">
        <v>1.2200000000000001E-2</v>
      </c>
    </row>
    <row r="245" spans="1:6">
      <c r="A245" t="s">
        <v>417</v>
      </c>
      <c r="B245" s="13">
        <v>1360.75</v>
      </c>
      <c r="C245" s="25">
        <v>-2.9999999999999997E-4</v>
      </c>
      <c r="E245" s="13">
        <v>10044.1</v>
      </c>
      <c r="F245" s="25">
        <v>-7.3000000000000001E-3</v>
      </c>
    </row>
    <row r="246" spans="1:6">
      <c r="A246" t="s">
        <v>418</v>
      </c>
      <c r="B246" s="13">
        <v>1361.2</v>
      </c>
      <c r="C246" s="25">
        <v>1.5E-3</v>
      </c>
      <c r="E246" s="13">
        <v>10118.25</v>
      </c>
      <c r="F246" s="25">
        <v>-8.9999999999999998E-4</v>
      </c>
    </row>
    <row r="247" spans="1:6">
      <c r="A247" t="s">
        <v>419</v>
      </c>
      <c r="B247" s="13">
        <v>1359.1</v>
      </c>
      <c r="C247" s="25">
        <v>-2.3E-3</v>
      </c>
      <c r="E247" s="13">
        <v>10127.75</v>
      </c>
      <c r="F247" s="25">
        <v>5.9999999999999995E-4</v>
      </c>
    </row>
    <row r="248" spans="1:6">
      <c r="A248" t="s">
        <v>420</v>
      </c>
      <c r="B248" s="13">
        <v>1362.25</v>
      </c>
      <c r="C248" s="25">
        <v>-1.9599999999999999E-2</v>
      </c>
      <c r="E248" s="13">
        <v>10121.799999999999</v>
      </c>
      <c r="F248" s="25">
        <v>-1.0200000000000001E-2</v>
      </c>
    </row>
    <row r="249" spans="1:6">
      <c r="A249" t="s">
        <v>421</v>
      </c>
      <c r="B249" s="13">
        <v>1389.45</v>
      </c>
      <c r="C249" s="25">
        <v>1.8499999999999999E-2</v>
      </c>
      <c r="E249" s="13">
        <v>10226.549999999999</v>
      </c>
      <c r="F249" s="25">
        <v>-1.2999999999999999E-2</v>
      </c>
    </row>
    <row r="250" spans="1:6">
      <c r="A250" t="s">
        <v>422</v>
      </c>
      <c r="B250" s="13">
        <v>1364.2</v>
      </c>
      <c r="C250" s="25">
        <v>2.7000000000000001E-3</v>
      </c>
      <c r="E250" s="13">
        <v>10361.299999999999</v>
      </c>
      <c r="F250" s="25">
        <v>-8.9999999999999998E-4</v>
      </c>
    </row>
    <row r="251" spans="1:6">
      <c r="A251" t="s">
        <v>423</v>
      </c>
      <c r="B251" s="13">
        <v>1360.5</v>
      </c>
      <c r="C251" s="25">
        <v>2.63E-2</v>
      </c>
      <c r="E251" s="13">
        <v>10370.25</v>
      </c>
      <c r="F251" s="25">
        <v>-2.8E-3</v>
      </c>
    </row>
    <row r="252" spans="1:6">
      <c r="A252" t="s">
        <v>424</v>
      </c>
      <c r="B252" s="13">
        <v>1325.65</v>
      </c>
      <c r="C252" s="25">
        <v>4.4999999999999997E-3</v>
      </c>
      <c r="E252" s="13">
        <v>10399.549999999999</v>
      </c>
      <c r="F252" s="25">
        <v>8.9999999999999998E-4</v>
      </c>
    </row>
    <row r="253" spans="1:6">
      <c r="A253" t="s">
        <v>425</v>
      </c>
      <c r="B253" s="13">
        <v>1319.75</v>
      </c>
      <c r="C253" s="25">
        <v>9.1000000000000004E-3</v>
      </c>
      <c r="E253" s="13">
        <v>10389.700000000001</v>
      </c>
      <c r="F253" s="25">
        <v>4.0000000000000001E-3</v>
      </c>
    </row>
    <row r="254" spans="1:6">
      <c r="A254" t="s">
        <v>426</v>
      </c>
      <c r="B254" s="13">
        <v>1307.8499999999999</v>
      </c>
      <c r="C254" s="25">
        <v>-1.5E-3</v>
      </c>
      <c r="E254" s="13">
        <v>10348.75</v>
      </c>
      <c r="F254" s="25">
        <v>5.9999999999999995E-4</v>
      </c>
    </row>
    <row r="255" spans="1:6">
      <c r="A255" t="s">
        <v>427</v>
      </c>
      <c r="B255" s="13">
        <v>1309.8499999999999</v>
      </c>
      <c r="C255" s="25">
        <v>3.8999999999999998E-3</v>
      </c>
      <c r="E255" s="13">
        <v>10342.299999999999</v>
      </c>
      <c r="F255" s="25">
        <v>1.5E-3</v>
      </c>
    </row>
    <row r="256" spans="1:6">
      <c r="A256" t="s">
        <v>428</v>
      </c>
      <c r="B256" s="13">
        <v>1304.7</v>
      </c>
      <c r="C256" s="25">
        <v>3.7199999999999997E-2</v>
      </c>
      <c r="E256" s="13">
        <v>10326.9</v>
      </c>
      <c r="F256" s="25">
        <v>2.7000000000000001E-3</v>
      </c>
    </row>
    <row r="257" spans="1:6">
      <c r="A257" t="s">
        <v>429</v>
      </c>
      <c r="B257" s="13">
        <v>1257.95</v>
      </c>
      <c r="C257" s="25">
        <v>1.5699999999999999E-2</v>
      </c>
      <c r="E257" s="13">
        <v>10298.75</v>
      </c>
      <c r="F257" s="25">
        <v>1.5E-3</v>
      </c>
    </row>
    <row r="258" spans="1:6">
      <c r="A258" t="s">
        <v>430</v>
      </c>
      <c r="B258" s="13">
        <v>1238.5</v>
      </c>
      <c r="C258" s="25">
        <v>2.3E-3</v>
      </c>
      <c r="E258" s="13">
        <v>10283.6</v>
      </c>
      <c r="F258" s="25">
        <v>6.7000000000000002E-3</v>
      </c>
    </row>
    <row r="259" spans="1:6">
      <c r="A259" t="s">
        <v>431</v>
      </c>
      <c r="B259" s="13">
        <v>1235.7</v>
      </c>
      <c r="C259" s="25">
        <v>-1.18E-2</v>
      </c>
      <c r="E259" s="13">
        <v>10214.75</v>
      </c>
      <c r="F259" s="25">
        <v>9.5999999999999992E-3</v>
      </c>
    </row>
    <row r="260" spans="1:6">
      <c r="A260" t="s">
        <v>432</v>
      </c>
      <c r="B260" s="13">
        <v>1250.4000000000001</v>
      </c>
      <c r="C260" s="25">
        <v>-2.2599999999999999E-2</v>
      </c>
      <c r="E260" s="13">
        <v>10118.049999999999</v>
      </c>
      <c r="F260" s="25">
        <v>-6.7000000000000002E-3</v>
      </c>
    </row>
    <row r="261" spans="1:6">
      <c r="A261" t="s">
        <v>433</v>
      </c>
      <c r="B261" s="13">
        <v>1279.25</v>
      </c>
      <c r="C261" s="25">
        <v>-4.0800000000000003E-2</v>
      </c>
      <c r="E261" s="13">
        <v>10186.6</v>
      </c>
      <c r="F261" s="25">
        <v>-3.8E-3</v>
      </c>
    </row>
    <row r="262" spans="1:6">
      <c r="A262" t="s">
        <v>434</v>
      </c>
      <c r="B262" s="13">
        <v>1333.6</v>
      </c>
      <c r="C262" s="25">
        <v>-5.16E-2</v>
      </c>
      <c r="E262" s="13">
        <v>10224.950000000001</v>
      </c>
      <c r="F262" s="25">
        <v>-9.4000000000000004E-3</v>
      </c>
    </row>
    <row r="263" spans="1:6">
      <c r="A263" t="s">
        <v>435</v>
      </c>
      <c r="B263" s="13">
        <v>1406.1</v>
      </c>
      <c r="C263" s="25">
        <v>-5.4000000000000003E-3</v>
      </c>
      <c r="E263" s="13">
        <v>10321.75</v>
      </c>
      <c r="F263" s="25">
        <v>1.1999999999999999E-3</v>
      </c>
    </row>
    <row r="264" spans="1:6">
      <c r="A264" t="s">
        <v>436</v>
      </c>
      <c r="B264" s="13">
        <v>1413.8</v>
      </c>
      <c r="C264" s="25">
        <v>8.0000000000000004E-4</v>
      </c>
      <c r="E264" s="13">
        <v>10308.950000000001</v>
      </c>
      <c r="F264" s="25">
        <v>5.9999999999999995E-4</v>
      </c>
    </row>
    <row r="265" spans="1:6">
      <c r="A265" t="s">
        <v>437</v>
      </c>
      <c r="B265" s="13">
        <v>1412.6</v>
      </c>
      <c r="C265" s="25">
        <v>7.0000000000000001E-3</v>
      </c>
      <c r="E265" s="13">
        <v>10303.15</v>
      </c>
      <c r="F265" s="25">
        <v>-4.4999999999999997E-3</v>
      </c>
    </row>
    <row r="266" spans="1:6">
      <c r="A266" t="s">
        <v>438</v>
      </c>
      <c r="B266" s="13">
        <v>1402.75</v>
      </c>
      <c r="C266" s="25">
        <v>-1.3299999999999999E-2</v>
      </c>
      <c r="E266" s="13">
        <v>10350.15</v>
      </c>
      <c r="F266" s="25">
        <v>-9.7000000000000003E-3</v>
      </c>
    </row>
    <row r="267" spans="1:6">
      <c r="A267" t="s">
        <v>439</v>
      </c>
      <c r="B267" s="13">
        <v>1421.65</v>
      </c>
      <c r="C267" s="25">
        <v>6.7000000000000002E-3</v>
      </c>
      <c r="E267" s="13">
        <v>10451.799999999999</v>
      </c>
      <c r="F267" s="25">
        <v>-1E-4</v>
      </c>
    </row>
    <row r="268" spans="1:6">
      <c r="A268" t="s">
        <v>440</v>
      </c>
      <c r="B268" s="13">
        <v>1412.15</v>
      </c>
      <c r="C268" s="25">
        <v>-3.5000000000000001E-3</v>
      </c>
      <c r="E268" s="13">
        <v>10452.5</v>
      </c>
      <c r="F268" s="25">
        <v>2.8E-3</v>
      </c>
    </row>
    <row r="269" spans="1:6">
      <c r="A269" t="s">
        <v>441</v>
      </c>
      <c r="B269" s="13">
        <v>1417.05</v>
      </c>
      <c r="C269" s="25">
        <v>1.1999999999999999E-3</v>
      </c>
      <c r="E269" s="13">
        <v>10423.799999999999</v>
      </c>
      <c r="F269" s="25">
        <v>-1.6000000000000001E-3</v>
      </c>
    </row>
    <row r="270" spans="1:6">
      <c r="A270" t="s">
        <v>442</v>
      </c>
      <c r="B270" s="13">
        <v>1415.3</v>
      </c>
      <c r="C270" s="25">
        <v>-1.5800000000000002E-2</v>
      </c>
      <c r="E270" s="13">
        <v>10440.5</v>
      </c>
      <c r="F270" s="25">
        <v>1.0200000000000001E-2</v>
      </c>
    </row>
    <row r="271" spans="1:6">
      <c r="A271" t="s">
        <v>443</v>
      </c>
      <c r="B271" s="13">
        <v>1438</v>
      </c>
      <c r="C271" s="25">
        <v>9.7999999999999997E-3</v>
      </c>
      <c r="E271" s="13">
        <v>10335.299999999999</v>
      </c>
      <c r="F271" s="25">
        <v>-2.7000000000000001E-3</v>
      </c>
    </row>
    <row r="272" spans="1:6">
      <c r="A272" t="s">
        <v>444</v>
      </c>
      <c r="B272" s="13">
        <v>1424</v>
      </c>
      <c r="C272" s="25">
        <v>-1.1999999999999999E-3</v>
      </c>
      <c r="E272" s="13">
        <v>10363.65</v>
      </c>
      <c r="F272" s="25">
        <v>3.8999999999999998E-3</v>
      </c>
    </row>
    <row r="273" spans="1:6">
      <c r="A273" t="s">
        <v>445</v>
      </c>
      <c r="B273" s="13">
        <v>1425.65</v>
      </c>
      <c r="C273" s="25">
        <v>-5.8999999999999999E-3</v>
      </c>
      <c r="E273" s="13">
        <v>10323.049999999999</v>
      </c>
      <c r="F273" s="25">
        <v>-2E-3</v>
      </c>
    </row>
    <row r="274" spans="1:6">
      <c r="A274" t="s">
        <v>446</v>
      </c>
      <c r="B274" s="13">
        <v>1434.05</v>
      </c>
      <c r="C274" s="25">
        <v>1.7899999999999999E-2</v>
      </c>
      <c r="E274" s="13">
        <v>10343.799999999999</v>
      </c>
      <c r="F274" s="25">
        <v>4.7000000000000002E-3</v>
      </c>
    </row>
    <row r="275" spans="1:6">
      <c r="A275" t="s">
        <v>447</v>
      </c>
      <c r="B275" s="13">
        <v>1408.8</v>
      </c>
      <c r="C275" s="25">
        <v>1.09E-2</v>
      </c>
      <c r="E275" s="13">
        <v>10295.35</v>
      </c>
      <c r="F275" s="25">
        <v>8.6E-3</v>
      </c>
    </row>
    <row r="276" spans="1:6">
      <c r="A276" t="s">
        <v>448</v>
      </c>
      <c r="B276" s="13">
        <v>1393.65</v>
      </c>
      <c r="C276" s="25">
        <v>-1.6400000000000001E-2</v>
      </c>
      <c r="E276" s="13">
        <v>10207.700000000001</v>
      </c>
      <c r="F276" s="25">
        <v>2.2000000000000001E-3</v>
      </c>
    </row>
    <row r="277" spans="1:6">
      <c r="A277" t="s">
        <v>449</v>
      </c>
      <c r="B277" s="13">
        <v>1416.95</v>
      </c>
      <c r="C277" s="25">
        <v>-2.2100000000000002E-2</v>
      </c>
      <c r="E277" s="13">
        <v>10184.85</v>
      </c>
      <c r="F277" s="25">
        <v>3.8E-3</v>
      </c>
    </row>
    <row r="278" spans="1:6">
      <c r="A278" t="s">
        <v>450</v>
      </c>
      <c r="B278" s="13">
        <v>1449</v>
      </c>
      <c r="C278" s="25">
        <v>6.3E-3</v>
      </c>
      <c r="E278" s="13">
        <v>10146.549999999999</v>
      </c>
      <c r="F278" s="25">
        <v>-6.3E-3</v>
      </c>
    </row>
    <row r="279" spans="1:6">
      <c r="A279" t="s">
        <v>451</v>
      </c>
      <c r="B279" s="13">
        <v>1439.9</v>
      </c>
      <c r="C279" s="25">
        <v>6.6E-3</v>
      </c>
      <c r="E279" s="13">
        <v>10210.85</v>
      </c>
      <c r="F279" s="25">
        <v>-2.3E-3</v>
      </c>
    </row>
    <row r="280" spans="1:6">
      <c r="A280" t="s">
        <v>452</v>
      </c>
      <c r="B280" s="13">
        <v>1430.45</v>
      </c>
      <c r="C280" s="25">
        <v>-3.0999999999999999E-3</v>
      </c>
      <c r="E280" s="13">
        <v>10234.450000000001</v>
      </c>
      <c r="F280" s="25">
        <v>4.0000000000000002E-4</v>
      </c>
    </row>
    <row r="281" spans="1:6">
      <c r="A281" t="s">
        <v>453</v>
      </c>
      <c r="B281" s="13">
        <v>1434.85</v>
      </c>
      <c r="C281" s="25">
        <v>0</v>
      </c>
      <c r="E281" s="13">
        <v>10230.85</v>
      </c>
      <c r="F281" s="25">
        <v>6.1999999999999998E-3</v>
      </c>
    </row>
    <row r="282" spans="1:6">
      <c r="A282" t="s">
        <v>454</v>
      </c>
      <c r="B282" s="13">
        <v>1434.85</v>
      </c>
      <c r="C282" s="25">
        <v>-2.5399999999999999E-2</v>
      </c>
      <c r="E282" s="13">
        <v>10167.450000000001</v>
      </c>
      <c r="F282" s="25">
        <v>7.0000000000000001E-3</v>
      </c>
    </row>
    <row r="283" spans="1:6">
      <c r="A283" t="s">
        <v>455</v>
      </c>
      <c r="B283" s="13">
        <v>1472.25</v>
      </c>
      <c r="C283" s="25">
        <v>4.5199999999999997E-2</v>
      </c>
      <c r="E283" s="13">
        <v>10096.4</v>
      </c>
      <c r="F283" s="25">
        <v>1.12E-2</v>
      </c>
    </row>
    <row r="284" spans="1:6">
      <c r="A284" t="s">
        <v>456</v>
      </c>
      <c r="B284" s="13">
        <v>1408.55</v>
      </c>
      <c r="C284" s="25">
        <v>-2.2599999999999999E-2</v>
      </c>
      <c r="E284" s="13">
        <v>9984.7999999999993</v>
      </c>
      <c r="F284" s="25">
        <v>-3.2000000000000002E-3</v>
      </c>
    </row>
    <row r="285" spans="1:6">
      <c r="A285" t="s">
        <v>457</v>
      </c>
      <c r="B285" s="13">
        <v>1441.05</v>
      </c>
      <c r="C285" s="25">
        <v>-1.4E-3</v>
      </c>
      <c r="E285" s="13">
        <v>10016.950000000001</v>
      </c>
      <c r="F285" s="25">
        <v>2.8E-3</v>
      </c>
    </row>
    <row r="286" spans="1:6">
      <c r="A286" t="s">
        <v>458</v>
      </c>
      <c r="B286" s="13">
        <v>1443</v>
      </c>
      <c r="C286" s="25">
        <v>-1E-4</v>
      </c>
      <c r="E286" s="13">
        <v>9988.75</v>
      </c>
      <c r="F286" s="25">
        <v>8.9999999999999998E-4</v>
      </c>
    </row>
    <row r="287" spans="1:6">
      <c r="A287" t="s">
        <v>459</v>
      </c>
      <c r="B287" s="13">
        <v>1443.2</v>
      </c>
      <c r="C287" s="25">
        <v>-1.72E-2</v>
      </c>
      <c r="E287" s="13">
        <v>9979.7000000000007</v>
      </c>
      <c r="F287" s="25">
        <v>9.1999999999999998E-3</v>
      </c>
    </row>
    <row r="288" spans="1:6">
      <c r="A288" t="s">
        <v>460</v>
      </c>
      <c r="B288" s="13">
        <v>1468.4</v>
      </c>
      <c r="C288" s="25">
        <v>2.5100000000000001E-2</v>
      </c>
      <c r="E288" s="13">
        <v>9888.7000000000007</v>
      </c>
      <c r="F288" s="25">
        <v>-2.5999999999999999E-3</v>
      </c>
    </row>
    <row r="289" spans="1:6">
      <c r="A289" t="s">
        <v>461</v>
      </c>
      <c r="B289" s="13">
        <v>1432.4</v>
      </c>
      <c r="C289" s="25">
        <v>-2.5000000000000001E-3</v>
      </c>
      <c r="E289" s="13">
        <v>9914.9</v>
      </c>
      <c r="F289" s="25">
        <v>5.5999999999999999E-3</v>
      </c>
    </row>
    <row r="290" spans="1:6">
      <c r="A290" t="s">
        <v>462</v>
      </c>
      <c r="B290" s="13">
        <v>1436</v>
      </c>
      <c r="C290" s="25">
        <v>-1E-3</v>
      </c>
      <c r="E290" s="13">
        <v>9859.5</v>
      </c>
      <c r="F290" s="25">
        <v>7.1999999999999998E-3</v>
      </c>
    </row>
    <row r="291" spans="1:6">
      <c r="A291" t="s">
        <v>463</v>
      </c>
      <c r="B291" s="13">
        <v>1437.5</v>
      </c>
      <c r="C291" s="25">
        <v>3.8800000000000001E-2</v>
      </c>
      <c r="E291" s="13">
        <v>9788.6</v>
      </c>
      <c r="F291" s="25">
        <v>2E-3</v>
      </c>
    </row>
    <row r="292" spans="1:6">
      <c r="A292" t="s">
        <v>464</v>
      </c>
      <c r="B292" s="13">
        <v>1383.85</v>
      </c>
      <c r="C292" s="25">
        <v>-1.2999999999999999E-2</v>
      </c>
      <c r="E292" s="13">
        <v>9768.9500000000007</v>
      </c>
      <c r="F292" s="25">
        <v>3.3999999999999998E-3</v>
      </c>
    </row>
    <row r="293" spans="1:6">
      <c r="A293" t="s">
        <v>465</v>
      </c>
      <c r="B293" s="13">
        <v>1402.1</v>
      </c>
      <c r="C293" s="25">
        <v>-2.9700000000000001E-2</v>
      </c>
      <c r="E293" s="13">
        <v>9735.75</v>
      </c>
      <c r="F293" s="25">
        <v>-1.38E-2</v>
      </c>
    </row>
    <row r="294" spans="1:6">
      <c r="A294" t="s">
        <v>466</v>
      </c>
      <c r="B294" s="13">
        <v>1444.95</v>
      </c>
      <c r="C294" s="25">
        <v>-2.0999999999999999E-3</v>
      </c>
      <c r="E294" s="13">
        <v>9871.5</v>
      </c>
      <c r="F294" s="25">
        <v>-1E-4</v>
      </c>
    </row>
    <row r="295" spans="1:6">
      <c r="A295" t="s">
        <v>467</v>
      </c>
      <c r="B295" s="13">
        <v>1448.05</v>
      </c>
      <c r="C295" s="25">
        <v>7.3000000000000001E-3</v>
      </c>
      <c r="E295" s="13">
        <v>9872.6</v>
      </c>
      <c r="F295" s="25">
        <v>-9.1999999999999998E-3</v>
      </c>
    </row>
    <row r="296" spans="1:6">
      <c r="A296" t="s">
        <v>468</v>
      </c>
      <c r="B296" s="13">
        <v>1437.5</v>
      </c>
      <c r="C296" s="25">
        <v>6.8999999999999999E-3</v>
      </c>
      <c r="E296" s="13">
        <v>9964.4</v>
      </c>
      <c r="F296" s="25">
        <v>-1.5599999999999999E-2</v>
      </c>
    </row>
    <row r="297" spans="1:6">
      <c r="A297" t="s">
        <v>469</v>
      </c>
      <c r="B297" s="13">
        <v>1427.65</v>
      </c>
      <c r="C297" s="25">
        <v>4.1000000000000003E-3</v>
      </c>
      <c r="E297" s="13">
        <v>10121.9</v>
      </c>
      <c r="F297" s="25">
        <v>-1.9E-3</v>
      </c>
    </row>
    <row r="298" spans="1:6">
      <c r="A298" t="s">
        <v>470</v>
      </c>
      <c r="B298" s="13">
        <v>1421.75</v>
      </c>
      <c r="C298" s="25">
        <v>-1.6500000000000001E-2</v>
      </c>
      <c r="E298" s="13">
        <v>10141.15</v>
      </c>
      <c r="F298" s="25">
        <v>-5.9999999999999995E-4</v>
      </c>
    </row>
    <row r="299" spans="1:6">
      <c r="A299" t="s">
        <v>471</v>
      </c>
      <c r="B299" s="13">
        <v>1445.6</v>
      </c>
      <c r="C299" s="25">
        <v>-5.7999999999999996E-3</v>
      </c>
      <c r="E299" s="13">
        <v>10147.549999999999</v>
      </c>
      <c r="F299" s="25">
        <v>-5.0000000000000001E-4</v>
      </c>
    </row>
    <row r="300" spans="1:6">
      <c r="A300" t="s">
        <v>472</v>
      </c>
      <c r="B300" s="13">
        <v>1454</v>
      </c>
      <c r="C300" s="25">
        <v>4.1000000000000003E-3</v>
      </c>
      <c r="E300" s="13">
        <v>10153.1</v>
      </c>
      <c r="F300" s="25">
        <v>6.7000000000000002E-3</v>
      </c>
    </row>
    <row r="301" spans="1:6">
      <c r="A301" t="s">
        <v>473</v>
      </c>
      <c r="B301" s="13">
        <v>1448.1</v>
      </c>
      <c r="C301" s="25">
        <v>3.5999999999999999E-3</v>
      </c>
      <c r="E301" s="13">
        <v>10085.4</v>
      </c>
      <c r="F301" s="25">
        <v>-1E-4</v>
      </c>
    </row>
    <row r="302" spans="1:6">
      <c r="A302" t="s">
        <v>474</v>
      </c>
      <c r="B302" s="13">
        <v>1442.9</v>
      </c>
      <c r="C302" s="25">
        <v>2.2000000000000001E-3</v>
      </c>
      <c r="E302" s="13">
        <v>10086.6</v>
      </c>
      <c r="F302" s="25">
        <v>6.9999999999999999E-4</v>
      </c>
    </row>
    <row r="303" spans="1:6">
      <c r="A303" t="s">
        <v>475</v>
      </c>
      <c r="B303" s="13">
        <v>1439.8</v>
      </c>
      <c r="C303" s="25">
        <v>9.4000000000000004E-3</v>
      </c>
      <c r="E303" s="13">
        <v>10079.299999999999</v>
      </c>
      <c r="F303" s="25">
        <v>-1.4E-3</v>
      </c>
    </row>
    <row r="304" spans="1:6">
      <c r="A304" t="s">
        <v>476</v>
      </c>
      <c r="B304" s="13">
        <v>1426.4</v>
      </c>
      <c r="C304" s="25">
        <v>-1.06E-2</v>
      </c>
      <c r="E304" s="13">
        <v>10093.049999999999</v>
      </c>
      <c r="F304" s="25">
        <v>8.6999999999999994E-3</v>
      </c>
    </row>
    <row r="305" spans="1:6">
      <c r="A305" t="s">
        <v>477</v>
      </c>
      <c r="B305" s="13">
        <v>1441.65</v>
      </c>
      <c r="C305" s="25">
        <v>1.8700000000000001E-2</v>
      </c>
      <c r="E305" s="13">
        <v>10006.049999999999</v>
      </c>
      <c r="F305" s="25">
        <v>7.1999999999999998E-3</v>
      </c>
    </row>
    <row r="306" spans="1:6">
      <c r="A306" t="s">
        <v>478</v>
      </c>
      <c r="B306" s="13">
        <v>1415.2</v>
      </c>
      <c r="C306" s="25">
        <v>3.8999999999999998E-3</v>
      </c>
      <c r="E306" s="13">
        <v>9934.7999999999993</v>
      </c>
      <c r="F306" s="25">
        <v>5.0000000000000001E-4</v>
      </c>
    </row>
    <row r="307" spans="1:6">
      <c r="A307" t="s">
        <v>479</v>
      </c>
      <c r="B307" s="13">
        <v>1409.65</v>
      </c>
      <c r="C307" s="25">
        <v>-7.1000000000000004E-3</v>
      </c>
      <c r="E307" s="13">
        <v>9929.9</v>
      </c>
      <c r="F307" s="25">
        <v>1.4E-3</v>
      </c>
    </row>
    <row r="308" spans="1:6">
      <c r="A308" t="s">
        <v>480</v>
      </c>
      <c r="B308" s="13">
        <v>1419.75</v>
      </c>
      <c r="C308" s="25">
        <v>4.4999999999999997E-3</v>
      </c>
      <c r="E308" s="13">
        <v>9916.2000000000007</v>
      </c>
      <c r="F308" s="25">
        <v>-3.5999999999999999E-3</v>
      </c>
    </row>
    <row r="309" spans="1:6">
      <c r="A309" t="s">
        <v>481</v>
      </c>
      <c r="B309" s="13">
        <v>1413.45</v>
      </c>
      <c r="C309" s="25">
        <v>1.0500000000000001E-2</v>
      </c>
      <c r="E309" s="13">
        <v>9952.2000000000007</v>
      </c>
      <c r="F309" s="25">
        <v>4.0000000000000001E-3</v>
      </c>
    </row>
    <row r="310" spans="1:6">
      <c r="A310" t="s">
        <v>482</v>
      </c>
      <c r="B310" s="13">
        <v>1398.8</v>
      </c>
      <c r="C310" s="25">
        <v>-3.0999999999999999E-3</v>
      </c>
      <c r="E310" s="13">
        <v>9912.85</v>
      </c>
      <c r="F310" s="25">
        <v>-6.1999999999999998E-3</v>
      </c>
    </row>
    <row r="311" spans="1:6">
      <c r="A311" t="s">
        <v>483</v>
      </c>
      <c r="B311" s="13">
        <v>1403.1</v>
      </c>
      <c r="C311" s="25">
        <v>-9.7999999999999997E-3</v>
      </c>
      <c r="E311" s="13">
        <v>9974.4</v>
      </c>
      <c r="F311" s="25">
        <v>5.7000000000000002E-3</v>
      </c>
    </row>
    <row r="312" spans="1:6">
      <c r="A312" t="s">
        <v>484</v>
      </c>
      <c r="B312" s="13">
        <v>1417.05</v>
      </c>
      <c r="C312" s="25">
        <v>7.9000000000000008E-3</v>
      </c>
      <c r="E312" s="13">
        <v>9917.9</v>
      </c>
      <c r="F312" s="25">
        <v>3.3999999999999998E-3</v>
      </c>
    </row>
    <row r="313" spans="1:6">
      <c r="A313" t="s">
        <v>485</v>
      </c>
      <c r="B313" s="13">
        <v>1405.9</v>
      </c>
      <c r="C313" s="25">
        <v>-6.6E-3</v>
      </c>
      <c r="E313" s="13">
        <v>9884.4</v>
      </c>
      <c r="F313" s="25">
        <v>8.9999999999999993E-3</v>
      </c>
    </row>
    <row r="314" spans="1:6">
      <c r="A314" t="s">
        <v>486</v>
      </c>
      <c r="B314" s="13">
        <v>1415.3</v>
      </c>
      <c r="C314" s="25">
        <v>-1.9099999999999999E-2</v>
      </c>
      <c r="E314" s="13">
        <v>9796.0499999999993</v>
      </c>
      <c r="F314" s="25">
        <v>-1.18E-2</v>
      </c>
    </row>
    <row r="315" spans="1:6">
      <c r="A315" t="s">
        <v>487</v>
      </c>
      <c r="B315" s="13">
        <v>1442.8</v>
      </c>
      <c r="C315" s="25">
        <v>7.4000000000000003E-3</v>
      </c>
      <c r="E315" s="13">
        <v>9912.7999999999993</v>
      </c>
      <c r="F315" s="25">
        <v>5.7000000000000002E-3</v>
      </c>
    </row>
    <row r="316" spans="1:6">
      <c r="A316" t="s">
        <v>488</v>
      </c>
      <c r="B316" s="13">
        <v>1432.15</v>
      </c>
      <c r="C316" s="25">
        <v>-6.1999999999999998E-3</v>
      </c>
      <c r="E316" s="13">
        <v>9857.0499999999993</v>
      </c>
      <c r="F316" s="25">
        <v>5.0000000000000001E-4</v>
      </c>
    </row>
    <row r="317" spans="1:6">
      <c r="A317" t="s">
        <v>489</v>
      </c>
      <c r="B317" s="13">
        <v>1441.15</v>
      </c>
      <c r="C317" s="25">
        <v>-1.9099999999999999E-2</v>
      </c>
      <c r="E317" s="13">
        <v>9852.5</v>
      </c>
      <c r="F317" s="25">
        <v>8.8999999999999999E-3</v>
      </c>
    </row>
    <row r="318" spans="1:6">
      <c r="A318" t="s">
        <v>490</v>
      </c>
      <c r="B318" s="13">
        <v>1469.15</v>
      </c>
      <c r="C318" s="25">
        <v>9.7000000000000003E-3</v>
      </c>
      <c r="E318" s="13">
        <v>9765.5499999999993</v>
      </c>
      <c r="F318" s="25">
        <v>1.1000000000000001E-3</v>
      </c>
    </row>
    <row r="319" spans="1:6">
      <c r="A319" t="s">
        <v>491</v>
      </c>
      <c r="B319" s="13">
        <v>1455.1</v>
      </c>
      <c r="C319" s="25">
        <v>0.18809999999999999</v>
      </c>
      <c r="E319" s="13">
        <v>9754.35</v>
      </c>
      <c r="F319" s="25">
        <v>-8.3999999999999995E-3</v>
      </c>
    </row>
    <row r="320" spans="1:6">
      <c r="A320" t="s">
        <v>492</v>
      </c>
      <c r="B320" s="13">
        <v>1224.75</v>
      </c>
      <c r="C320" s="25">
        <v>8.0999999999999996E-3</v>
      </c>
      <c r="E320" s="13">
        <v>9837.4</v>
      </c>
      <c r="F320" s="25">
        <v>-6.7000000000000002E-3</v>
      </c>
    </row>
    <row r="321" spans="1:6">
      <c r="A321" t="s">
        <v>493</v>
      </c>
      <c r="B321" s="13">
        <v>1214.9000000000001</v>
      </c>
      <c r="C321" s="25">
        <v>2.7199999999999998E-2</v>
      </c>
      <c r="E321" s="13">
        <v>9904.15</v>
      </c>
      <c r="F321" s="25">
        <v>6.9999999999999999E-4</v>
      </c>
    </row>
    <row r="322" spans="1:6">
      <c r="A322" t="s">
        <v>494</v>
      </c>
      <c r="B322" s="13">
        <v>1182.75</v>
      </c>
      <c r="C322" s="25">
        <v>1.5800000000000002E-2</v>
      </c>
      <c r="E322" s="13">
        <v>9897.2999999999993</v>
      </c>
      <c r="F322" s="25">
        <v>1.0500000000000001E-2</v>
      </c>
    </row>
    <row r="323" spans="1:6">
      <c r="A323" t="s">
        <v>495</v>
      </c>
      <c r="B323" s="13">
        <v>1164.3499999999999</v>
      </c>
      <c r="C323" s="25">
        <v>8.4900000000000003E-2</v>
      </c>
      <c r="E323" s="13">
        <v>9794.15</v>
      </c>
      <c r="F323" s="25">
        <v>8.6E-3</v>
      </c>
    </row>
    <row r="324" spans="1:6">
      <c r="A324" t="s">
        <v>496</v>
      </c>
      <c r="B324" s="13">
        <v>1073.25</v>
      </c>
      <c r="C324" s="25">
        <v>-8.0000000000000004E-4</v>
      </c>
      <c r="E324" s="13">
        <v>9710.7999999999993</v>
      </c>
      <c r="F324" s="25">
        <v>-1.11E-2</v>
      </c>
    </row>
    <row r="325" spans="1:6">
      <c r="A325" t="s">
        <v>497</v>
      </c>
      <c r="B325" s="13">
        <v>1074.0999999999999</v>
      </c>
      <c r="C325" s="25">
        <v>-7.0599999999999996E-2</v>
      </c>
      <c r="E325" s="13">
        <v>9820.25</v>
      </c>
      <c r="F325" s="25">
        <v>-8.8999999999999999E-3</v>
      </c>
    </row>
    <row r="326" spans="1:6">
      <c r="A326" t="s">
        <v>498</v>
      </c>
      <c r="B326" s="13">
        <v>1155.7</v>
      </c>
      <c r="C326" s="25">
        <v>-9.7000000000000003E-3</v>
      </c>
      <c r="E326" s="13">
        <v>9908.0499999999993</v>
      </c>
      <c r="F326" s="25">
        <v>-7.1000000000000004E-3</v>
      </c>
    </row>
    <row r="327" spans="1:6">
      <c r="A327" t="s">
        <v>499</v>
      </c>
      <c r="B327" s="13">
        <v>1167.05</v>
      </c>
      <c r="C327" s="25">
        <v>-1.26E-2</v>
      </c>
      <c r="E327" s="13">
        <v>9978.5499999999993</v>
      </c>
      <c r="F327" s="25">
        <v>-7.7999999999999996E-3</v>
      </c>
    </row>
    <row r="328" spans="1:6">
      <c r="A328" t="s">
        <v>500</v>
      </c>
      <c r="B328" s="13">
        <v>1182</v>
      </c>
      <c r="C328" s="25">
        <v>1.7600000000000001E-2</v>
      </c>
      <c r="E328" s="13">
        <v>10057.4</v>
      </c>
      <c r="F328" s="25">
        <v>-8.9999999999999998E-4</v>
      </c>
    </row>
    <row r="329" spans="1:6">
      <c r="A329" t="s">
        <v>501</v>
      </c>
      <c r="B329" s="13">
        <v>1161.55</v>
      </c>
      <c r="C329" s="25">
        <v>-4.1999999999999997E-3</v>
      </c>
      <c r="E329" s="13">
        <v>10066.4</v>
      </c>
      <c r="F329" s="25">
        <v>5.3E-3</v>
      </c>
    </row>
    <row r="330" spans="1:6">
      <c r="A330" t="s">
        <v>502</v>
      </c>
      <c r="B330" s="13">
        <v>1166.5</v>
      </c>
      <c r="C330" s="25">
        <v>-2.3699999999999999E-2</v>
      </c>
      <c r="E330" s="13">
        <v>10013.65</v>
      </c>
      <c r="F330" s="25">
        <v>-6.7000000000000002E-3</v>
      </c>
    </row>
    <row r="331" spans="1:6">
      <c r="A331" t="s">
        <v>503</v>
      </c>
      <c r="B331" s="13">
        <v>1194.8</v>
      </c>
      <c r="C331" s="25">
        <v>1.7399999999999999E-2</v>
      </c>
      <c r="E331" s="13">
        <v>10081.5</v>
      </c>
      <c r="F331" s="25">
        <v>-3.3E-3</v>
      </c>
    </row>
    <row r="332" spans="1:6">
      <c r="A332" t="s">
        <v>504</v>
      </c>
      <c r="B332" s="13">
        <v>1174.3499999999999</v>
      </c>
      <c r="C332" s="25">
        <v>-4.5999999999999999E-3</v>
      </c>
      <c r="E332" s="13">
        <v>10114.65</v>
      </c>
      <c r="F332" s="25">
        <v>3.7000000000000002E-3</v>
      </c>
    </row>
    <row r="333" spans="1:6">
      <c r="A333" t="s">
        <v>505</v>
      </c>
      <c r="B333" s="13">
        <v>1179.75</v>
      </c>
      <c r="C333" s="25">
        <v>1.6199999999999999E-2</v>
      </c>
      <c r="E333" s="13">
        <v>10077.1</v>
      </c>
      <c r="F333" s="25">
        <v>6.3E-3</v>
      </c>
    </row>
    <row r="334" spans="1:6">
      <c r="A334" t="s">
        <v>506</v>
      </c>
      <c r="B334" s="13">
        <v>1160.95</v>
      </c>
      <c r="C334" s="25">
        <v>-6.8999999999999999E-3</v>
      </c>
      <c r="E334" s="13">
        <v>10014.5</v>
      </c>
      <c r="F334" s="25">
        <v>-5.9999999999999995E-4</v>
      </c>
    </row>
    <row r="335" spans="1:6">
      <c r="A335" t="s">
        <v>507</v>
      </c>
      <c r="B335" s="13">
        <v>1169.05</v>
      </c>
      <c r="C335" s="25">
        <v>-7.1000000000000004E-3</v>
      </c>
      <c r="E335" s="13">
        <v>10020.549999999999</v>
      </c>
      <c r="F335" s="25">
        <v>0</v>
      </c>
    </row>
    <row r="336" spans="1:6">
      <c r="A336" t="s">
        <v>508</v>
      </c>
      <c r="B336" s="13">
        <v>1177.4000000000001</v>
      </c>
      <c r="C336" s="25">
        <v>-1.4E-3</v>
      </c>
      <c r="E336" s="13">
        <v>10020.65</v>
      </c>
      <c r="F336" s="25">
        <v>5.5999999999999999E-3</v>
      </c>
    </row>
    <row r="337" spans="1:6">
      <c r="A337" t="s">
        <v>509</v>
      </c>
      <c r="B337" s="13">
        <v>1179</v>
      </c>
      <c r="C337" s="25">
        <v>2.0999999999999999E-3</v>
      </c>
      <c r="E337" s="13">
        <v>9964.5499999999993</v>
      </c>
      <c r="F337" s="25">
        <v>-2.0000000000000001E-4</v>
      </c>
    </row>
    <row r="338" spans="1:6">
      <c r="A338" t="s">
        <v>510</v>
      </c>
      <c r="B338" s="13">
        <v>1176.55</v>
      </c>
      <c r="C338" s="25">
        <v>-2.9600000000000001E-2</v>
      </c>
      <c r="E338" s="13">
        <v>9966.4</v>
      </c>
      <c r="F338" s="25">
        <v>5.1999999999999998E-3</v>
      </c>
    </row>
    <row r="339" spans="1:6">
      <c r="A339" t="s">
        <v>511</v>
      </c>
      <c r="B339" s="13">
        <v>1212.5</v>
      </c>
      <c r="C339" s="25">
        <v>4.8999999999999998E-3</v>
      </c>
      <c r="E339" s="13">
        <v>9915.25</v>
      </c>
      <c r="F339" s="25">
        <v>4.1999999999999997E-3</v>
      </c>
    </row>
    <row r="340" spans="1:6">
      <c r="A340" t="s">
        <v>512</v>
      </c>
      <c r="B340" s="13">
        <v>1206.55</v>
      </c>
      <c r="C340" s="25">
        <v>6.3399999999999998E-2</v>
      </c>
      <c r="E340" s="13">
        <v>9873.2999999999993</v>
      </c>
      <c r="F340" s="25">
        <v>-2.7000000000000001E-3</v>
      </c>
    </row>
    <row r="341" spans="1:6">
      <c r="A341" t="s">
        <v>513</v>
      </c>
      <c r="B341" s="13">
        <v>1134.5999999999999</v>
      </c>
      <c r="C341" s="25">
        <v>-3.3000000000000002E-2</v>
      </c>
      <c r="E341" s="13">
        <v>9899.6</v>
      </c>
      <c r="F341" s="25">
        <v>7.4000000000000003E-3</v>
      </c>
    </row>
    <row r="342" spans="1:6">
      <c r="A342" t="s">
        <v>514</v>
      </c>
      <c r="B342" s="13">
        <v>1173.3</v>
      </c>
      <c r="C342" s="25">
        <v>-4.7999999999999996E-3</v>
      </c>
      <c r="E342" s="13">
        <v>9827.15</v>
      </c>
      <c r="F342" s="25">
        <v>-8.9999999999999993E-3</v>
      </c>
    </row>
    <row r="343" spans="1:6">
      <c r="A343" t="s">
        <v>515</v>
      </c>
      <c r="B343" s="13">
        <v>1179</v>
      </c>
      <c r="C343" s="25">
        <v>-2.3400000000000001E-2</v>
      </c>
      <c r="E343" s="13">
        <v>9915.9500000000007</v>
      </c>
      <c r="F343" s="25">
        <v>3.0000000000000001E-3</v>
      </c>
    </row>
    <row r="344" spans="1:6">
      <c r="A344" t="s">
        <v>516</v>
      </c>
      <c r="B344" s="13">
        <v>1207.25</v>
      </c>
      <c r="C344" s="25">
        <v>-4.7999999999999996E-3</v>
      </c>
      <c r="E344" s="13">
        <v>9886.35</v>
      </c>
      <c r="F344" s="25">
        <v>-5.0000000000000001E-4</v>
      </c>
    </row>
    <row r="345" spans="1:6">
      <c r="A345" t="s">
        <v>517</v>
      </c>
      <c r="B345" s="13">
        <v>1213.05</v>
      </c>
      <c r="C345" s="25">
        <v>-1.5E-3</v>
      </c>
      <c r="E345" s="13">
        <v>9891.7000000000007</v>
      </c>
      <c r="F345" s="25">
        <v>7.7000000000000002E-3</v>
      </c>
    </row>
    <row r="346" spans="1:6">
      <c r="A346" t="s">
        <v>518</v>
      </c>
      <c r="B346" s="13">
        <v>1214.8499999999999</v>
      </c>
      <c r="C346" s="25">
        <v>-2.3400000000000001E-2</v>
      </c>
      <c r="E346" s="13">
        <v>9816.1</v>
      </c>
      <c r="F346" s="25">
        <v>3.0999999999999999E-3</v>
      </c>
    </row>
    <row r="347" spans="1:6">
      <c r="A347" t="s">
        <v>519</v>
      </c>
      <c r="B347" s="13">
        <v>1243.9000000000001</v>
      </c>
      <c r="C347" s="25">
        <v>-4.4000000000000003E-3</v>
      </c>
      <c r="E347" s="13">
        <v>9786.0499999999993</v>
      </c>
      <c r="F347" s="25">
        <v>1.5E-3</v>
      </c>
    </row>
    <row r="348" spans="1:6">
      <c r="A348" t="s">
        <v>520</v>
      </c>
      <c r="B348" s="13">
        <v>1249.4000000000001</v>
      </c>
      <c r="C348" s="25">
        <v>-6.7000000000000002E-3</v>
      </c>
      <c r="E348" s="13">
        <v>9771.0499999999993</v>
      </c>
      <c r="F348" s="25">
        <v>1.09E-2</v>
      </c>
    </row>
    <row r="349" spans="1:6">
      <c r="A349" t="s">
        <v>521</v>
      </c>
      <c r="B349" s="13">
        <v>1257.8499999999999</v>
      </c>
      <c r="C349" s="25">
        <v>4.1999999999999997E-3</v>
      </c>
      <c r="E349" s="13">
        <v>9665.7999999999993</v>
      </c>
      <c r="F349" s="25">
        <v>-8.9999999999999998E-4</v>
      </c>
    </row>
    <row r="350" spans="1:6">
      <c r="A350" t="s">
        <v>522</v>
      </c>
      <c r="B350" s="13">
        <v>1252.6500000000001</v>
      </c>
      <c r="C350" s="25">
        <v>3.8600000000000002E-2</v>
      </c>
      <c r="E350" s="13">
        <v>9674.5499999999993</v>
      </c>
      <c r="F350" s="25">
        <v>3.8E-3</v>
      </c>
    </row>
    <row r="351" spans="1:6">
      <c r="A351" t="s">
        <v>523</v>
      </c>
      <c r="B351" s="13">
        <v>1206.0999999999999</v>
      </c>
      <c r="C351" s="25">
        <v>-5.0000000000000001E-3</v>
      </c>
      <c r="E351" s="13">
        <v>9637.6</v>
      </c>
      <c r="F351" s="25">
        <v>2.5000000000000001E-3</v>
      </c>
    </row>
    <row r="352" spans="1:6">
      <c r="A352" t="s">
        <v>524</v>
      </c>
      <c r="B352" s="13">
        <v>1212.0999999999999</v>
      </c>
      <c r="C352" s="25">
        <v>1.95E-2</v>
      </c>
      <c r="E352" s="13">
        <v>9613.2999999999993</v>
      </c>
      <c r="F352" s="25">
        <v>-2.0000000000000001E-4</v>
      </c>
    </row>
    <row r="353" spans="1:6">
      <c r="A353" t="s">
        <v>525</v>
      </c>
      <c r="B353" s="13">
        <v>1188.95</v>
      </c>
      <c r="C353" s="25">
        <v>4.53E-2</v>
      </c>
      <c r="E353" s="13">
        <v>9615</v>
      </c>
      <c r="F353" s="25">
        <v>9.9000000000000008E-3</v>
      </c>
    </row>
    <row r="354" spans="1:6">
      <c r="A354" t="s">
        <v>526</v>
      </c>
      <c r="B354" s="13">
        <v>1137.4000000000001</v>
      </c>
      <c r="C354" s="25">
        <v>1.1000000000000001E-3</v>
      </c>
      <c r="E354" s="13">
        <v>9520.9</v>
      </c>
      <c r="F354" s="25">
        <v>1.8E-3</v>
      </c>
    </row>
    <row r="355" spans="1:6">
      <c r="A355" t="s">
        <v>527</v>
      </c>
      <c r="B355" s="13">
        <v>1136.0999999999999</v>
      </c>
      <c r="C355" s="25">
        <v>1.4500000000000001E-2</v>
      </c>
      <c r="E355" s="13">
        <v>9504.1</v>
      </c>
      <c r="F355" s="25">
        <v>1.4E-3</v>
      </c>
    </row>
    <row r="356" spans="1:6">
      <c r="A356" t="s">
        <v>528</v>
      </c>
      <c r="B356" s="13">
        <v>1119.8499999999999</v>
      </c>
      <c r="C356" s="25">
        <v>1.3100000000000001E-2</v>
      </c>
      <c r="E356" s="13">
        <v>9491.25</v>
      </c>
      <c r="F356" s="25">
        <v>-2.0999999999999999E-3</v>
      </c>
    </row>
    <row r="357" spans="1:6">
      <c r="A357" t="s">
        <v>529</v>
      </c>
      <c r="B357" s="13">
        <v>1105.4000000000001</v>
      </c>
      <c r="C357" s="25">
        <v>-3.0499999999999999E-2</v>
      </c>
      <c r="E357" s="13">
        <v>9511.4</v>
      </c>
      <c r="F357" s="25">
        <v>-6.6E-3</v>
      </c>
    </row>
    <row r="358" spans="1:6">
      <c r="A358" t="s">
        <v>530</v>
      </c>
      <c r="B358" s="13">
        <v>1140.2</v>
      </c>
      <c r="C358" s="25">
        <v>-1.7999999999999999E-2</v>
      </c>
      <c r="E358" s="13">
        <v>9574.9500000000007</v>
      </c>
      <c r="F358" s="25">
        <v>-5.7000000000000002E-3</v>
      </c>
    </row>
    <row r="359" spans="1:6">
      <c r="A359" t="s">
        <v>531</v>
      </c>
      <c r="B359" s="13">
        <v>1161.05</v>
      </c>
      <c r="C359" s="25">
        <v>8.8000000000000005E-3</v>
      </c>
      <c r="E359" s="13">
        <v>9630</v>
      </c>
      <c r="F359" s="25">
        <v>-4.0000000000000002E-4</v>
      </c>
    </row>
    <row r="360" spans="1:6">
      <c r="A360" t="s">
        <v>532</v>
      </c>
      <c r="B360" s="13">
        <v>1150.95</v>
      </c>
      <c r="C360" s="25">
        <v>-8.0999999999999996E-3</v>
      </c>
      <c r="E360" s="13">
        <v>9633.6</v>
      </c>
      <c r="F360" s="25">
        <v>-2.0999999999999999E-3</v>
      </c>
    </row>
    <row r="361" spans="1:6">
      <c r="A361" t="s">
        <v>533</v>
      </c>
      <c r="B361" s="13">
        <v>1160.4000000000001</v>
      </c>
      <c r="C361" s="25">
        <v>1.21E-2</v>
      </c>
      <c r="E361" s="13">
        <v>9653.5</v>
      </c>
      <c r="F361" s="25">
        <v>-4.0000000000000002E-4</v>
      </c>
    </row>
    <row r="362" spans="1:6">
      <c r="A362" t="s">
        <v>534</v>
      </c>
      <c r="B362" s="13">
        <v>1146.55</v>
      </c>
      <c r="C362" s="25">
        <v>1.8E-3</v>
      </c>
      <c r="E362" s="13">
        <v>9657.5499999999993</v>
      </c>
      <c r="F362" s="25">
        <v>7.1999999999999998E-3</v>
      </c>
    </row>
    <row r="363" spans="1:6">
      <c r="A363" t="s">
        <v>535</v>
      </c>
      <c r="B363" s="13">
        <v>1144.45</v>
      </c>
      <c r="C363" s="25">
        <v>1.0999999999999999E-2</v>
      </c>
      <c r="E363" s="13">
        <v>9588.0499999999993</v>
      </c>
      <c r="F363" s="25">
        <v>1E-3</v>
      </c>
    </row>
    <row r="364" spans="1:6">
      <c r="A364" t="s">
        <v>536</v>
      </c>
      <c r="B364" s="13">
        <v>1132.05</v>
      </c>
      <c r="C364" s="25">
        <v>-1.3899999999999999E-2</v>
      </c>
      <c r="E364" s="13">
        <v>9578.0499999999993</v>
      </c>
      <c r="F364" s="25">
        <v>-4.1999999999999997E-3</v>
      </c>
    </row>
    <row r="365" spans="1:6">
      <c r="A365" t="s">
        <v>537</v>
      </c>
      <c r="B365" s="13">
        <v>1148.05</v>
      </c>
      <c r="C365" s="25">
        <v>-8.2000000000000007E-3</v>
      </c>
      <c r="E365" s="13">
        <v>9618.15</v>
      </c>
      <c r="F365" s="25">
        <v>1.1999999999999999E-3</v>
      </c>
    </row>
    <row r="366" spans="1:6">
      <c r="A366" t="s">
        <v>538</v>
      </c>
      <c r="B366" s="13">
        <v>1157.5999999999999</v>
      </c>
      <c r="C366" s="25">
        <v>3.5999999999999999E-3</v>
      </c>
      <c r="E366" s="13">
        <v>9606.9</v>
      </c>
      <c r="F366" s="25">
        <v>-1E-3</v>
      </c>
    </row>
    <row r="367" spans="1:6">
      <c r="A367" t="s">
        <v>539</v>
      </c>
      <c r="B367" s="13">
        <v>1153.4000000000001</v>
      </c>
      <c r="C367" s="25">
        <v>-1.6899999999999998E-2</v>
      </c>
      <c r="E367" s="13">
        <v>9616.4</v>
      </c>
      <c r="F367" s="25">
        <v>-5.4000000000000003E-3</v>
      </c>
    </row>
    <row r="368" spans="1:6">
      <c r="A368" t="s">
        <v>540</v>
      </c>
      <c r="B368" s="13">
        <v>1173.25</v>
      </c>
      <c r="C368" s="25">
        <v>4.4400000000000002E-2</v>
      </c>
      <c r="E368" s="13">
        <v>9668.25</v>
      </c>
      <c r="F368" s="25">
        <v>2.2000000000000001E-3</v>
      </c>
    </row>
    <row r="369" spans="1:6">
      <c r="A369" t="s">
        <v>541</v>
      </c>
      <c r="B369" s="13">
        <v>1123.4000000000001</v>
      </c>
      <c r="C369" s="25">
        <v>1.8800000000000001E-2</v>
      </c>
      <c r="E369" s="13">
        <v>9647.25</v>
      </c>
      <c r="F369" s="25">
        <v>-1.6999999999999999E-3</v>
      </c>
    </row>
    <row r="370" spans="1:6">
      <c r="A370" t="s">
        <v>542</v>
      </c>
      <c r="B370" s="13">
        <v>1102.7</v>
      </c>
      <c r="C370" s="25">
        <v>-6.7000000000000002E-3</v>
      </c>
      <c r="E370" s="13">
        <v>9663.9</v>
      </c>
      <c r="F370" s="25">
        <v>2.8E-3</v>
      </c>
    </row>
    <row r="371" spans="1:6">
      <c r="A371" t="s">
        <v>543</v>
      </c>
      <c r="B371" s="13">
        <v>1110.0999999999999</v>
      </c>
      <c r="C371" s="25">
        <v>-1.9E-2</v>
      </c>
      <c r="E371" s="13">
        <v>9637.15</v>
      </c>
      <c r="F371" s="25">
        <v>-3.8999999999999998E-3</v>
      </c>
    </row>
    <row r="372" spans="1:6">
      <c r="A372" t="s">
        <v>544</v>
      </c>
      <c r="B372" s="13">
        <v>1131.55</v>
      </c>
      <c r="C372" s="25">
        <v>0.1216</v>
      </c>
      <c r="E372" s="13">
        <v>9675.1</v>
      </c>
      <c r="F372" s="25">
        <v>2.2000000000000001E-3</v>
      </c>
    </row>
    <row r="373" spans="1:6">
      <c r="A373" t="s">
        <v>545</v>
      </c>
      <c r="B373" s="13">
        <v>1008.9</v>
      </c>
      <c r="C373" s="25">
        <v>2.1499999999999998E-2</v>
      </c>
      <c r="E373" s="13">
        <v>9653.5</v>
      </c>
      <c r="F373" s="25">
        <v>3.8999999999999998E-3</v>
      </c>
    </row>
    <row r="374" spans="1:6">
      <c r="A374" t="s">
        <v>546</v>
      </c>
      <c r="B374">
        <v>987.7</v>
      </c>
      <c r="C374" s="25">
        <v>1.6799999999999999E-2</v>
      </c>
      <c r="E374" s="13">
        <v>9616.1</v>
      </c>
      <c r="F374" s="25">
        <v>-5.0000000000000001E-4</v>
      </c>
    </row>
    <row r="375" spans="1:6">
      <c r="A375" t="s">
        <v>547</v>
      </c>
      <c r="B375">
        <v>971.35</v>
      </c>
      <c r="C375" s="25">
        <v>-5.9999999999999995E-4</v>
      </c>
      <c r="E375" s="13">
        <v>9621.25</v>
      </c>
      <c r="F375" s="25">
        <v>-2.9999999999999997E-4</v>
      </c>
    </row>
    <row r="376" spans="1:6">
      <c r="A376" t="s">
        <v>548</v>
      </c>
      <c r="B376">
        <v>971.9</v>
      </c>
      <c r="C376" s="25">
        <v>1.1999999999999999E-3</v>
      </c>
      <c r="E376" s="13">
        <v>9624.5499999999993</v>
      </c>
      <c r="F376" s="25">
        <v>2E-3</v>
      </c>
    </row>
    <row r="377" spans="1:6">
      <c r="A377" t="s">
        <v>549</v>
      </c>
      <c r="B377">
        <v>970.75</v>
      </c>
      <c r="C377" s="25">
        <v>-2.9700000000000001E-2</v>
      </c>
      <c r="E377" s="13">
        <v>9604.9</v>
      </c>
      <c r="F377" s="25">
        <v>1E-3</v>
      </c>
    </row>
    <row r="378" spans="1:6">
      <c r="A378" t="s">
        <v>550</v>
      </c>
      <c r="B378" s="13">
        <v>1000.5</v>
      </c>
      <c r="C378" s="25">
        <v>6.1499999999999999E-2</v>
      </c>
      <c r="E378" s="13">
        <v>9595.1</v>
      </c>
      <c r="F378" s="25">
        <v>8.9999999999999993E-3</v>
      </c>
    </row>
    <row r="379" spans="1:6">
      <c r="A379" t="s">
        <v>551</v>
      </c>
      <c r="B379">
        <v>942.5</v>
      </c>
      <c r="C379" s="25">
        <v>2.3999999999999998E-3</v>
      </c>
      <c r="E379" s="13">
        <v>9509.75</v>
      </c>
      <c r="F379" s="25">
        <v>1.5900000000000001E-2</v>
      </c>
    </row>
    <row r="380" spans="1:6">
      <c r="A380" t="s">
        <v>552</v>
      </c>
      <c r="B380">
        <v>940.25</v>
      </c>
      <c r="C380" s="25">
        <v>-4.9399999999999999E-2</v>
      </c>
      <c r="E380" s="13">
        <v>9360.5499999999993</v>
      </c>
      <c r="F380" s="25">
        <v>-2.7000000000000001E-3</v>
      </c>
    </row>
    <row r="381" spans="1:6">
      <c r="A381" t="s">
        <v>553</v>
      </c>
      <c r="B381">
        <v>989.1</v>
      </c>
      <c r="C381" s="25">
        <v>2.29E-2</v>
      </c>
      <c r="E381" s="13">
        <v>9386.15</v>
      </c>
      <c r="F381" s="25">
        <v>-5.4999999999999997E-3</v>
      </c>
    </row>
    <row r="382" spans="1:6">
      <c r="A382" t="s">
        <v>554</v>
      </c>
      <c r="B382">
        <v>966.95</v>
      </c>
      <c r="C382" s="25">
        <v>2.01E-2</v>
      </c>
      <c r="E382" s="13">
        <v>9438.25</v>
      </c>
      <c r="F382" s="25">
        <v>1.1000000000000001E-3</v>
      </c>
    </row>
    <row r="383" spans="1:6">
      <c r="A383" t="s">
        <v>555</v>
      </c>
      <c r="B383">
        <v>947.9</v>
      </c>
      <c r="C383" s="25">
        <v>-5.3400000000000003E-2</v>
      </c>
      <c r="E383" s="13">
        <v>9427.9</v>
      </c>
      <c r="F383" s="25">
        <v>-2.0000000000000001E-4</v>
      </c>
    </row>
    <row r="384" spans="1:6">
      <c r="A384" t="s">
        <v>556</v>
      </c>
      <c r="B384" s="13">
        <v>1001.4</v>
      </c>
      <c r="C384" s="25">
        <v>-2.2499999999999999E-2</v>
      </c>
      <c r="E384" s="13">
        <v>9429.4500000000007</v>
      </c>
      <c r="F384" s="25">
        <v>-1.01E-2</v>
      </c>
    </row>
    <row r="385" spans="1:6">
      <c r="A385" t="s">
        <v>557</v>
      </c>
      <c r="B385" s="13">
        <v>1024.45</v>
      </c>
      <c r="C385" s="25">
        <v>-9.4999999999999998E-3</v>
      </c>
      <c r="E385" s="13">
        <v>9525.75</v>
      </c>
      <c r="F385" s="25">
        <v>1.4E-3</v>
      </c>
    </row>
    <row r="386" spans="1:6">
      <c r="A386" t="s">
        <v>558</v>
      </c>
      <c r="B386" s="13">
        <v>1034.25</v>
      </c>
      <c r="C386" s="25">
        <v>-6.8999999999999999E-3</v>
      </c>
      <c r="E386" s="13">
        <v>9512.25</v>
      </c>
      <c r="F386" s="25">
        <v>7.1000000000000004E-3</v>
      </c>
    </row>
    <row r="387" spans="1:6">
      <c r="A387" t="s">
        <v>559</v>
      </c>
      <c r="B387" s="13">
        <v>1041.4000000000001</v>
      </c>
      <c r="C387" s="25">
        <v>2.7900000000000001E-2</v>
      </c>
      <c r="E387" s="13">
        <v>9445.4</v>
      </c>
      <c r="F387" s="25">
        <v>4.7000000000000002E-3</v>
      </c>
    </row>
    <row r="388" spans="1:6">
      <c r="A388" t="s">
        <v>560</v>
      </c>
      <c r="B388" s="13">
        <v>1013.1</v>
      </c>
      <c r="C388" s="25">
        <v>-1.84E-2</v>
      </c>
      <c r="E388" s="13">
        <v>9400.9</v>
      </c>
      <c r="F388" s="25">
        <v>-2.3E-3</v>
      </c>
    </row>
    <row r="389" spans="1:6">
      <c r="A389" t="s">
        <v>561</v>
      </c>
      <c r="B389" s="13">
        <v>1032.05</v>
      </c>
      <c r="C389" s="25">
        <v>-2.3699999999999999E-2</v>
      </c>
      <c r="E389" s="13">
        <v>9422.4</v>
      </c>
      <c r="F389" s="25">
        <v>1.6000000000000001E-3</v>
      </c>
    </row>
    <row r="390" spans="1:6">
      <c r="A390" t="s">
        <v>562</v>
      </c>
      <c r="B390" s="13">
        <v>1057.0999999999999</v>
      </c>
      <c r="C390" s="25">
        <v>3.15E-2</v>
      </c>
      <c r="E390" s="13">
        <v>9407.2999999999993</v>
      </c>
      <c r="F390" s="25">
        <v>9.7000000000000003E-3</v>
      </c>
    </row>
    <row r="391" spans="1:6">
      <c r="A391" t="s">
        <v>563</v>
      </c>
      <c r="B391" s="13">
        <v>1024.8499999999999</v>
      </c>
      <c r="C391" s="25">
        <v>3.0300000000000001E-2</v>
      </c>
      <c r="E391" s="13">
        <v>9316.85</v>
      </c>
      <c r="F391" s="25">
        <v>2.9999999999999997E-4</v>
      </c>
    </row>
    <row r="392" spans="1:6">
      <c r="A392" t="s">
        <v>564</v>
      </c>
      <c r="B392">
        <v>994.7</v>
      </c>
      <c r="C392" s="25">
        <v>-2.3599999999999999E-2</v>
      </c>
      <c r="E392" s="13">
        <v>9314.0499999999993</v>
      </c>
      <c r="F392" s="25">
        <v>3.0999999999999999E-3</v>
      </c>
    </row>
    <row r="393" spans="1:6">
      <c r="A393" t="s">
        <v>565</v>
      </c>
      <c r="B393" s="13">
        <v>1018.7</v>
      </c>
      <c r="C393" s="25">
        <v>6.1999999999999998E-3</v>
      </c>
      <c r="E393" s="13">
        <v>9285.2999999999993</v>
      </c>
      <c r="F393" s="25">
        <v>-8.0000000000000002E-3</v>
      </c>
    </row>
    <row r="394" spans="1:6">
      <c r="A394" t="s">
        <v>566</v>
      </c>
      <c r="B394" s="13">
        <v>1012.4</v>
      </c>
      <c r="C394" s="25">
        <v>5.62E-2</v>
      </c>
      <c r="E394" s="13">
        <v>9359.9</v>
      </c>
      <c r="F394" s="25">
        <v>5.1000000000000004E-3</v>
      </c>
    </row>
    <row r="395" spans="1:6">
      <c r="A395" t="s">
        <v>567</v>
      </c>
      <c r="B395">
        <v>958.55</v>
      </c>
      <c r="C395" s="25">
        <v>0.02</v>
      </c>
      <c r="E395" s="13">
        <v>9311.9500000000007</v>
      </c>
      <c r="F395" s="25">
        <v>-2.0000000000000001E-4</v>
      </c>
    </row>
    <row r="396" spans="1:6">
      <c r="A396" t="s">
        <v>568</v>
      </c>
      <c r="B396">
        <v>939.75</v>
      </c>
      <c r="C396" s="25">
        <v>5.7999999999999996E-3</v>
      </c>
      <c r="E396" s="13">
        <v>9313.7999999999993</v>
      </c>
      <c r="F396" s="25">
        <v>1E-3</v>
      </c>
    </row>
    <row r="397" spans="1:6">
      <c r="A397" t="s">
        <v>569</v>
      </c>
      <c r="B397">
        <v>934.3</v>
      </c>
      <c r="C397" s="25">
        <v>-4.3E-3</v>
      </c>
      <c r="E397" s="13">
        <v>9304.0499999999993</v>
      </c>
      <c r="F397" s="25">
        <v>-4.1000000000000003E-3</v>
      </c>
    </row>
    <row r="398" spans="1:6">
      <c r="A398" t="s">
        <v>570</v>
      </c>
      <c r="B398">
        <v>938.3</v>
      </c>
      <c r="C398" s="25">
        <v>-3.0999999999999999E-3</v>
      </c>
      <c r="E398" s="13">
        <v>9342.15</v>
      </c>
      <c r="F398" s="25">
        <v>-1E-3</v>
      </c>
    </row>
    <row r="399" spans="1:6">
      <c r="A399" t="s">
        <v>571</v>
      </c>
      <c r="B399">
        <v>941.2</v>
      </c>
      <c r="C399" s="25">
        <v>1.32E-2</v>
      </c>
      <c r="E399" s="13">
        <v>9351.85</v>
      </c>
      <c r="F399" s="25">
        <v>4.8999999999999998E-3</v>
      </c>
    </row>
    <row r="400" spans="1:6">
      <c r="A400" t="s">
        <v>572</v>
      </c>
      <c r="B400">
        <v>928.9</v>
      </c>
      <c r="C400" s="25">
        <v>1.12E-2</v>
      </c>
      <c r="E400" s="13">
        <v>9306.6</v>
      </c>
      <c r="F400" s="25">
        <v>9.5999999999999992E-3</v>
      </c>
    </row>
    <row r="401" spans="1:6">
      <c r="A401" t="s">
        <v>573</v>
      </c>
      <c r="B401">
        <v>918.6</v>
      </c>
      <c r="C401" s="25">
        <v>8.2000000000000007E-3</v>
      </c>
      <c r="E401" s="13">
        <v>9217.9500000000007</v>
      </c>
      <c r="F401" s="25">
        <v>1.0800000000000001E-2</v>
      </c>
    </row>
    <row r="402" spans="1:6">
      <c r="A402" t="s">
        <v>574</v>
      </c>
      <c r="B402">
        <v>911.1</v>
      </c>
      <c r="C402" s="25">
        <v>-5.0000000000000001E-4</v>
      </c>
      <c r="E402" s="13">
        <v>9119.4</v>
      </c>
      <c r="F402" s="25">
        <v>-1.9E-3</v>
      </c>
    </row>
    <row r="403" spans="1:6">
      <c r="A403" t="s">
        <v>575</v>
      </c>
      <c r="B403">
        <v>911.55</v>
      </c>
      <c r="C403" s="25">
        <v>1.8100000000000002E-2</v>
      </c>
      <c r="E403" s="13">
        <v>9136.4</v>
      </c>
      <c r="F403" s="25">
        <v>3.5999999999999999E-3</v>
      </c>
    </row>
    <row r="404" spans="1:6">
      <c r="A404" t="s">
        <v>576</v>
      </c>
      <c r="B404">
        <v>895.35</v>
      </c>
      <c r="C404" s="25">
        <v>2.1399999999999999E-2</v>
      </c>
      <c r="E404" s="13">
        <v>9103.5</v>
      </c>
      <c r="F404" s="25">
        <v>-2.0000000000000001E-4</v>
      </c>
    </row>
    <row r="405" spans="1:6">
      <c r="A405" t="s">
        <v>577</v>
      </c>
      <c r="B405">
        <v>876.55</v>
      </c>
      <c r="C405" s="25">
        <v>-4.9399999999999999E-2</v>
      </c>
      <c r="E405" s="13">
        <v>9105.15</v>
      </c>
      <c r="F405" s="25">
        <v>-3.7000000000000002E-3</v>
      </c>
    </row>
    <row r="406" spans="1:6">
      <c r="A406" t="s">
        <v>578</v>
      </c>
      <c r="B406">
        <v>922.1</v>
      </c>
      <c r="C406" s="25">
        <v>2.3099999999999999E-2</v>
      </c>
      <c r="E406" s="13">
        <v>9139.2999999999993</v>
      </c>
      <c r="F406" s="25">
        <v>-1.2999999999999999E-3</v>
      </c>
    </row>
    <row r="407" spans="1:6">
      <c r="A407" t="s">
        <v>579</v>
      </c>
      <c r="B407">
        <v>901.25</v>
      </c>
      <c r="C407" s="25">
        <v>-1.9199999999999998E-2</v>
      </c>
      <c r="E407" s="13">
        <v>9150.7999999999993</v>
      </c>
      <c r="F407" s="25">
        <v>-5.7000000000000002E-3</v>
      </c>
    </row>
    <row r="408" spans="1:6">
      <c r="A408" t="s">
        <v>580</v>
      </c>
      <c r="B408">
        <v>918.85</v>
      </c>
      <c r="C408" s="25">
        <v>8.0999999999999996E-3</v>
      </c>
      <c r="E408" s="13">
        <v>9203.4500000000007</v>
      </c>
      <c r="F408" s="25">
        <v>-3.5999999999999999E-3</v>
      </c>
    </row>
    <row r="409" spans="1:6">
      <c r="A409" t="s">
        <v>581</v>
      </c>
      <c r="B409">
        <v>911.45</v>
      </c>
      <c r="C409" s="25">
        <v>1.03E-2</v>
      </c>
      <c r="E409" s="13">
        <v>9237</v>
      </c>
      <c r="F409" s="25">
        <v>6.1000000000000004E-3</v>
      </c>
    </row>
    <row r="410" spans="1:6">
      <c r="A410" t="s">
        <v>582</v>
      </c>
      <c r="B410">
        <v>902.2</v>
      </c>
      <c r="C410" s="25">
        <v>-3.73E-2</v>
      </c>
      <c r="E410" s="13">
        <v>9181.4500000000007</v>
      </c>
      <c r="F410" s="25">
        <v>-1.8E-3</v>
      </c>
    </row>
    <row r="411" spans="1:6">
      <c r="A411" t="s">
        <v>583</v>
      </c>
      <c r="B411">
        <v>937.15</v>
      </c>
      <c r="C411" s="25">
        <v>3.0599999999999999E-2</v>
      </c>
      <c r="E411" s="13">
        <v>9198.2999999999993</v>
      </c>
      <c r="F411" s="25">
        <v>-6.8999999999999999E-3</v>
      </c>
    </row>
    <row r="412" spans="1:6">
      <c r="A412" t="s">
        <v>584</v>
      </c>
      <c r="B412">
        <v>909.3</v>
      </c>
      <c r="C412" s="25">
        <v>-2.2599999999999999E-2</v>
      </c>
      <c r="E412" s="13">
        <v>9261.9500000000007</v>
      </c>
      <c r="F412" s="25">
        <v>-2.9999999999999997E-4</v>
      </c>
    </row>
    <row r="413" spans="1:6">
      <c r="A413" t="s">
        <v>585</v>
      </c>
      <c r="B413">
        <v>930.35</v>
      </c>
      <c r="C413" s="25">
        <v>8.9499999999999996E-2</v>
      </c>
      <c r="E413" s="13">
        <v>9265.15</v>
      </c>
      <c r="F413" s="25">
        <v>3.0000000000000001E-3</v>
      </c>
    </row>
    <row r="414" spans="1:6">
      <c r="A414" t="s">
        <v>586</v>
      </c>
      <c r="B414">
        <v>853.9</v>
      </c>
      <c r="C414" s="25">
        <v>3.5499999999999997E-2</v>
      </c>
      <c r="E414" s="13">
        <v>9237.85</v>
      </c>
      <c r="F414" s="25">
        <v>7.0000000000000001E-3</v>
      </c>
    </row>
    <row r="415" spans="1:6">
      <c r="A415" t="s">
        <v>587</v>
      </c>
      <c r="B415">
        <v>824.6</v>
      </c>
      <c r="C415" s="25">
        <v>-1.2999999999999999E-3</v>
      </c>
      <c r="E415" s="13">
        <v>9173.75</v>
      </c>
      <c r="F415" s="25">
        <v>0</v>
      </c>
    </row>
    <row r="416" spans="1:6">
      <c r="A416" t="s">
        <v>588</v>
      </c>
      <c r="B416">
        <v>825.7</v>
      </c>
      <c r="C416" s="25">
        <v>-1.8E-3</v>
      </c>
      <c r="E416" s="13">
        <v>9173.75</v>
      </c>
      <c r="F416" s="25">
        <v>3.3E-3</v>
      </c>
    </row>
    <row r="417" spans="1:6">
      <c r="A417" t="s">
        <v>589</v>
      </c>
      <c r="B417">
        <v>827.2</v>
      </c>
      <c r="C417" s="25">
        <v>4.2099999999999999E-2</v>
      </c>
      <c r="E417" s="13">
        <v>9143.7999999999993</v>
      </c>
      <c r="F417" s="25">
        <v>4.7000000000000002E-3</v>
      </c>
    </row>
    <row r="418" spans="1:6">
      <c r="A418" t="s">
        <v>590</v>
      </c>
      <c r="B418">
        <v>793.8</v>
      </c>
      <c r="C418" s="25">
        <v>5.9499999999999997E-2</v>
      </c>
      <c r="E418" s="13">
        <v>9100.7999999999993</v>
      </c>
      <c r="F418" s="25">
        <v>6.1000000000000004E-3</v>
      </c>
    </row>
    <row r="419" spans="1:6">
      <c r="A419" t="s">
        <v>591</v>
      </c>
      <c r="B419">
        <v>749.2</v>
      </c>
      <c r="C419" s="25">
        <v>1.0200000000000001E-2</v>
      </c>
      <c r="E419" s="13">
        <v>9045.2000000000007</v>
      </c>
      <c r="F419" s="25">
        <v>-6.8999999999999999E-3</v>
      </c>
    </row>
    <row r="420" spans="1:6">
      <c r="A420" t="s">
        <v>592</v>
      </c>
      <c r="B420">
        <v>741.65</v>
      </c>
      <c r="C420" s="25">
        <v>-6.7999999999999996E-3</v>
      </c>
      <c r="E420" s="13">
        <v>9108</v>
      </c>
      <c r="F420" s="25">
        <v>2.3999999999999998E-3</v>
      </c>
    </row>
    <row r="421" spans="1:6">
      <c r="A421" t="s">
        <v>593</v>
      </c>
      <c r="B421">
        <v>746.7</v>
      </c>
      <c r="C421" s="25">
        <v>1.9699999999999999E-2</v>
      </c>
      <c r="E421" s="13">
        <v>9086.2999999999993</v>
      </c>
      <c r="F421" s="25">
        <v>6.1999999999999998E-3</v>
      </c>
    </row>
    <row r="422" spans="1:6">
      <c r="A422" t="s">
        <v>594</v>
      </c>
      <c r="B422">
        <v>732.25</v>
      </c>
      <c r="C422" s="25">
        <v>-3.0599999999999999E-2</v>
      </c>
      <c r="E422" s="13">
        <v>9030.4500000000007</v>
      </c>
      <c r="F422" s="25">
        <v>-0.01</v>
      </c>
    </row>
    <row r="423" spans="1:6">
      <c r="A423" t="s">
        <v>595</v>
      </c>
      <c r="B423">
        <v>755.4</v>
      </c>
      <c r="C423" s="25">
        <v>-9.4100000000000003E-2</v>
      </c>
      <c r="E423" s="13">
        <v>9121.5</v>
      </c>
      <c r="F423" s="25">
        <v>-5.9999999999999995E-4</v>
      </c>
    </row>
    <row r="424" spans="1:6">
      <c r="A424" t="s">
        <v>596</v>
      </c>
      <c r="B424">
        <v>833.85</v>
      </c>
      <c r="C424" s="25">
        <v>5.4800000000000001E-2</v>
      </c>
      <c r="E424" s="13">
        <v>9126.85</v>
      </c>
      <c r="F424" s="25">
        <v>-3.5999999999999999E-3</v>
      </c>
    </row>
    <row r="425" spans="1:6">
      <c r="A425" t="s">
        <v>597</v>
      </c>
      <c r="B425">
        <v>790.55</v>
      </c>
      <c r="C425" s="25">
        <v>-4.2900000000000001E-2</v>
      </c>
      <c r="E425" s="13">
        <v>9160.0499999999993</v>
      </c>
      <c r="F425" s="25">
        <v>6.9999999999999999E-4</v>
      </c>
    </row>
    <row r="426" spans="1:6">
      <c r="A426" t="s">
        <v>598</v>
      </c>
      <c r="B426">
        <v>825.95</v>
      </c>
      <c r="C426" s="25">
        <v>-1.1299999999999999E-2</v>
      </c>
      <c r="E426" s="13">
        <v>9153.7000000000007</v>
      </c>
      <c r="F426" s="25">
        <v>7.6E-3</v>
      </c>
    </row>
    <row r="427" spans="1:6">
      <c r="A427" t="s">
        <v>599</v>
      </c>
      <c r="B427">
        <v>835.4</v>
      </c>
      <c r="C427" s="25">
        <v>7.1999999999999998E-3</v>
      </c>
      <c r="E427" s="13">
        <v>9084.7999999999993</v>
      </c>
      <c r="F427" s="25">
        <v>-2.0000000000000001E-4</v>
      </c>
    </row>
    <row r="428" spans="1:6">
      <c r="A428" t="s">
        <v>600</v>
      </c>
      <c r="B428">
        <v>829.4</v>
      </c>
      <c r="C428" s="25">
        <v>1.4500000000000001E-2</v>
      </c>
      <c r="E428" s="13">
        <v>9087</v>
      </c>
      <c r="F428" s="25">
        <v>1.7100000000000001E-2</v>
      </c>
    </row>
    <row r="429" spans="1:6">
      <c r="A429" t="s">
        <v>601</v>
      </c>
      <c r="B429">
        <v>817.55</v>
      </c>
      <c r="C429" s="25">
        <v>1.3299999999999999E-2</v>
      </c>
      <c r="E429" s="13">
        <v>8934.5499999999993</v>
      </c>
      <c r="F429" s="25">
        <v>8.0000000000000004E-4</v>
      </c>
    </row>
    <row r="430" spans="1:6">
      <c r="A430" t="s">
        <v>602</v>
      </c>
      <c r="B430">
        <v>806.85</v>
      </c>
      <c r="C430" s="25">
        <v>-6.2899999999999998E-2</v>
      </c>
      <c r="E430" s="13">
        <v>8927</v>
      </c>
      <c r="F430" s="25">
        <v>2.9999999999999997E-4</v>
      </c>
    </row>
    <row r="431" spans="1:6">
      <c r="A431" t="s">
        <v>603</v>
      </c>
      <c r="B431">
        <v>861</v>
      </c>
      <c r="C431" s="25">
        <v>0.18490000000000001</v>
      </c>
      <c r="E431" s="13">
        <v>8924.2999999999993</v>
      </c>
      <c r="F431" s="25">
        <v>-2.5000000000000001E-3</v>
      </c>
    </row>
    <row r="432" spans="1:6">
      <c r="A432" t="s">
        <v>604</v>
      </c>
      <c r="B432">
        <v>726.65</v>
      </c>
      <c r="C432" s="25">
        <v>7.9000000000000008E-3</v>
      </c>
      <c r="E432" s="13">
        <v>8946.9</v>
      </c>
      <c r="F432" s="25">
        <v>-1.8E-3</v>
      </c>
    </row>
    <row r="433" spans="1:6">
      <c r="A433" t="s">
        <v>605</v>
      </c>
      <c r="B433">
        <v>720.95</v>
      </c>
      <c r="C433" s="25">
        <v>5.1200000000000002E-2</v>
      </c>
      <c r="E433" s="13">
        <v>8963.4500000000007</v>
      </c>
      <c r="F433" s="25">
        <v>7.4000000000000003E-3</v>
      </c>
    </row>
    <row r="434" spans="1:6">
      <c r="A434" t="s">
        <v>606</v>
      </c>
      <c r="B434">
        <v>685.85</v>
      </c>
      <c r="C434" s="25">
        <v>-8.6E-3</v>
      </c>
      <c r="E434" s="13">
        <v>8897.5499999999993</v>
      </c>
      <c r="F434" s="25">
        <v>-2.0000000000000001E-4</v>
      </c>
    </row>
    <row r="435" spans="1:6">
      <c r="A435" t="s">
        <v>607</v>
      </c>
      <c r="B435">
        <v>691.8</v>
      </c>
      <c r="C435" s="25">
        <v>-2.7900000000000001E-2</v>
      </c>
      <c r="E435" s="13">
        <v>8899.75</v>
      </c>
      <c r="F435" s="25">
        <v>-5.1000000000000004E-3</v>
      </c>
    </row>
    <row r="436" spans="1:6">
      <c r="A436" t="s">
        <v>608</v>
      </c>
      <c r="B436">
        <v>711.65</v>
      </c>
      <c r="C436" s="25">
        <v>-9.5999999999999992E-3</v>
      </c>
      <c r="E436" s="13">
        <v>8945.7999999999993</v>
      </c>
      <c r="F436" s="25">
        <v>7.4999999999999997E-3</v>
      </c>
    </row>
    <row r="437" spans="1:6">
      <c r="A437" t="s">
        <v>609</v>
      </c>
      <c r="B437">
        <v>718.55</v>
      </c>
      <c r="C437" s="25">
        <v>2.01E-2</v>
      </c>
      <c r="E437" s="13">
        <v>8879.6</v>
      </c>
      <c r="F437" s="25">
        <v>-1.9E-3</v>
      </c>
    </row>
    <row r="438" spans="1:6">
      <c r="A438" t="s">
        <v>610</v>
      </c>
      <c r="B438">
        <v>704.4</v>
      </c>
      <c r="C438" s="25">
        <v>5.5999999999999999E-3</v>
      </c>
      <c r="E438" s="13">
        <v>8896.7000000000007</v>
      </c>
      <c r="F438" s="25">
        <v>-4.7999999999999996E-3</v>
      </c>
    </row>
    <row r="439" spans="1:6">
      <c r="A439" t="s">
        <v>611</v>
      </c>
      <c r="B439">
        <v>700.45</v>
      </c>
      <c r="C439" s="25">
        <v>2.0999999999999999E-3</v>
      </c>
      <c r="E439" s="13">
        <v>8939.5</v>
      </c>
      <c r="F439" s="25">
        <v>1.4E-3</v>
      </c>
    </row>
    <row r="440" spans="1:6">
      <c r="A440" t="s">
        <v>612</v>
      </c>
      <c r="B440">
        <v>699</v>
      </c>
      <c r="C440" s="25">
        <v>4.9200000000000001E-2</v>
      </c>
      <c r="E440" s="13">
        <v>8926.9</v>
      </c>
      <c r="F440" s="25">
        <v>2.0999999999999999E-3</v>
      </c>
    </row>
    <row r="441" spans="1:6">
      <c r="A441" t="s">
        <v>613</v>
      </c>
      <c r="B441">
        <v>666.2</v>
      </c>
      <c r="C441" s="25">
        <v>-9.1000000000000004E-3</v>
      </c>
      <c r="E441" s="13">
        <v>8907.85</v>
      </c>
      <c r="F441" s="25">
        <v>3.2000000000000002E-3</v>
      </c>
    </row>
    <row r="442" spans="1:6">
      <c r="A442" t="s">
        <v>614</v>
      </c>
      <c r="B442">
        <v>672.3</v>
      </c>
      <c r="C442" s="25">
        <v>-1.2200000000000001E-2</v>
      </c>
      <c r="E442" s="13">
        <v>8879.2000000000007</v>
      </c>
      <c r="F442" s="25">
        <v>6.4999999999999997E-3</v>
      </c>
    </row>
    <row r="443" spans="1:6">
      <c r="A443" t="s">
        <v>615</v>
      </c>
      <c r="B443">
        <v>680.6</v>
      </c>
      <c r="C443" s="25">
        <v>-5.5899999999999998E-2</v>
      </c>
      <c r="E443" s="13">
        <v>8821.7000000000007</v>
      </c>
      <c r="F443" s="25">
        <v>5.0000000000000001E-3</v>
      </c>
    </row>
    <row r="444" spans="1:6">
      <c r="A444" t="s">
        <v>616</v>
      </c>
      <c r="B444">
        <v>720.9</v>
      </c>
      <c r="C444" s="25">
        <v>7.5300000000000006E-2</v>
      </c>
      <c r="E444" s="13">
        <v>8778</v>
      </c>
      <c r="F444" s="25">
        <v>6.1000000000000004E-3</v>
      </c>
    </row>
    <row r="445" spans="1:6">
      <c r="A445" t="s">
        <v>617</v>
      </c>
      <c r="B445">
        <v>670.4</v>
      </c>
      <c r="C445" s="25">
        <v>7.1099999999999997E-2</v>
      </c>
      <c r="E445" s="13">
        <v>8724.7000000000007</v>
      </c>
      <c r="F445" s="25">
        <v>-7.7000000000000002E-3</v>
      </c>
    </row>
    <row r="446" spans="1:6">
      <c r="A446" t="s">
        <v>618</v>
      </c>
      <c r="B446">
        <v>625.9</v>
      </c>
      <c r="C446" s="25">
        <v>9.4999999999999998E-3</v>
      </c>
      <c r="E446" s="13">
        <v>8792.2999999999993</v>
      </c>
      <c r="F446" s="25">
        <v>-1.4E-3</v>
      </c>
    </row>
    <row r="447" spans="1:6">
      <c r="A447" t="s">
        <v>619</v>
      </c>
      <c r="B447">
        <v>620</v>
      </c>
      <c r="C447" s="25">
        <v>-4.4000000000000003E-3</v>
      </c>
      <c r="E447" s="13">
        <v>8805.0499999999993</v>
      </c>
      <c r="F447" s="25">
        <v>1.2999999999999999E-3</v>
      </c>
    </row>
    <row r="448" spans="1:6">
      <c r="A448" t="s">
        <v>620</v>
      </c>
      <c r="B448">
        <v>622.75</v>
      </c>
      <c r="C448" s="25">
        <v>1.6799999999999999E-2</v>
      </c>
      <c r="E448" s="13">
        <v>8793.5499999999993</v>
      </c>
      <c r="F448" s="25">
        <v>1.6999999999999999E-3</v>
      </c>
    </row>
    <row r="449" spans="1:6">
      <c r="A449" t="s">
        <v>621</v>
      </c>
      <c r="B449">
        <v>612.45000000000005</v>
      </c>
      <c r="C449" s="25">
        <v>1.17E-2</v>
      </c>
      <c r="E449" s="13">
        <v>8778.4</v>
      </c>
      <c r="F449" s="25">
        <v>1.1000000000000001E-3</v>
      </c>
    </row>
    <row r="450" spans="1:6">
      <c r="A450" t="s">
        <v>622</v>
      </c>
      <c r="B450">
        <v>605.35</v>
      </c>
      <c r="C450" s="25">
        <v>3.8600000000000002E-2</v>
      </c>
      <c r="E450" s="13">
        <v>8769.0499999999993</v>
      </c>
      <c r="F450" s="25">
        <v>1E-4</v>
      </c>
    </row>
    <row r="451" spans="1:6">
      <c r="A451" t="s">
        <v>623</v>
      </c>
      <c r="B451">
        <v>582.85</v>
      </c>
      <c r="C451" s="25">
        <v>9.1200000000000003E-2</v>
      </c>
      <c r="E451" s="13">
        <v>8768.2999999999993</v>
      </c>
      <c r="F451" s="25">
        <v>-3.7000000000000002E-3</v>
      </c>
    </row>
    <row r="452" spans="1:6">
      <c r="A452" t="s">
        <v>624</v>
      </c>
      <c r="B452">
        <v>534.15</v>
      </c>
      <c r="C452" s="25">
        <v>8.6999999999999994E-3</v>
      </c>
      <c r="E452" s="13">
        <v>8801.0499999999993</v>
      </c>
      <c r="F452" s="25">
        <v>6.8999999999999999E-3</v>
      </c>
    </row>
    <row r="453" spans="1:6">
      <c r="A453" t="s">
        <v>625</v>
      </c>
      <c r="B453">
        <v>529.54999999999995</v>
      </c>
      <c r="C453" s="25">
        <v>6.9999999999999999E-4</v>
      </c>
      <c r="E453" s="13">
        <v>8740.9500000000007</v>
      </c>
      <c r="F453" s="25">
        <v>8.0000000000000004E-4</v>
      </c>
    </row>
    <row r="454" spans="1:6">
      <c r="A454" t="s">
        <v>626</v>
      </c>
      <c r="B454">
        <v>529.20000000000005</v>
      </c>
      <c r="C454" s="25">
        <v>-8.0000000000000002E-3</v>
      </c>
      <c r="E454" s="13">
        <v>8734.25</v>
      </c>
      <c r="F454" s="25">
        <v>2E-3</v>
      </c>
    </row>
    <row r="455" spans="1:6">
      <c r="A455" t="s">
        <v>627</v>
      </c>
      <c r="B455">
        <v>533.45000000000005</v>
      </c>
      <c r="C455" s="25">
        <v>-1.2999999999999999E-2</v>
      </c>
      <c r="E455" s="13">
        <v>8716.4</v>
      </c>
      <c r="F455" s="25">
        <v>1.8100000000000002E-2</v>
      </c>
    </row>
    <row r="456" spans="1:6">
      <c r="A456" t="s">
        <v>628</v>
      </c>
      <c r="B456">
        <v>540.5</v>
      </c>
      <c r="C456" s="25">
        <v>5.7099999999999998E-2</v>
      </c>
      <c r="E456" s="13">
        <v>8561.2999999999993</v>
      </c>
      <c r="F456" s="25">
        <v>-8.3000000000000001E-3</v>
      </c>
    </row>
    <row r="457" spans="1:6">
      <c r="A457" t="s">
        <v>629</v>
      </c>
      <c r="B457">
        <v>511.3</v>
      </c>
      <c r="C457" s="25">
        <v>-2.12E-2</v>
      </c>
      <c r="E457" s="13">
        <v>8632.75</v>
      </c>
      <c r="F457" s="25">
        <v>-1E-3</v>
      </c>
    </row>
    <row r="458" spans="1:6">
      <c r="A458" t="s">
        <v>630</v>
      </c>
      <c r="B458">
        <v>522.35</v>
      </c>
      <c r="C458" s="25">
        <v>4.9599999999999998E-2</v>
      </c>
      <c r="E458" s="13">
        <v>8641.25</v>
      </c>
      <c r="F458" s="25">
        <v>4.4999999999999997E-3</v>
      </c>
    </row>
    <row r="459" spans="1:6">
      <c r="A459" t="s">
        <v>631</v>
      </c>
      <c r="B459">
        <v>497.65</v>
      </c>
      <c r="C459" s="25">
        <v>4.41E-2</v>
      </c>
      <c r="E459" s="13">
        <v>8602.75</v>
      </c>
      <c r="F459" s="25">
        <v>1.4999999999999999E-2</v>
      </c>
    </row>
    <row r="460" spans="1:6">
      <c r="A460" t="s">
        <v>632</v>
      </c>
      <c r="B460">
        <v>476.65</v>
      </c>
      <c r="C460" s="25">
        <v>-5.9999999999999995E-4</v>
      </c>
      <c r="E460" s="13">
        <v>8475.7999999999993</v>
      </c>
      <c r="F460" s="25">
        <v>0.01</v>
      </c>
    </row>
    <row r="461" spans="1:6">
      <c r="A461" t="s">
        <v>633</v>
      </c>
      <c r="B461">
        <v>476.95</v>
      </c>
      <c r="C461" s="25">
        <v>1.47E-2</v>
      </c>
      <c r="E461" s="13">
        <v>8391.5</v>
      </c>
      <c r="F461" s="25">
        <v>5.0000000000000001E-3</v>
      </c>
    </row>
    <row r="462" spans="1:6">
      <c r="A462" t="s">
        <v>634</v>
      </c>
      <c r="B462">
        <v>470.05</v>
      </c>
      <c r="C462" s="25">
        <v>-1.52E-2</v>
      </c>
      <c r="E462" s="13">
        <v>8349.35</v>
      </c>
      <c r="F462" s="25">
        <v>-1.0200000000000001E-2</v>
      </c>
    </row>
    <row r="463" spans="1:6">
      <c r="A463" t="s">
        <v>635</v>
      </c>
      <c r="B463">
        <v>477.3</v>
      </c>
      <c r="C463" s="25">
        <v>5.7999999999999996E-3</v>
      </c>
      <c r="E463" s="13">
        <v>8435.1</v>
      </c>
      <c r="F463" s="25">
        <v>2.2000000000000001E-3</v>
      </c>
    </row>
    <row r="464" spans="1:6">
      <c r="A464" t="s">
        <v>636</v>
      </c>
      <c r="B464">
        <v>474.55</v>
      </c>
      <c r="C464" s="25">
        <v>-2.8999999999999998E-3</v>
      </c>
      <c r="E464" s="13">
        <v>8417</v>
      </c>
      <c r="F464" s="25">
        <v>2.3E-3</v>
      </c>
    </row>
    <row r="465" spans="1:6">
      <c r="A465" t="s">
        <v>637</v>
      </c>
      <c r="B465">
        <v>475.95</v>
      </c>
      <c r="C465" s="25">
        <v>1.1999999999999999E-3</v>
      </c>
      <c r="E465" s="13">
        <v>8398</v>
      </c>
      <c r="F465" s="25">
        <v>-1.8E-3</v>
      </c>
    </row>
    <row r="466" spans="1:6">
      <c r="A466" t="s">
        <v>638</v>
      </c>
      <c r="B466">
        <v>475.4</v>
      </c>
      <c r="C466" s="25">
        <v>-1.0500000000000001E-2</v>
      </c>
      <c r="E466" s="13">
        <v>8412.7999999999993</v>
      </c>
      <c r="F466" s="25">
        <v>1.5E-3</v>
      </c>
    </row>
    <row r="467" spans="1:6">
      <c r="A467" t="s">
        <v>639</v>
      </c>
      <c r="B467">
        <v>480.45</v>
      </c>
      <c r="C467" s="25">
        <v>4.5999999999999999E-3</v>
      </c>
      <c r="E467" s="13">
        <v>8400.35</v>
      </c>
      <c r="F467" s="25">
        <v>-8.0000000000000004E-4</v>
      </c>
    </row>
    <row r="468" spans="1:6">
      <c r="A468" t="s">
        <v>640</v>
      </c>
      <c r="B468">
        <v>478.25</v>
      </c>
      <c r="C468" s="25">
        <v>-3.2000000000000002E-3</v>
      </c>
      <c r="E468" s="13">
        <v>8407.2000000000007</v>
      </c>
      <c r="F468" s="25">
        <v>3.2000000000000002E-3</v>
      </c>
    </row>
    <row r="469" spans="1:6">
      <c r="A469" t="s">
        <v>641</v>
      </c>
      <c r="B469">
        <v>479.8</v>
      </c>
      <c r="C469" s="25">
        <v>-5.0000000000000001E-4</v>
      </c>
      <c r="E469" s="13">
        <v>8380.65</v>
      </c>
      <c r="F469" s="25">
        <v>1.11E-2</v>
      </c>
    </row>
    <row r="470" spans="1:6">
      <c r="A470" t="s">
        <v>642</v>
      </c>
      <c r="B470">
        <v>480.05</v>
      </c>
      <c r="C470" s="25">
        <v>-5.1000000000000004E-3</v>
      </c>
      <c r="E470" s="13">
        <v>8288.6</v>
      </c>
      <c r="F470" s="25">
        <v>6.4000000000000003E-3</v>
      </c>
    </row>
    <row r="471" spans="1:6">
      <c r="A471" t="s">
        <v>643</v>
      </c>
      <c r="B471">
        <v>482.5</v>
      </c>
      <c r="C471" s="25">
        <v>4.8999999999999998E-3</v>
      </c>
      <c r="E471" s="13">
        <v>8236.0499999999993</v>
      </c>
      <c r="F471" s="25">
        <v>-8.9999999999999998E-4</v>
      </c>
    </row>
    <row r="472" spans="1:6">
      <c r="A472" t="s">
        <v>644</v>
      </c>
      <c r="B472">
        <v>480.15</v>
      </c>
      <c r="C472" s="25">
        <v>-1.8E-3</v>
      </c>
      <c r="E472" s="13">
        <v>8243.7999999999993</v>
      </c>
      <c r="F472" s="25">
        <v>-3.5999999999999999E-3</v>
      </c>
    </row>
    <row r="473" spans="1:6">
      <c r="A473" t="s">
        <v>645</v>
      </c>
      <c r="B473">
        <v>481</v>
      </c>
      <c r="C473" s="25">
        <v>-1.5599999999999999E-2</v>
      </c>
      <c r="E473" s="13">
        <v>8273.7999999999993</v>
      </c>
      <c r="F473" s="25">
        <v>1.0200000000000001E-2</v>
      </c>
    </row>
    <row r="474" spans="1:6">
      <c r="A474" t="s">
        <v>646</v>
      </c>
      <c r="B474">
        <v>488.6</v>
      </c>
      <c r="C474" s="25">
        <v>2.86E-2</v>
      </c>
      <c r="E474" s="13">
        <v>8190.5</v>
      </c>
      <c r="F474" s="25">
        <v>-2.0000000000000001E-4</v>
      </c>
    </row>
    <row r="475" spans="1:6">
      <c r="A475" t="s">
        <v>647</v>
      </c>
      <c r="B475">
        <v>475</v>
      </c>
      <c r="C475" s="25">
        <v>1.0200000000000001E-2</v>
      </c>
      <c r="E475" s="13">
        <v>8192.25</v>
      </c>
      <c r="F475" s="25">
        <v>1.6000000000000001E-3</v>
      </c>
    </row>
    <row r="476" spans="1:6">
      <c r="A476" t="s">
        <v>648</v>
      </c>
      <c r="B476">
        <v>470.2</v>
      </c>
      <c r="C476" s="25">
        <v>8.0000000000000002E-3</v>
      </c>
      <c r="E476" s="13">
        <v>8179.5</v>
      </c>
      <c r="F476" s="25">
        <v>-8.0000000000000004E-4</v>
      </c>
    </row>
    <row r="477" spans="1:6">
      <c r="A477" t="s">
        <v>649</v>
      </c>
      <c r="B477">
        <v>466.45</v>
      </c>
      <c r="C477" s="25">
        <v>4.7999999999999996E-3</v>
      </c>
      <c r="E477" s="13">
        <v>8185.8</v>
      </c>
      <c r="F477" s="25">
        <v>1.01E-2</v>
      </c>
    </row>
    <row r="478" spans="1:6">
      <c r="A478" t="s">
        <v>650</v>
      </c>
      <c r="B478">
        <v>464.2</v>
      </c>
      <c r="C478" s="25">
        <v>-1.54E-2</v>
      </c>
      <c r="E478" s="13">
        <v>8103.6</v>
      </c>
      <c r="F478" s="25">
        <v>8.6E-3</v>
      </c>
    </row>
    <row r="479" spans="1:6">
      <c r="A479" t="s">
        <v>651</v>
      </c>
      <c r="B479">
        <v>471.45</v>
      </c>
      <c r="C479" s="25">
        <v>4.8999999999999998E-3</v>
      </c>
      <c r="E479" s="13">
        <v>8034.85</v>
      </c>
      <c r="F479" s="25">
        <v>2.0000000000000001E-4</v>
      </c>
    </row>
    <row r="480" spans="1:6">
      <c r="A480" t="s">
        <v>652</v>
      </c>
      <c r="B480">
        <v>469.15</v>
      </c>
      <c r="C480" s="25">
        <v>3.5000000000000001E-3</v>
      </c>
      <c r="E480" s="13">
        <v>8032.85</v>
      </c>
      <c r="F480" s="25">
        <v>1.5800000000000002E-2</v>
      </c>
    </row>
    <row r="481" spans="1:6">
      <c r="A481" t="s">
        <v>653</v>
      </c>
      <c r="B481">
        <v>467.5</v>
      </c>
      <c r="C481" s="25">
        <v>8.6999999999999994E-3</v>
      </c>
      <c r="E481" s="13">
        <v>7908.25</v>
      </c>
      <c r="F481" s="25">
        <v>-9.7000000000000003E-3</v>
      </c>
    </row>
    <row r="482" spans="1:6">
      <c r="A482" t="s">
        <v>654</v>
      </c>
      <c r="B482">
        <v>463.45</v>
      </c>
      <c r="C482" s="25">
        <v>-1.8200000000000001E-2</v>
      </c>
      <c r="E482" s="13">
        <v>7985.75</v>
      </c>
      <c r="F482" s="25">
        <v>8.0000000000000004E-4</v>
      </c>
    </row>
    <row r="483" spans="1:6">
      <c r="A483" t="s">
        <v>655</v>
      </c>
      <c r="B483">
        <v>472.05</v>
      </c>
      <c r="C483" s="25">
        <v>0</v>
      </c>
      <c r="E483" s="13">
        <v>7979.1</v>
      </c>
      <c r="F483" s="25">
        <v>-1.0200000000000001E-2</v>
      </c>
    </row>
    <row r="484" spans="1:6">
      <c r="A484" t="s">
        <v>656</v>
      </c>
      <c r="B484">
        <v>472.05</v>
      </c>
      <c r="C484" s="25">
        <v>-6.1999999999999998E-3</v>
      </c>
      <c r="E484" s="13">
        <v>8061.3</v>
      </c>
      <c r="F484" s="25">
        <v>-2.5999999999999999E-3</v>
      </c>
    </row>
    <row r="485" spans="1:6">
      <c r="A485" t="s">
        <v>657</v>
      </c>
      <c r="B485">
        <v>475</v>
      </c>
      <c r="C485" s="25">
        <v>-9.1000000000000004E-3</v>
      </c>
      <c r="E485" s="13">
        <v>8082.4</v>
      </c>
      <c r="F485" s="25">
        <v>-2.7000000000000001E-3</v>
      </c>
    </row>
    <row r="486" spans="1:6">
      <c r="A486" t="s">
        <v>658</v>
      </c>
      <c r="B486">
        <v>479.35</v>
      </c>
      <c r="C486" s="25">
        <v>9.1999999999999998E-3</v>
      </c>
      <c r="E486" s="13">
        <v>8104.35</v>
      </c>
      <c r="F486" s="25">
        <v>-4.3E-3</v>
      </c>
    </row>
    <row r="487" spans="1:6">
      <c r="A487" t="s">
        <v>659</v>
      </c>
      <c r="B487">
        <v>475</v>
      </c>
      <c r="C487" s="25">
        <v>2.5999999999999999E-3</v>
      </c>
      <c r="E487" s="13">
        <v>8139.45</v>
      </c>
      <c r="F487" s="25">
        <v>-1.6999999999999999E-3</v>
      </c>
    </row>
    <row r="488" spans="1:6">
      <c r="A488" t="s">
        <v>660</v>
      </c>
      <c r="B488">
        <v>473.75</v>
      </c>
      <c r="C488" s="25">
        <v>-1.4999999999999999E-2</v>
      </c>
      <c r="E488" s="13">
        <v>8153.6</v>
      </c>
      <c r="F488" s="25">
        <v>-3.5000000000000001E-3</v>
      </c>
    </row>
    <row r="489" spans="1:6">
      <c r="A489" t="s">
        <v>661</v>
      </c>
      <c r="B489">
        <v>480.95</v>
      </c>
      <c r="C489" s="25">
        <v>9.4000000000000004E-3</v>
      </c>
      <c r="E489" s="13">
        <v>8182.45</v>
      </c>
      <c r="F489" s="25">
        <v>-4.7999999999999996E-3</v>
      </c>
    </row>
    <row r="490" spans="1:6">
      <c r="A490" t="s">
        <v>662</v>
      </c>
      <c r="B490">
        <v>476.45</v>
      </c>
      <c r="C490" s="25">
        <v>-9.5999999999999992E-3</v>
      </c>
      <c r="E490" s="13">
        <v>8221.7999999999993</v>
      </c>
      <c r="F490" s="25">
        <v>6.1999999999999998E-3</v>
      </c>
    </row>
    <row r="491" spans="1:6">
      <c r="A491" t="s">
        <v>663</v>
      </c>
      <c r="B491">
        <v>481.05</v>
      </c>
      <c r="C491" s="25">
        <v>2.23E-2</v>
      </c>
      <c r="E491" s="13">
        <v>8170.8</v>
      </c>
      <c r="F491" s="25">
        <v>-1.0999999999999999E-2</v>
      </c>
    </row>
    <row r="492" spans="1:6">
      <c r="A492" t="s">
        <v>664</v>
      </c>
      <c r="B492">
        <v>470.55</v>
      </c>
      <c r="C492" s="25">
        <v>1.01E-2</v>
      </c>
      <c r="E492" s="13">
        <v>8261.75</v>
      </c>
      <c r="F492" s="25">
        <v>1.8E-3</v>
      </c>
    </row>
    <row r="493" spans="1:6">
      <c r="A493" t="s">
        <v>665</v>
      </c>
      <c r="B493">
        <v>465.85</v>
      </c>
      <c r="C493" s="25">
        <v>-3.3E-3</v>
      </c>
      <c r="E493" s="13">
        <v>8246.85</v>
      </c>
      <c r="F493" s="25">
        <v>1.7899999999999999E-2</v>
      </c>
    </row>
    <row r="494" spans="1:6">
      <c r="A494" t="s">
        <v>666</v>
      </c>
      <c r="B494">
        <v>467.4</v>
      </c>
      <c r="C494" s="25">
        <v>-9.7000000000000003E-3</v>
      </c>
      <c r="E494" s="13">
        <v>8102.05</v>
      </c>
      <c r="F494" s="25">
        <v>-5.0000000000000001E-3</v>
      </c>
    </row>
    <row r="495" spans="1:6">
      <c r="A495" t="s">
        <v>667</v>
      </c>
      <c r="B495">
        <v>472</v>
      </c>
      <c r="C495" s="25">
        <v>-5.7999999999999996E-3</v>
      </c>
      <c r="E495" s="13">
        <v>8143.15</v>
      </c>
      <c r="F495" s="25">
        <v>1.8E-3</v>
      </c>
    </row>
    <row r="496" spans="1:6">
      <c r="A496" t="s">
        <v>668</v>
      </c>
      <c r="B496">
        <v>474.75</v>
      </c>
      <c r="C496" s="25">
        <v>3.7000000000000002E-3</v>
      </c>
      <c r="E496" s="13">
        <v>8128.75</v>
      </c>
      <c r="F496" s="25">
        <v>5.1999999999999998E-3</v>
      </c>
    </row>
    <row r="497" spans="1:6">
      <c r="A497" t="s">
        <v>669</v>
      </c>
      <c r="B497">
        <v>473</v>
      </c>
      <c r="C497" s="25">
        <v>-1.15E-2</v>
      </c>
      <c r="E497" s="13">
        <v>8086.8</v>
      </c>
      <c r="F497" s="25">
        <v>-1.2999999999999999E-2</v>
      </c>
    </row>
    <row r="498" spans="1:6">
      <c r="A498" t="s">
        <v>670</v>
      </c>
      <c r="B498">
        <v>478.5</v>
      </c>
      <c r="C498" s="25">
        <v>-1.1599999999999999E-2</v>
      </c>
      <c r="E498" s="13">
        <v>8192.9</v>
      </c>
      <c r="F498" s="25">
        <v>-3.8E-3</v>
      </c>
    </row>
    <row r="499" spans="1:6">
      <c r="A499" t="s">
        <v>671</v>
      </c>
      <c r="B499">
        <v>484.1</v>
      </c>
      <c r="C499" s="25">
        <v>2.5899999999999999E-2</v>
      </c>
      <c r="E499" s="13">
        <v>8224.5</v>
      </c>
      <c r="F499" s="25">
        <v>1.01E-2</v>
      </c>
    </row>
    <row r="500" spans="1:6">
      <c r="A500" t="s">
        <v>672</v>
      </c>
      <c r="B500">
        <v>471.9</v>
      </c>
      <c r="C500" s="25">
        <v>-1.4E-3</v>
      </c>
      <c r="E500" s="13">
        <v>8142.15</v>
      </c>
      <c r="F500" s="25">
        <v>1.9E-3</v>
      </c>
    </row>
    <row r="501" spans="1:6">
      <c r="A501" t="s">
        <v>673</v>
      </c>
      <c r="B501">
        <v>472.55</v>
      </c>
      <c r="C501" s="25">
        <v>-8.9999999999999993E-3</v>
      </c>
      <c r="E501" s="13">
        <v>8126.9</v>
      </c>
      <c r="F501" s="25">
        <v>1.6000000000000001E-3</v>
      </c>
    </row>
    <row r="502" spans="1:6">
      <c r="A502" t="s">
        <v>674</v>
      </c>
      <c r="B502">
        <v>476.85</v>
      </c>
      <c r="C502" s="25">
        <v>5.9999999999999995E-4</v>
      </c>
      <c r="E502" s="13">
        <v>8114.3</v>
      </c>
      <c r="F502" s="25">
        <v>1.8700000000000001E-2</v>
      </c>
    </row>
    <row r="503" spans="1:6">
      <c r="A503" t="s">
        <v>675</v>
      </c>
      <c r="B503">
        <v>476.55</v>
      </c>
      <c r="C503" s="25">
        <v>6.0000000000000001E-3</v>
      </c>
      <c r="E503" s="13">
        <v>7965.5</v>
      </c>
      <c r="F503" s="25">
        <v>-8.3999999999999995E-3</v>
      </c>
    </row>
    <row r="504" spans="1:6">
      <c r="A504" t="s">
        <v>676</v>
      </c>
      <c r="B504">
        <v>473.7</v>
      </c>
      <c r="C504" s="25">
        <v>2.18E-2</v>
      </c>
      <c r="E504" s="13">
        <v>8033.3</v>
      </c>
      <c r="F504" s="25">
        <v>3.8999999999999998E-3</v>
      </c>
    </row>
    <row r="505" spans="1:6">
      <c r="A505" t="s">
        <v>677</v>
      </c>
      <c r="B505">
        <v>463.6</v>
      </c>
      <c r="C505" s="25">
        <v>2.9899999999999999E-2</v>
      </c>
      <c r="E505" s="13">
        <v>8002.3</v>
      </c>
      <c r="F505" s="25">
        <v>9.1999999999999998E-3</v>
      </c>
    </row>
    <row r="506" spans="1:6">
      <c r="A506" t="s">
        <v>678</v>
      </c>
      <c r="B506">
        <v>450.15</v>
      </c>
      <c r="C506" s="25">
        <v>-8.9999999999999998E-4</v>
      </c>
      <c r="E506" s="13">
        <v>7929.1</v>
      </c>
      <c r="F506" s="25">
        <v>-1.7999999999999999E-2</v>
      </c>
    </row>
    <row r="507" spans="1:6">
      <c r="A507" t="s">
        <v>679</v>
      </c>
      <c r="B507">
        <v>450.55</v>
      </c>
      <c r="C507" s="25">
        <v>-7.9000000000000008E-3</v>
      </c>
      <c r="E507" s="13">
        <v>8074.1</v>
      </c>
      <c r="F507" s="25">
        <v>-6.9999999999999999E-4</v>
      </c>
    </row>
    <row r="508" spans="1:6">
      <c r="A508" t="s">
        <v>680</v>
      </c>
      <c r="B508">
        <v>454.15</v>
      </c>
      <c r="C508" s="25">
        <v>-5.3900000000000003E-2</v>
      </c>
      <c r="E508" s="13">
        <v>8079.95</v>
      </c>
      <c r="F508" s="25">
        <v>-3.8999999999999998E-3</v>
      </c>
    </row>
    <row r="509" spans="1:6">
      <c r="A509" t="s">
        <v>681</v>
      </c>
      <c r="B509">
        <v>480</v>
      </c>
      <c r="C509" s="25">
        <v>3.6400000000000002E-2</v>
      </c>
      <c r="E509" s="13">
        <v>8111.6</v>
      </c>
      <c r="F509" s="25">
        <v>4.0000000000000002E-4</v>
      </c>
    </row>
    <row r="510" spans="1:6">
      <c r="A510" t="s">
        <v>682</v>
      </c>
      <c r="B510">
        <v>463.15</v>
      </c>
      <c r="C510" s="25">
        <v>-7.2900000000000006E-2</v>
      </c>
      <c r="E510" s="13">
        <v>8108.45</v>
      </c>
      <c r="F510" s="25">
        <v>-2.2599999999999999E-2</v>
      </c>
    </row>
    <row r="511" spans="1:6">
      <c r="A511" t="s">
        <v>683</v>
      </c>
      <c r="B511">
        <v>499.55</v>
      </c>
      <c r="C511" s="25">
        <v>-5.1999999999999998E-3</v>
      </c>
      <c r="E511" s="13">
        <v>8296.2999999999993</v>
      </c>
      <c r="F511" s="25">
        <v>-2.69E-2</v>
      </c>
    </row>
    <row r="512" spans="1:6">
      <c r="A512" t="s">
        <v>684</v>
      </c>
      <c r="B512">
        <v>502.15</v>
      </c>
      <c r="C512" s="25">
        <v>1.8700000000000001E-2</v>
      </c>
      <c r="E512" s="13">
        <v>8525.75</v>
      </c>
      <c r="F512" s="25">
        <v>1.11E-2</v>
      </c>
    </row>
    <row r="513" spans="1:6">
      <c r="A513" t="s">
        <v>685</v>
      </c>
      <c r="B513">
        <v>492.95</v>
      </c>
      <c r="C513" s="25">
        <v>-2.47E-2</v>
      </c>
      <c r="E513" s="13">
        <v>8432</v>
      </c>
      <c r="F513" s="25">
        <v>-1.3100000000000001E-2</v>
      </c>
    </row>
    <row r="514" spans="1:6">
      <c r="A514" t="s">
        <v>686</v>
      </c>
      <c r="B514">
        <v>505.45</v>
      </c>
      <c r="C514" s="25">
        <v>-9.5999999999999992E-3</v>
      </c>
      <c r="E514" s="13">
        <v>8543.5499999999993</v>
      </c>
      <c r="F514" s="25">
        <v>5.4999999999999997E-3</v>
      </c>
    </row>
    <row r="515" spans="1:6">
      <c r="A515" t="s">
        <v>687</v>
      </c>
      <c r="B515">
        <v>510.35</v>
      </c>
      <c r="C515" s="25">
        <v>-3.0999999999999999E-3</v>
      </c>
      <c r="E515" s="13">
        <v>8497.0499999999993</v>
      </c>
      <c r="F515" s="25">
        <v>7.4999999999999997E-3</v>
      </c>
    </row>
    <row r="516" spans="1:6">
      <c r="A516" t="s">
        <v>688</v>
      </c>
      <c r="B516">
        <v>511.95</v>
      </c>
      <c r="C516" s="25">
        <v>1.38E-2</v>
      </c>
      <c r="E516" s="13">
        <v>8433.75</v>
      </c>
      <c r="F516" s="25">
        <v>-6.0000000000000001E-3</v>
      </c>
    </row>
    <row r="517" spans="1:6">
      <c r="A517" t="s">
        <v>689</v>
      </c>
      <c r="B517">
        <v>505</v>
      </c>
      <c r="C517" s="25">
        <v>-2.7400000000000001E-2</v>
      </c>
      <c r="E517" s="13">
        <v>8484.9500000000007</v>
      </c>
      <c r="F517" s="25">
        <v>-3.3999999999999998E-3</v>
      </c>
    </row>
    <row r="518" spans="1:6">
      <c r="A518" t="s">
        <v>690</v>
      </c>
      <c r="B518">
        <v>519.25</v>
      </c>
      <c r="C518" s="25">
        <v>-1.14E-2</v>
      </c>
      <c r="E518" s="13">
        <v>8514</v>
      </c>
      <c r="F518" s="25">
        <v>-1.2999999999999999E-2</v>
      </c>
    </row>
    <row r="519" spans="1:6">
      <c r="A519" t="s">
        <v>691</v>
      </c>
      <c r="B519">
        <v>525.25</v>
      </c>
      <c r="C519" s="25">
        <v>-8.9999999999999993E-3</v>
      </c>
      <c r="E519" s="13">
        <v>8626.25</v>
      </c>
      <c r="F519" s="25">
        <v>1E-4</v>
      </c>
    </row>
    <row r="520" spans="1:6">
      <c r="A520" t="s">
        <v>692</v>
      </c>
      <c r="B520">
        <v>530</v>
      </c>
      <c r="C520" s="25">
        <v>2.2100000000000002E-2</v>
      </c>
      <c r="E520" s="13">
        <v>8625.7000000000007</v>
      </c>
      <c r="F520" s="25">
        <v>-1.4E-3</v>
      </c>
    </row>
    <row r="521" spans="1:6">
      <c r="A521" t="s">
        <v>693</v>
      </c>
      <c r="B521">
        <v>518.54999999999995</v>
      </c>
      <c r="C521" s="25">
        <v>-1.4800000000000001E-2</v>
      </c>
      <c r="E521" s="13">
        <v>8638</v>
      </c>
      <c r="F521" s="25">
        <v>2.5999999999999999E-3</v>
      </c>
    </row>
    <row r="522" spans="1:6">
      <c r="A522" t="s">
        <v>694</v>
      </c>
      <c r="B522">
        <v>526.35</v>
      </c>
      <c r="C522" s="25">
        <v>-9.4000000000000004E-3</v>
      </c>
      <c r="E522" s="13">
        <v>8615.25</v>
      </c>
      <c r="F522" s="25">
        <v>0</v>
      </c>
    </row>
    <row r="523" spans="1:6">
      <c r="A523" t="s">
        <v>695</v>
      </c>
      <c r="B523">
        <v>531.35</v>
      </c>
      <c r="C523" s="25">
        <v>1.54E-2</v>
      </c>
      <c r="E523" s="13">
        <v>8615.25</v>
      </c>
      <c r="F523" s="25">
        <v>-8.8000000000000005E-3</v>
      </c>
    </row>
    <row r="524" spans="1:6">
      <c r="A524" t="s">
        <v>696</v>
      </c>
      <c r="B524">
        <v>523.29999999999995</v>
      </c>
      <c r="C524" s="25">
        <v>-7.1999999999999998E-3</v>
      </c>
      <c r="E524" s="13">
        <v>8691.2999999999993</v>
      </c>
      <c r="F524" s="25">
        <v>-2E-3</v>
      </c>
    </row>
    <row r="525" spans="1:6">
      <c r="A525" t="s">
        <v>697</v>
      </c>
      <c r="B525">
        <v>527.1</v>
      </c>
      <c r="C525" s="25">
        <v>4.3E-3</v>
      </c>
      <c r="E525" s="13">
        <v>8708.9500000000007</v>
      </c>
      <c r="F525" s="25">
        <v>1.8E-3</v>
      </c>
    </row>
    <row r="526" spans="1:6">
      <c r="A526" t="s">
        <v>698</v>
      </c>
      <c r="B526">
        <v>524.85</v>
      </c>
      <c r="C526" s="25">
        <v>9.4000000000000004E-3</v>
      </c>
      <c r="E526" s="13">
        <v>8693.0499999999993</v>
      </c>
      <c r="F526" s="25">
        <v>-6.9999999999999999E-4</v>
      </c>
    </row>
    <row r="527" spans="1:6">
      <c r="A527" t="s">
        <v>699</v>
      </c>
      <c r="B527">
        <v>519.95000000000005</v>
      </c>
      <c r="C527" s="25">
        <v>3.8E-3</v>
      </c>
      <c r="E527" s="13">
        <v>8699.4</v>
      </c>
      <c r="F527" s="25">
        <v>4.7000000000000002E-3</v>
      </c>
    </row>
    <row r="528" spans="1:6">
      <c r="A528" t="s">
        <v>700</v>
      </c>
      <c r="B528">
        <v>518</v>
      </c>
      <c r="C528" s="25">
        <v>-3.8E-3</v>
      </c>
      <c r="E528" s="13">
        <v>8659.1</v>
      </c>
      <c r="F528" s="25">
        <v>-2.2000000000000001E-3</v>
      </c>
    </row>
    <row r="529" spans="1:6">
      <c r="A529" t="s">
        <v>701</v>
      </c>
      <c r="B529">
        <v>520</v>
      </c>
      <c r="C529" s="25">
        <v>1.89E-2</v>
      </c>
      <c r="E529" s="13">
        <v>8677.9</v>
      </c>
      <c r="F529" s="25">
        <v>1.8499999999999999E-2</v>
      </c>
    </row>
    <row r="530" spans="1:6">
      <c r="A530" t="s">
        <v>702</v>
      </c>
      <c r="B530">
        <v>510.35</v>
      </c>
      <c r="C530" s="25">
        <v>1.21E-2</v>
      </c>
      <c r="E530" s="13">
        <v>8520.4</v>
      </c>
      <c r="F530" s="25">
        <v>-7.3000000000000001E-3</v>
      </c>
    </row>
    <row r="531" spans="1:6">
      <c r="A531" t="s">
        <v>703</v>
      </c>
      <c r="B531">
        <v>504.25</v>
      </c>
      <c r="C531" s="25">
        <v>8.2000000000000007E-3</v>
      </c>
      <c r="E531" s="13">
        <v>8583.4</v>
      </c>
      <c r="F531" s="25">
        <v>1.1999999999999999E-3</v>
      </c>
    </row>
    <row r="532" spans="1:6">
      <c r="A532" t="s">
        <v>704</v>
      </c>
      <c r="B532">
        <v>500.15</v>
      </c>
      <c r="C532" s="25">
        <v>-2.8799999999999999E-2</v>
      </c>
      <c r="E532" s="13">
        <v>8573.35</v>
      </c>
      <c r="F532" s="25">
        <v>-1.5599999999999999E-2</v>
      </c>
    </row>
    <row r="533" spans="1:6">
      <c r="A533" t="s">
        <v>705</v>
      </c>
      <c r="B533">
        <v>515</v>
      </c>
      <c r="C533" s="25">
        <v>-9.4000000000000004E-3</v>
      </c>
      <c r="E533" s="13">
        <v>8708.7999999999993</v>
      </c>
      <c r="F533" s="25">
        <v>1.2999999999999999E-3</v>
      </c>
    </row>
    <row r="534" spans="1:6">
      <c r="A534" t="s">
        <v>706</v>
      </c>
      <c r="B534">
        <v>519.9</v>
      </c>
      <c r="C534" s="25">
        <v>-6.6E-3</v>
      </c>
      <c r="E534" s="13">
        <v>8697.6</v>
      </c>
      <c r="F534" s="25">
        <v>-1.4E-3</v>
      </c>
    </row>
    <row r="535" spans="1:6">
      <c r="A535" t="s">
        <v>707</v>
      </c>
      <c r="B535">
        <v>523.35</v>
      </c>
      <c r="C535" s="25">
        <v>3.4099999999999998E-2</v>
      </c>
      <c r="E535" s="13">
        <v>8709.5499999999993</v>
      </c>
      <c r="F535" s="25">
        <v>-3.8999999999999998E-3</v>
      </c>
    </row>
    <row r="536" spans="1:6">
      <c r="A536" t="s">
        <v>708</v>
      </c>
      <c r="B536">
        <v>506.1</v>
      </c>
      <c r="C536" s="25">
        <v>-1.9800000000000002E-2</v>
      </c>
      <c r="E536" s="13">
        <v>8743.9500000000007</v>
      </c>
      <c r="F536" s="25">
        <v>-2.8999999999999998E-3</v>
      </c>
    </row>
    <row r="537" spans="1:6">
      <c r="A537" t="s">
        <v>709</v>
      </c>
      <c r="B537">
        <v>516.29999999999995</v>
      </c>
      <c r="C537" s="25">
        <v>7.6E-3</v>
      </c>
      <c r="E537" s="13">
        <v>8769.15</v>
      </c>
      <c r="F537" s="25">
        <v>3.5999999999999999E-3</v>
      </c>
    </row>
    <row r="538" spans="1:6">
      <c r="A538" t="s">
        <v>710</v>
      </c>
      <c r="B538">
        <v>512.4</v>
      </c>
      <c r="C538" s="25">
        <v>9.9000000000000008E-3</v>
      </c>
      <c r="E538" s="13">
        <v>8738.1</v>
      </c>
      <c r="F538" s="25">
        <v>1.47E-2</v>
      </c>
    </row>
    <row r="539" spans="1:6">
      <c r="A539" t="s">
        <v>711</v>
      </c>
      <c r="B539">
        <v>507.4</v>
      </c>
      <c r="C539" s="25">
        <v>2.47E-2</v>
      </c>
      <c r="E539" s="13">
        <v>8611.15</v>
      </c>
      <c r="F539" s="25">
        <v>2.3E-3</v>
      </c>
    </row>
    <row r="540" spans="1:6">
      <c r="A540" t="s">
        <v>712</v>
      </c>
      <c r="B540">
        <v>495.15</v>
      </c>
      <c r="C540" s="25">
        <v>-2.7699999999999999E-2</v>
      </c>
      <c r="E540" s="13">
        <v>8591.25</v>
      </c>
      <c r="F540" s="25">
        <v>-1.7600000000000001E-2</v>
      </c>
    </row>
    <row r="541" spans="1:6">
      <c r="A541" t="s">
        <v>713</v>
      </c>
      <c r="B541">
        <v>509.25</v>
      </c>
      <c r="C541" s="25">
        <v>8.3999999999999995E-3</v>
      </c>
      <c r="E541" s="13">
        <v>8745.15</v>
      </c>
      <c r="F541" s="25">
        <v>4.4999999999999997E-3</v>
      </c>
    </row>
    <row r="542" spans="1:6">
      <c r="A542" t="s">
        <v>714</v>
      </c>
      <c r="B542">
        <v>505</v>
      </c>
      <c r="C542" s="25">
        <v>0</v>
      </c>
      <c r="E542" s="13">
        <v>8706.4</v>
      </c>
      <c r="F542" s="25">
        <v>-1.9E-3</v>
      </c>
    </row>
    <row r="543" spans="1:6">
      <c r="A543" t="s">
        <v>715</v>
      </c>
      <c r="B543">
        <v>505</v>
      </c>
      <c r="C543" s="25">
        <v>1.04E-2</v>
      </c>
      <c r="E543" s="13">
        <v>8723.0499999999993</v>
      </c>
      <c r="F543" s="25">
        <v>-1.23E-2</v>
      </c>
    </row>
    <row r="544" spans="1:6">
      <c r="A544" t="s">
        <v>716</v>
      </c>
      <c r="B544">
        <v>499.8</v>
      </c>
      <c r="C544" s="25">
        <v>-1.9E-2</v>
      </c>
      <c r="E544" s="13">
        <v>8831.5499999999993</v>
      </c>
      <c r="F544" s="25">
        <v>-4.0000000000000001E-3</v>
      </c>
    </row>
    <row r="545" spans="1:6">
      <c r="A545" t="s">
        <v>717</v>
      </c>
      <c r="B545">
        <v>509.5</v>
      </c>
      <c r="C545" s="25">
        <v>1.8499999999999999E-2</v>
      </c>
      <c r="E545" s="13">
        <v>8867.4500000000007</v>
      </c>
      <c r="F545" s="25">
        <v>1.03E-2</v>
      </c>
    </row>
    <row r="546" spans="1:6">
      <c r="A546" t="s">
        <v>718</v>
      </c>
      <c r="B546">
        <v>500.25</v>
      </c>
      <c r="C546" s="25">
        <v>1.2200000000000001E-2</v>
      </c>
      <c r="E546" s="13">
        <v>8777.15</v>
      </c>
      <c r="F546" s="25">
        <v>1E-4</v>
      </c>
    </row>
    <row r="547" spans="1:6">
      <c r="A547" t="s">
        <v>719</v>
      </c>
      <c r="B547">
        <v>494.2</v>
      </c>
      <c r="C547" s="25">
        <v>-1.21E-2</v>
      </c>
      <c r="E547" s="13">
        <v>8775.9</v>
      </c>
      <c r="F547" s="25">
        <v>-3.7000000000000002E-3</v>
      </c>
    </row>
    <row r="548" spans="1:6">
      <c r="A548" t="s">
        <v>720</v>
      </c>
      <c r="B548">
        <v>500.25</v>
      </c>
      <c r="C548" s="25">
        <v>-2.1299999999999999E-2</v>
      </c>
      <c r="E548" s="13">
        <v>8808.4</v>
      </c>
      <c r="F548" s="25">
        <v>3.3E-3</v>
      </c>
    </row>
    <row r="549" spans="1:6">
      <c r="A549" t="s">
        <v>721</v>
      </c>
      <c r="B549">
        <v>511.15</v>
      </c>
      <c r="C549" s="25">
        <v>8.8000000000000005E-3</v>
      </c>
      <c r="E549" s="13">
        <v>8779.85</v>
      </c>
      <c r="F549" s="25">
        <v>4.3E-3</v>
      </c>
    </row>
    <row r="550" spans="1:6">
      <c r="A550" t="s">
        <v>722</v>
      </c>
      <c r="B550">
        <v>506.7</v>
      </c>
      <c r="C550" s="25">
        <v>-7.1999999999999998E-3</v>
      </c>
      <c r="E550" s="13">
        <v>8742.5499999999993</v>
      </c>
      <c r="F550" s="25">
        <v>1.8E-3</v>
      </c>
    </row>
    <row r="551" spans="1:6">
      <c r="A551" t="s">
        <v>723</v>
      </c>
      <c r="B551">
        <v>510.35</v>
      </c>
      <c r="C551" s="25">
        <v>9.2999999999999992E-3</v>
      </c>
      <c r="E551" s="13">
        <v>8726.6</v>
      </c>
      <c r="F551" s="25">
        <v>1.2999999999999999E-3</v>
      </c>
    </row>
    <row r="552" spans="1:6">
      <c r="A552" t="s">
        <v>724</v>
      </c>
      <c r="B552">
        <v>505.65</v>
      </c>
      <c r="C552" s="25">
        <v>-1.3899999999999999E-2</v>
      </c>
      <c r="E552" s="13">
        <v>8715.6</v>
      </c>
      <c r="F552" s="25">
        <v>-1.7000000000000001E-2</v>
      </c>
    </row>
    <row r="553" spans="1:6">
      <c r="A553" t="s">
        <v>725</v>
      </c>
      <c r="B553">
        <v>512.79999999999995</v>
      </c>
      <c r="C553" s="25">
        <v>-3.2399999999999998E-2</v>
      </c>
      <c r="E553" s="13">
        <v>8866.7000000000007</v>
      </c>
      <c r="F553" s="25">
        <v>-9.5999999999999992E-3</v>
      </c>
    </row>
    <row r="554" spans="1:6">
      <c r="A554" t="s">
        <v>726</v>
      </c>
      <c r="B554">
        <v>529.95000000000005</v>
      </c>
      <c r="C554" s="25">
        <v>2.7400000000000001E-2</v>
      </c>
      <c r="E554" s="13">
        <v>8952.5</v>
      </c>
      <c r="F554" s="25">
        <v>3.8999999999999998E-3</v>
      </c>
    </row>
    <row r="555" spans="1:6">
      <c r="A555" t="s">
        <v>727</v>
      </c>
      <c r="B555">
        <v>515.79999999999995</v>
      </c>
      <c r="C555" s="25">
        <v>-2.18E-2</v>
      </c>
      <c r="E555" s="13">
        <v>8917.9500000000007</v>
      </c>
      <c r="F555" s="25">
        <v>-2.8E-3</v>
      </c>
    </row>
    <row r="556" spans="1:6">
      <c r="A556" t="s">
        <v>728</v>
      </c>
      <c r="B556">
        <v>527.29999999999995</v>
      </c>
      <c r="C556" s="25">
        <v>-1.17E-2</v>
      </c>
      <c r="E556" s="13">
        <v>8943</v>
      </c>
      <c r="F556" s="25">
        <v>1.5100000000000001E-2</v>
      </c>
    </row>
    <row r="557" spans="1:6">
      <c r="A557" t="s">
        <v>729</v>
      </c>
      <c r="B557">
        <v>533.54999999999995</v>
      </c>
      <c r="C557" s="25">
        <v>2.5899999999999999E-2</v>
      </c>
      <c r="E557" s="13">
        <v>8809.65</v>
      </c>
      <c r="F557" s="25">
        <v>4.0000000000000001E-3</v>
      </c>
    </row>
    <row r="558" spans="1:6">
      <c r="A558" t="s">
        <v>730</v>
      </c>
      <c r="B558">
        <v>520.1</v>
      </c>
      <c r="C558" s="25">
        <v>0</v>
      </c>
      <c r="E558" s="13">
        <v>8774.65</v>
      </c>
      <c r="F558" s="25">
        <v>-1.2999999999999999E-3</v>
      </c>
    </row>
    <row r="559" spans="1:6">
      <c r="A559" t="s">
        <v>731</v>
      </c>
      <c r="B559">
        <v>520.1</v>
      </c>
      <c r="C559" s="25">
        <v>-8.9999999999999998E-4</v>
      </c>
      <c r="E559" s="13">
        <v>8786.2000000000007</v>
      </c>
      <c r="F559" s="25">
        <v>4.7999999999999996E-3</v>
      </c>
    </row>
    <row r="560" spans="1:6">
      <c r="A560" t="s">
        <v>732</v>
      </c>
      <c r="B560">
        <v>520.54999999999995</v>
      </c>
      <c r="C560" s="25">
        <v>0</v>
      </c>
      <c r="E560" s="13">
        <v>8744.35</v>
      </c>
      <c r="F560" s="25">
        <v>1.5900000000000001E-2</v>
      </c>
    </row>
    <row r="561" spans="1:6">
      <c r="A561" t="s">
        <v>733</v>
      </c>
      <c r="B561">
        <v>520.54999999999995</v>
      </c>
      <c r="C561" s="25">
        <v>-7.6E-3</v>
      </c>
      <c r="E561" s="13">
        <v>8607.4500000000007</v>
      </c>
      <c r="F561" s="25">
        <v>4.1000000000000003E-3</v>
      </c>
    </row>
    <row r="562" spans="1:6">
      <c r="A562" t="s">
        <v>734</v>
      </c>
      <c r="B562">
        <v>524.54999999999995</v>
      </c>
      <c r="C562" s="25">
        <v>5.1999999999999998E-3</v>
      </c>
      <c r="E562" s="13">
        <v>8572.5499999999993</v>
      </c>
      <c r="F562" s="25">
        <v>-2.3E-3</v>
      </c>
    </row>
    <row r="563" spans="1:6">
      <c r="A563" t="s">
        <v>735</v>
      </c>
      <c r="B563">
        <v>521.85</v>
      </c>
      <c r="C563" s="25">
        <v>3.5000000000000001E-3</v>
      </c>
      <c r="E563" s="13">
        <v>8592.2000000000007</v>
      </c>
      <c r="F563" s="25">
        <v>-6.7000000000000002E-3</v>
      </c>
    </row>
    <row r="564" spans="1:6">
      <c r="A564" t="s">
        <v>736</v>
      </c>
      <c r="B564">
        <v>520.04999999999995</v>
      </c>
      <c r="C564" s="25">
        <v>4.1999999999999997E-3</v>
      </c>
      <c r="E564" s="13">
        <v>8650.2999999999993</v>
      </c>
      <c r="F564" s="25">
        <v>2.0999999999999999E-3</v>
      </c>
    </row>
    <row r="565" spans="1:6">
      <c r="A565" t="s">
        <v>737</v>
      </c>
      <c r="B565">
        <v>517.9</v>
      </c>
      <c r="C565" s="25">
        <v>2.5000000000000001E-2</v>
      </c>
      <c r="E565" s="13">
        <v>8632.6</v>
      </c>
      <c r="F565" s="25">
        <v>4.0000000000000002E-4</v>
      </c>
    </row>
    <row r="566" spans="1:6">
      <c r="A566" t="s">
        <v>738</v>
      </c>
      <c r="B566">
        <v>505.25</v>
      </c>
      <c r="C566" s="25">
        <v>-9.2999999999999992E-3</v>
      </c>
      <c r="E566" s="13">
        <v>8629.15</v>
      </c>
      <c r="F566" s="25">
        <v>-4.4000000000000003E-3</v>
      </c>
    </row>
    <row r="567" spans="1:6">
      <c r="A567" t="s">
        <v>739</v>
      </c>
      <c r="B567">
        <v>510</v>
      </c>
      <c r="C567" s="25">
        <v>-8.5000000000000006E-3</v>
      </c>
      <c r="E567" s="13">
        <v>8666.9</v>
      </c>
      <c r="F567" s="25">
        <v>-6.9999999999999999E-4</v>
      </c>
    </row>
    <row r="568" spans="1:6">
      <c r="A568" t="s">
        <v>740</v>
      </c>
      <c r="B568">
        <v>514.35</v>
      </c>
      <c r="C568" s="25">
        <v>9.2999999999999992E-3</v>
      </c>
      <c r="E568" s="13">
        <v>8673.25</v>
      </c>
      <c r="F568" s="25">
        <v>5.7000000000000002E-3</v>
      </c>
    </row>
    <row r="569" spans="1:6">
      <c r="A569" t="s">
        <v>741</v>
      </c>
      <c r="B569">
        <v>509.6</v>
      </c>
      <c r="C569" s="25">
        <v>3.4099999999999998E-2</v>
      </c>
      <c r="E569" s="13">
        <v>8624.0499999999993</v>
      </c>
      <c r="F569" s="25">
        <v>-2.0999999999999999E-3</v>
      </c>
    </row>
    <row r="570" spans="1:6">
      <c r="A570" t="s">
        <v>742</v>
      </c>
      <c r="B570">
        <v>492.8</v>
      </c>
      <c r="C570" s="25">
        <v>-3.6299999999999999E-2</v>
      </c>
      <c r="E570" s="13">
        <v>8642.5499999999993</v>
      </c>
      <c r="F570" s="25">
        <v>-3.3999999999999998E-3</v>
      </c>
    </row>
    <row r="571" spans="1:6">
      <c r="A571" t="s">
        <v>743</v>
      </c>
      <c r="B571">
        <v>511.35</v>
      </c>
      <c r="C571" s="25">
        <v>-1.1999999999999999E-3</v>
      </c>
      <c r="E571" s="13">
        <v>8672.15</v>
      </c>
      <c r="F571" s="25">
        <v>9.2999999999999992E-3</v>
      </c>
    </row>
    <row r="572" spans="1:6">
      <c r="A572" t="s">
        <v>744</v>
      </c>
      <c r="B572">
        <v>511.95</v>
      </c>
      <c r="C572" s="25">
        <v>3.7000000000000002E-3</v>
      </c>
      <c r="E572" s="13">
        <v>8592.15</v>
      </c>
      <c r="F572" s="25">
        <v>2E-3</v>
      </c>
    </row>
    <row r="573" spans="1:6">
      <c r="A573" t="s">
        <v>745</v>
      </c>
      <c r="B573">
        <v>510.05</v>
      </c>
      <c r="C573" s="25">
        <v>5.9999999999999995E-4</v>
      </c>
      <c r="E573" s="13">
        <v>8575.2999999999993</v>
      </c>
      <c r="F573" s="25">
        <v>-1.1900000000000001E-2</v>
      </c>
    </row>
    <row r="574" spans="1:6">
      <c r="A574" t="s">
        <v>746</v>
      </c>
      <c r="B574">
        <v>509.75</v>
      </c>
      <c r="C574" s="25">
        <v>-1.4E-3</v>
      </c>
      <c r="E574" s="13">
        <v>8678.25</v>
      </c>
      <c r="F574" s="25">
        <v>-3.8E-3</v>
      </c>
    </row>
    <row r="575" spans="1:6">
      <c r="A575" t="s">
        <v>747</v>
      </c>
      <c r="B575">
        <v>510.45</v>
      </c>
      <c r="C575" s="25">
        <v>2.8899999999999999E-2</v>
      </c>
      <c r="E575" s="13">
        <v>8711.35</v>
      </c>
      <c r="F575" s="25">
        <v>3.2000000000000002E-3</v>
      </c>
    </row>
    <row r="576" spans="1:6">
      <c r="A576" t="s">
        <v>748</v>
      </c>
      <c r="B576">
        <v>496.1</v>
      </c>
      <c r="C576" s="25">
        <v>1.03E-2</v>
      </c>
      <c r="E576" s="13">
        <v>8683.15</v>
      </c>
      <c r="F576" s="25">
        <v>1.54E-2</v>
      </c>
    </row>
    <row r="577" spans="1:6">
      <c r="A577" t="s">
        <v>749</v>
      </c>
      <c r="B577">
        <v>491.05</v>
      </c>
      <c r="C577" s="25">
        <v>-1.8100000000000002E-2</v>
      </c>
      <c r="E577" s="13">
        <v>8551.1</v>
      </c>
      <c r="F577" s="25">
        <v>6.9999999999999999E-4</v>
      </c>
    </row>
    <row r="578" spans="1:6">
      <c r="A578" t="s">
        <v>750</v>
      </c>
      <c r="B578">
        <v>500.1</v>
      </c>
      <c r="C578" s="25">
        <v>5.3699999999999998E-2</v>
      </c>
      <c r="E578" s="13">
        <v>8544.85</v>
      </c>
      <c r="F578" s="25">
        <v>-9.1000000000000004E-3</v>
      </c>
    </row>
    <row r="579" spans="1:6">
      <c r="A579" t="s">
        <v>751</v>
      </c>
      <c r="B579">
        <v>474.6</v>
      </c>
      <c r="C579" s="25">
        <v>-3.27E-2</v>
      </c>
      <c r="E579" s="13">
        <v>8622.9</v>
      </c>
      <c r="F579" s="25">
        <v>-1.6000000000000001E-3</v>
      </c>
    </row>
    <row r="580" spans="1:6">
      <c r="A580" t="s">
        <v>752</v>
      </c>
      <c r="B580">
        <v>490.65</v>
      </c>
      <c r="C580" s="25">
        <v>1.29E-2</v>
      </c>
      <c r="E580" s="13">
        <v>8636.5499999999993</v>
      </c>
      <c r="F580" s="25">
        <v>-2.0000000000000001E-4</v>
      </c>
    </row>
    <row r="581" spans="1:6">
      <c r="A581" t="s">
        <v>753</v>
      </c>
      <c r="B581">
        <v>484.4</v>
      </c>
      <c r="C581" s="25">
        <v>-1.6400000000000001E-2</v>
      </c>
      <c r="E581" s="13">
        <v>8638.5</v>
      </c>
      <c r="F581" s="25">
        <v>-3.2000000000000002E-3</v>
      </c>
    </row>
    <row r="582" spans="1:6">
      <c r="A582" t="s">
        <v>754</v>
      </c>
      <c r="B582">
        <v>492.5</v>
      </c>
      <c r="C582" s="25">
        <v>1.8200000000000001E-2</v>
      </c>
      <c r="E582" s="13">
        <v>8666.2999999999993</v>
      </c>
      <c r="F582" s="25">
        <v>5.8999999999999999E-3</v>
      </c>
    </row>
    <row r="583" spans="1:6">
      <c r="A583" t="s">
        <v>755</v>
      </c>
      <c r="B583">
        <v>483.7</v>
      </c>
      <c r="C583" s="25">
        <v>6.6E-3</v>
      </c>
      <c r="E583" s="13">
        <v>8615.7999999999993</v>
      </c>
      <c r="F583" s="25">
        <v>2.8999999999999998E-3</v>
      </c>
    </row>
    <row r="584" spans="1:6">
      <c r="A584" t="s">
        <v>756</v>
      </c>
      <c r="B584">
        <v>480.55</v>
      </c>
      <c r="C584" s="25">
        <v>-2.1299999999999999E-2</v>
      </c>
      <c r="E584" s="13">
        <v>8590.65</v>
      </c>
      <c r="F584" s="25">
        <v>-5.1999999999999998E-3</v>
      </c>
    </row>
    <row r="585" spans="1:6">
      <c r="A585" t="s">
        <v>757</v>
      </c>
      <c r="B585">
        <v>491</v>
      </c>
      <c r="C585" s="25">
        <v>1.1599999999999999E-2</v>
      </c>
      <c r="E585" s="13">
        <v>8635.65</v>
      </c>
      <c r="F585" s="25">
        <v>1.11E-2</v>
      </c>
    </row>
    <row r="586" spans="1:6">
      <c r="A586" t="s">
        <v>758</v>
      </c>
      <c r="B586">
        <v>485.35</v>
      </c>
      <c r="C586" s="25">
        <v>1.6799999999999999E-2</v>
      </c>
      <c r="E586" s="13">
        <v>8541.2000000000007</v>
      </c>
      <c r="F586" s="25">
        <v>3.7000000000000002E-3</v>
      </c>
    </row>
    <row r="587" spans="1:6">
      <c r="A587" t="s">
        <v>759</v>
      </c>
      <c r="B587">
        <v>477.35</v>
      </c>
      <c r="C587" s="25">
        <v>1.6999999999999999E-3</v>
      </c>
      <c r="E587" s="13">
        <v>8510.1</v>
      </c>
      <c r="F587" s="25">
        <v>-6.4999999999999997E-3</v>
      </c>
    </row>
    <row r="588" spans="1:6">
      <c r="A588" t="s">
        <v>760</v>
      </c>
      <c r="B588">
        <v>476.55</v>
      </c>
      <c r="C588" s="25">
        <v>2.8E-3</v>
      </c>
      <c r="E588" s="13">
        <v>8565.85</v>
      </c>
      <c r="F588" s="25">
        <v>4.4000000000000003E-3</v>
      </c>
    </row>
    <row r="589" spans="1:6">
      <c r="A589" t="s">
        <v>761</v>
      </c>
      <c r="B589">
        <v>475.2</v>
      </c>
      <c r="C589" s="25">
        <v>1.01E-2</v>
      </c>
      <c r="E589" s="13">
        <v>8528.5499999999993</v>
      </c>
      <c r="F589" s="25">
        <v>2.3E-3</v>
      </c>
    </row>
    <row r="590" spans="1:6">
      <c r="A590" t="s">
        <v>762</v>
      </c>
      <c r="B590">
        <v>470.45</v>
      </c>
      <c r="C590" s="25">
        <v>-2.9999999999999997E-4</v>
      </c>
      <c r="E590" s="13">
        <v>8508.7000000000007</v>
      </c>
      <c r="F590" s="25">
        <v>-3.8E-3</v>
      </c>
    </row>
    <row r="591" spans="1:6">
      <c r="A591" t="s">
        <v>763</v>
      </c>
      <c r="B591">
        <v>470.6</v>
      </c>
      <c r="C591" s="25">
        <v>-2.4299999999999999E-2</v>
      </c>
      <c r="E591" s="13">
        <v>8541.4</v>
      </c>
      <c r="F591" s="25">
        <v>-2.8E-3</v>
      </c>
    </row>
    <row r="592" spans="1:6">
      <c r="A592" t="s">
        <v>764</v>
      </c>
      <c r="B592">
        <v>482.3</v>
      </c>
      <c r="C592" s="25">
        <v>2.7000000000000001E-3</v>
      </c>
      <c r="E592" s="13">
        <v>8565</v>
      </c>
      <c r="F592" s="25">
        <v>5.3E-3</v>
      </c>
    </row>
    <row r="593" spans="1:6">
      <c r="A593" t="s">
        <v>765</v>
      </c>
      <c r="B593">
        <v>481</v>
      </c>
      <c r="C593" s="25">
        <v>6.7000000000000002E-3</v>
      </c>
      <c r="E593" s="13">
        <v>8519.5</v>
      </c>
      <c r="F593" s="25">
        <v>-2.0000000000000001E-4</v>
      </c>
    </row>
    <row r="594" spans="1:6">
      <c r="A594" t="s">
        <v>766</v>
      </c>
      <c r="B594">
        <v>477.8</v>
      </c>
      <c r="C594" s="25">
        <v>-1.8E-3</v>
      </c>
      <c r="E594" s="13">
        <v>8521.0499999999993</v>
      </c>
      <c r="F594" s="25">
        <v>6.3E-3</v>
      </c>
    </row>
    <row r="595" spans="1:6">
      <c r="A595" t="s">
        <v>767</v>
      </c>
      <c r="B595">
        <v>478.65</v>
      </c>
      <c r="C595" s="25">
        <v>-7.9000000000000008E-3</v>
      </c>
      <c r="E595" s="13">
        <v>8467.9</v>
      </c>
      <c r="F595" s="25">
        <v>1.7399999999999999E-2</v>
      </c>
    </row>
    <row r="596" spans="1:6">
      <c r="A596" t="s">
        <v>768</v>
      </c>
      <c r="B596">
        <v>482.45</v>
      </c>
      <c r="C596" s="25">
        <v>-1.3899999999999999E-2</v>
      </c>
      <c r="E596" s="13">
        <v>8323.2000000000007</v>
      </c>
      <c r="F596" s="25">
        <v>-1.8E-3</v>
      </c>
    </row>
    <row r="597" spans="1:6">
      <c r="A597" t="s">
        <v>769</v>
      </c>
      <c r="B597">
        <v>489.25</v>
      </c>
      <c r="C597" s="25">
        <v>1.77E-2</v>
      </c>
      <c r="E597" s="13">
        <v>8337.9</v>
      </c>
      <c r="F597" s="25">
        <v>2.0000000000000001E-4</v>
      </c>
    </row>
    <row r="598" spans="1:6">
      <c r="A598" t="s">
        <v>770</v>
      </c>
      <c r="B598">
        <v>480.75</v>
      </c>
      <c r="C598" s="25">
        <v>1.1000000000000001E-3</v>
      </c>
      <c r="E598" s="13">
        <v>8335.9500000000007</v>
      </c>
      <c r="F598" s="25">
        <v>-4.1999999999999997E-3</v>
      </c>
    </row>
    <row r="599" spans="1:6">
      <c r="A599" t="s">
        <v>771</v>
      </c>
      <c r="B599">
        <v>480.2</v>
      </c>
      <c r="C599" s="25">
        <v>1.78E-2</v>
      </c>
      <c r="E599" s="13">
        <v>8370.7000000000007</v>
      </c>
      <c r="F599" s="25">
        <v>5.1000000000000004E-3</v>
      </c>
    </row>
    <row r="600" spans="1:6">
      <c r="A600" t="s">
        <v>772</v>
      </c>
      <c r="B600">
        <v>471.8</v>
      </c>
      <c r="C600" s="25">
        <v>-1.9099999999999999E-2</v>
      </c>
      <c r="E600" s="13">
        <v>8328.35</v>
      </c>
      <c r="F600" s="25">
        <v>4.8999999999999998E-3</v>
      </c>
    </row>
    <row r="601" spans="1:6">
      <c r="A601" t="s">
        <v>773</v>
      </c>
      <c r="B601">
        <v>481</v>
      </c>
      <c r="C601" s="25">
        <v>-1.12E-2</v>
      </c>
      <c r="E601" s="13">
        <v>8287.75</v>
      </c>
      <c r="F601" s="25">
        <v>1.0200000000000001E-2</v>
      </c>
    </row>
    <row r="602" spans="1:6">
      <c r="A602" t="s">
        <v>774</v>
      </c>
      <c r="B602">
        <v>486.45</v>
      </c>
      <c r="C602" s="25">
        <v>6.4799999999999996E-2</v>
      </c>
      <c r="E602" s="13">
        <v>8204</v>
      </c>
      <c r="F602" s="25">
        <v>9.4000000000000004E-3</v>
      </c>
    </row>
    <row r="603" spans="1:6">
      <c r="A603" t="s">
        <v>775</v>
      </c>
      <c r="B603">
        <v>456.85</v>
      </c>
      <c r="C603" s="25">
        <v>-6.4000000000000003E-3</v>
      </c>
      <c r="E603" s="13">
        <v>8127.85</v>
      </c>
      <c r="F603" s="25">
        <v>4.1000000000000003E-3</v>
      </c>
    </row>
    <row r="604" spans="1:6">
      <c r="A604" t="s">
        <v>776</v>
      </c>
      <c r="B604">
        <v>459.8</v>
      </c>
      <c r="C604" s="25">
        <v>-1.32E-2</v>
      </c>
      <c r="E604" s="13">
        <v>8094.7</v>
      </c>
      <c r="F604" s="25">
        <v>8.0000000000000004E-4</v>
      </c>
    </row>
    <row r="605" spans="1:6">
      <c r="A605" t="s">
        <v>777</v>
      </c>
      <c r="B605">
        <v>465.95</v>
      </c>
      <c r="C605" s="25">
        <v>8.8000000000000005E-3</v>
      </c>
      <c r="E605" s="13">
        <v>8088.6</v>
      </c>
      <c r="F605" s="25">
        <v>-2.1999999999999999E-2</v>
      </c>
    </row>
    <row r="606" spans="1:6">
      <c r="A606" t="s">
        <v>778</v>
      </c>
      <c r="B606">
        <v>461.9</v>
      </c>
      <c r="C606" s="25">
        <v>1.83E-2</v>
      </c>
      <c r="E606" s="13">
        <v>8270.4500000000007</v>
      </c>
      <c r="F606" s="25">
        <v>8.0999999999999996E-3</v>
      </c>
    </row>
    <row r="607" spans="1:6">
      <c r="A607" t="s">
        <v>779</v>
      </c>
      <c r="B607">
        <v>453.6</v>
      </c>
      <c r="C607" s="25">
        <v>9.7000000000000003E-3</v>
      </c>
      <c r="E607" s="13">
        <v>8203.7000000000007</v>
      </c>
      <c r="F607" s="25">
        <v>-2E-3</v>
      </c>
    </row>
    <row r="608" spans="1:6">
      <c r="A608" t="s">
        <v>780</v>
      </c>
      <c r="B608">
        <v>449.25</v>
      </c>
      <c r="C608" s="25">
        <v>2E-3</v>
      </c>
      <c r="E608" s="13">
        <v>8219.9</v>
      </c>
      <c r="F608" s="25">
        <v>-2.3E-3</v>
      </c>
    </row>
    <row r="609" spans="1:6">
      <c r="A609" t="s">
        <v>781</v>
      </c>
      <c r="B609">
        <v>448.35</v>
      </c>
      <c r="C609" s="25">
        <v>-1.8E-3</v>
      </c>
      <c r="E609" s="13">
        <v>8238.5</v>
      </c>
      <c r="F609" s="25">
        <v>8.3999999999999995E-3</v>
      </c>
    </row>
    <row r="610" spans="1:6">
      <c r="A610" t="s">
        <v>782</v>
      </c>
      <c r="B610">
        <v>449.15</v>
      </c>
      <c r="C610" s="25">
        <v>-1.14E-2</v>
      </c>
      <c r="E610" s="13">
        <v>8170.2</v>
      </c>
      <c r="F610" s="25">
        <v>3.5999999999999999E-3</v>
      </c>
    </row>
    <row r="611" spans="1:6">
      <c r="A611" t="s">
        <v>783</v>
      </c>
      <c r="B611">
        <v>454.35</v>
      </c>
      <c r="C611" s="25">
        <v>-2.46E-2</v>
      </c>
      <c r="E611" s="13">
        <v>8140.75</v>
      </c>
      <c r="F611" s="25">
        <v>-8.0000000000000002E-3</v>
      </c>
    </row>
    <row r="612" spans="1:6">
      <c r="A612" t="s">
        <v>784</v>
      </c>
      <c r="B612">
        <v>465.8</v>
      </c>
      <c r="C612" s="25">
        <v>-2.8299999999999999E-2</v>
      </c>
      <c r="E612" s="13">
        <v>8206.6</v>
      </c>
      <c r="F612" s="25">
        <v>1.21E-2</v>
      </c>
    </row>
    <row r="613" spans="1:6">
      <c r="A613" t="s">
        <v>785</v>
      </c>
      <c r="B613">
        <v>479.35</v>
      </c>
      <c r="C613" s="25">
        <v>2.0000000000000001E-4</v>
      </c>
      <c r="E613" s="13">
        <v>8108.85</v>
      </c>
      <c r="F613" s="25">
        <v>-2.0000000000000001E-4</v>
      </c>
    </row>
    <row r="614" spans="1:6">
      <c r="A614" t="s">
        <v>786</v>
      </c>
      <c r="B614">
        <v>479.25</v>
      </c>
      <c r="C614" s="25">
        <v>-1.32E-2</v>
      </c>
      <c r="E614" s="13">
        <v>8110.6</v>
      </c>
      <c r="F614" s="25">
        <v>-7.3000000000000001E-3</v>
      </c>
    </row>
    <row r="615" spans="1:6">
      <c r="A615" t="s">
        <v>787</v>
      </c>
      <c r="B615">
        <v>485.65</v>
      </c>
      <c r="C615" s="25">
        <v>-8.8999999999999999E-3</v>
      </c>
      <c r="E615" s="13">
        <v>8170.05</v>
      </c>
      <c r="F615" s="25">
        <v>-4.1000000000000003E-3</v>
      </c>
    </row>
    <row r="616" spans="1:6">
      <c r="A616" t="s">
        <v>788</v>
      </c>
      <c r="B616">
        <v>490</v>
      </c>
      <c r="C616" s="25">
        <v>-2.8E-3</v>
      </c>
      <c r="E616" s="13">
        <v>8203.6</v>
      </c>
      <c r="F616" s="25">
        <v>-8.3999999999999995E-3</v>
      </c>
    </row>
    <row r="617" spans="1:6">
      <c r="A617" t="s">
        <v>789</v>
      </c>
      <c r="B617">
        <v>491.4</v>
      </c>
      <c r="C617" s="25">
        <v>-1.3599999999999999E-2</v>
      </c>
      <c r="E617" s="13">
        <v>8273.0499999999993</v>
      </c>
      <c r="F617" s="25">
        <v>8.0000000000000004E-4</v>
      </c>
    </row>
    <row r="618" spans="1:6">
      <c r="A618" t="s">
        <v>790</v>
      </c>
      <c r="B618">
        <v>498.2</v>
      </c>
      <c r="C618" s="25">
        <v>4.1000000000000003E-3</v>
      </c>
      <c r="E618" s="13">
        <v>8266.4500000000007</v>
      </c>
      <c r="F618" s="25">
        <v>8.0000000000000002E-3</v>
      </c>
    </row>
    <row r="619" spans="1:6">
      <c r="A619" t="s">
        <v>791</v>
      </c>
      <c r="B619">
        <v>496.15</v>
      </c>
      <c r="C619" s="25">
        <v>-5.9999999999999995E-4</v>
      </c>
      <c r="E619" s="13">
        <v>8201.0499999999993</v>
      </c>
      <c r="F619" s="25">
        <v>-2.3999999999999998E-3</v>
      </c>
    </row>
    <row r="620" spans="1:6">
      <c r="A620" t="s">
        <v>792</v>
      </c>
      <c r="B620">
        <v>496.45</v>
      </c>
      <c r="C620" s="25">
        <v>1.7500000000000002E-2</v>
      </c>
      <c r="E620" s="13">
        <v>8220.7999999999993</v>
      </c>
      <c r="F620" s="25">
        <v>2.0000000000000001E-4</v>
      </c>
    </row>
    <row r="621" spans="1:6">
      <c r="A621" t="s">
        <v>793</v>
      </c>
      <c r="B621">
        <v>487.9</v>
      </c>
      <c r="C621" s="25">
        <v>-2.1700000000000001E-2</v>
      </c>
      <c r="E621" s="13">
        <v>8218.9500000000007</v>
      </c>
      <c r="F621" s="25">
        <v>4.7999999999999996E-3</v>
      </c>
    </row>
    <row r="622" spans="1:6">
      <c r="A622" t="s">
        <v>794</v>
      </c>
      <c r="B622">
        <v>498.7</v>
      </c>
      <c r="C622" s="25">
        <v>4.1999999999999997E-3</v>
      </c>
      <c r="E622" s="13">
        <v>8179.95</v>
      </c>
      <c r="F622" s="25">
        <v>2.3999999999999998E-3</v>
      </c>
    </row>
    <row r="623" spans="1:6">
      <c r="A623" t="s">
        <v>795</v>
      </c>
      <c r="B623">
        <v>496.6</v>
      </c>
      <c r="C623" s="25">
        <v>-2.8E-3</v>
      </c>
      <c r="E623" s="13">
        <v>8160.1</v>
      </c>
      <c r="F623" s="25">
        <v>-2.2000000000000001E-3</v>
      </c>
    </row>
    <row r="624" spans="1:6">
      <c r="A624" t="s">
        <v>796</v>
      </c>
      <c r="B624">
        <v>498</v>
      </c>
      <c r="C624" s="25">
        <v>-2.1899999999999999E-2</v>
      </c>
      <c r="E624" s="13">
        <v>8178.5</v>
      </c>
      <c r="F624" s="25">
        <v>2.7000000000000001E-3</v>
      </c>
    </row>
    <row r="625" spans="1:6">
      <c r="A625" t="s">
        <v>797</v>
      </c>
      <c r="B625">
        <v>509.15</v>
      </c>
      <c r="C625" s="25">
        <v>-1.84E-2</v>
      </c>
      <c r="E625" s="13">
        <v>8156.65</v>
      </c>
      <c r="F625" s="25">
        <v>1.0800000000000001E-2</v>
      </c>
    </row>
    <row r="626" spans="1:6">
      <c r="A626" t="s">
        <v>798</v>
      </c>
      <c r="B626">
        <v>518.70000000000005</v>
      </c>
      <c r="C626" s="25">
        <v>1.5599999999999999E-2</v>
      </c>
      <c r="E626" s="13">
        <v>8069.65</v>
      </c>
      <c r="F626" s="25">
        <v>1.7000000000000001E-2</v>
      </c>
    </row>
    <row r="627" spans="1:6">
      <c r="A627" t="s">
        <v>799</v>
      </c>
      <c r="B627">
        <v>510.75</v>
      </c>
      <c r="C627" s="25">
        <v>-2.1000000000000001E-2</v>
      </c>
      <c r="E627" s="13">
        <v>7934.9</v>
      </c>
      <c r="F627" s="25">
        <v>2.4E-2</v>
      </c>
    </row>
    <row r="628" spans="1:6">
      <c r="A628" t="s">
        <v>800</v>
      </c>
      <c r="B628">
        <v>521.70000000000005</v>
      </c>
      <c r="C628" s="25">
        <v>1.32E-2</v>
      </c>
      <c r="E628" s="13">
        <v>7748.85</v>
      </c>
      <c r="F628" s="25">
        <v>2.3E-3</v>
      </c>
    </row>
    <row r="629" spans="1:6">
      <c r="A629" t="s">
        <v>801</v>
      </c>
      <c r="B629">
        <v>514.9</v>
      </c>
      <c r="C629" s="25">
        <v>-1.2999999999999999E-3</v>
      </c>
      <c r="E629" s="13">
        <v>7731.05</v>
      </c>
      <c r="F629" s="25">
        <v>-2.3999999999999998E-3</v>
      </c>
    </row>
    <row r="630" spans="1:6">
      <c r="A630" t="s">
        <v>802</v>
      </c>
      <c r="B630">
        <v>515.54999999999995</v>
      </c>
      <c r="C630" s="25">
        <v>-9.5999999999999992E-3</v>
      </c>
      <c r="E630" s="13">
        <v>7749.7</v>
      </c>
      <c r="F630" s="25">
        <v>-4.3E-3</v>
      </c>
    </row>
    <row r="631" spans="1:6">
      <c r="A631" t="s">
        <v>803</v>
      </c>
      <c r="B631">
        <v>520.54999999999995</v>
      </c>
      <c r="C631" s="25">
        <v>4.0899999999999999E-2</v>
      </c>
      <c r="E631" s="13">
        <v>7783.4</v>
      </c>
      <c r="F631" s="25">
        <v>-1.0999999999999999E-2</v>
      </c>
    </row>
    <row r="632" spans="1:6">
      <c r="A632" t="s">
        <v>804</v>
      </c>
      <c r="B632">
        <v>500.1</v>
      </c>
      <c r="C632" s="25">
        <v>-7.6E-3</v>
      </c>
      <c r="E632" s="13">
        <v>7870.15</v>
      </c>
      <c r="F632" s="25">
        <v>-2.5999999999999999E-3</v>
      </c>
    </row>
    <row r="633" spans="1:6">
      <c r="A633" t="s">
        <v>805</v>
      </c>
      <c r="B633">
        <v>503.95</v>
      </c>
      <c r="C633" s="25">
        <v>-2.0000000000000001E-4</v>
      </c>
      <c r="E633" s="13">
        <v>7890.75</v>
      </c>
      <c r="F633" s="25">
        <v>3.8E-3</v>
      </c>
    </row>
    <row r="634" spans="1:6">
      <c r="A634" t="s">
        <v>806</v>
      </c>
      <c r="B634">
        <v>504.05</v>
      </c>
      <c r="C634" s="25">
        <v>5.0000000000000001E-4</v>
      </c>
      <c r="E634" s="13">
        <v>7860.75</v>
      </c>
      <c r="F634" s="25">
        <v>5.8999999999999999E-3</v>
      </c>
    </row>
    <row r="635" spans="1:6">
      <c r="A635" t="s">
        <v>807</v>
      </c>
      <c r="B635">
        <v>503.8</v>
      </c>
      <c r="C635" s="25">
        <v>-2.2700000000000001E-2</v>
      </c>
      <c r="E635" s="13">
        <v>7814.9</v>
      </c>
      <c r="F635" s="25">
        <v>-1.0800000000000001E-2</v>
      </c>
    </row>
    <row r="636" spans="1:6">
      <c r="A636" t="s">
        <v>808</v>
      </c>
      <c r="B636">
        <v>515.5</v>
      </c>
      <c r="C636" s="25">
        <v>8.0000000000000004E-4</v>
      </c>
      <c r="E636" s="13">
        <v>7900.4</v>
      </c>
      <c r="F636" s="25">
        <v>6.6E-3</v>
      </c>
    </row>
    <row r="637" spans="1:6">
      <c r="A637" t="s">
        <v>809</v>
      </c>
      <c r="B637">
        <v>515.1</v>
      </c>
      <c r="C637" s="25">
        <v>-1.29E-2</v>
      </c>
      <c r="E637" s="13">
        <v>7848.85</v>
      </c>
      <c r="F637" s="25">
        <v>-4.8999999999999998E-3</v>
      </c>
    </row>
    <row r="638" spans="1:6">
      <c r="A638" t="s">
        <v>810</v>
      </c>
      <c r="B638">
        <v>521.85</v>
      </c>
      <c r="C638" s="25">
        <v>1.3299999999999999E-2</v>
      </c>
      <c r="E638" s="13">
        <v>7887.8</v>
      </c>
      <c r="F638" s="25">
        <v>2.8E-3</v>
      </c>
    </row>
    <row r="639" spans="1:6">
      <c r="A639" t="s">
        <v>811</v>
      </c>
      <c r="B639">
        <v>515</v>
      </c>
      <c r="C639" s="25">
        <v>1.6999999999999999E-3</v>
      </c>
      <c r="E639" s="13">
        <v>7866.05</v>
      </c>
      <c r="F639" s="25">
        <v>1.7100000000000001E-2</v>
      </c>
    </row>
    <row r="640" spans="1:6">
      <c r="A640" t="s">
        <v>812</v>
      </c>
      <c r="B640">
        <v>514.15</v>
      </c>
      <c r="C640" s="25">
        <v>-1.1599999999999999E-2</v>
      </c>
      <c r="E640" s="13">
        <v>7733.45</v>
      </c>
      <c r="F640" s="25">
        <v>-2.9999999999999997E-4</v>
      </c>
    </row>
    <row r="641" spans="1:6">
      <c r="A641" t="s">
        <v>813</v>
      </c>
      <c r="B641">
        <v>520.20000000000005</v>
      </c>
      <c r="C641" s="25">
        <v>9.5999999999999992E-3</v>
      </c>
      <c r="E641" s="13">
        <v>7735.5</v>
      </c>
      <c r="F641" s="25">
        <v>3.8E-3</v>
      </c>
    </row>
    <row r="642" spans="1:6">
      <c r="A642" t="s">
        <v>814</v>
      </c>
      <c r="B642">
        <v>515.25</v>
      </c>
      <c r="C642" s="25">
        <v>-6.8999999999999999E-3</v>
      </c>
      <c r="E642" s="13">
        <v>7706.55</v>
      </c>
      <c r="F642" s="25">
        <v>-5.1999999999999998E-3</v>
      </c>
    </row>
    <row r="643" spans="1:6">
      <c r="A643" t="s">
        <v>815</v>
      </c>
      <c r="B643">
        <v>518.85</v>
      </c>
      <c r="C643" s="25">
        <v>-1.2200000000000001E-2</v>
      </c>
      <c r="E643" s="13">
        <v>7747</v>
      </c>
      <c r="F643" s="25">
        <v>-7.4999999999999997E-3</v>
      </c>
    </row>
    <row r="644" spans="1:6">
      <c r="A644" t="s">
        <v>816</v>
      </c>
      <c r="B644">
        <v>525.25</v>
      </c>
      <c r="C644" s="25">
        <v>-2.3699999999999999E-2</v>
      </c>
      <c r="E644" s="13">
        <v>7805.9</v>
      </c>
      <c r="F644" s="25">
        <v>-5.5999999999999999E-3</v>
      </c>
    </row>
    <row r="645" spans="1:6">
      <c r="A645" t="s">
        <v>817</v>
      </c>
      <c r="B645">
        <v>538</v>
      </c>
      <c r="C645" s="25">
        <v>1.37E-2</v>
      </c>
      <c r="E645" s="13">
        <v>7849.8</v>
      </c>
      <c r="F645" s="25">
        <v>2.9999999999999997E-4</v>
      </c>
    </row>
    <row r="646" spans="1:6">
      <c r="A646" t="s">
        <v>818</v>
      </c>
      <c r="B646">
        <v>530.75</v>
      </c>
      <c r="C646" s="25">
        <v>-3.7499999999999999E-2</v>
      </c>
      <c r="E646" s="13">
        <v>7847.25</v>
      </c>
      <c r="F646" s="25">
        <v>-1.66E-2</v>
      </c>
    </row>
    <row r="647" spans="1:6">
      <c r="A647" t="s">
        <v>819</v>
      </c>
      <c r="B647">
        <v>551.4</v>
      </c>
      <c r="C647" s="25">
        <v>2.3800000000000002E-2</v>
      </c>
      <c r="E647" s="13">
        <v>7979.9</v>
      </c>
      <c r="F647" s="25">
        <v>2.2000000000000001E-3</v>
      </c>
    </row>
    <row r="648" spans="1:6">
      <c r="A648" t="s">
        <v>820</v>
      </c>
      <c r="B648">
        <v>538.6</v>
      </c>
      <c r="C648" s="25">
        <v>1.84E-2</v>
      </c>
      <c r="E648" s="13">
        <v>7962.65</v>
      </c>
      <c r="F648" s="25">
        <v>1.37E-2</v>
      </c>
    </row>
    <row r="649" spans="1:6">
      <c r="A649" t="s">
        <v>821</v>
      </c>
      <c r="B649">
        <v>528.85</v>
      </c>
      <c r="C649" s="25">
        <v>3.0700000000000002E-2</v>
      </c>
      <c r="E649" s="13">
        <v>7855.05</v>
      </c>
      <c r="F649" s="25">
        <v>-5.5999999999999999E-3</v>
      </c>
    </row>
    <row r="650" spans="1:6">
      <c r="A650" t="s">
        <v>822</v>
      </c>
      <c r="B650">
        <v>513.1</v>
      </c>
      <c r="C650" s="25">
        <v>-6.8999999999999999E-3</v>
      </c>
      <c r="E650" s="13">
        <v>7899.3</v>
      </c>
      <c r="F650" s="25">
        <v>-1.6000000000000001E-3</v>
      </c>
    </row>
    <row r="651" spans="1:6">
      <c r="A651" t="s">
        <v>823</v>
      </c>
      <c r="B651">
        <v>516.65</v>
      </c>
      <c r="C651" s="25">
        <v>1.54E-2</v>
      </c>
      <c r="E651" s="13">
        <v>7912.05</v>
      </c>
      <c r="F651" s="25">
        <v>-2.9999999999999997E-4</v>
      </c>
    </row>
    <row r="652" spans="1:6">
      <c r="A652" t="s">
        <v>824</v>
      </c>
      <c r="B652">
        <v>508.8</v>
      </c>
      <c r="C652" s="25">
        <v>2.0999999999999999E-3</v>
      </c>
      <c r="E652" s="13">
        <v>7914.75</v>
      </c>
      <c r="F652" s="25">
        <v>0</v>
      </c>
    </row>
    <row r="653" spans="1:6">
      <c r="A653" t="s">
        <v>825</v>
      </c>
      <c r="B653">
        <v>507.75</v>
      </c>
      <c r="C653" s="25">
        <v>-1.21E-2</v>
      </c>
      <c r="E653" s="13">
        <v>7914.7</v>
      </c>
      <c r="F653" s="25">
        <v>8.2000000000000007E-3</v>
      </c>
    </row>
    <row r="654" spans="1:6">
      <c r="A654" t="s">
        <v>826</v>
      </c>
      <c r="B654">
        <v>513.95000000000005</v>
      </c>
      <c r="C654" s="25">
        <v>2.7799999999999998E-2</v>
      </c>
      <c r="E654" s="13">
        <v>7850.45</v>
      </c>
      <c r="F654" s="25">
        <v>1.84E-2</v>
      </c>
    </row>
    <row r="655" spans="1:6">
      <c r="A655" t="s">
        <v>827</v>
      </c>
      <c r="B655">
        <v>500.05</v>
      </c>
      <c r="C655" s="25">
        <v>1.5800000000000002E-2</v>
      </c>
      <c r="E655" s="13">
        <v>7708.95</v>
      </c>
      <c r="F655" s="25">
        <v>4.8999999999999998E-3</v>
      </c>
    </row>
    <row r="656" spans="1:6">
      <c r="A656" t="s">
        <v>828</v>
      </c>
      <c r="B656">
        <v>492.25</v>
      </c>
      <c r="C656" s="25">
        <v>-4.7000000000000002E-3</v>
      </c>
      <c r="E656" s="13">
        <v>7671.4</v>
      </c>
      <c r="F656" s="25">
        <v>1.54E-2</v>
      </c>
    </row>
    <row r="657" spans="1:6">
      <c r="A657" t="s">
        <v>829</v>
      </c>
      <c r="B657">
        <v>494.55</v>
      </c>
      <c r="C657" s="25">
        <v>1.41E-2</v>
      </c>
      <c r="E657" s="13">
        <v>7555.2</v>
      </c>
      <c r="F657" s="25">
        <v>1.1999999999999999E-3</v>
      </c>
    </row>
    <row r="658" spans="1:6">
      <c r="A658" t="s">
        <v>830</v>
      </c>
      <c r="B658">
        <v>487.65</v>
      </c>
      <c r="C658" s="25">
        <v>1.4200000000000001E-2</v>
      </c>
      <c r="E658" s="13">
        <v>7546.45</v>
      </c>
      <c r="F658" s="25">
        <v>-8.8999999999999999E-3</v>
      </c>
    </row>
    <row r="659" spans="1:6">
      <c r="A659" t="s">
        <v>831</v>
      </c>
      <c r="B659">
        <v>480.8</v>
      </c>
      <c r="C659" s="25">
        <v>8.3000000000000001E-3</v>
      </c>
      <c r="E659" s="13">
        <v>7614.35</v>
      </c>
      <c r="F659" s="25">
        <v>1.5E-3</v>
      </c>
    </row>
    <row r="660" spans="1:6">
      <c r="A660" t="s">
        <v>832</v>
      </c>
      <c r="B660">
        <v>476.85</v>
      </c>
      <c r="C660" s="25">
        <v>7.4999999999999997E-3</v>
      </c>
      <c r="E660" s="13">
        <v>7603.2</v>
      </c>
      <c r="F660" s="25">
        <v>-2.01E-2</v>
      </c>
    </row>
    <row r="661" spans="1:6">
      <c r="A661" t="s">
        <v>833</v>
      </c>
      <c r="B661">
        <v>473.3</v>
      </c>
      <c r="C661" s="25">
        <v>1.26E-2</v>
      </c>
      <c r="E661" s="13">
        <v>7758.8</v>
      </c>
      <c r="F661" s="25">
        <v>5.8999999999999999E-3</v>
      </c>
    </row>
    <row r="662" spans="1:6">
      <c r="A662" t="s">
        <v>834</v>
      </c>
      <c r="B662">
        <v>467.4</v>
      </c>
      <c r="C662" s="25">
        <v>-5.7999999999999996E-3</v>
      </c>
      <c r="E662" s="13">
        <v>7713.05</v>
      </c>
      <c r="F662" s="25">
        <v>-3.3E-3</v>
      </c>
    </row>
    <row r="663" spans="1:6">
      <c r="A663" t="s">
        <v>835</v>
      </c>
      <c r="B663">
        <v>470.15</v>
      </c>
      <c r="C663" s="25">
        <v>1.2999999999999999E-2</v>
      </c>
      <c r="E663" s="13">
        <v>7738.4</v>
      </c>
      <c r="F663" s="25">
        <v>4.0000000000000002E-4</v>
      </c>
    </row>
    <row r="664" spans="1:6">
      <c r="A664" t="s">
        <v>836</v>
      </c>
      <c r="B664">
        <v>464.1</v>
      </c>
      <c r="C664" s="25">
        <v>2.76E-2</v>
      </c>
      <c r="E664" s="13">
        <v>7735.2</v>
      </c>
      <c r="F664" s="25">
        <v>1.8200000000000001E-2</v>
      </c>
    </row>
    <row r="665" spans="1:6">
      <c r="A665" t="s">
        <v>837</v>
      </c>
      <c r="B665">
        <v>451.65</v>
      </c>
      <c r="C665" s="25">
        <v>-2.0299999999999999E-2</v>
      </c>
      <c r="E665" s="13">
        <v>7597</v>
      </c>
      <c r="F665" s="25">
        <v>-2.3999999999999998E-3</v>
      </c>
    </row>
    <row r="666" spans="1:6">
      <c r="A666" t="s">
        <v>838</v>
      </c>
      <c r="B666">
        <v>461</v>
      </c>
      <c r="C666" s="25">
        <v>2.0999999999999999E-3</v>
      </c>
      <c r="E666" s="13">
        <v>7615.1</v>
      </c>
      <c r="F666" s="25">
        <v>-1.3100000000000001E-2</v>
      </c>
    </row>
    <row r="667" spans="1:6">
      <c r="A667" t="s">
        <v>839</v>
      </c>
      <c r="B667">
        <v>460.05</v>
      </c>
      <c r="C667" s="25">
        <v>8.3000000000000001E-3</v>
      </c>
      <c r="E667" s="13">
        <v>7716.5</v>
      </c>
      <c r="F667" s="25">
        <v>2.0000000000000001E-4</v>
      </c>
    </row>
    <row r="668" spans="1:6">
      <c r="A668" t="s">
        <v>840</v>
      </c>
      <c r="B668">
        <v>456.25</v>
      </c>
      <c r="C668" s="25">
        <v>1.0500000000000001E-2</v>
      </c>
      <c r="E668" s="13">
        <v>7714.9</v>
      </c>
      <c r="F668" s="25">
        <v>1.4E-3</v>
      </c>
    </row>
    <row r="669" spans="1:6">
      <c r="A669" t="s">
        <v>841</v>
      </c>
      <c r="B669">
        <v>451.5</v>
      </c>
      <c r="C669" s="25">
        <v>-3.3300000000000003E-2</v>
      </c>
      <c r="E669" s="13">
        <v>7704.25</v>
      </c>
      <c r="F669" s="25">
        <v>1.3100000000000001E-2</v>
      </c>
    </row>
    <row r="670" spans="1:6">
      <c r="A670" t="s">
        <v>842</v>
      </c>
      <c r="B670">
        <v>467.05</v>
      </c>
      <c r="C670" s="25">
        <v>-3.3E-3</v>
      </c>
      <c r="E670" s="13">
        <v>7604.35</v>
      </c>
      <c r="F670" s="25">
        <v>1.2200000000000001E-2</v>
      </c>
    </row>
    <row r="671" spans="1:6">
      <c r="A671" t="s">
        <v>843</v>
      </c>
      <c r="B671">
        <v>468.6</v>
      </c>
      <c r="C671" s="25">
        <v>2.8500000000000001E-2</v>
      </c>
      <c r="E671" s="13">
        <v>7512.55</v>
      </c>
      <c r="F671" s="25">
        <v>1.8E-3</v>
      </c>
    </row>
    <row r="672" spans="1:6">
      <c r="A672" t="s">
        <v>844</v>
      </c>
      <c r="B672">
        <v>455.6</v>
      </c>
      <c r="C672" s="25">
        <v>-1.55E-2</v>
      </c>
      <c r="E672" s="13">
        <v>7498.75</v>
      </c>
      <c r="F672" s="25">
        <v>5.1000000000000004E-3</v>
      </c>
    </row>
    <row r="673" spans="1:6">
      <c r="A673" t="s">
        <v>845</v>
      </c>
      <c r="B673">
        <v>462.75</v>
      </c>
      <c r="C673" s="25">
        <v>-4.8800000000000003E-2</v>
      </c>
      <c r="E673" s="13">
        <v>7460.6</v>
      </c>
      <c r="F673" s="25">
        <v>-1.04E-2</v>
      </c>
    </row>
    <row r="674" spans="1:6">
      <c r="A674" t="s">
        <v>846</v>
      </c>
      <c r="B674">
        <v>486.5</v>
      </c>
      <c r="C674" s="25">
        <v>-1.26E-2</v>
      </c>
      <c r="E674" s="13">
        <v>7538.75</v>
      </c>
      <c r="F674" s="25">
        <v>3.8E-3</v>
      </c>
    </row>
    <row r="675" spans="1:6">
      <c r="A675" t="s">
        <v>847</v>
      </c>
      <c r="B675">
        <v>492.7</v>
      </c>
      <c r="C675" s="25">
        <v>-2.1100000000000001E-2</v>
      </c>
      <c r="E675" s="13">
        <v>7510.2</v>
      </c>
      <c r="F675" s="25">
        <v>3.2000000000000002E-3</v>
      </c>
    </row>
    <row r="676" spans="1:6">
      <c r="A676" t="s">
        <v>848</v>
      </c>
      <c r="B676">
        <v>503.3</v>
      </c>
      <c r="C676" s="25">
        <v>-3.95E-2</v>
      </c>
      <c r="E676" s="13">
        <v>7486.15</v>
      </c>
      <c r="F676" s="25">
        <v>-6.1000000000000004E-3</v>
      </c>
    </row>
    <row r="677" spans="1:6">
      <c r="A677" t="s">
        <v>849</v>
      </c>
      <c r="B677">
        <v>524</v>
      </c>
      <c r="C677" s="25">
        <v>-8.0999999999999996E-3</v>
      </c>
      <c r="E677" s="13">
        <v>7531.8</v>
      </c>
      <c r="F677" s="25">
        <v>6.1999999999999998E-3</v>
      </c>
    </row>
    <row r="678" spans="1:6">
      <c r="A678" t="s">
        <v>850</v>
      </c>
      <c r="B678">
        <v>528.29999999999995</v>
      </c>
      <c r="C678" s="25">
        <v>-1.95E-2</v>
      </c>
      <c r="E678" s="13">
        <v>7485.3</v>
      </c>
      <c r="F678" s="25">
        <v>0</v>
      </c>
    </row>
    <row r="679" spans="1:6">
      <c r="A679" t="s">
        <v>851</v>
      </c>
      <c r="B679">
        <v>538.79999999999995</v>
      </c>
      <c r="C679" s="25">
        <v>4.5600000000000002E-2</v>
      </c>
      <c r="E679" s="13">
        <v>7485.35</v>
      </c>
      <c r="F679" s="25">
        <v>1.2999999999999999E-3</v>
      </c>
    </row>
    <row r="680" spans="1:6">
      <c r="A680" t="s">
        <v>852</v>
      </c>
      <c r="B680">
        <v>515.29999999999995</v>
      </c>
      <c r="C680" s="25">
        <v>3.0599999999999999E-2</v>
      </c>
      <c r="E680" s="13">
        <v>7475.6</v>
      </c>
      <c r="F680" s="25">
        <v>1.4500000000000001E-2</v>
      </c>
    </row>
    <row r="681" spans="1:6">
      <c r="A681" t="s">
        <v>853</v>
      </c>
      <c r="B681">
        <v>500</v>
      </c>
      <c r="C681" s="25">
        <v>2.8299999999999999E-2</v>
      </c>
      <c r="E681" s="13">
        <v>7368.85</v>
      </c>
      <c r="F681" s="25">
        <v>2.0299999999999999E-2</v>
      </c>
    </row>
    <row r="682" spans="1:6">
      <c r="A682" t="s">
        <v>854</v>
      </c>
      <c r="B682">
        <v>486.25</v>
      </c>
      <c r="C682" s="25">
        <v>0.10050000000000001</v>
      </c>
      <c r="E682" s="13">
        <v>7222.3</v>
      </c>
      <c r="F682" s="25">
        <v>3.3700000000000001E-2</v>
      </c>
    </row>
    <row r="683" spans="1:6">
      <c r="A683" t="s">
        <v>855</v>
      </c>
      <c r="B683">
        <v>441.85</v>
      </c>
      <c r="C683" s="25">
        <v>-1.5299999999999999E-2</v>
      </c>
      <c r="E683" s="13">
        <v>6987.05</v>
      </c>
      <c r="F683" s="25">
        <v>-6.1000000000000004E-3</v>
      </c>
    </row>
    <row r="684" spans="1:6">
      <c r="A684" t="s">
        <v>856</v>
      </c>
      <c r="B684">
        <v>448.7</v>
      </c>
      <c r="C684" s="25">
        <v>-1.8599999999999998E-2</v>
      </c>
      <c r="E684" s="13">
        <v>7029.75</v>
      </c>
      <c r="F684" s="25">
        <v>8.5000000000000006E-3</v>
      </c>
    </row>
    <row r="685" spans="1:6">
      <c r="A685" t="s">
        <v>857</v>
      </c>
      <c r="B685">
        <v>457.2</v>
      </c>
      <c r="C685" s="25">
        <v>1.6799999999999999E-2</v>
      </c>
      <c r="E685" s="13">
        <v>6970.6</v>
      </c>
      <c r="F685" s="25">
        <v>-6.8999999999999999E-3</v>
      </c>
    </row>
    <row r="686" spans="1:6">
      <c r="A686" t="s">
        <v>858</v>
      </c>
      <c r="B686">
        <v>449.65</v>
      </c>
      <c r="C686" s="25">
        <v>-1.9300000000000001E-2</v>
      </c>
      <c r="E686" s="13">
        <v>7018.7</v>
      </c>
      <c r="F686" s="25">
        <v>-1.2800000000000001E-2</v>
      </c>
    </row>
    <row r="687" spans="1:6">
      <c r="A687" t="s">
        <v>859</v>
      </c>
      <c r="B687">
        <v>458.5</v>
      </c>
      <c r="C687" s="25">
        <v>4.7999999999999996E-3</v>
      </c>
      <c r="E687" s="13">
        <v>7109.55</v>
      </c>
      <c r="F687" s="25">
        <v>-1.7299999999999999E-2</v>
      </c>
    </row>
    <row r="688" spans="1:6">
      <c r="A688" t="s">
        <v>860</v>
      </c>
      <c r="B688">
        <v>456.3</v>
      </c>
      <c r="C688" s="25">
        <v>-1.5699999999999999E-2</v>
      </c>
      <c r="E688" s="13">
        <v>7234.55</v>
      </c>
      <c r="F688" s="25">
        <v>3.3E-3</v>
      </c>
    </row>
    <row r="689" spans="1:6">
      <c r="A689" t="s">
        <v>861</v>
      </c>
      <c r="B689">
        <v>463.6</v>
      </c>
      <c r="C689" s="25">
        <v>-3.7499999999999999E-2</v>
      </c>
      <c r="E689" s="13">
        <v>7210.75</v>
      </c>
      <c r="F689" s="25">
        <v>2.5999999999999999E-3</v>
      </c>
    </row>
    <row r="690" spans="1:6">
      <c r="A690" t="s">
        <v>862</v>
      </c>
      <c r="B690">
        <v>481.65</v>
      </c>
      <c r="C690" s="25">
        <v>-2.29E-2</v>
      </c>
      <c r="E690" s="13">
        <v>7191.75</v>
      </c>
      <c r="F690" s="25">
        <v>1.17E-2</v>
      </c>
    </row>
    <row r="691" spans="1:6">
      <c r="A691" t="s">
        <v>863</v>
      </c>
      <c r="B691">
        <v>492.95</v>
      </c>
      <c r="C691" s="25">
        <v>6.4000000000000003E-3</v>
      </c>
      <c r="E691" s="13">
        <v>7108.45</v>
      </c>
      <c r="F691" s="25">
        <v>8.5000000000000006E-3</v>
      </c>
    </row>
    <row r="692" spans="1:6">
      <c r="A692" t="s">
        <v>864</v>
      </c>
      <c r="B692">
        <v>489.8</v>
      </c>
      <c r="C692" s="25">
        <v>-4.0500000000000001E-2</v>
      </c>
      <c r="E692" s="13">
        <v>7048.25</v>
      </c>
      <c r="F692" s="25">
        <v>-1.6E-2</v>
      </c>
    </row>
    <row r="693" spans="1:6">
      <c r="A693" t="s">
        <v>865</v>
      </c>
      <c r="B693">
        <v>510.5</v>
      </c>
      <c r="C693" s="25">
        <v>1.9E-2</v>
      </c>
      <c r="E693" s="13">
        <v>7162.95</v>
      </c>
      <c r="F693" s="25">
        <v>2.6100000000000002E-2</v>
      </c>
    </row>
    <row r="694" spans="1:6">
      <c r="A694" t="s">
        <v>866</v>
      </c>
      <c r="B694">
        <v>501</v>
      </c>
      <c r="C694" s="25">
        <v>0</v>
      </c>
      <c r="E694" s="13">
        <v>6980.95</v>
      </c>
      <c r="F694" s="25">
        <v>6.9999999999999999E-4</v>
      </c>
    </row>
    <row r="695" spans="1:6">
      <c r="A695" t="s">
        <v>867</v>
      </c>
      <c r="B695">
        <v>501</v>
      </c>
      <c r="C695" s="25">
        <v>-7.4899999999999994E-2</v>
      </c>
      <c r="E695" s="13">
        <v>6976.35</v>
      </c>
      <c r="F695" s="25">
        <v>-3.32E-2</v>
      </c>
    </row>
    <row r="696" spans="1:6">
      <c r="A696" t="s">
        <v>868</v>
      </c>
      <c r="B696">
        <v>541.54999999999995</v>
      </c>
      <c r="C696" s="25">
        <v>-5.6000000000000001E-2</v>
      </c>
      <c r="E696" s="13">
        <v>7215.7</v>
      </c>
      <c r="F696" s="25">
        <v>-1.1299999999999999E-2</v>
      </c>
    </row>
    <row r="697" spans="1:6">
      <c r="A697" t="s">
        <v>869</v>
      </c>
      <c r="B697">
        <v>573.65</v>
      </c>
      <c r="C697" s="25">
        <v>-1.32E-2</v>
      </c>
      <c r="E697" s="13">
        <v>7298.2</v>
      </c>
      <c r="F697" s="25">
        <v>-1.21E-2</v>
      </c>
    </row>
    <row r="698" spans="1:6">
      <c r="A698" t="s">
        <v>870</v>
      </c>
      <c r="B698">
        <v>581.35</v>
      </c>
      <c r="C698" s="25">
        <v>2.7400000000000001E-2</v>
      </c>
      <c r="E698" s="13">
        <v>7387.25</v>
      </c>
      <c r="F698" s="25">
        <v>-1.3599999999999999E-2</v>
      </c>
    </row>
    <row r="699" spans="1:6">
      <c r="A699" t="s">
        <v>871</v>
      </c>
      <c r="B699">
        <v>565.85</v>
      </c>
      <c r="C699" s="25">
        <v>-6.8999999999999999E-3</v>
      </c>
      <c r="E699" s="13">
        <v>7489.1</v>
      </c>
      <c r="F699" s="25">
        <v>1.15E-2</v>
      </c>
    </row>
    <row r="700" spans="1:6">
      <c r="A700" t="s">
        <v>872</v>
      </c>
      <c r="B700">
        <v>569.79999999999995</v>
      </c>
      <c r="C700" s="25">
        <v>-2.3999999999999998E-3</v>
      </c>
      <c r="E700" s="13">
        <v>7404</v>
      </c>
      <c r="F700" s="25">
        <v>5.7000000000000002E-3</v>
      </c>
    </row>
    <row r="701" spans="1:6">
      <c r="A701" t="s">
        <v>873</v>
      </c>
      <c r="B701">
        <v>571.15</v>
      </c>
      <c r="C701" s="25">
        <v>-2E-3</v>
      </c>
      <c r="E701" s="13">
        <v>7361.8</v>
      </c>
      <c r="F701" s="25">
        <v>-1.26E-2</v>
      </c>
    </row>
    <row r="702" spans="1:6">
      <c r="A702" t="s">
        <v>874</v>
      </c>
      <c r="B702">
        <v>572.29999999999995</v>
      </c>
      <c r="C702" s="25">
        <v>2.9999999999999997E-4</v>
      </c>
      <c r="E702" s="13">
        <v>7455.55</v>
      </c>
      <c r="F702" s="25">
        <v>-1.3299999999999999E-2</v>
      </c>
    </row>
    <row r="703" spans="1:6">
      <c r="A703" t="s">
        <v>875</v>
      </c>
      <c r="B703">
        <v>572.15</v>
      </c>
      <c r="C703" s="25">
        <v>-4.5100000000000001E-2</v>
      </c>
      <c r="E703" s="13">
        <v>7555.95</v>
      </c>
      <c r="F703" s="25">
        <v>-1E-3</v>
      </c>
    </row>
    <row r="704" spans="1:6">
      <c r="A704" t="s">
        <v>876</v>
      </c>
      <c r="B704">
        <v>599.15</v>
      </c>
      <c r="C704" s="25">
        <v>6.7000000000000004E-2</v>
      </c>
      <c r="E704" s="13">
        <v>7563.55</v>
      </c>
      <c r="F704" s="25">
        <v>1.8700000000000001E-2</v>
      </c>
    </row>
    <row r="705" spans="1:6">
      <c r="A705" t="s">
        <v>877</v>
      </c>
      <c r="B705">
        <v>561.54999999999995</v>
      </c>
      <c r="C705" s="25">
        <v>1.66E-2</v>
      </c>
      <c r="E705" s="13">
        <v>7424.65</v>
      </c>
      <c r="F705" s="25">
        <v>-1.8E-3</v>
      </c>
    </row>
    <row r="706" spans="1:6">
      <c r="A706" t="s">
        <v>878</v>
      </c>
      <c r="B706">
        <v>552.4</v>
      </c>
      <c r="C706" s="25">
        <v>1.2699999999999999E-2</v>
      </c>
      <c r="E706" s="13">
        <v>7437.75</v>
      </c>
      <c r="F706" s="25">
        <v>2.0000000000000001E-4</v>
      </c>
    </row>
    <row r="707" spans="1:6">
      <c r="A707" t="s">
        <v>879</v>
      </c>
      <c r="B707">
        <v>545.45000000000005</v>
      </c>
      <c r="C707" s="25">
        <v>-5.7999999999999996E-3</v>
      </c>
      <c r="E707" s="13">
        <v>7436.15</v>
      </c>
      <c r="F707" s="25">
        <v>1.8E-3</v>
      </c>
    </row>
    <row r="708" spans="1:6">
      <c r="A708" t="s">
        <v>880</v>
      </c>
      <c r="B708">
        <v>548.65</v>
      </c>
      <c r="C708" s="25">
        <v>-2.6100000000000002E-2</v>
      </c>
      <c r="E708" s="13">
        <v>7422.45</v>
      </c>
      <c r="F708" s="25">
        <v>0.02</v>
      </c>
    </row>
    <row r="709" spans="1:6">
      <c r="A709" t="s">
        <v>881</v>
      </c>
      <c r="B709">
        <v>563.35</v>
      </c>
      <c r="C709" s="25">
        <v>1.7299999999999999E-2</v>
      </c>
      <c r="E709" s="13">
        <v>7276.8</v>
      </c>
      <c r="F709" s="25">
        <v>-4.4000000000000003E-3</v>
      </c>
    </row>
    <row r="710" spans="1:6">
      <c r="A710" t="s">
        <v>882</v>
      </c>
      <c r="B710">
        <v>553.75</v>
      </c>
      <c r="C710" s="25">
        <v>-1.83E-2</v>
      </c>
      <c r="E710" s="13">
        <v>7309.3</v>
      </c>
      <c r="F710" s="25">
        <v>-1.6899999999999998E-2</v>
      </c>
    </row>
    <row r="711" spans="1:6">
      <c r="A711" t="s">
        <v>883</v>
      </c>
      <c r="B711">
        <v>564.04999999999995</v>
      </c>
      <c r="C711" s="25">
        <v>4.8500000000000001E-2</v>
      </c>
      <c r="E711" s="13">
        <v>7435.1</v>
      </c>
      <c r="F711" s="25">
        <v>1.14E-2</v>
      </c>
    </row>
    <row r="712" spans="1:6">
      <c r="A712" t="s">
        <v>884</v>
      </c>
      <c r="B712">
        <v>537.95000000000005</v>
      </c>
      <c r="C712" s="25">
        <v>1.9800000000000002E-2</v>
      </c>
      <c r="E712" s="13">
        <v>7351</v>
      </c>
      <c r="F712" s="25">
        <v>-1.17E-2</v>
      </c>
    </row>
    <row r="713" spans="1:6">
      <c r="A713" t="s">
        <v>885</v>
      </c>
      <c r="B713">
        <v>527.5</v>
      </c>
      <c r="C713" s="25">
        <v>-2.9499999999999998E-2</v>
      </c>
      <c r="E713" s="13">
        <v>7437.8</v>
      </c>
      <c r="F713" s="25">
        <v>-1.3100000000000001E-2</v>
      </c>
    </row>
    <row r="714" spans="1:6">
      <c r="A714" t="s">
        <v>886</v>
      </c>
      <c r="B714">
        <v>543.54999999999995</v>
      </c>
      <c r="C714" s="25">
        <v>-1.46E-2</v>
      </c>
      <c r="E714" s="13">
        <v>7536.8</v>
      </c>
      <c r="F714" s="25">
        <v>-3.3999999999999998E-3</v>
      </c>
    </row>
    <row r="715" spans="1:6">
      <c r="A715" t="s">
        <v>887</v>
      </c>
      <c r="B715">
        <v>551.6</v>
      </c>
      <c r="C715" s="25">
        <v>-5.7299999999999997E-2</v>
      </c>
      <c r="E715" s="13">
        <v>7562.4</v>
      </c>
      <c r="F715" s="25">
        <v>6.8999999999999999E-3</v>
      </c>
    </row>
    <row r="716" spans="1:6">
      <c r="A716" t="s">
        <v>888</v>
      </c>
      <c r="B716">
        <v>585.1</v>
      </c>
      <c r="C716" s="25">
        <v>1.03E-2</v>
      </c>
      <c r="E716" s="13">
        <v>7510.3</v>
      </c>
      <c r="F716" s="25">
        <v>-7.1000000000000004E-3</v>
      </c>
    </row>
    <row r="717" spans="1:6">
      <c r="A717" t="s">
        <v>889</v>
      </c>
      <c r="B717">
        <v>579.15</v>
      </c>
      <c r="C717" s="25">
        <v>5.5399999999999998E-2</v>
      </c>
      <c r="E717" s="13">
        <v>7563.85</v>
      </c>
      <c r="F717" s="25">
        <v>-4.8999999999999998E-3</v>
      </c>
    </row>
    <row r="718" spans="1:6">
      <c r="A718" t="s">
        <v>890</v>
      </c>
      <c r="B718">
        <v>548.75</v>
      </c>
      <c r="C718" s="25">
        <v>1.2699999999999999E-2</v>
      </c>
      <c r="E718" s="13">
        <v>7601.35</v>
      </c>
      <c r="F718" s="25">
        <v>4.4000000000000003E-3</v>
      </c>
    </row>
    <row r="719" spans="1:6">
      <c r="A719" t="s">
        <v>891</v>
      </c>
      <c r="B719">
        <v>541.85</v>
      </c>
      <c r="C719" s="25">
        <v>-4.24E-2</v>
      </c>
      <c r="E719" s="13">
        <v>7568.3</v>
      </c>
      <c r="F719" s="25">
        <v>-2.23E-2</v>
      </c>
    </row>
    <row r="720" spans="1:6">
      <c r="A720" t="s">
        <v>892</v>
      </c>
      <c r="B720">
        <v>565.85</v>
      </c>
      <c r="C720" s="25">
        <v>-2.3300000000000001E-2</v>
      </c>
      <c r="E720" s="13">
        <v>7741</v>
      </c>
      <c r="F720" s="25">
        <v>-5.5999999999999999E-3</v>
      </c>
    </row>
    <row r="721" spans="1:6">
      <c r="A721" t="s">
        <v>893</v>
      </c>
      <c r="B721">
        <v>579.35</v>
      </c>
      <c r="C721" s="25">
        <v>-8.8000000000000005E-3</v>
      </c>
      <c r="E721" s="13">
        <v>7784.65</v>
      </c>
      <c r="F721" s="25">
        <v>-8.9999999999999998E-4</v>
      </c>
    </row>
    <row r="722" spans="1:6">
      <c r="A722" t="s">
        <v>894</v>
      </c>
      <c r="B722">
        <v>584.5</v>
      </c>
      <c r="C722" s="25">
        <v>-5.3199999999999997E-2</v>
      </c>
      <c r="E722" s="13">
        <v>7791.3</v>
      </c>
      <c r="F722" s="25">
        <v>-2.1600000000000001E-2</v>
      </c>
    </row>
    <row r="723" spans="1:6">
      <c r="A723" t="s">
        <v>895</v>
      </c>
      <c r="B723">
        <v>617.35</v>
      </c>
      <c r="C723" s="25">
        <v>-3.6400000000000002E-2</v>
      </c>
      <c r="E723" s="13">
        <v>7963.2</v>
      </c>
      <c r="F723" s="25">
        <v>2.0999999999999999E-3</v>
      </c>
    </row>
    <row r="724" spans="1:6">
      <c r="A724" t="s">
        <v>896</v>
      </c>
      <c r="B724">
        <v>640.70000000000005</v>
      </c>
      <c r="C724" s="25">
        <v>-2.3599999999999999E-2</v>
      </c>
      <c r="E724" s="13">
        <v>7946.35</v>
      </c>
      <c r="F724" s="25">
        <v>6.3E-3</v>
      </c>
    </row>
    <row r="725" spans="1:6">
      <c r="A725" t="s">
        <v>897</v>
      </c>
      <c r="B725">
        <v>656.2</v>
      </c>
      <c r="C725" s="25">
        <v>7.6E-3</v>
      </c>
      <c r="E725" s="13">
        <v>7896.25</v>
      </c>
      <c r="F725" s="25">
        <v>-4.1000000000000003E-3</v>
      </c>
    </row>
    <row r="726" spans="1:6">
      <c r="A726" t="s">
        <v>898</v>
      </c>
      <c r="B726">
        <v>651.25</v>
      </c>
      <c r="C726" s="25">
        <v>5.8299999999999998E-2</v>
      </c>
      <c r="E726" s="13">
        <v>7928.95</v>
      </c>
      <c r="F726" s="25">
        <v>5.0000000000000001E-4</v>
      </c>
    </row>
    <row r="727" spans="1:6">
      <c r="A727" t="s">
        <v>899</v>
      </c>
      <c r="B727">
        <v>615.4</v>
      </c>
      <c r="C727" s="25">
        <v>4.9599999999999998E-2</v>
      </c>
      <c r="E727" s="13">
        <v>7925.15</v>
      </c>
      <c r="F727" s="25">
        <v>8.2000000000000007E-3</v>
      </c>
    </row>
    <row r="728" spans="1:6">
      <c r="A728" t="s">
        <v>900</v>
      </c>
      <c r="B728">
        <v>586.29999999999995</v>
      </c>
      <c r="C728" s="25">
        <v>0.19869999999999999</v>
      </c>
      <c r="E728" s="13">
        <v>7861.05</v>
      </c>
      <c r="F728" s="25">
        <v>-5.9999999999999995E-4</v>
      </c>
    </row>
    <row r="729" spans="1:6">
      <c r="A729" t="s">
        <v>901</v>
      </c>
      <c r="B729">
        <v>489.1</v>
      </c>
      <c r="C729" s="25">
        <v>2.5000000000000001E-2</v>
      </c>
      <c r="E729" s="13">
        <v>7865.95</v>
      </c>
      <c r="F729" s="25">
        <v>1.03E-2</v>
      </c>
    </row>
    <row r="730" spans="1:6">
      <c r="A730" t="s">
        <v>902</v>
      </c>
      <c r="B730">
        <v>477.15</v>
      </c>
      <c r="C730" s="25">
        <v>1.67E-2</v>
      </c>
      <c r="E730" s="13">
        <v>7786.1</v>
      </c>
      <c r="F730" s="25">
        <v>-6.1999999999999998E-3</v>
      </c>
    </row>
    <row r="731" spans="1:6">
      <c r="A731" t="s">
        <v>903</v>
      </c>
      <c r="B731">
        <v>469.3</v>
      </c>
      <c r="C731" s="25">
        <v>3.2899999999999999E-2</v>
      </c>
      <c r="E731" s="13">
        <v>7834.45</v>
      </c>
      <c r="F731" s="25">
        <v>9.2999999999999992E-3</v>
      </c>
    </row>
    <row r="732" spans="1:6">
      <c r="A732" t="s">
        <v>904</v>
      </c>
      <c r="B732">
        <v>454.35</v>
      </c>
      <c r="C732" s="25">
        <v>-1.14E-2</v>
      </c>
      <c r="E732" s="13">
        <v>7761.95</v>
      </c>
      <c r="F732" s="25">
        <v>-1.0500000000000001E-2</v>
      </c>
    </row>
    <row r="733" spans="1:6">
      <c r="A733" t="s">
        <v>905</v>
      </c>
      <c r="B733">
        <v>459.6</v>
      </c>
      <c r="C733" s="25">
        <v>2.6200000000000001E-2</v>
      </c>
      <c r="E733" s="13">
        <v>7844.35</v>
      </c>
      <c r="F733" s="25">
        <v>1.21E-2</v>
      </c>
    </row>
    <row r="734" spans="1:6">
      <c r="A734" t="s">
        <v>906</v>
      </c>
      <c r="B734">
        <v>447.85</v>
      </c>
      <c r="C734" s="25">
        <v>-3.3E-3</v>
      </c>
      <c r="E734" s="13">
        <v>7750.9</v>
      </c>
      <c r="F734" s="25">
        <v>6.4999999999999997E-3</v>
      </c>
    </row>
    <row r="735" spans="1:6">
      <c r="A735" t="s">
        <v>907</v>
      </c>
      <c r="B735">
        <v>449.35</v>
      </c>
      <c r="C735" s="25">
        <v>8.9999999999999998E-4</v>
      </c>
      <c r="E735" s="13">
        <v>7700.9</v>
      </c>
      <c r="F735" s="25">
        <v>6.6E-3</v>
      </c>
    </row>
    <row r="736" spans="1:6">
      <c r="A736" t="s">
        <v>908</v>
      </c>
      <c r="B736">
        <v>448.95</v>
      </c>
      <c r="C736" s="25">
        <v>1.06E-2</v>
      </c>
      <c r="E736" s="13">
        <v>7650.05</v>
      </c>
      <c r="F736" s="25">
        <v>5.1999999999999998E-3</v>
      </c>
    </row>
    <row r="737" spans="1:6">
      <c r="A737" t="s">
        <v>909</v>
      </c>
      <c r="B737">
        <v>444.25</v>
      </c>
      <c r="C737" s="25">
        <v>1.5E-3</v>
      </c>
      <c r="E737" s="13">
        <v>7610.45</v>
      </c>
      <c r="F737" s="25">
        <v>-9.4999999999999998E-3</v>
      </c>
    </row>
    <row r="738" spans="1:6">
      <c r="A738" t="s">
        <v>910</v>
      </c>
      <c r="B738">
        <v>443.6</v>
      </c>
      <c r="C738" s="25">
        <v>-3.2099999999999997E-2</v>
      </c>
      <c r="E738" s="13">
        <v>7683.3</v>
      </c>
      <c r="F738" s="25">
        <v>9.2999999999999992E-3</v>
      </c>
    </row>
    <row r="739" spans="1:6">
      <c r="A739" t="s">
        <v>911</v>
      </c>
      <c r="B739">
        <v>458.3</v>
      </c>
      <c r="C739" s="25">
        <v>-2.81E-2</v>
      </c>
      <c r="E739" s="13">
        <v>7612.5</v>
      </c>
      <c r="F739" s="25">
        <v>-1.1599999999999999E-2</v>
      </c>
    </row>
    <row r="740" spans="1:6">
      <c r="A740" t="s">
        <v>912</v>
      </c>
      <c r="B740">
        <v>471.55</v>
      </c>
      <c r="C740" s="25">
        <v>6.9999999999999999E-4</v>
      </c>
      <c r="E740" s="13">
        <v>7701.7</v>
      </c>
      <c r="F740" s="25">
        <v>-8.2000000000000007E-3</v>
      </c>
    </row>
    <row r="741" spans="1:6">
      <c r="A741" t="s">
        <v>913</v>
      </c>
      <c r="B741">
        <v>471.2</v>
      </c>
      <c r="C741" s="25">
        <v>-4.3E-3</v>
      </c>
      <c r="E741" s="13">
        <v>7765.4</v>
      </c>
      <c r="F741" s="25">
        <v>-2.0999999999999999E-3</v>
      </c>
    </row>
    <row r="742" spans="1:6">
      <c r="A742" t="s">
        <v>914</v>
      </c>
      <c r="B742">
        <v>473.25</v>
      </c>
      <c r="C742" s="25">
        <v>3.1800000000000002E-2</v>
      </c>
      <c r="E742" s="13">
        <v>7781.9</v>
      </c>
      <c r="F742" s="25">
        <v>-1.0500000000000001E-2</v>
      </c>
    </row>
    <row r="743" spans="1:6">
      <c r="A743" t="s">
        <v>915</v>
      </c>
      <c r="B743">
        <v>458.65</v>
      </c>
      <c r="C743" s="25">
        <v>1.12E-2</v>
      </c>
      <c r="E743" s="13">
        <v>7864.15</v>
      </c>
      <c r="F743" s="25">
        <v>-8.5000000000000006E-3</v>
      </c>
    </row>
    <row r="744" spans="1:6">
      <c r="A744" t="s">
        <v>916</v>
      </c>
      <c r="B744">
        <v>453.55</v>
      </c>
      <c r="C744" s="25">
        <v>-3.0000000000000001E-3</v>
      </c>
      <c r="E744" s="13">
        <v>7931.35</v>
      </c>
      <c r="F744" s="25">
        <v>-3.0000000000000001E-3</v>
      </c>
    </row>
    <row r="745" spans="1:6">
      <c r="A745" t="s">
        <v>917</v>
      </c>
      <c r="B745">
        <v>454.9</v>
      </c>
      <c r="C745" s="25">
        <v>-1.11E-2</v>
      </c>
      <c r="E745" s="13">
        <v>7954.9</v>
      </c>
      <c r="F745" s="25">
        <v>2.5000000000000001E-3</v>
      </c>
    </row>
    <row r="746" spans="1:6">
      <c r="A746" t="s">
        <v>918</v>
      </c>
      <c r="B746">
        <v>460</v>
      </c>
      <c r="C746" s="25">
        <v>1.9E-3</v>
      </c>
      <c r="E746" s="13">
        <v>7935.25</v>
      </c>
      <c r="F746" s="25">
        <v>-8.9999999999999998E-4</v>
      </c>
    </row>
    <row r="747" spans="1:6">
      <c r="A747" t="s">
        <v>919</v>
      </c>
      <c r="B747">
        <v>459.15</v>
      </c>
      <c r="C747" s="25">
        <v>4.5999999999999999E-3</v>
      </c>
      <c r="E747" s="13">
        <v>7942.7</v>
      </c>
      <c r="F747" s="25">
        <v>7.4999999999999997E-3</v>
      </c>
    </row>
    <row r="748" spans="1:6">
      <c r="A748" t="s">
        <v>920</v>
      </c>
      <c r="B748">
        <v>457.05</v>
      </c>
      <c r="C748" s="25">
        <v>1.7000000000000001E-2</v>
      </c>
      <c r="E748" s="13">
        <v>7883.8</v>
      </c>
      <c r="F748" s="25">
        <v>6.7000000000000002E-3</v>
      </c>
    </row>
    <row r="749" spans="1:6">
      <c r="A749" t="s">
        <v>921</v>
      </c>
      <c r="B749">
        <v>449.4</v>
      </c>
      <c r="C749" s="25">
        <v>2.3099999999999999E-2</v>
      </c>
      <c r="E749" s="13">
        <v>7831.6</v>
      </c>
      <c r="F749" s="25">
        <v>-2.2000000000000001E-3</v>
      </c>
    </row>
    <row r="750" spans="1:6">
      <c r="A750" t="s">
        <v>922</v>
      </c>
      <c r="B750">
        <v>439.25</v>
      </c>
      <c r="C750" s="25">
        <v>-3.4000000000000002E-2</v>
      </c>
      <c r="E750" s="13">
        <v>7849.25</v>
      </c>
      <c r="F750" s="25">
        <v>-8.9999999999999998E-4</v>
      </c>
    </row>
    <row r="751" spans="1:6">
      <c r="A751" t="s">
        <v>923</v>
      </c>
      <c r="B751">
        <v>454.7</v>
      </c>
      <c r="C751" s="25">
        <v>3.27E-2</v>
      </c>
      <c r="E751" s="13">
        <v>7856.55</v>
      </c>
      <c r="F751" s="25">
        <v>1.8E-3</v>
      </c>
    </row>
    <row r="752" spans="1:6">
      <c r="A752" t="s">
        <v>924</v>
      </c>
      <c r="B752">
        <v>440.3</v>
      </c>
      <c r="C752" s="25">
        <v>-4.3E-3</v>
      </c>
      <c r="E752" s="13">
        <v>7842.75</v>
      </c>
      <c r="F752" s="25">
        <v>1.43E-2</v>
      </c>
    </row>
    <row r="753" spans="1:6">
      <c r="A753" t="s">
        <v>925</v>
      </c>
      <c r="B753">
        <v>442.2</v>
      </c>
      <c r="C753" s="25">
        <v>-8.2000000000000007E-3</v>
      </c>
      <c r="E753" s="13">
        <v>7731.8</v>
      </c>
      <c r="F753" s="25">
        <v>-1.35E-2</v>
      </c>
    </row>
    <row r="754" spans="1:6">
      <c r="A754" t="s">
        <v>926</v>
      </c>
      <c r="B754">
        <v>445.85</v>
      </c>
      <c r="C754" s="25">
        <v>-3.15E-2</v>
      </c>
      <c r="E754" s="13">
        <v>7837.55</v>
      </c>
      <c r="F754" s="25">
        <v>4.0000000000000001E-3</v>
      </c>
    </row>
    <row r="755" spans="1:6">
      <c r="A755" t="s">
        <v>927</v>
      </c>
      <c r="B755">
        <v>460.35</v>
      </c>
      <c r="C755" s="25">
        <v>-1.5299999999999999E-2</v>
      </c>
      <c r="E755" s="13">
        <v>7806.6</v>
      </c>
      <c r="F755" s="25">
        <v>5.7000000000000002E-3</v>
      </c>
    </row>
    <row r="756" spans="1:6">
      <c r="A756" t="s">
        <v>928</v>
      </c>
      <c r="B756">
        <v>467.5</v>
      </c>
      <c r="C756" s="25">
        <v>3.3399999999999999E-2</v>
      </c>
      <c r="E756" s="13">
        <v>7762.25</v>
      </c>
      <c r="F756" s="25">
        <v>-8.0000000000000002E-3</v>
      </c>
    </row>
    <row r="757" spans="1:6">
      <c r="A757" t="s">
        <v>929</v>
      </c>
      <c r="B757">
        <v>452.4</v>
      </c>
      <c r="C757" s="25">
        <v>2.9100000000000001E-2</v>
      </c>
      <c r="E757" s="13">
        <v>7825</v>
      </c>
      <c r="F757" s="25">
        <v>5.4000000000000003E-3</v>
      </c>
    </row>
    <row r="758" spans="1:6">
      <c r="A758" t="s">
        <v>930</v>
      </c>
      <c r="B758">
        <v>439.6</v>
      </c>
      <c r="C758" s="25">
        <v>-2.3900000000000001E-2</v>
      </c>
      <c r="E758" s="13">
        <v>7783.35</v>
      </c>
      <c r="F758" s="25">
        <v>-1.67E-2</v>
      </c>
    </row>
    <row r="759" spans="1:6">
      <c r="A759" t="s">
        <v>931</v>
      </c>
      <c r="B759">
        <v>450.35</v>
      </c>
      <c r="C759" s="25">
        <v>1.0999999999999999E-2</v>
      </c>
      <c r="E759" s="13">
        <v>7915.2</v>
      </c>
      <c r="F759" s="25">
        <v>-4.8999999999999998E-3</v>
      </c>
    </row>
    <row r="760" spans="1:6">
      <c r="A760" t="s">
        <v>932</v>
      </c>
      <c r="B760">
        <v>445.45</v>
      </c>
      <c r="C760" s="25">
        <v>-5.0299999999999997E-2</v>
      </c>
      <c r="E760" s="13">
        <v>7954.3</v>
      </c>
      <c r="F760" s="25">
        <v>-1E-4</v>
      </c>
    </row>
    <row r="761" spans="1:6">
      <c r="A761" t="s">
        <v>933</v>
      </c>
      <c r="B761">
        <v>469.05</v>
      </c>
      <c r="C761" s="25">
        <v>-3.0300000000000001E-2</v>
      </c>
      <c r="E761" s="13">
        <v>7955.45</v>
      </c>
      <c r="F761" s="25">
        <v>-1.0500000000000001E-2</v>
      </c>
    </row>
    <row r="762" spans="1:6">
      <c r="A762" t="s">
        <v>934</v>
      </c>
      <c r="B762">
        <v>483.7</v>
      </c>
      <c r="C762" s="25">
        <v>2.5499999999999998E-2</v>
      </c>
      <c r="E762" s="13">
        <v>8040.2</v>
      </c>
      <c r="F762" s="25">
        <v>-2.5000000000000001E-3</v>
      </c>
    </row>
    <row r="763" spans="1:6">
      <c r="A763" t="s">
        <v>935</v>
      </c>
      <c r="B763">
        <v>471.65</v>
      </c>
      <c r="C763" s="25">
        <v>1.5E-3</v>
      </c>
      <c r="E763" s="13">
        <v>8060.7</v>
      </c>
      <c r="F763" s="25">
        <v>1.1999999999999999E-3</v>
      </c>
    </row>
    <row r="764" spans="1:6">
      <c r="A764" t="s">
        <v>936</v>
      </c>
      <c r="B764">
        <v>470.95</v>
      </c>
      <c r="C764" s="25">
        <v>-2.9399999999999999E-2</v>
      </c>
      <c r="E764" s="13">
        <v>8050.8</v>
      </c>
      <c r="F764" s="25">
        <v>-1.9E-3</v>
      </c>
    </row>
    <row r="765" spans="1:6">
      <c r="A765" t="s">
        <v>937</v>
      </c>
      <c r="B765">
        <v>485.2</v>
      </c>
      <c r="C765" s="25">
        <v>-2.6200000000000001E-2</v>
      </c>
      <c r="E765" s="13">
        <v>8065.8</v>
      </c>
      <c r="F765" s="25">
        <v>-5.7000000000000002E-3</v>
      </c>
    </row>
    <row r="766" spans="1:6">
      <c r="A766" t="s">
        <v>938</v>
      </c>
      <c r="B766">
        <v>498.25</v>
      </c>
      <c r="C766" s="25">
        <v>1.95E-2</v>
      </c>
      <c r="E766" s="13">
        <v>8111.75</v>
      </c>
      <c r="F766" s="25">
        <v>-7.3000000000000001E-3</v>
      </c>
    </row>
    <row r="767" spans="1:6">
      <c r="A767" t="s">
        <v>939</v>
      </c>
      <c r="B767">
        <v>488.7</v>
      </c>
      <c r="C767" s="25">
        <v>2.8E-3</v>
      </c>
      <c r="E767" s="13">
        <v>8171.2</v>
      </c>
      <c r="F767" s="25">
        <v>-7.4999999999999997E-3</v>
      </c>
    </row>
    <row r="768" spans="1:6">
      <c r="A768" t="s">
        <v>940</v>
      </c>
      <c r="B768">
        <v>487.35</v>
      </c>
      <c r="C768" s="25">
        <v>2.7000000000000001E-3</v>
      </c>
      <c r="E768" s="13">
        <v>8232.9</v>
      </c>
      <c r="F768" s="25">
        <v>-3.3E-3</v>
      </c>
    </row>
    <row r="769" spans="1:6">
      <c r="A769" t="s">
        <v>941</v>
      </c>
      <c r="B769">
        <v>486.05</v>
      </c>
      <c r="C769" s="25">
        <v>-2.7900000000000001E-2</v>
      </c>
      <c r="E769" s="13">
        <v>8260.5499999999993</v>
      </c>
      <c r="F769" s="25">
        <v>-4.1999999999999997E-3</v>
      </c>
    </row>
    <row r="770" spans="1:6">
      <c r="A770" t="s">
        <v>942</v>
      </c>
      <c r="B770">
        <v>500</v>
      </c>
      <c r="C770" s="25">
        <v>2.6499999999999999E-2</v>
      </c>
      <c r="E770" s="13">
        <v>8295.4500000000007</v>
      </c>
      <c r="F770" s="25">
        <v>5.3E-3</v>
      </c>
    </row>
    <row r="771" spans="1:6">
      <c r="A771" t="s">
        <v>943</v>
      </c>
      <c r="B771">
        <v>487.1</v>
      </c>
      <c r="C771" s="25">
        <v>8.8999999999999999E-3</v>
      </c>
      <c r="E771" s="13">
        <v>8251.7000000000007</v>
      </c>
      <c r="F771" s="25">
        <v>-1.1999999999999999E-3</v>
      </c>
    </row>
    <row r="772" spans="1:6">
      <c r="A772" t="s">
        <v>944</v>
      </c>
      <c r="B772">
        <v>482.8</v>
      </c>
      <c r="C772" s="25">
        <v>-1.0999999999999999E-2</v>
      </c>
      <c r="E772" s="13">
        <v>8261.65</v>
      </c>
      <c r="F772" s="25">
        <v>-1.6000000000000001E-3</v>
      </c>
    </row>
    <row r="773" spans="1:6">
      <c r="A773" t="s">
        <v>945</v>
      </c>
      <c r="B773">
        <v>488.15</v>
      </c>
      <c r="C773" s="25">
        <v>-1.4500000000000001E-2</v>
      </c>
      <c r="E773" s="13">
        <v>8275.0499999999993</v>
      </c>
      <c r="F773" s="25">
        <v>4.4999999999999997E-3</v>
      </c>
    </row>
    <row r="774" spans="1:6">
      <c r="A774" t="s">
        <v>946</v>
      </c>
      <c r="B774">
        <v>495.35</v>
      </c>
      <c r="C774" s="25">
        <v>-2.8500000000000001E-2</v>
      </c>
      <c r="E774" s="13">
        <v>8238.15</v>
      </c>
      <c r="F774" s="25">
        <v>7.1999999999999998E-3</v>
      </c>
    </row>
    <row r="775" spans="1:6">
      <c r="A775" t="s">
        <v>947</v>
      </c>
      <c r="B775">
        <v>509.9</v>
      </c>
      <c r="C775" s="25">
        <v>2.0899999999999998E-2</v>
      </c>
      <c r="E775" s="13">
        <v>8179.5</v>
      </c>
      <c r="F775" s="25">
        <v>8.8000000000000005E-3</v>
      </c>
    </row>
    <row r="776" spans="1:6">
      <c r="A776" t="s">
        <v>948</v>
      </c>
      <c r="B776">
        <v>499.45</v>
      </c>
      <c r="C776" s="25">
        <v>1E-4</v>
      </c>
      <c r="E776" s="13">
        <v>8107.9</v>
      </c>
      <c r="F776" s="25">
        <v>-2.8999999999999998E-3</v>
      </c>
    </row>
    <row r="777" spans="1:6">
      <c r="A777" t="s">
        <v>949</v>
      </c>
      <c r="B777">
        <v>499.4</v>
      </c>
      <c r="C777" s="25">
        <v>-4.8999999999999998E-3</v>
      </c>
      <c r="E777" s="13">
        <v>8131.7</v>
      </c>
      <c r="F777" s="25">
        <v>-1.5E-3</v>
      </c>
    </row>
    <row r="778" spans="1:6">
      <c r="A778" t="s">
        <v>950</v>
      </c>
      <c r="B778">
        <v>501.85</v>
      </c>
      <c r="C778" s="25">
        <v>6.3E-3</v>
      </c>
      <c r="E778" s="13">
        <v>8143.6</v>
      </c>
      <c r="F778" s="25">
        <v>-5.5999999999999999E-3</v>
      </c>
    </row>
    <row r="779" spans="1:6">
      <c r="A779" t="s">
        <v>951</v>
      </c>
      <c r="B779">
        <v>498.7</v>
      </c>
      <c r="C779" s="25">
        <v>-2.0999999999999999E-3</v>
      </c>
      <c r="E779" s="13">
        <v>8189.7</v>
      </c>
      <c r="F779" s="25">
        <v>7.4000000000000003E-3</v>
      </c>
    </row>
    <row r="780" spans="1:6">
      <c r="A780" t="s">
        <v>952</v>
      </c>
      <c r="B780">
        <v>499.75</v>
      </c>
      <c r="C780" s="25">
        <v>-2.9999999999999997E-4</v>
      </c>
      <c r="E780" s="13">
        <v>8129.35</v>
      </c>
      <c r="F780" s="25">
        <v>-5.8999999999999999E-3</v>
      </c>
    </row>
    <row r="781" spans="1:6">
      <c r="A781" t="s">
        <v>953</v>
      </c>
      <c r="B781">
        <v>499.9</v>
      </c>
      <c r="C781" s="25">
        <v>9.1000000000000004E-3</v>
      </c>
      <c r="E781" s="13">
        <v>8177.4</v>
      </c>
      <c r="F781" s="25">
        <v>3.0000000000000001E-3</v>
      </c>
    </row>
    <row r="782" spans="1:6">
      <c r="A782" t="s">
        <v>954</v>
      </c>
      <c r="B782">
        <v>495.4</v>
      </c>
      <c r="C782" s="25">
        <v>-1.5800000000000002E-2</v>
      </c>
      <c r="E782" s="13">
        <v>8152.9</v>
      </c>
      <c r="F782" s="25">
        <v>4.1000000000000003E-3</v>
      </c>
    </row>
    <row r="783" spans="1:6">
      <c r="A783" t="s">
        <v>955</v>
      </c>
      <c r="B783">
        <v>503.35</v>
      </c>
      <c r="C783" s="25">
        <v>2.8500000000000001E-2</v>
      </c>
      <c r="E783" s="13">
        <v>8119.3</v>
      </c>
      <c r="F783" s="25">
        <v>2.12E-2</v>
      </c>
    </row>
    <row r="784" spans="1:6">
      <c r="A784" t="s">
        <v>956</v>
      </c>
      <c r="B784">
        <v>489.4</v>
      </c>
      <c r="C784" s="25">
        <v>-1.9300000000000001E-2</v>
      </c>
      <c r="E784" s="13">
        <v>7950.9</v>
      </c>
      <c r="F784" s="25">
        <v>2.9999999999999997E-4</v>
      </c>
    </row>
    <row r="785" spans="1:6">
      <c r="A785" t="s">
        <v>957</v>
      </c>
      <c r="B785">
        <v>499.05</v>
      </c>
      <c r="C785" s="25">
        <v>-4.65E-2</v>
      </c>
      <c r="E785" s="13">
        <v>7948.9</v>
      </c>
      <c r="F785" s="25">
        <v>1.35E-2</v>
      </c>
    </row>
    <row r="786" spans="1:6">
      <c r="A786" t="s">
        <v>958</v>
      </c>
      <c r="B786">
        <v>523.4</v>
      </c>
      <c r="C786" s="25">
        <v>3.49E-2</v>
      </c>
      <c r="E786" s="13">
        <v>7843.3</v>
      </c>
      <c r="F786" s="25">
        <v>6.1000000000000004E-3</v>
      </c>
    </row>
    <row r="787" spans="1:6">
      <c r="A787" t="s">
        <v>959</v>
      </c>
      <c r="B787">
        <v>505.75</v>
      </c>
      <c r="C787" s="25">
        <v>-2.6700000000000002E-2</v>
      </c>
      <c r="E787" s="13">
        <v>7795.7</v>
      </c>
      <c r="F787" s="25">
        <v>-9.2999999999999992E-3</v>
      </c>
    </row>
    <row r="788" spans="1:6">
      <c r="A788" t="s">
        <v>960</v>
      </c>
      <c r="B788">
        <v>519.65</v>
      </c>
      <c r="C788" s="25">
        <v>2.3800000000000002E-2</v>
      </c>
      <c r="E788" s="13">
        <v>7868.5</v>
      </c>
      <c r="F788" s="25">
        <v>2.8999999999999998E-3</v>
      </c>
    </row>
    <row r="789" spans="1:6">
      <c r="A789" t="s">
        <v>961</v>
      </c>
      <c r="B789">
        <v>507.55</v>
      </c>
      <c r="C789" s="25">
        <v>2.8799999999999999E-2</v>
      </c>
      <c r="E789" s="13">
        <v>7845.95</v>
      </c>
      <c r="F789" s="25">
        <v>4.3E-3</v>
      </c>
    </row>
    <row r="790" spans="1:6">
      <c r="A790" t="s">
        <v>962</v>
      </c>
      <c r="B790">
        <v>493.35</v>
      </c>
      <c r="C790" s="25">
        <v>-1.3299999999999999E-2</v>
      </c>
      <c r="E790" s="13">
        <v>7812</v>
      </c>
      <c r="F790" s="25">
        <v>-2.07E-2</v>
      </c>
    </row>
    <row r="791" spans="1:6">
      <c r="A791" t="s">
        <v>963</v>
      </c>
      <c r="B791">
        <v>500</v>
      </c>
      <c r="C791" s="25">
        <v>2.6800000000000001E-2</v>
      </c>
      <c r="E791" s="13">
        <v>7977.1</v>
      </c>
      <c r="F791" s="25">
        <v>-5.9999999999999995E-4</v>
      </c>
    </row>
    <row r="792" spans="1:6">
      <c r="A792" t="s">
        <v>964</v>
      </c>
      <c r="B792">
        <v>486.95</v>
      </c>
      <c r="C792" s="25">
        <v>-1.15E-2</v>
      </c>
      <c r="E792" s="13">
        <v>7981.9</v>
      </c>
      <c r="F792" s="25">
        <v>1.0500000000000001E-2</v>
      </c>
    </row>
    <row r="793" spans="1:6">
      <c r="A793" t="s">
        <v>965</v>
      </c>
      <c r="B793">
        <v>492.6</v>
      </c>
      <c r="C793" s="25">
        <v>2.41E-2</v>
      </c>
      <c r="E793" s="13">
        <v>7899.15</v>
      </c>
      <c r="F793" s="25">
        <v>8.8999999999999999E-3</v>
      </c>
    </row>
    <row r="794" spans="1:6">
      <c r="A794" t="s">
        <v>966</v>
      </c>
      <c r="B794">
        <v>481</v>
      </c>
      <c r="C794" s="25">
        <v>-4.2799999999999998E-2</v>
      </c>
      <c r="E794" s="13">
        <v>7829.1</v>
      </c>
      <c r="F794" s="25">
        <v>-5.4999999999999997E-3</v>
      </c>
    </row>
    <row r="795" spans="1:6">
      <c r="A795" t="s">
        <v>967</v>
      </c>
      <c r="B795">
        <v>502.5</v>
      </c>
      <c r="C795" s="25">
        <v>6.3200000000000006E-2</v>
      </c>
      <c r="E795" s="13">
        <v>7872.25</v>
      </c>
      <c r="F795" s="25">
        <v>1.06E-2</v>
      </c>
    </row>
    <row r="796" spans="1:6">
      <c r="A796" t="s">
        <v>968</v>
      </c>
      <c r="B796">
        <v>472.65</v>
      </c>
      <c r="C796" s="25">
        <v>5.0000000000000001E-4</v>
      </c>
      <c r="E796" s="13">
        <v>7789.3</v>
      </c>
      <c r="F796" s="25">
        <v>2.0000000000000001E-4</v>
      </c>
    </row>
    <row r="797" spans="1:6">
      <c r="A797" t="s">
        <v>969</v>
      </c>
      <c r="B797">
        <v>472.4</v>
      </c>
      <c r="C797" s="25">
        <v>-7.6E-3</v>
      </c>
      <c r="E797" s="13">
        <v>7788.1</v>
      </c>
      <c r="F797" s="25">
        <v>-3.8999999999999998E-3</v>
      </c>
    </row>
    <row r="798" spans="1:6">
      <c r="A798" t="s">
        <v>970</v>
      </c>
      <c r="B798">
        <v>476</v>
      </c>
      <c r="C798" s="25">
        <v>-5.9999999999999995E-4</v>
      </c>
      <c r="E798" s="13">
        <v>7818.6</v>
      </c>
      <c r="F798" s="25">
        <v>1.7000000000000001E-2</v>
      </c>
    </row>
    <row r="799" spans="1:6">
      <c r="A799" t="s">
        <v>971</v>
      </c>
      <c r="B799">
        <v>476.3</v>
      </c>
      <c r="C799" s="25">
        <v>3.0099999999999998E-2</v>
      </c>
      <c r="E799" s="13">
        <v>7688.25</v>
      </c>
      <c r="F799" s="25">
        <v>1.7100000000000001E-2</v>
      </c>
    </row>
    <row r="800" spans="1:6">
      <c r="A800" t="s">
        <v>972</v>
      </c>
      <c r="B800">
        <v>462.4</v>
      </c>
      <c r="C800" s="25">
        <v>-2.7E-2</v>
      </c>
      <c r="E800" s="13">
        <v>7558.8</v>
      </c>
      <c r="F800" s="25">
        <v>-1.26E-2</v>
      </c>
    </row>
    <row r="801" spans="1:6">
      <c r="A801" t="s">
        <v>973</v>
      </c>
      <c r="B801">
        <v>475.25</v>
      </c>
      <c r="C801" s="25">
        <v>-1.8E-3</v>
      </c>
      <c r="E801" s="13">
        <v>7655.05</v>
      </c>
      <c r="F801" s="25">
        <v>-2.1499999999999998E-2</v>
      </c>
    </row>
    <row r="802" spans="1:6">
      <c r="A802" t="s">
        <v>974</v>
      </c>
      <c r="B802">
        <v>476.1</v>
      </c>
      <c r="C802" s="25">
        <v>-3.2000000000000002E-3</v>
      </c>
      <c r="E802" s="13">
        <v>7823</v>
      </c>
      <c r="F802" s="25">
        <v>1.37E-2</v>
      </c>
    </row>
    <row r="803" spans="1:6">
      <c r="A803" t="s">
        <v>975</v>
      </c>
      <c r="B803">
        <v>477.65</v>
      </c>
      <c r="C803" s="25">
        <v>-3.0200000000000001E-2</v>
      </c>
      <c r="E803" s="13">
        <v>7717</v>
      </c>
      <c r="F803" s="25">
        <v>-8.8000000000000005E-3</v>
      </c>
    </row>
    <row r="804" spans="1:6">
      <c r="A804" t="s">
        <v>976</v>
      </c>
      <c r="B804">
        <v>492.5</v>
      </c>
      <c r="C804" s="25">
        <v>1.7999999999999999E-2</v>
      </c>
      <c r="E804" s="13">
        <v>7785.85</v>
      </c>
      <c r="F804" s="25">
        <v>-2.3300000000000001E-2</v>
      </c>
    </row>
    <row r="805" spans="1:6">
      <c r="A805" t="s">
        <v>977</v>
      </c>
      <c r="B805">
        <v>483.8</v>
      </c>
      <c r="C805" s="25">
        <v>-1.24E-2</v>
      </c>
      <c r="E805" s="13">
        <v>7971.3</v>
      </c>
      <c r="F805" s="25">
        <v>-3.8E-3</v>
      </c>
    </row>
    <row r="806" spans="1:6">
      <c r="A806" t="s">
        <v>978</v>
      </c>
      <c r="B806">
        <v>489.85</v>
      </c>
      <c r="C806" s="25">
        <v>-2.5399999999999999E-2</v>
      </c>
      <c r="E806" s="13">
        <v>8001.95</v>
      </c>
      <c r="F806" s="25">
        <v>6.7000000000000002E-3</v>
      </c>
    </row>
    <row r="807" spans="1:6">
      <c r="A807" t="s">
        <v>979</v>
      </c>
      <c r="B807">
        <v>502.6</v>
      </c>
      <c r="C807" s="25">
        <v>6.2399999999999997E-2</v>
      </c>
      <c r="E807" s="13">
        <v>7948.95</v>
      </c>
      <c r="F807" s="25">
        <v>2.0199999999999999E-2</v>
      </c>
    </row>
    <row r="808" spans="1:6">
      <c r="A808" t="s">
        <v>980</v>
      </c>
      <c r="B808">
        <v>473.1</v>
      </c>
      <c r="C808" s="25">
        <v>-3.5000000000000001E-3</v>
      </c>
      <c r="E808" s="13">
        <v>7791.85</v>
      </c>
      <c r="F808" s="25">
        <v>-1.1299999999999999E-2</v>
      </c>
    </row>
    <row r="809" spans="1:6">
      <c r="A809" t="s">
        <v>981</v>
      </c>
      <c r="B809">
        <v>474.75</v>
      </c>
      <c r="C809" s="25">
        <v>-3.9899999999999998E-2</v>
      </c>
      <c r="E809" s="13">
        <v>7880.7</v>
      </c>
      <c r="F809" s="25">
        <v>9.1999999999999998E-3</v>
      </c>
    </row>
    <row r="810" spans="1:6">
      <c r="A810" t="s">
        <v>982</v>
      </c>
      <c r="B810">
        <v>494.5</v>
      </c>
      <c r="C810" s="25">
        <v>-5.8000000000000003E-2</v>
      </c>
      <c r="E810" s="13">
        <v>7809</v>
      </c>
      <c r="F810" s="25">
        <v>-5.9200000000000003E-2</v>
      </c>
    </row>
    <row r="811" spans="1:6">
      <c r="A811" t="s">
        <v>983</v>
      </c>
      <c r="B811">
        <v>524.95000000000005</v>
      </c>
      <c r="C811" s="25">
        <v>-1.9699999999999999E-2</v>
      </c>
      <c r="E811" s="13">
        <v>8299.9500000000007</v>
      </c>
      <c r="F811" s="25">
        <v>-8.6999999999999994E-3</v>
      </c>
    </row>
    <row r="812" spans="1:6">
      <c r="A812" t="s">
        <v>984</v>
      </c>
      <c r="B812">
        <v>535.5</v>
      </c>
      <c r="C812" s="25">
        <v>-1.9900000000000001E-2</v>
      </c>
      <c r="E812" s="13">
        <v>8372.75</v>
      </c>
      <c r="F812" s="25">
        <v>-1.44E-2</v>
      </c>
    </row>
    <row r="813" spans="1:6">
      <c r="A813" t="s">
        <v>985</v>
      </c>
      <c r="B813">
        <v>546.4</v>
      </c>
      <c r="C813" s="25">
        <v>1.38E-2</v>
      </c>
      <c r="E813" s="13">
        <v>8495.15</v>
      </c>
      <c r="F813" s="25">
        <v>3.3999999999999998E-3</v>
      </c>
    </row>
    <row r="814" spans="1:6">
      <c r="A814" t="s">
        <v>986</v>
      </c>
      <c r="B814">
        <v>538.95000000000005</v>
      </c>
      <c r="C814" s="25">
        <v>7.3000000000000001E-3</v>
      </c>
      <c r="E814" s="13">
        <v>8466.5499999999993</v>
      </c>
      <c r="F814" s="25">
        <v>-1.2999999999999999E-3</v>
      </c>
    </row>
    <row r="815" spans="1:6">
      <c r="A815" t="s">
        <v>987</v>
      </c>
      <c r="B815">
        <v>535.04999999999995</v>
      </c>
      <c r="C815" s="25">
        <v>1.09E-2</v>
      </c>
      <c r="E815" s="13">
        <v>8477.2999999999993</v>
      </c>
      <c r="F815" s="25">
        <v>-4.7999999999999996E-3</v>
      </c>
    </row>
    <row r="816" spans="1:6">
      <c r="A816" t="s">
        <v>988</v>
      </c>
      <c r="B816">
        <v>529.29999999999995</v>
      </c>
      <c r="C816" s="25">
        <v>2.06E-2</v>
      </c>
      <c r="E816" s="13">
        <v>8518.5499999999993</v>
      </c>
      <c r="F816" s="25">
        <v>1.95E-2</v>
      </c>
    </row>
    <row r="817" spans="1:6">
      <c r="A817" t="s">
        <v>989</v>
      </c>
      <c r="B817">
        <v>518.6</v>
      </c>
      <c r="C817" s="25">
        <v>-1.4E-3</v>
      </c>
      <c r="E817" s="13">
        <v>8355.85</v>
      </c>
      <c r="F817" s="25">
        <v>8.0000000000000004E-4</v>
      </c>
    </row>
    <row r="818" spans="1:6">
      <c r="A818" t="s">
        <v>990</v>
      </c>
      <c r="B818">
        <v>519.35</v>
      </c>
      <c r="C818" s="25">
        <v>-1.49E-2</v>
      </c>
      <c r="E818" s="13">
        <v>8349.4500000000007</v>
      </c>
      <c r="F818" s="25">
        <v>-1.3299999999999999E-2</v>
      </c>
    </row>
    <row r="819" spans="1:6">
      <c r="A819" t="s">
        <v>991</v>
      </c>
      <c r="B819">
        <v>527.20000000000005</v>
      </c>
      <c r="C819" s="25">
        <v>-2.52E-2</v>
      </c>
      <c r="E819" s="13">
        <v>8462.35</v>
      </c>
      <c r="F819" s="25">
        <v>-7.4000000000000003E-3</v>
      </c>
    </row>
    <row r="820" spans="1:6">
      <c r="A820" t="s">
        <v>992</v>
      </c>
      <c r="B820">
        <v>540.85</v>
      </c>
      <c r="C820" s="25">
        <v>-3.1399999999999997E-2</v>
      </c>
      <c r="E820" s="13">
        <v>8525.6</v>
      </c>
      <c r="F820" s="25">
        <v>-4.5999999999999999E-3</v>
      </c>
    </row>
    <row r="821" spans="1:6">
      <c r="A821" t="s">
        <v>993</v>
      </c>
      <c r="B821">
        <v>558.4</v>
      </c>
      <c r="C821" s="25">
        <v>-2.1600000000000001E-2</v>
      </c>
      <c r="E821" s="13">
        <v>8564.6</v>
      </c>
      <c r="F821" s="25">
        <v>-2.8E-3</v>
      </c>
    </row>
    <row r="822" spans="1:6">
      <c r="A822" t="s">
        <v>994</v>
      </c>
      <c r="B822">
        <v>570.75</v>
      </c>
      <c r="C822" s="25">
        <v>1.1000000000000001E-3</v>
      </c>
      <c r="E822" s="13">
        <v>8588.65</v>
      </c>
      <c r="F822" s="25">
        <v>2.3999999999999998E-3</v>
      </c>
    </row>
    <row r="823" spans="1:6">
      <c r="A823" t="s">
        <v>995</v>
      </c>
      <c r="B823">
        <v>570.1</v>
      </c>
      <c r="C823" s="25">
        <v>1.24E-2</v>
      </c>
      <c r="E823" s="13">
        <v>8567.9500000000007</v>
      </c>
      <c r="F823" s="25">
        <v>6.0000000000000001E-3</v>
      </c>
    </row>
    <row r="824" spans="1:6">
      <c r="A824" t="s">
        <v>996</v>
      </c>
      <c r="B824">
        <v>563.1</v>
      </c>
      <c r="C824" s="25">
        <v>3.2800000000000003E-2</v>
      </c>
      <c r="E824" s="13">
        <v>8516.9</v>
      </c>
      <c r="F824" s="25">
        <v>-3.0999999999999999E-3</v>
      </c>
    </row>
    <row r="825" spans="1:6">
      <c r="A825" t="s">
        <v>997</v>
      </c>
      <c r="B825">
        <v>545.20000000000005</v>
      </c>
      <c r="C825" s="25">
        <v>5.1999999999999998E-2</v>
      </c>
      <c r="E825" s="13">
        <v>8543.0499999999993</v>
      </c>
      <c r="F825" s="25">
        <v>1.1999999999999999E-3</v>
      </c>
    </row>
    <row r="826" spans="1:6">
      <c r="A826" t="s">
        <v>998</v>
      </c>
      <c r="B826">
        <v>518.25</v>
      </c>
      <c r="C826" s="25">
        <v>1.47E-2</v>
      </c>
      <c r="E826" s="13">
        <v>8532.85</v>
      </c>
      <c r="F826" s="25">
        <v>1.32E-2</v>
      </c>
    </row>
    <row r="827" spans="1:6">
      <c r="A827" t="s">
        <v>999</v>
      </c>
      <c r="B827">
        <v>510.75</v>
      </c>
      <c r="C827" s="25">
        <v>-2.5100000000000001E-2</v>
      </c>
      <c r="E827" s="13">
        <v>8421.7999999999993</v>
      </c>
      <c r="F827" s="25">
        <v>5.5999999999999999E-3</v>
      </c>
    </row>
    <row r="828" spans="1:6">
      <c r="A828" t="s">
        <v>1000</v>
      </c>
      <c r="B828">
        <v>523.9</v>
      </c>
      <c r="C828" s="25">
        <v>-1.55E-2</v>
      </c>
      <c r="E828" s="13">
        <v>8375.0499999999993</v>
      </c>
      <c r="F828" s="25">
        <v>4.5999999999999999E-3</v>
      </c>
    </row>
    <row r="829" spans="1:6">
      <c r="A829" t="s">
        <v>1001</v>
      </c>
      <c r="B829">
        <v>532.15</v>
      </c>
      <c r="C829" s="25">
        <v>-5.4000000000000003E-3</v>
      </c>
      <c r="E829" s="13">
        <v>8337</v>
      </c>
      <c r="F829" s="25">
        <v>-2.8999999999999998E-3</v>
      </c>
    </row>
    <row r="830" spans="1:6">
      <c r="A830" t="s">
        <v>1002</v>
      </c>
      <c r="B830">
        <v>535.04999999999995</v>
      </c>
      <c r="C830" s="25">
        <v>5.1999999999999998E-3</v>
      </c>
      <c r="E830" s="13">
        <v>8361</v>
      </c>
      <c r="F830" s="25">
        <v>-1.8800000000000001E-2</v>
      </c>
    </row>
    <row r="831" spans="1:6">
      <c r="A831" t="s">
        <v>1003</v>
      </c>
      <c r="B831">
        <v>532.29999999999995</v>
      </c>
      <c r="C831" s="25">
        <v>-3.0200000000000001E-2</v>
      </c>
      <c r="E831" s="13">
        <v>8521.5499999999993</v>
      </c>
      <c r="F831" s="25">
        <v>-7.9000000000000008E-3</v>
      </c>
    </row>
    <row r="832" spans="1:6">
      <c r="A832" t="s">
        <v>1004</v>
      </c>
      <c r="B832">
        <v>548.9</v>
      </c>
      <c r="C832" s="25">
        <v>1.8499999999999999E-2</v>
      </c>
      <c r="E832" s="13">
        <v>8589.7999999999993</v>
      </c>
      <c r="F832" s="25">
        <v>-5.1000000000000004E-3</v>
      </c>
    </row>
    <row r="833" spans="1:6">
      <c r="A833" t="s">
        <v>1005</v>
      </c>
      <c r="B833">
        <v>538.95000000000005</v>
      </c>
      <c r="C833" s="25">
        <v>1.8100000000000002E-2</v>
      </c>
      <c r="E833" s="13">
        <v>8633.5</v>
      </c>
      <c r="F833" s="25">
        <v>1.2200000000000001E-2</v>
      </c>
    </row>
    <row r="834" spans="1:6">
      <c r="A834" t="s">
        <v>1006</v>
      </c>
      <c r="B834">
        <v>529.35</v>
      </c>
      <c r="C834" s="25">
        <v>-4.7600000000000003E-2</v>
      </c>
      <c r="E834" s="13">
        <v>8529.4500000000007</v>
      </c>
      <c r="F834" s="25">
        <v>-8.6E-3</v>
      </c>
    </row>
    <row r="835" spans="1:6">
      <c r="A835" t="s">
        <v>1007</v>
      </c>
      <c r="B835">
        <v>555.79999999999995</v>
      </c>
      <c r="C835" s="25">
        <v>4.8999999999999998E-3</v>
      </c>
      <c r="E835" s="13">
        <v>8603.4500000000007</v>
      </c>
      <c r="F835" s="25">
        <v>-6.9999999999999999E-4</v>
      </c>
    </row>
    <row r="836" spans="1:6">
      <c r="A836" t="s">
        <v>1008</v>
      </c>
      <c r="B836">
        <v>553.1</v>
      </c>
      <c r="C836" s="25">
        <v>-4.4000000000000003E-3</v>
      </c>
      <c r="E836" s="13">
        <v>8609.85</v>
      </c>
      <c r="F836" s="25">
        <v>2.0000000000000001E-4</v>
      </c>
    </row>
    <row r="837" spans="1:6">
      <c r="A837" t="s">
        <v>1009</v>
      </c>
      <c r="B837">
        <v>555.54999999999995</v>
      </c>
      <c r="C837" s="25">
        <v>3.2500000000000001E-2</v>
      </c>
      <c r="E837" s="13">
        <v>8608.0499999999993</v>
      </c>
      <c r="F837" s="25">
        <v>9.9000000000000008E-3</v>
      </c>
    </row>
    <row r="838" spans="1:6">
      <c r="A838" t="s">
        <v>1010</v>
      </c>
      <c r="B838">
        <v>538.04999999999995</v>
      </c>
      <c r="C838" s="25">
        <v>0.1052</v>
      </c>
      <c r="E838" s="13">
        <v>8523.7999999999993</v>
      </c>
      <c r="F838" s="25">
        <v>8.2000000000000007E-3</v>
      </c>
    </row>
    <row r="839" spans="1:6">
      <c r="A839" t="s">
        <v>1011</v>
      </c>
      <c r="B839">
        <v>486.85</v>
      </c>
      <c r="C839" s="25">
        <v>2.7099999999999999E-2</v>
      </c>
      <c r="E839" s="13">
        <v>8454.1</v>
      </c>
      <c r="F839" s="25">
        <v>-6.9999999999999999E-4</v>
      </c>
    </row>
    <row r="840" spans="1:6">
      <c r="A840" t="s">
        <v>1012</v>
      </c>
      <c r="B840">
        <v>474</v>
      </c>
      <c r="C840" s="25">
        <v>1.8E-3</v>
      </c>
      <c r="E840" s="13">
        <v>8459.65</v>
      </c>
      <c r="F840" s="25">
        <v>1.1900000000000001E-2</v>
      </c>
    </row>
    <row r="841" spans="1:6">
      <c r="A841" t="s">
        <v>1013</v>
      </c>
      <c r="B841">
        <v>473.15</v>
      </c>
      <c r="C841" s="25">
        <v>0.01</v>
      </c>
      <c r="E841" s="13">
        <v>8360.5499999999993</v>
      </c>
      <c r="F841" s="25">
        <v>3.8E-3</v>
      </c>
    </row>
    <row r="842" spans="1:6">
      <c r="A842" t="s">
        <v>1014</v>
      </c>
      <c r="B842">
        <v>468.45</v>
      </c>
      <c r="C842" s="25">
        <v>7.0000000000000001E-3</v>
      </c>
      <c r="E842" s="13">
        <v>8328.5499999999993</v>
      </c>
      <c r="F842" s="25">
        <v>-4.1000000000000003E-3</v>
      </c>
    </row>
    <row r="843" spans="1:6">
      <c r="A843" t="s">
        <v>1015</v>
      </c>
      <c r="B843">
        <v>465.2</v>
      </c>
      <c r="C843" s="25">
        <v>-4.9099999999999998E-2</v>
      </c>
      <c r="E843" s="13">
        <v>8363.0499999999993</v>
      </c>
      <c r="F843" s="25">
        <v>-1.7399999999999999E-2</v>
      </c>
    </row>
    <row r="844" spans="1:6">
      <c r="A844" t="s">
        <v>1016</v>
      </c>
      <c r="B844">
        <v>489.2</v>
      </c>
      <c r="C844" s="25">
        <v>-1.14E-2</v>
      </c>
      <c r="E844" s="13">
        <v>8510.7999999999993</v>
      </c>
      <c r="F844" s="25">
        <v>-1.2999999999999999E-3</v>
      </c>
    </row>
    <row r="845" spans="1:6">
      <c r="A845" t="s">
        <v>1017</v>
      </c>
      <c r="B845">
        <v>494.85</v>
      </c>
      <c r="C845" s="25">
        <v>-1.11E-2</v>
      </c>
      <c r="E845" s="13">
        <v>8522.15</v>
      </c>
      <c r="F845" s="25">
        <v>4.4000000000000003E-3</v>
      </c>
    </row>
    <row r="846" spans="1:6">
      <c r="A846" t="s">
        <v>1018</v>
      </c>
      <c r="B846">
        <v>500.4</v>
      </c>
      <c r="C846" s="25">
        <v>2.23E-2</v>
      </c>
      <c r="E846" s="13">
        <v>8484.9</v>
      </c>
      <c r="F846" s="25">
        <v>4.7000000000000002E-3</v>
      </c>
    </row>
    <row r="847" spans="1:6">
      <c r="A847" t="s">
        <v>1019</v>
      </c>
      <c r="B847">
        <v>489.5</v>
      </c>
      <c r="C847" s="25">
        <v>1.37E-2</v>
      </c>
      <c r="E847" s="13">
        <v>8444.9</v>
      </c>
      <c r="F847" s="25">
        <v>-1E-3</v>
      </c>
    </row>
    <row r="848" spans="1:6">
      <c r="A848" t="s">
        <v>1020</v>
      </c>
      <c r="B848">
        <v>482.9</v>
      </c>
      <c r="C848" s="25">
        <v>-2.1299999999999999E-2</v>
      </c>
      <c r="E848" s="13">
        <v>8453.0499999999993</v>
      </c>
      <c r="F848" s="25">
        <v>1.01E-2</v>
      </c>
    </row>
    <row r="849" spans="1:6">
      <c r="A849" t="s">
        <v>1021</v>
      </c>
      <c r="B849">
        <v>493.4</v>
      </c>
      <c r="C849" s="25">
        <v>5.8999999999999997E-2</v>
      </c>
      <c r="E849" s="13">
        <v>8368.5</v>
      </c>
      <c r="F849" s="25">
        <v>6.0000000000000001E-3</v>
      </c>
    </row>
    <row r="850" spans="1:6">
      <c r="A850" t="s">
        <v>1022</v>
      </c>
      <c r="B850">
        <v>465.9</v>
      </c>
      <c r="C850" s="25">
        <v>-1.6799999999999999E-2</v>
      </c>
      <c r="E850" s="13">
        <v>8318.4</v>
      </c>
      <c r="F850" s="25">
        <v>-7.4999999999999997E-3</v>
      </c>
    </row>
    <row r="851" spans="1:6">
      <c r="A851" t="s">
        <v>1023</v>
      </c>
      <c r="B851">
        <v>473.85</v>
      </c>
      <c r="C851" s="25">
        <v>-9.4999999999999998E-3</v>
      </c>
      <c r="E851" s="13">
        <v>8381.1</v>
      </c>
      <c r="F851" s="25">
        <v>-2E-3</v>
      </c>
    </row>
    <row r="852" spans="1:6">
      <c r="A852" t="s">
        <v>1024</v>
      </c>
      <c r="B852">
        <v>478.4</v>
      </c>
      <c r="C852" s="25">
        <v>6.4999999999999997E-3</v>
      </c>
      <c r="E852" s="13">
        <v>8398</v>
      </c>
      <c r="F852" s="25">
        <v>4.4000000000000003E-3</v>
      </c>
    </row>
    <row r="853" spans="1:6">
      <c r="A853" t="s">
        <v>1025</v>
      </c>
      <c r="B853">
        <v>475.3</v>
      </c>
      <c r="C853" s="25">
        <v>4.4200000000000003E-2</v>
      </c>
      <c r="E853" s="13">
        <v>8360.85</v>
      </c>
      <c r="F853" s="25">
        <v>-2.5000000000000001E-3</v>
      </c>
    </row>
    <row r="854" spans="1:6">
      <c r="A854" t="s">
        <v>1026</v>
      </c>
      <c r="B854">
        <v>455.2</v>
      </c>
      <c r="C854" s="25">
        <v>3.0999999999999999E-3</v>
      </c>
      <c r="E854" s="13">
        <v>8381.5499999999993</v>
      </c>
      <c r="F854" s="25">
        <v>3.3999999999999998E-3</v>
      </c>
    </row>
    <row r="855" spans="1:6">
      <c r="A855" t="s">
        <v>1027</v>
      </c>
      <c r="B855">
        <v>453.8</v>
      </c>
      <c r="C855" s="25">
        <v>-9.9000000000000008E-3</v>
      </c>
      <c r="E855" s="13">
        <v>8353.1</v>
      </c>
      <c r="F855" s="25">
        <v>1.5599999999999999E-2</v>
      </c>
    </row>
    <row r="856" spans="1:6">
      <c r="A856" t="s">
        <v>1028</v>
      </c>
      <c r="B856">
        <v>458.35</v>
      </c>
      <c r="C856" s="25">
        <v>-2.6100000000000002E-2</v>
      </c>
      <c r="E856" s="13">
        <v>8224.9500000000007</v>
      </c>
      <c r="F856" s="25">
        <v>6.1999999999999998E-3</v>
      </c>
    </row>
    <row r="857" spans="1:6">
      <c r="A857" t="s">
        <v>1029</v>
      </c>
      <c r="B857">
        <v>470.65</v>
      </c>
      <c r="C857" s="25">
        <v>1.4E-3</v>
      </c>
      <c r="E857" s="13">
        <v>8174.6</v>
      </c>
      <c r="F857" s="25">
        <v>1.03E-2</v>
      </c>
    </row>
    <row r="858" spans="1:6">
      <c r="A858" t="s">
        <v>1030</v>
      </c>
      <c r="B858">
        <v>470</v>
      </c>
      <c r="C858" s="25">
        <v>-1.6199999999999999E-2</v>
      </c>
      <c r="E858" s="13">
        <v>8091.55</v>
      </c>
      <c r="F858" s="25">
        <v>5.4999999999999997E-3</v>
      </c>
    </row>
    <row r="859" spans="1:6">
      <c r="A859" t="s">
        <v>1031</v>
      </c>
      <c r="B859">
        <v>477.75</v>
      </c>
      <c r="C859" s="25">
        <v>-5.0000000000000001E-4</v>
      </c>
      <c r="E859" s="13">
        <v>8047.3</v>
      </c>
      <c r="F859" s="25">
        <v>4.1999999999999997E-3</v>
      </c>
    </row>
    <row r="860" spans="1:6">
      <c r="A860" t="s">
        <v>1032</v>
      </c>
      <c r="B860">
        <v>478</v>
      </c>
      <c r="C860" s="25">
        <v>1.67E-2</v>
      </c>
      <c r="E860" s="13">
        <v>8013.9</v>
      </c>
      <c r="F860" s="25">
        <v>3.8999999999999998E-3</v>
      </c>
    </row>
    <row r="861" spans="1:6">
      <c r="A861" t="s">
        <v>1033</v>
      </c>
      <c r="B861">
        <v>470.15</v>
      </c>
      <c r="C861" s="25">
        <v>-1.1000000000000001E-3</v>
      </c>
      <c r="E861" s="13">
        <v>7982.9</v>
      </c>
      <c r="F861" s="25">
        <v>2.2000000000000001E-3</v>
      </c>
    </row>
    <row r="862" spans="1:6">
      <c r="A862" t="s">
        <v>1034</v>
      </c>
      <c r="B862">
        <v>470.65</v>
      </c>
      <c r="C862" s="25">
        <v>-3.3E-3</v>
      </c>
      <c r="E862" s="13">
        <v>7965.35</v>
      </c>
      <c r="F862" s="25">
        <v>-1.9599999999999999E-2</v>
      </c>
    </row>
    <row r="863" spans="1:6">
      <c r="A863" t="s">
        <v>1035</v>
      </c>
      <c r="B863">
        <v>472.2</v>
      </c>
      <c r="C863" s="25">
        <v>-1.6E-2</v>
      </c>
      <c r="E863" s="13">
        <v>8124.45</v>
      </c>
      <c r="F863" s="25">
        <v>1.2699999999999999E-2</v>
      </c>
    </row>
    <row r="864" spans="1:6">
      <c r="A864" t="s">
        <v>1036</v>
      </c>
      <c r="B864">
        <v>479.9</v>
      </c>
      <c r="C864" s="25">
        <v>-1.0699999999999999E-2</v>
      </c>
      <c r="E864" s="13">
        <v>8022.4</v>
      </c>
      <c r="F864" s="25">
        <v>-2.7000000000000001E-3</v>
      </c>
    </row>
    <row r="865" spans="1:6">
      <c r="A865" t="s">
        <v>1037</v>
      </c>
      <c r="B865">
        <v>485.1</v>
      </c>
      <c r="C865" s="25">
        <v>2.3599999999999999E-2</v>
      </c>
      <c r="E865" s="13">
        <v>8044.15</v>
      </c>
      <c r="F865" s="25">
        <v>-8.6999999999999994E-3</v>
      </c>
    </row>
    <row r="866" spans="1:6">
      <c r="A866" t="s">
        <v>1038</v>
      </c>
      <c r="B866">
        <v>473.9</v>
      </c>
      <c r="C866" s="25">
        <v>-1.2999999999999999E-2</v>
      </c>
      <c r="E866" s="13">
        <v>8114.7</v>
      </c>
      <c r="F866" s="25">
        <v>-2E-3</v>
      </c>
    </row>
    <row r="867" spans="1:6">
      <c r="A867" t="s">
        <v>1039</v>
      </c>
      <c r="B867">
        <v>480.15</v>
      </c>
      <c r="C867" s="25">
        <v>2.0799999999999999E-2</v>
      </c>
      <c r="E867" s="13">
        <v>8130.65</v>
      </c>
      <c r="F867" s="25">
        <v>-5.0000000000000001E-4</v>
      </c>
    </row>
    <row r="868" spans="1:6">
      <c r="A868" t="s">
        <v>1040</v>
      </c>
      <c r="B868">
        <v>470.35</v>
      </c>
      <c r="C868" s="25">
        <v>4.5999999999999999E-3</v>
      </c>
      <c r="E868" s="13">
        <v>8135.1</v>
      </c>
      <c r="F868" s="25">
        <v>-1.23E-2</v>
      </c>
    </row>
    <row r="869" spans="1:6">
      <c r="A869" t="s">
        <v>1041</v>
      </c>
      <c r="B869">
        <v>468.2</v>
      </c>
      <c r="C869" s="25">
        <v>-5.6500000000000002E-2</v>
      </c>
      <c r="E869" s="13">
        <v>8236.4500000000007</v>
      </c>
      <c r="F869" s="25">
        <v>-2.3400000000000001E-2</v>
      </c>
    </row>
    <row r="870" spans="1:6">
      <c r="A870" t="s">
        <v>1042</v>
      </c>
      <c r="B870">
        <v>496.25</v>
      </c>
      <c r="C870" s="25">
        <v>-5.7000000000000002E-3</v>
      </c>
      <c r="E870" s="13">
        <v>8433.4</v>
      </c>
      <c r="F870" s="25">
        <v>0</v>
      </c>
    </row>
    <row r="871" spans="1:6">
      <c r="A871" t="s">
        <v>1043</v>
      </c>
      <c r="B871">
        <v>499.1</v>
      </c>
      <c r="C871" s="25">
        <v>-5.7000000000000002E-3</v>
      </c>
      <c r="E871" s="13">
        <v>8433.65</v>
      </c>
      <c r="F871" s="25">
        <v>1.38E-2</v>
      </c>
    </row>
    <row r="872" spans="1:6">
      <c r="A872" t="s">
        <v>1044</v>
      </c>
      <c r="B872">
        <v>501.95</v>
      </c>
      <c r="C872" s="25">
        <v>-2.6800000000000001E-2</v>
      </c>
      <c r="E872" s="13">
        <v>8319</v>
      </c>
      <c r="F872" s="25">
        <v>-1.9E-3</v>
      </c>
    </row>
    <row r="873" spans="1:6">
      <c r="A873" t="s">
        <v>1045</v>
      </c>
      <c r="B873">
        <v>515.75</v>
      </c>
      <c r="C873" s="25">
        <v>-1.7600000000000001E-2</v>
      </c>
      <c r="E873" s="13">
        <v>8334.6</v>
      </c>
      <c r="F873" s="25">
        <v>-5.9999999999999995E-4</v>
      </c>
    </row>
    <row r="874" spans="1:6">
      <c r="A874" t="s">
        <v>1046</v>
      </c>
      <c r="B874">
        <v>525</v>
      </c>
      <c r="C874" s="25">
        <v>6.3E-3</v>
      </c>
      <c r="E874" s="13">
        <v>8339.35</v>
      </c>
      <c r="F874" s="25">
        <v>-3.7000000000000002E-3</v>
      </c>
    </row>
    <row r="875" spans="1:6">
      <c r="A875" t="s">
        <v>1047</v>
      </c>
      <c r="B875">
        <v>521.70000000000005</v>
      </c>
      <c r="C875" s="25">
        <v>0</v>
      </c>
      <c r="E875" s="13">
        <v>8370.25</v>
      </c>
      <c r="F875" s="25">
        <v>-1.0500000000000001E-2</v>
      </c>
    </row>
    <row r="876" spans="1:6">
      <c r="A876" t="s">
        <v>1048</v>
      </c>
      <c r="B876">
        <v>521.70000000000005</v>
      </c>
      <c r="C876" s="25">
        <v>3.3E-3</v>
      </c>
      <c r="E876" s="13">
        <v>8458.9500000000007</v>
      </c>
      <c r="F876" s="25">
        <v>4.4999999999999997E-3</v>
      </c>
    </row>
    <row r="877" spans="1:6">
      <c r="A877" t="s">
        <v>1049</v>
      </c>
      <c r="B877">
        <v>520</v>
      </c>
      <c r="C877" s="25">
        <v>-1.47E-2</v>
      </c>
      <c r="E877" s="13">
        <v>8421</v>
      </c>
      <c r="F877" s="25">
        <v>-2.9999999999999997E-4</v>
      </c>
    </row>
    <row r="878" spans="1:6">
      <c r="A878" t="s">
        <v>1050</v>
      </c>
      <c r="B878">
        <v>527.75</v>
      </c>
      <c r="C878" s="25">
        <v>7.0000000000000001E-3</v>
      </c>
      <c r="E878" s="13">
        <v>8423.25</v>
      </c>
      <c r="F878" s="25">
        <v>6.8999999999999999E-3</v>
      </c>
    </row>
    <row r="879" spans="1:6">
      <c r="A879" t="s">
        <v>1051</v>
      </c>
      <c r="B879">
        <v>524.1</v>
      </c>
      <c r="C879" s="25">
        <v>-4.0000000000000002E-4</v>
      </c>
      <c r="E879" s="13">
        <v>8365.65</v>
      </c>
      <c r="F879" s="25">
        <v>-1E-3</v>
      </c>
    </row>
    <row r="880" spans="1:6">
      <c r="A880" t="s">
        <v>1052</v>
      </c>
      <c r="B880">
        <v>524.29999999999995</v>
      </c>
      <c r="C880" s="25">
        <v>-4.7000000000000002E-3</v>
      </c>
      <c r="E880" s="13">
        <v>8373.65</v>
      </c>
      <c r="F880" s="25">
        <v>1.35E-2</v>
      </c>
    </row>
    <row r="881" spans="1:6">
      <c r="A881" t="s">
        <v>1053</v>
      </c>
      <c r="B881">
        <v>526.75</v>
      </c>
      <c r="C881" s="25">
        <v>-2.3699999999999999E-2</v>
      </c>
      <c r="E881" s="13">
        <v>8262.35</v>
      </c>
      <c r="F881" s="25">
        <v>4.5999999999999999E-3</v>
      </c>
    </row>
    <row r="882" spans="1:6">
      <c r="A882" t="s">
        <v>1054</v>
      </c>
      <c r="B882">
        <v>539.54999999999995</v>
      </c>
      <c r="C882" s="25">
        <v>8.9999999999999993E-3</v>
      </c>
      <c r="E882" s="13">
        <v>8224.2000000000007</v>
      </c>
      <c r="F882" s="25">
        <v>-1.4E-3</v>
      </c>
    </row>
    <row r="883" spans="1:6">
      <c r="A883" t="s">
        <v>1055</v>
      </c>
      <c r="B883">
        <v>534.75</v>
      </c>
      <c r="C883" s="25">
        <v>-2.9999999999999997E-4</v>
      </c>
      <c r="E883" s="13">
        <v>8235.4500000000007</v>
      </c>
      <c r="F883" s="25">
        <v>1.34E-2</v>
      </c>
    </row>
    <row r="884" spans="1:6">
      <c r="A884" t="s">
        <v>1056</v>
      </c>
      <c r="B884">
        <v>534.9</v>
      </c>
      <c r="C884" s="25">
        <v>1.2200000000000001E-2</v>
      </c>
      <c r="E884" s="13">
        <v>8126.95</v>
      </c>
      <c r="F884" s="25">
        <v>-2.3800000000000002E-2</v>
      </c>
    </row>
    <row r="885" spans="1:6">
      <c r="A885" t="s">
        <v>1057</v>
      </c>
      <c r="B885">
        <v>528.45000000000005</v>
      </c>
      <c r="C885" s="25">
        <v>2.7799999999999998E-2</v>
      </c>
      <c r="E885" s="13">
        <v>8325.25</v>
      </c>
      <c r="F885" s="25">
        <v>1.6299999999999999E-2</v>
      </c>
    </row>
    <row r="886" spans="1:6">
      <c r="A886" t="s">
        <v>1058</v>
      </c>
      <c r="B886">
        <v>514.15</v>
      </c>
      <c r="C886" s="25">
        <v>7.6E-3</v>
      </c>
      <c r="E886" s="13">
        <v>8191.5</v>
      </c>
      <c r="F886" s="25">
        <v>1.67E-2</v>
      </c>
    </row>
    <row r="887" spans="1:6">
      <c r="A887" t="s">
        <v>1059</v>
      </c>
      <c r="B887">
        <v>510.25</v>
      </c>
      <c r="C887" s="25">
        <v>-4.1200000000000001E-2</v>
      </c>
      <c r="E887" s="13">
        <v>8057.3</v>
      </c>
      <c r="F887" s="25">
        <v>-4.8999999999999998E-3</v>
      </c>
    </row>
    <row r="888" spans="1:6">
      <c r="A888" t="s">
        <v>1060</v>
      </c>
      <c r="B888">
        <v>532.20000000000005</v>
      </c>
      <c r="C888" s="25">
        <v>-2.4E-2</v>
      </c>
      <c r="E888" s="13">
        <v>8097</v>
      </c>
      <c r="F888" s="25">
        <v>-2.7400000000000001E-2</v>
      </c>
    </row>
    <row r="889" spans="1:6">
      <c r="A889" t="s">
        <v>1061</v>
      </c>
      <c r="B889">
        <v>545.29999999999995</v>
      </c>
      <c r="C889" s="25">
        <v>-1.0999999999999999E-2</v>
      </c>
      <c r="E889" s="13">
        <v>8324.7999999999993</v>
      </c>
      <c r="F889" s="25">
        <v>-8.9999999999999998E-4</v>
      </c>
    </row>
    <row r="890" spans="1:6">
      <c r="A890" t="s">
        <v>1062</v>
      </c>
      <c r="B890">
        <v>551.35</v>
      </c>
      <c r="C890" s="25">
        <v>-2E-3</v>
      </c>
      <c r="E890" s="13">
        <v>8331.9500000000007</v>
      </c>
      <c r="F890" s="25">
        <v>1.84E-2</v>
      </c>
    </row>
    <row r="891" spans="1:6">
      <c r="A891" t="s">
        <v>1063</v>
      </c>
      <c r="B891">
        <v>552.45000000000005</v>
      </c>
      <c r="C891" s="25">
        <v>3.1399999999999997E-2</v>
      </c>
      <c r="E891" s="13">
        <v>8181.5</v>
      </c>
      <c r="F891" s="25">
        <v>-7.1000000000000004E-3</v>
      </c>
    </row>
    <row r="892" spans="1:6">
      <c r="A892" t="s">
        <v>1064</v>
      </c>
      <c r="B892">
        <v>535.65</v>
      </c>
      <c r="C892" s="25">
        <v>2.0400000000000001E-2</v>
      </c>
      <c r="E892" s="13">
        <v>8239.75</v>
      </c>
      <c r="F892" s="25">
        <v>-5.4999999999999997E-3</v>
      </c>
    </row>
    <row r="893" spans="1:6">
      <c r="A893" t="s">
        <v>1065</v>
      </c>
      <c r="B893">
        <v>524.95000000000005</v>
      </c>
      <c r="C893" s="25">
        <v>4.3E-3</v>
      </c>
      <c r="E893" s="13">
        <v>8285.6</v>
      </c>
      <c r="F893" s="25">
        <v>8.6999999999999994E-3</v>
      </c>
    </row>
    <row r="894" spans="1:6">
      <c r="A894" t="s">
        <v>1066</v>
      </c>
      <c r="B894">
        <v>522.70000000000005</v>
      </c>
      <c r="C894" s="25">
        <v>-4.4200000000000003E-2</v>
      </c>
      <c r="E894" s="13">
        <v>8213.7999999999993</v>
      </c>
      <c r="F894" s="25">
        <v>-1.0999999999999999E-2</v>
      </c>
    </row>
    <row r="895" spans="1:6">
      <c r="A895" t="s">
        <v>1067</v>
      </c>
      <c r="B895">
        <v>546.9</v>
      </c>
      <c r="C895" s="25">
        <v>-2.69E-2</v>
      </c>
      <c r="E895" s="13">
        <v>8305.25</v>
      </c>
      <c r="F895" s="25">
        <v>-1.11E-2</v>
      </c>
    </row>
    <row r="896" spans="1:6">
      <c r="A896" t="s">
        <v>1068</v>
      </c>
      <c r="B896">
        <v>562</v>
      </c>
      <c r="C896" s="25">
        <v>-1.4500000000000001E-2</v>
      </c>
      <c r="E896" s="13">
        <v>8398.2999999999993</v>
      </c>
      <c r="F896" s="25">
        <v>-3.7000000000000002E-3</v>
      </c>
    </row>
    <row r="897" spans="1:6">
      <c r="A897" t="s">
        <v>1069</v>
      </c>
      <c r="B897">
        <v>570.25</v>
      </c>
      <c r="C897" s="25">
        <v>1.8800000000000001E-2</v>
      </c>
      <c r="E897" s="13">
        <v>8429.7000000000007</v>
      </c>
      <c r="F897" s="25">
        <v>6.1999999999999998E-3</v>
      </c>
    </row>
    <row r="898" spans="1:6">
      <c r="A898" t="s">
        <v>1070</v>
      </c>
      <c r="B898">
        <v>559.70000000000005</v>
      </c>
      <c r="C898" s="25">
        <v>-2.9700000000000001E-2</v>
      </c>
      <c r="E898" s="13">
        <v>8377.75</v>
      </c>
      <c r="F898" s="25">
        <v>-8.3000000000000001E-3</v>
      </c>
    </row>
    <row r="899" spans="1:6">
      <c r="A899" t="s">
        <v>1071</v>
      </c>
      <c r="B899">
        <v>576.85</v>
      </c>
      <c r="C899" s="25">
        <v>2.9700000000000001E-2</v>
      </c>
      <c r="E899" s="13">
        <v>8448.1</v>
      </c>
      <c r="F899" s="25">
        <v>-1.83E-2</v>
      </c>
    </row>
    <row r="900" spans="1:6">
      <c r="A900" t="s">
        <v>1072</v>
      </c>
      <c r="B900">
        <v>560.20000000000005</v>
      </c>
      <c r="C900" s="25">
        <v>-1.2699999999999999E-2</v>
      </c>
      <c r="E900" s="13">
        <v>8606</v>
      </c>
      <c r="F900" s="25">
        <v>-1.1599999999999999E-2</v>
      </c>
    </row>
    <row r="901" spans="1:6">
      <c r="A901" t="s">
        <v>1073</v>
      </c>
      <c r="B901">
        <v>567.4</v>
      </c>
      <c r="C901" s="25">
        <v>6.6E-3</v>
      </c>
      <c r="E901" s="13">
        <v>8706.7000000000007</v>
      </c>
      <c r="F901" s="25">
        <v>-5.0000000000000001E-3</v>
      </c>
    </row>
    <row r="902" spans="1:6">
      <c r="A902" t="s">
        <v>1074</v>
      </c>
      <c r="B902">
        <v>563.70000000000005</v>
      </c>
      <c r="C902" s="25">
        <v>-2.3E-3</v>
      </c>
      <c r="E902" s="13">
        <v>8750.2000000000007</v>
      </c>
      <c r="F902" s="25">
        <v>-9.4999999999999998E-3</v>
      </c>
    </row>
    <row r="903" spans="1:6">
      <c r="A903" t="s">
        <v>1075</v>
      </c>
      <c r="B903">
        <v>565</v>
      </c>
      <c r="C903" s="25">
        <v>8.6999999999999994E-3</v>
      </c>
      <c r="E903" s="13">
        <v>8834</v>
      </c>
      <c r="F903" s="25">
        <v>6.1000000000000004E-3</v>
      </c>
    </row>
    <row r="904" spans="1:6">
      <c r="A904" t="s">
        <v>1076</v>
      </c>
      <c r="B904">
        <v>560.15</v>
      </c>
      <c r="C904" s="25">
        <v>-2.3E-3</v>
      </c>
      <c r="E904" s="13">
        <v>8780.35</v>
      </c>
      <c r="F904" s="25">
        <v>2.0000000000000001E-4</v>
      </c>
    </row>
    <row r="905" spans="1:6">
      <c r="A905" t="s">
        <v>1077</v>
      </c>
      <c r="B905">
        <v>561.45000000000005</v>
      </c>
      <c r="C905" s="25">
        <v>1.7100000000000001E-2</v>
      </c>
      <c r="E905" s="13">
        <v>8778.2999999999993</v>
      </c>
      <c r="F905" s="25">
        <v>7.3000000000000001E-3</v>
      </c>
    </row>
    <row r="906" spans="1:6">
      <c r="A906" t="s">
        <v>1078</v>
      </c>
      <c r="B906">
        <v>552</v>
      </c>
      <c r="C906" s="25">
        <v>1.3599999999999999E-2</v>
      </c>
      <c r="E906" s="13">
        <v>8714.4</v>
      </c>
      <c r="F906" s="25">
        <v>6.1999999999999998E-3</v>
      </c>
    </row>
    <row r="907" spans="1:6">
      <c r="A907" t="s">
        <v>1079</v>
      </c>
      <c r="B907">
        <v>544.6</v>
      </c>
      <c r="C907" s="25">
        <v>-3.1800000000000002E-2</v>
      </c>
      <c r="E907" s="13">
        <v>8660.2999999999993</v>
      </c>
      <c r="F907" s="25">
        <v>0</v>
      </c>
    </row>
    <row r="908" spans="1:6">
      <c r="A908" t="s">
        <v>1080</v>
      </c>
      <c r="B908">
        <v>562.5</v>
      </c>
      <c r="C908" s="25">
        <v>2.7000000000000001E-3</v>
      </c>
      <c r="E908" s="13">
        <v>8659.9</v>
      </c>
      <c r="F908" s="25">
        <v>8.6E-3</v>
      </c>
    </row>
    <row r="909" spans="1:6">
      <c r="A909" t="s">
        <v>1081</v>
      </c>
      <c r="B909">
        <v>561</v>
      </c>
      <c r="C909" s="25">
        <v>-1.2200000000000001E-2</v>
      </c>
      <c r="E909" s="13">
        <v>8586.25</v>
      </c>
      <c r="F909" s="25">
        <v>1.12E-2</v>
      </c>
    </row>
    <row r="910" spans="1:6">
      <c r="A910" t="s">
        <v>1082</v>
      </c>
      <c r="B910">
        <v>567.95000000000005</v>
      </c>
      <c r="C910" s="25">
        <v>5.7299999999999997E-2</v>
      </c>
      <c r="E910" s="13">
        <v>8491</v>
      </c>
      <c r="F910" s="25">
        <v>-2.0000000000000001E-4</v>
      </c>
    </row>
    <row r="911" spans="1:6">
      <c r="A911" t="s">
        <v>1083</v>
      </c>
      <c r="B911">
        <v>537.15</v>
      </c>
      <c r="C911" s="25">
        <v>1.78E-2</v>
      </c>
      <c r="E911" s="13">
        <v>8492.2999999999993</v>
      </c>
      <c r="F911" s="25">
        <v>1.8100000000000002E-2</v>
      </c>
    </row>
    <row r="912" spans="1:6">
      <c r="A912" t="s">
        <v>1084</v>
      </c>
      <c r="B912">
        <v>527.75</v>
      </c>
      <c r="C912" s="25">
        <v>5.0000000000000001E-4</v>
      </c>
      <c r="E912" s="13">
        <v>8341.4</v>
      </c>
      <c r="F912" s="25">
        <v>-1E-4</v>
      </c>
    </row>
    <row r="913" spans="1:6">
      <c r="A913" t="s">
        <v>1085</v>
      </c>
      <c r="B913">
        <v>527.5</v>
      </c>
      <c r="C913" s="25">
        <v>4.7999999999999996E-3</v>
      </c>
      <c r="E913" s="13">
        <v>8342.15</v>
      </c>
      <c r="F913" s="25">
        <v>-2.2100000000000002E-2</v>
      </c>
    </row>
    <row r="914" spans="1:6">
      <c r="A914" t="s">
        <v>1086</v>
      </c>
      <c r="B914">
        <v>525</v>
      </c>
      <c r="C914" s="25">
        <v>-1.7600000000000001E-2</v>
      </c>
      <c r="E914" s="13">
        <v>8530.7999999999993</v>
      </c>
      <c r="F914" s="25">
        <v>-1.4E-3</v>
      </c>
    </row>
    <row r="915" spans="1:6">
      <c r="A915" t="s">
        <v>1087</v>
      </c>
      <c r="B915">
        <v>534.4</v>
      </c>
      <c r="C915" s="25">
        <v>1.61E-2</v>
      </c>
      <c r="E915" s="13">
        <v>8542.9500000000007</v>
      </c>
      <c r="F915" s="25">
        <v>-8.9999999999999998E-4</v>
      </c>
    </row>
    <row r="916" spans="1:6">
      <c r="A916" t="s">
        <v>1088</v>
      </c>
      <c r="B916">
        <v>525.95000000000005</v>
      </c>
      <c r="C916" s="25">
        <v>-8.8999999999999999E-3</v>
      </c>
      <c r="E916" s="13">
        <v>8550.9</v>
      </c>
      <c r="F916" s="25">
        <v>-2.3E-3</v>
      </c>
    </row>
    <row r="917" spans="1:6">
      <c r="A917" t="s">
        <v>1089</v>
      </c>
      <c r="B917">
        <v>530.65</v>
      </c>
      <c r="C917" s="25">
        <v>1E-3</v>
      </c>
      <c r="E917" s="13">
        <v>8570.9</v>
      </c>
      <c r="F917" s="25">
        <v>-7.4000000000000003E-3</v>
      </c>
    </row>
    <row r="918" spans="1:6">
      <c r="A918" t="s">
        <v>1090</v>
      </c>
      <c r="B918">
        <v>530.1</v>
      </c>
      <c r="C918" s="25">
        <v>-9.9000000000000008E-3</v>
      </c>
      <c r="E918" s="13">
        <v>8634.65</v>
      </c>
      <c r="F918" s="25">
        <v>-5.8999999999999999E-3</v>
      </c>
    </row>
    <row r="919" spans="1:6">
      <c r="A919" t="s">
        <v>1091</v>
      </c>
      <c r="B919">
        <v>535.4</v>
      </c>
      <c r="C919" s="25">
        <v>-1.95E-2</v>
      </c>
      <c r="E919" s="13">
        <v>8685.9</v>
      </c>
      <c r="F919" s="25">
        <v>-4.3E-3</v>
      </c>
    </row>
    <row r="920" spans="1:6">
      <c r="A920" t="s">
        <v>1092</v>
      </c>
      <c r="B920">
        <v>546.04999999999995</v>
      </c>
      <c r="C920" s="25">
        <v>7.1999999999999998E-3</v>
      </c>
      <c r="E920" s="13">
        <v>8723.2999999999993</v>
      </c>
      <c r="F920" s="25">
        <v>1.04E-2</v>
      </c>
    </row>
    <row r="921" spans="1:6">
      <c r="A921" t="s">
        <v>1093</v>
      </c>
      <c r="B921">
        <v>542.15</v>
      </c>
      <c r="C921" s="25">
        <v>5.5999999999999999E-3</v>
      </c>
      <c r="E921" s="13">
        <v>8633.15</v>
      </c>
      <c r="F921" s="25">
        <v>-1.6999999999999999E-3</v>
      </c>
    </row>
    <row r="922" spans="1:6">
      <c r="A922" t="s">
        <v>1094</v>
      </c>
      <c r="B922">
        <v>539.15</v>
      </c>
      <c r="C922" s="25">
        <v>-2.8899999999999999E-2</v>
      </c>
      <c r="E922" s="13">
        <v>8647.75</v>
      </c>
      <c r="F922" s="25">
        <v>-1.46E-2</v>
      </c>
    </row>
    <row r="923" spans="1:6">
      <c r="A923" t="s">
        <v>1095</v>
      </c>
      <c r="B923">
        <v>555.20000000000005</v>
      </c>
      <c r="C923" s="25">
        <v>1.9E-3</v>
      </c>
      <c r="E923" s="13">
        <v>8776</v>
      </c>
      <c r="F923" s="25">
        <v>8.6999999999999994E-3</v>
      </c>
    </row>
    <row r="924" spans="1:6">
      <c r="A924" t="s">
        <v>1096</v>
      </c>
      <c r="B924">
        <v>554.15</v>
      </c>
      <c r="C924" s="25">
        <v>5.3E-3</v>
      </c>
      <c r="E924" s="13">
        <v>8699.9500000000007</v>
      </c>
      <c r="F924" s="25">
        <v>-1.4E-3</v>
      </c>
    </row>
    <row r="925" spans="1:6">
      <c r="A925" t="s">
        <v>1097</v>
      </c>
      <c r="B925">
        <v>551.25</v>
      </c>
      <c r="C925" s="25">
        <v>-1E-4</v>
      </c>
      <c r="E925" s="13">
        <v>8712.0499999999993</v>
      </c>
      <c r="F925" s="25">
        <v>-5.1000000000000004E-3</v>
      </c>
    </row>
    <row r="926" spans="1:6">
      <c r="A926" t="s">
        <v>1098</v>
      </c>
      <c r="B926">
        <v>551.29999999999995</v>
      </c>
      <c r="C926" s="25">
        <v>-3.1699999999999999E-2</v>
      </c>
      <c r="E926" s="13">
        <v>8756.75</v>
      </c>
      <c r="F926" s="25">
        <v>-2.0299999999999999E-2</v>
      </c>
    </row>
    <row r="927" spans="1:6">
      <c r="A927" t="s">
        <v>1099</v>
      </c>
      <c r="B927">
        <v>569.35</v>
      </c>
      <c r="C927" s="25">
        <v>2.52E-2</v>
      </c>
      <c r="E927" s="13">
        <v>8937.75</v>
      </c>
      <c r="F927" s="25">
        <v>1.6999999999999999E-3</v>
      </c>
    </row>
    <row r="928" spans="1:6">
      <c r="A928" t="s">
        <v>1100</v>
      </c>
      <c r="B928">
        <v>555.35</v>
      </c>
      <c r="C928" s="25">
        <v>-1.2500000000000001E-2</v>
      </c>
      <c r="E928" s="13">
        <v>8922.65</v>
      </c>
      <c r="F928" s="25">
        <v>-8.2000000000000007E-3</v>
      </c>
    </row>
    <row r="929" spans="1:6">
      <c r="A929" t="s">
        <v>1101</v>
      </c>
      <c r="B929">
        <v>562.4</v>
      </c>
      <c r="C929" s="25">
        <v>-0.02</v>
      </c>
      <c r="E929" s="13">
        <v>8996.25</v>
      </c>
      <c r="F929" s="25">
        <v>4.4000000000000003E-3</v>
      </c>
    </row>
    <row r="930" spans="1:6">
      <c r="A930" t="s">
        <v>1102</v>
      </c>
      <c r="B930">
        <v>573.9</v>
      </c>
      <c r="C930" s="25">
        <v>-8.5000000000000006E-3</v>
      </c>
      <c r="E930" s="13">
        <v>8956.75</v>
      </c>
      <c r="F930" s="25">
        <v>6.1999999999999998E-3</v>
      </c>
    </row>
    <row r="931" spans="1:6">
      <c r="A931" t="s">
        <v>1103</v>
      </c>
      <c r="B931">
        <v>578.79999999999995</v>
      </c>
      <c r="C931" s="25">
        <v>1.0200000000000001E-2</v>
      </c>
      <c r="E931" s="13">
        <v>8844.6</v>
      </c>
      <c r="F931" s="25">
        <v>1.8499999999999999E-2</v>
      </c>
    </row>
    <row r="932" spans="1:6">
      <c r="A932" t="s">
        <v>1104</v>
      </c>
      <c r="B932">
        <v>572.95000000000005</v>
      </c>
      <c r="C932" s="25">
        <v>-4.9700000000000001E-2</v>
      </c>
      <c r="E932" s="13">
        <v>8683.85</v>
      </c>
      <c r="F932" s="25">
        <v>-9.4999999999999998E-3</v>
      </c>
    </row>
    <row r="933" spans="1:6">
      <c r="A933" t="s">
        <v>1105</v>
      </c>
      <c r="B933">
        <v>602.9</v>
      </c>
      <c r="C933" s="25">
        <v>-2.5600000000000001E-2</v>
      </c>
      <c r="E933" s="13">
        <v>8767.25</v>
      </c>
      <c r="F933" s="25">
        <v>5.9999999999999995E-4</v>
      </c>
    </row>
    <row r="934" spans="1:6">
      <c r="A934" t="s">
        <v>1106</v>
      </c>
      <c r="B934">
        <v>618.75</v>
      </c>
      <c r="C934" s="25">
        <v>-3.73E-2</v>
      </c>
      <c r="E934" s="13">
        <v>8762.1</v>
      </c>
      <c r="F934" s="25">
        <v>8.0000000000000004E-4</v>
      </c>
    </row>
    <row r="935" spans="1:6">
      <c r="A935" t="s">
        <v>1107</v>
      </c>
      <c r="B935">
        <v>642.70000000000005</v>
      </c>
      <c r="C935" s="25">
        <v>0.10390000000000001</v>
      </c>
      <c r="E935" s="13">
        <v>8754.9500000000007</v>
      </c>
      <c r="F935" s="25">
        <v>-8.8999999999999999E-3</v>
      </c>
    </row>
    <row r="936" spans="1:6">
      <c r="A936" t="s">
        <v>1108</v>
      </c>
      <c r="B936">
        <v>582.20000000000005</v>
      </c>
      <c r="C936" s="25">
        <v>0</v>
      </c>
      <c r="E936" s="13">
        <v>8833.6</v>
      </c>
      <c r="F936" s="25">
        <v>-6.8999999999999999E-3</v>
      </c>
    </row>
    <row r="937" spans="1:6">
      <c r="A937" t="s">
        <v>1109</v>
      </c>
      <c r="B937">
        <v>582.20000000000005</v>
      </c>
      <c r="C937" s="25">
        <v>4.6600000000000003E-2</v>
      </c>
      <c r="E937" s="13">
        <v>8895.2999999999993</v>
      </c>
      <c r="F937" s="25">
        <v>3.0000000000000001E-3</v>
      </c>
    </row>
    <row r="938" spans="1:6">
      <c r="A938" t="s">
        <v>1110</v>
      </c>
      <c r="B938">
        <v>556.29999999999995</v>
      </c>
      <c r="C938" s="25">
        <v>1.6299999999999999E-2</v>
      </c>
      <c r="E938" s="13">
        <v>8869.1</v>
      </c>
      <c r="F938" s="25">
        <v>6.7999999999999996E-3</v>
      </c>
    </row>
    <row r="939" spans="1:6">
      <c r="A939" t="s">
        <v>1111</v>
      </c>
      <c r="B939">
        <v>547.4</v>
      </c>
      <c r="C939" s="25">
        <v>4.0000000000000002E-4</v>
      </c>
      <c r="E939" s="13">
        <v>8809.35</v>
      </c>
      <c r="F939" s="25">
        <v>4.0000000000000002E-4</v>
      </c>
    </row>
    <row r="940" spans="1:6">
      <c r="A940" t="s">
        <v>1112</v>
      </c>
      <c r="B940">
        <v>547.20000000000005</v>
      </c>
      <c r="C940" s="25">
        <v>-6.0000000000000001E-3</v>
      </c>
      <c r="E940" s="13">
        <v>8805.5</v>
      </c>
      <c r="F940" s="25">
        <v>1.0800000000000001E-2</v>
      </c>
    </row>
    <row r="941" spans="1:6">
      <c r="A941" t="s">
        <v>1113</v>
      </c>
      <c r="B941">
        <v>550.5</v>
      </c>
      <c r="C941" s="25">
        <v>4.0000000000000002E-4</v>
      </c>
      <c r="E941" s="13">
        <v>8711.5499999999993</v>
      </c>
      <c r="F941" s="25">
        <v>9.7999999999999997E-3</v>
      </c>
    </row>
    <row r="942" spans="1:6">
      <c r="A942" t="s">
        <v>1114</v>
      </c>
      <c r="B942">
        <v>550.29999999999995</v>
      </c>
      <c r="C942" s="25">
        <v>5.8299999999999998E-2</v>
      </c>
      <c r="E942" s="13">
        <v>8627.4</v>
      </c>
      <c r="F942" s="25">
        <v>7.1999999999999998E-3</v>
      </c>
    </row>
    <row r="943" spans="1:6">
      <c r="A943" t="s">
        <v>1115</v>
      </c>
      <c r="B943">
        <v>520</v>
      </c>
      <c r="C943" s="25">
        <v>3.5999999999999999E-3</v>
      </c>
      <c r="E943" s="13">
        <v>8565.5499999999993</v>
      </c>
      <c r="F943" s="25">
        <v>4.5999999999999999E-3</v>
      </c>
    </row>
    <row r="944" spans="1:6">
      <c r="A944" t="s">
        <v>1116</v>
      </c>
      <c r="B944">
        <v>518.15</v>
      </c>
      <c r="C944" s="25">
        <v>-1.6E-2</v>
      </c>
      <c r="E944" s="13">
        <v>8526.35</v>
      </c>
      <c r="F944" s="25">
        <v>-1.5599999999999999E-2</v>
      </c>
    </row>
    <row r="945" spans="1:6">
      <c r="A945" t="s">
        <v>1117</v>
      </c>
      <c r="B945">
        <v>526.6</v>
      </c>
      <c r="C945" s="25">
        <v>2.8E-3</v>
      </c>
      <c r="E945" s="13">
        <v>8661.0499999999993</v>
      </c>
      <c r="F945" s="25">
        <v>-5.7999999999999996E-3</v>
      </c>
    </row>
    <row r="946" spans="1:6">
      <c r="A946" t="s">
        <v>1118</v>
      </c>
      <c r="B946">
        <v>525.15</v>
      </c>
      <c r="C946" s="25">
        <v>-6.9999999999999999E-4</v>
      </c>
      <c r="E946" s="13">
        <v>8711.7000000000007</v>
      </c>
      <c r="F946" s="25">
        <v>-1.4E-3</v>
      </c>
    </row>
    <row r="947" spans="1:6">
      <c r="A947" t="s">
        <v>1119</v>
      </c>
      <c r="B947">
        <v>525.5</v>
      </c>
      <c r="C947" s="25">
        <v>-7.7999999999999996E-3</v>
      </c>
      <c r="E947" s="13">
        <v>8723.7000000000007</v>
      </c>
      <c r="F947" s="25">
        <v>-3.8E-3</v>
      </c>
    </row>
    <row r="948" spans="1:6">
      <c r="A948" t="s">
        <v>1120</v>
      </c>
      <c r="B948">
        <v>529.65</v>
      </c>
      <c r="C948" s="25">
        <v>-8.6E-3</v>
      </c>
      <c r="E948" s="13">
        <v>8756.5499999999993</v>
      </c>
      <c r="F948" s="25">
        <v>-4.5999999999999999E-3</v>
      </c>
    </row>
    <row r="949" spans="1:6">
      <c r="A949" t="s">
        <v>1121</v>
      </c>
      <c r="B949">
        <v>534.25</v>
      </c>
      <c r="C949" s="25">
        <v>1.72E-2</v>
      </c>
      <c r="E949" s="13">
        <v>8797.4</v>
      </c>
      <c r="F949" s="25">
        <v>-1.2999999999999999E-3</v>
      </c>
    </row>
    <row r="950" spans="1:6">
      <c r="A950" t="s">
        <v>1122</v>
      </c>
      <c r="B950">
        <v>525.20000000000005</v>
      </c>
      <c r="C950" s="25">
        <v>-1.8499999999999999E-2</v>
      </c>
      <c r="E950" s="13">
        <v>8808.9</v>
      </c>
      <c r="F950" s="25">
        <v>-1.6E-2</v>
      </c>
    </row>
    <row r="951" spans="1:6">
      <c r="A951" t="s">
        <v>1123</v>
      </c>
      <c r="B951">
        <v>535.1</v>
      </c>
      <c r="C951" s="25">
        <v>1.4500000000000001E-2</v>
      </c>
      <c r="E951" s="13">
        <v>8952.35</v>
      </c>
      <c r="F951" s="25">
        <v>4.3E-3</v>
      </c>
    </row>
    <row r="952" spans="1:6">
      <c r="A952" t="s">
        <v>1124</v>
      </c>
      <c r="B952">
        <v>527.45000000000005</v>
      </c>
      <c r="C952" s="25">
        <v>1.0500000000000001E-2</v>
      </c>
      <c r="E952" s="13">
        <v>8914.2999999999993</v>
      </c>
      <c r="F952" s="25">
        <v>4.0000000000000002E-4</v>
      </c>
    </row>
    <row r="953" spans="1:6">
      <c r="A953" t="s">
        <v>1125</v>
      </c>
      <c r="B953">
        <v>521.95000000000005</v>
      </c>
      <c r="C953" s="25">
        <v>-2.6200000000000001E-2</v>
      </c>
      <c r="E953" s="13">
        <v>8910.5</v>
      </c>
      <c r="F953" s="25">
        <v>8.5000000000000006E-3</v>
      </c>
    </row>
    <row r="954" spans="1:6">
      <c r="A954" t="s">
        <v>1126</v>
      </c>
      <c r="B954">
        <v>536</v>
      </c>
      <c r="C954" s="25">
        <v>1.9400000000000001E-2</v>
      </c>
      <c r="E954" s="13">
        <v>8835.6</v>
      </c>
      <c r="F954" s="25">
        <v>8.5000000000000006E-3</v>
      </c>
    </row>
    <row r="955" spans="1:6">
      <c r="A955" t="s">
        <v>1127</v>
      </c>
      <c r="B955">
        <v>525.79999999999995</v>
      </c>
      <c r="C955" s="25">
        <v>5.7599999999999998E-2</v>
      </c>
      <c r="E955" s="13">
        <v>8761.4</v>
      </c>
      <c r="F955" s="25">
        <v>3.7000000000000002E-3</v>
      </c>
    </row>
    <row r="956" spans="1:6">
      <c r="A956" t="s">
        <v>1128</v>
      </c>
      <c r="B956">
        <v>497.15</v>
      </c>
      <c r="C956" s="25">
        <v>-9.1000000000000004E-3</v>
      </c>
      <c r="E956" s="13">
        <v>8729.5</v>
      </c>
      <c r="F956" s="25">
        <v>3.8999999999999998E-3</v>
      </c>
    </row>
    <row r="957" spans="1:6">
      <c r="A957" t="s">
        <v>1129</v>
      </c>
      <c r="B957">
        <v>501.7</v>
      </c>
      <c r="C957" s="25">
        <v>-9.1999999999999998E-3</v>
      </c>
      <c r="E957" s="13">
        <v>8695.6</v>
      </c>
      <c r="F957" s="25">
        <v>1.6899999999999998E-2</v>
      </c>
    </row>
    <row r="958" spans="1:6">
      <c r="A958" t="s">
        <v>1130</v>
      </c>
      <c r="B958">
        <v>506.35</v>
      </c>
      <c r="C958" s="25">
        <v>-6.2100000000000002E-2</v>
      </c>
      <c r="E958" s="13">
        <v>8550.7000000000007</v>
      </c>
      <c r="F958" s="25">
        <v>4.3E-3</v>
      </c>
    </row>
    <row r="959" spans="1:6">
      <c r="A959" t="s">
        <v>1131</v>
      </c>
      <c r="B959">
        <v>539.9</v>
      </c>
      <c r="C959" s="25">
        <v>9.7000000000000003E-3</v>
      </c>
      <c r="E959" s="13">
        <v>8513.7999999999993</v>
      </c>
      <c r="F959" s="25">
        <v>2.3E-3</v>
      </c>
    </row>
    <row r="960" spans="1:6">
      <c r="A960" t="s">
        <v>1132</v>
      </c>
      <c r="B960">
        <v>534.70000000000005</v>
      </c>
      <c r="C960" s="25">
        <v>4.5999999999999999E-2</v>
      </c>
      <c r="E960" s="13">
        <v>8494.15</v>
      </c>
      <c r="F960" s="25">
        <v>2.6200000000000001E-2</v>
      </c>
    </row>
    <row r="961" spans="1:6">
      <c r="A961" t="s">
        <v>1133</v>
      </c>
      <c r="B961">
        <v>511.2</v>
      </c>
      <c r="C961" s="25">
        <v>-2.47E-2</v>
      </c>
      <c r="E961" s="13">
        <v>8277.5499999999993</v>
      </c>
      <c r="F961" s="25">
        <v>-2.5999999999999999E-3</v>
      </c>
    </row>
    <row r="962" spans="1:6">
      <c r="A962" t="s">
        <v>1134</v>
      </c>
      <c r="B962">
        <v>524.15</v>
      </c>
      <c r="C962" s="25">
        <v>-6.9999999999999999E-4</v>
      </c>
      <c r="E962" s="13">
        <v>8299.4</v>
      </c>
      <c r="F962" s="25">
        <v>-2.8E-3</v>
      </c>
    </row>
    <row r="963" spans="1:6">
      <c r="A963" t="s">
        <v>1135</v>
      </c>
      <c r="B963">
        <v>524.5</v>
      </c>
      <c r="C963" s="25">
        <v>-4.0000000000000001E-3</v>
      </c>
      <c r="E963" s="13">
        <v>8323</v>
      </c>
      <c r="F963" s="25">
        <v>4.5999999999999999E-3</v>
      </c>
    </row>
    <row r="964" spans="1:6">
      <c r="A964" t="s">
        <v>1136</v>
      </c>
      <c r="B964">
        <v>526.6</v>
      </c>
      <c r="C964" s="25">
        <v>-4.3E-3</v>
      </c>
      <c r="E964" s="13">
        <v>8284.5</v>
      </c>
      <c r="F964" s="25">
        <v>6.1000000000000004E-3</v>
      </c>
    </row>
    <row r="965" spans="1:6">
      <c r="A965" t="s">
        <v>1137</v>
      </c>
      <c r="B965">
        <v>528.85</v>
      </c>
      <c r="C965" s="25">
        <v>-6.3E-3</v>
      </c>
      <c r="E965" s="13">
        <v>8234.6</v>
      </c>
      <c r="F965" s="25">
        <v>1.6400000000000001E-2</v>
      </c>
    </row>
    <row r="966" spans="1:6">
      <c r="A966" t="s">
        <v>1138</v>
      </c>
      <c r="B966">
        <v>532.20000000000005</v>
      </c>
      <c r="C966" s="25">
        <v>-1.09E-2</v>
      </c>
      <c r="E966" s="13">
        <v>8102.1</v>
      </c>
      <c r="F966" s="25">
        <v>-3.0999999999999999E-3</v>
      </c>
    </row>
    <row r="967" spans="1:6">
      <c r="A967" t="s">
        <v>1139</v>
      </c>
      <c r="B967">
        <v>538.04999999999995</v>
      </c>
      <c r="C967" s="25">
        <v>-2.5100000000000001E-2</v>
      </c>
      <c r="E967" s="13">
        <v>8127.35</v>
      </c>
      <c r="F967" s="25">
        <v>-0.03</v>
      </c>
    </row>
    <row r="968" spans="1:6">
      <c r="A968" t="s">
        <v>1140</v>
      </c>
      <c r="B968">
        <v>551.9</v>
      </c>
      <c r="C968" s="25">
        <v>2.87E-2</v>
      </c>
      <c r="E968" s="13">
        <v>8378.4</v>
      </c>
      <c r="F968" s="25">
        <v>-2E-3</v>
      </c>
    </row>
    <row r="969" spans="1:6">
      <c r="A969" t="s">
        <v>1141</v>
      </c>
      <c r="B969">
        <v>536.5</v>
      </c>
      <c r="C969" s="25">
        <v>-5.7000000000000002E-3</v>
      </c>
      <c r="E969" s="13">
        <v>8395.4500000000007</v>
      </c>
      <c r="F969" s="25">
        <v>1.35E-2</v>
      </c>
    </row>
    <row r="970" spans="1:6">
      <c r="A970" t="s">
        <v>1142</v>
      </c>
      <c r="B970">
        <v>539.54999999999995</v>
      </c>
      <c r="C970" s="25">
        <v>6.8999999999999999E-3</v>
      </c>
      <c r="E970" s="13">
        <v>8284</v>
      </c>
      <c r="F970" s="25">
        <v>2.0000000000000001E-4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64"/>
  <sheetViews>
    <sheetView topLeftCell="A29" workbookViewId="0">
      <selection activeCell="G43" sqref="G43"/>
    </sheetView>
  </sheetViews>
  <sheetFormatPr baseColWidth="10" defaultColWidth="8.7109375" defaultRowHeight="15" x14ac:dyDescent="0"/>
  <cols>
    <col min="2" max="2" width="9.28515625" bestFit="1" customWidth="1"/>
    <col min="3" max="3" width="9.42578125" bestFit="1" customWidth="1"/>
    <col min="8" max="8" width="10" bestFit="1" customWidth="1"/>
  </cols>
  <sheetData>
    <row r="4" spans="1:17">
      <c r="A4" s="40" t="s">
        <v>1143</v>
      </c>
      <c r="G4" s="40" t="s">
        <v>16</v>
      </c>
      <c r="M4" s="40" t="s">
        <v>1144</v>
      </c>
    </row>
    <row r="5" spans="1:17">
      <c r="B5" s="41" t="s">
        <v>1145</v>
      </c>
      <c r="C5" s="41">
        <v>2019</v>
      </c>
      <c r="D5" s="41">
        <v>2020</v>
      </c>
      <c r="E5" s="41">
        <v>2021</v>
      </c>
      <c r="H5" s="41" t="s">
        <v>1145</v>
      </c>
      <c r="I5" s="41">
        <v>2019</v>
      </c>
      <c r="J5" s="41">
        <v>2020</v>
      </c>
      <c r="K5" s="41">
        <v>2021</v>
      </c>
      <c r="N5" s="41" t="s">
        <v>1145</v>
      </c>
      <c r="O5" s="41">
        <v>2019</v>
      </c>
      <c r="P5" s="41">
        <v>2020</v>
      </c>
      <c r="Q5" s="41">
        <v>2021</v>
      </c>
    </row>
    <row r="6" spans="1:17">
      <c r="A6" s="42" t="s">
        <v>0</v>
      </c>
      <c r="B6" s="43">
        <f>'P&amp;L'!D5*100</f>
        <v>122236.99999999999</v>
      </c>
      <c r="C6" s="43">
        <f>'P&amp;L'!E5*100</f>
        <v>152618.75437021928</v>
      </c>
      <c r="D6" s="43">
        <f>'P&amp;L'!F5*100</f>
        <v>185477.77719639454</v>
      </c>
      <c r="E6" s="43">
        <f>'P&amp;L'!G5*100</f>
        <v>221609.54674691948</v>
      </c>
      <c r="G6" s="42" t="s">
        <v>0</v>
      </c>
      <c r="H6" s="43">
        <f>'P&amp;L'!D14*100</f>
        <v>13278.419999999984</v>
      </c>
      <c r="I6" s="43">
        <f>'P&amp;L'!E14*100</f>
        <v>11210.705246053658</v>
      </c>
      <c r="J6" s="43">
        <f>'P&amp;L'!F14*100</f>
        <v>12807.598591683814</v>
      </c>
      <c r="K6" s="43">
        <f>'P&amp;L'!G14*100</f>
        <v>14563.54193383072</v>
      </c>
      <c r="M6" s="42" t="s">
        <v>0</v>
      </c>
      <c r="N6">
        <v>44.89</v>
      </c>
      <c r="O6" s="43"/>
      <c r="P6" s="43"/>
      <c r="Q6" s="43"/>
    </row>
    <row r="7" spans="1:17">
      <c r="A7" s="42" t="s">
        <v>1161</v>
      </c>
      <c r="B7" s="43">
        <f>150332</f>
        <v>150332</v>
      </c>
      <c r="C7" s="43">
        <f>197981</f>
        <v>197981</v>
      </c>
      <c r="D7" s="43">
        <f>253821</f>
        <v>253821</v>
      </c>
      <c r="E7" s="43">
        <f>319320</f>
        <v>319320</v>
      </c>
      <c r="G7" s="42" t="s">
        <v>1161</v>
      </c>
      <c r="H7" s="43">
        <f>13528</f>
        <v>13528</v>
      </c>
      <c r="I7" s="43">
        <f>17411</f>
        <v>17411</v>
      </c>
      <c r="J7" s="43">
        <f>22712</f>
        <v>22712</v>
      </c>
      <c r="K7" s="43">
        <f>28372</f>
        <v>28372</v>
      </c>
      <c r="M7" s="42" t="s">
        <v>1161</v>
      </c>
      <c r="N7" s="43">
        <v>2460</v>
      </c>
      <c r="O7" s="43"/>
      <c r="P7" s="43"/>
      <c r="Q7" s="43"/>
    </row>
    <row r="8" spans="1:17">
      <c r="A8" s="42" t="s">
        <v>1162</v>
      </c>
      <c r="B8" s="43">
        <f>184780</f>
        <v>184780</v>
      </c>
      <c r="C8" s="43">
        <f>208258</f>
        <v>208258</v>
      </c>
      <c r="D8" s="43">
        <f>239789</f>
        <v>239789</v>
      </c>
      <c r="E8" s="43">
        <f>276224</f>
        <v>276224</v>
      </c>
      <c r="G8" s="42" t="s">
        <v>1162</v>
      </c>
      <c r="H8" s="43">
        <f>8323</f>
        <v>8323</v>
      </c>
      <c r="I8" s="43">
        <f>10642</f>
        <v>10642</v>
      </c>
      <c r="J8" s="43">
        <f>13173</f>
        <v>13173</v>
      </c>
      <c r="K8" s="43">
        <f>15986</f>
        <v>15986</v>
      </c>
      <c r="M8" s="42" t="s">
        <v>1162</v>
      </c>
      <c r="N8" s="43">
        <v>2233.33</v>
      </c>
      <c r="O8" s="43"/>
      <c r="P8" s="43"/>
      <c r="Q8" s="43"/>
    </row>
    <row r="9" spans="1:17">
      <c r="A9" s="42"/>
      <c r="B9" s="43"/>
      <c r="C9" s="43"/>
      <c r="D9" s="43"/>
      <c r="E9" s="43"/>
      <c r="G9" s="42"/>
      <c r="H9" s="43"/>
      <c r="I9" s="43"/>
      <c r="J9" s="43"/>
      <c r="K9" s="43"/>
      <c r="M9" s="42"/>
      <c r="N9" s="43"/>
      <c r="O9" s="43"/>
      <c r="P9" s="43"/>
      <c r="Q9" s="43"/>
    </row>
    <row r="10" spans="1:17">
      <c r="A10" s="42"/>
      <c r="B10" s="43"/>
      <c r="C10" s="43"/>
      <c r="D10" s="43"/>
      <c r="E10" s="43"/>
      <c r="G10" s="42"/>
      <c r="H10" s="43"/>
      <c r="I10" s="43"/>
      <c r="J10" s="43"/>
      <c r="K10" s="43"/>
      <c r="M10" s="42"/>
      <c r="N10" s="43"/>
      <c r="O10" s="43"/>
      <c r="P10" s="43"/>
      <c r="Q10" s="43"/>
    </row>
    <row r="13" spans="1:17">
      <c r="A13" s="40" t="s">
        <v>1146</v>
      </c>
      <c r="G13" s="44" t="s">
        <v>1147</v>
      </c>
      <c r="M13" s="40" t="s">
        <v>1148</v>
      </c>
    </row>
    <row r="14" spans="1:17">
      <c r="B14" s="41" t="s">
        <v>1145</v>
      </c>
      <c r="C14" s="41">
        <v>2019</v>
      </c>
      <c r="D14" s="41">
        <v>2020</v>
      </c>
      <c r="E14" s="41">
        <v>2021</v>
      </c>
      <c r="H14" s="41" t="s">
        <v>1145</v>
      </c>
      <c r="I14" s="41">
        <v>2019</v>
      </c>
      <c r="J14" s="41">
        <v>2020</v>
      </c>
      <c r="K14" s="41">
        <v>2021</v>
      </c>
      <c r="N14" s="42" t="s">
        <v>1145</v>
      </c>
      <c r="O14" s="42">
        <v>2019</v>
      </c>
      <c r="P14" s="42">
        <v>2020</v>
      </c>
      <c r="Q14" s="42">
        <v>2021</v>
      </c>
    </row>
    <row r="15" spans="1:17">
      <c r="A15" s="42" t="s">
        <v>0</v>
      </c>
      <c r="B15">
        <v>195.88</v>
      </c>
      <c r="C15" s="43"/>
      <c r="D15" s="43"/>
      <c r="E15" s="43"/>
      <c r="G15" s="42" t="s">
        <v>0</v>
      </c>
      <c r="H15" s="43">
        <f>18127203/1000000</f>
        <v>18.127203000000002</v>
      </c>
      <c r="I15" s="43"/>
      <c r="J15" s="43"/>
      <c r="K15" s="43"/>
      <c r="M15" s="42" t="s">
        <v>0</v>
      </c>
      <c r="N15" s="43">
        <v>42.8</v>
      </c>
      <c r="O15" s="43">
        <v>50.9</v>
      </c>
      <c r="P15" s="43">
        <v>65.099999999999994</v>
      </c>
      <c r="Q15" s="43">
        <v>75.2</v>
      </c>
    </row>
    <row r="16" spans="1:17">
      <c r="A16" s="42" t="s">
        <v>1161</v>
      </c>
      <c r="B16" s="43">
        <v>674.48</v>
      </c>
      <c r="C16" s="43"/>
      <c r="D16" s="43"/>
      <c r="E16" s="43"/>
      <c r="G16" s="42" t="s">
        <v>1161</v>
      </c>
      <c r="H16" s="43">
        <v>624.08448599999997</v>
      </c>
      <c r="I16" s="43"/>
      <c r="J16" s="43"/>
      <c r="K16" s="43"/>
      <c r="M16" s="42" t="s">
        <v>1161</v>
      </c>
      <c r="N16" s="43">
        <v>12.76</v>
      </c>
      <c r="O16" s="43">
        <v>16.5</v>
      </c>
      <c r="P16" s="43">
        <v>21.6</v>
      </c>
      <c r="Q16" s="43">
        <v>26.8</v>
      </c>
    </row>
    <row r="17" spans="1:17">
      <c r="A17" s="42" t="s">
        <v>1162</v>
      </c>
      <c r="B17" s="43">
        <v>1435.9</v>
      </c>
      <c r="C17" s="43"/>
      <c r="D17" s="43"/>
      <c r="E17" s="43"/>
      <c r="G17" s="42" t="s">
        <v>1162</v>
      </c>
      <c r="H17" s="43">
        <f>502568439/1000000</f>
        <v>502.56843900000001</v>
      </c>
      <c r="I17" s="43"/>
      <c r="J17" s="43"/>
      <c r="K17" s="43"/>
      <c r="M17" s="42" t="s">
        <v>1162</v>
      </c>
      <c r="N17" s="21">
        <v>0.23</v>
      </c>
      <c r="O17" s="43">
        <v>16.5</v>
      </c>
      <c r="P17" s="43">
        <v>20</v>
      </c>
      <c r="Q17" s="43">
        <v>21.6</v>
      </c>
    </row>
    <row r="18" spans="1:17">
      <c r="A18" s="42"/>
      <c r="B18" s="43"/>
      <c r="C18" s="43"/>
      <c r="D18" s="43"/>
      <c r="E18" s="43"/>
      <c r="G18" s="42"/>
      <c r="H18" s="43"/>
      <c r="I18" s="43"/>
      <c r="J18" s="43"/>
      <c r="K18" s="43"/>
      <c r="M18" s="42"/>
      <c r="N18" s="43"/>
      <c r="O18" s="43"/>
      <c r="P18" s="43"/>
      <c r="Q18" s="43"/>
    </row>
    <row r="19" spans="1:17">
      <c r="A19" s="42"/>
      <c r="B19" s="43"/>
      <c r="C19" s="43"/>
      <c r="D19" s="43"/>
      <c r="E19" s="43"/>
      <c r="G19" s="42"/>
      <c r="H19" s="43"/>
      <c r="I19" s="43"/>
      <c r="J19" s="43"/>
      <c r="K19" s="43"/>
      <c r="M19" s="42"/>
      <c r="N19" s="43"/>
      <c r="O19" s="43"/>
      <c r="P19" s="43"/>
      <c r="Q19" s="43"/>
    </row>
    <row r="20" spans="1:17">
      <c r="I20" s="43"/>
      <c r="J20" s="43"/>
      <c r="K20" s="43"/>
    </row>
    <row r="22" spans="1:17">
      <c r="A22" s="40" t="s">
        <v>1149</v>
      </c>
      <c r="G22" s="40" t="s">
        <v>1150</v>
      </c>
      <c r="M22" s="40" t="s">
        <v>1151</v>
      </c>
    </row>
    <row r="23" spans="1:17">
      <c r="B23" s="41" t="s">
        <v>1145</v>
      </c>
      <c r="C23" s="41">
        <v>2019</v>
      </c>
      <c r="D23" s="41">
        <v>2020</v>
      </c>
      <c r="E23" s="41">
        <v>2021</v>
      </c>
      <c r="H23" s="41" t="s">
        <v>1145</v>
      </c>
      <c r="I23" s="41">
        <v>2019</v>
      </c>
      <c r="J23" s="41">
        <v>2020</v>
      </c>
      <c r="K23" s="41">
        <v>2021</v>
      </c>
      <c r="N23" s="40" t="s">
        <v>1145</v>
      </c>
      <c r="O23" s="40">
        <v>2019</v>
      </c>
      <c r="P23" s="40">
        <v>2020</v>
      </c>
      <c r="Q23" s="40">
        <v>2021</v>
      </c>
    </row>
    <row r="24" spans="1:17">
      <c r="A24" s="42" t="s">
        <v>0</v>
      </c>
      <c r="B24">
        <v>1899.75</v>
      </c>
      <c r="G24" s="42" t="s">
        <v>0</v>
      </c>
      <c r="H24">
        <f>(H15*B24)+N6-B15</f>
        <v>34286.163899250008</v>
      </c>
      <c r="M24" s="42" t="s">
        <v>0</v>
      </c>
      <c r="N24" s="15">
        <f>(E6/B6)^(1/3)-1</f>
        <v>0.21935059425653525</v>
      </c>
    </row>
    <row r="25" spans="1:17">
      <c r="A25" s="42" t="s">
        <v>1161</v>
      </c>
      <c r="B25">
        <v>1324.8</v>
      </c>
      <c r="G25" s="42" t="s">
        <v>1161</v>
      </c>
      <c r="H25">
        <f t="shared" ref="H25:H26" si="0">(H16*B25)+N7-B16</f>
        <v>828572.64705279993</v>
      </c>
      <c r="M25" s="42" t="s">
        <v>1161</v>
      </c>
      <c r="N25" s="15">
        <f t="shared" ref="N25:N26" si="1">(E7/B7)^(1/3)-1</f>
        <v>0.2854589974848718</v>
      </c>
    </row>
    <row r="26" spans="1:17">
      <c r="A26" s="42" t="s">
        <v>1162</v>
      </c>
      <c r="B26">
        <v>550.79999999999995</v>
      </c>
      <c r="G26" s="42" t="s">
        <v>1162</v>
      </c>
      <c r="H26">
        <f t="shared" si="0"/>
        <v>277612.12620119995</v>
      </c>
      <c r="M26" s="42" t="s">
        <v>1162</v>
      </c>
      <c r="N26" s="15">
        <f t="shared" si="1"/>
        <v>0.14341042898743561</v>
      </c>
    </row>
    <row r="27" spans="1:17">
      <c r="A27" s="42"/>
      <c r="G27" s="42"/>
      <c r="M27" s="42"/>
      <c r="N27" s="15"/>
    </row>
    <row r="28" spans="1:17">
      <c r="A28" s="42"/>
      <c r="G28" s="42"/>
      <c r="M28" s="42"/>
      <c r="N28" s="15"/>
    </row>
    <row r="31" spans="1:17">
      <c r="A31" s="45"/>
      <c r="B31" s="182" t="s">
        <v>1152</v>
      </c>
      <c r="C31" s="182"/>
      <c r="D31" s="182"/>
      <c r="E31" s="183" t="s">
        <v>1153</v>
      </c>
      <c r="F31" s="183"/>
      <c r="G31" s="183"/>
      <c r="H31" s="182" t="s">
        <v>1152</v>
      </c>
      <c r="I31" s="182"/>
      <c r="J31" s="183" t="s">
        <v>1153</v>
      </c>
      <c r="K31" s="183"/>
      <c r="L31" s="1"/>
      <c r="M31" s="45"/>
      <c r="N31" s="1"/>
      <c r="O31" s="1"/>
      <c r="P31" s="1"/>
      <c r="Q31" s="1"/>
    </row>
    <row r="32" spans="1:17">
      <c r="B32" s="46" t="s">
        <v>1154</v>
      </c>
      <c r="C32" s="46" t="s">
        <v>1155</v>
      </c>
      <c r="D32" s="46" t="s">
        <v>1156</v>
      </c>
      <c r="E32" s="46" t="s">
        <v>1154</v>
      </c>
      <c r="F32" s="46" t="s">
        <v>1155</v>
      </c>
      <c r="G32" s="46" t="s">
        <v>1156</v>
      </c>
      <c r="H32" s="46" t="s">
        <v>1157</v>
      </c>
      <c r="I32" s="46" t="s">
        <v>1158</v>
      </c>
      <c r="J32" s="46" t="s">
        <v>1157</v>
      </c>
      <c r="K32" s="46" t="s">
        <v>1158</v>
      </c>
      <c r="L32" s="1"/>
      <c r="M32" s="1"/>
      <c r="N32" s="45"/>
      <c r="O32" s="45"/>
      <c r="P32" s="45"/>
      <c r="Q32" s="45"/>
    </row>
    <row r="33" spans="1:17">
      <c r="A33" s="42" t="s">
        <v>0</v>
      </c>
      <c r="B33" s="21">
        <f>B24/N15</f>
        <v>44.386682242990659</v>
      </c>
      <c r="C33" s="21">
        <f>B24/(B6/H15)</f>
        <v>0.28172446885353869</v>
      </c>
      <c r="D33" s="21">
        <f>B33/N24</f>
        <v>202.35496691237353</v>
      </c>
      <c r="E33" s="21">
        <f>B24/O15</f>
        <v>37.323182711198427</v>
      </c>
      <c r="F33" s="21">
        <f>B24/(C6/H15)</f>
        <v>0.22564169155589556</v>
      </c>
      <c r="G33" s="47">
        <f>E33/N24</f>
        <v>170.15309594989361</v>
      </c>
      <c r="H33" s="21">
        <f>H24/H6</f>
        <v>2.5820966575277819</v>
      </c>
      <c r="I33" s="21">
        <f>H24/B6</f>
        <v>0.28048924547600163</v>
      </c>
      <c r="J33" s="21">
        <f>H24/I6</f>
        <v>3.0583413930465499</v>
      </c>
      <c r="K33" s="21">
        <f>H24/C6</f>
        <v>0.22465236360191601</v>
      </c>
      <c r="M33" s="42"/>
      <c r="N33" s="19"/>
      <c r="O33" s="21"/>
      <c r="P33" s="21"/>
      <c r="Q33" s="21"/>
    </row>
    <row r="34" spans="1:17">
      <c r="A34" s="42" t="s">
        <v>1161</v>
      </c>
      <c r="B34" s="21">
        <f t="shared" ref="B34" si="2">B25/N16</f>
        <v>103.8244514106583</v>
      </c>
      <c r="C34" s="21">
        <f t="shared" ref="C34:C35" si="3">B25/(B7/H16)</f>
        <v>5.4997414193438523</v>
      </c>
      <c r="D34" s="21">
        <f t="shared" ref="D34:D35" si="4">B34/N25</f>
        <v>363.71055852306978</v>
      </c>
      <c r="E34" s="21">
        <f t="shared" ref="E34:E35" si="5">B25/O16</f>
        <v>80.290909090909082</v>
      </c>
      <c r="F34" s="21">
        <f t="shared" ref="F34:F35" si="6">B25/(C7/H16)</f>
        <v>4.1760932970982063</v>
      </c>
      <c r="G34" s="47">
        <f t="shared" ref="G34:G35" si="7">E34/N25</f>
        <v>281.26949859117394</v>
      </c>
      <c r="H34" s="21">
        <f t="shared" ref="H34:H35" si="8">H25/H7</f>
        <v>61.248717257007684</v>
      </c>
      <c r="I34" s="21">
        <f t="shared" ref="I34:I35" si="9">H25/B7</f>
        <v>5.5116185978554126</v>
      </c>
      <c r="J34" s="21">
        <f t="shared" ref="J34:J35" si="10">H25/I7</f>
        <v>47.589032626086954</v>
      </c>
      <c r="K34" s="21">
        <f t="shared" ref="K34:K35" si="11">H25/C7</f>
        <v>4.1851119403013417</v>
      </c>
      <c r="M34" s="42"/>
      <c r="N34" s="19"/>
      <c r="O34" s="21"/>
      <c r="P34" s="21"/>
      <c r="Q34" s="21"/>
    </row>
    <row r="35" spans="1:17">
      <c r="A35" s="42" t="s">
        <v>1162</v>
      </c>
      <c r="B35" s="21">
        <f>B26/N17</f>
        <v>2394.782608695652</v>
      </c>
      <c r="C35" s="21">
        <f t="shared" si="3"/>
        <v>1.498077152295703</v>
      </c>
      <c r="D35" s="21">
        <f t="shared" si="4"/>
        <v>16698.803745336139</v>
      </c>
      <c r="E35" s="21">
        <f t="shared" si="5"/>
        <v>33.381818181818176</v>
      </c>
      <c r="F35" s="21">
        <f t="shared" si="6"/>
        <v>1.3291911772954701</v>
      </c>
      <c r="G35" s="47">
        <f t="shared" si="7"/>
        <v>232.77120372286734</v>
      </c>
      <c r="H35" s="21">
        <f t="shared" si="8"/>
        <v>33.354815114886456</v>
      </c>
      <c r="I35" s="21">
        <f t="shared" si="9"/>
        <v>1.5023927167507303</v>
      </c>
      <c r="J35" s="21">
        <f t="shared" si="10"/>
        <v>26.086461774215369</v>
      </c>
      <c r="K35" s="21">
        <f t="shared" si="11"/>
        <v>1.3330202258794377</v>
      </c>
      <c r="M35" s="42"/>
      <c r="N35" s="19"/>
      <c r="O35" s="21"/>
      <c r="P35" s="21"/>
      <c r="Q35" s="21"/>
    </row>
    <row r="36" spans="1:17">
      <c r="A36" s="42"/>
      <c r="B36" s="21"/>
      <c r="C36" s="21"/>
      <c r="D36" s="21"/>
      <c r="E36" s="21"/>
      <c r="F36" s="21"/>
      <c r="G36" s="47"/>
      <c r="H36" s="21"/>
      <c r="I36" s="21"/>
      <c r="J36" s="21"/>
      <c r="K36" s="21"/>
      <c r="M36" s="42"/>
      <c r="N36" s="19"/>
      <c r="O36" s="21"/>
      <c r="P36" s="21"/>
      <c r="Q36" s="21"/>
    </row>
    <row r="37" spans="1:17">
      <c r="A37" s="42"/>
      <c r="B37" s="21"/>
      <c r="C37" s="21"/>
      <c r="D37" s="21"/>
      <c r="E37" s="21"/>
      <c r="F37" s="21"/>
      <c r="G37" s="47"/>
      <c r="H37" s="21"/>
      <c r="I37" s="21"/>
      <c r="J37" s="21"/>
      <c r="K37" s="21"/>
      <c r="M37" s="42"/>
      <c r="N37" s="19"/>
      <c r="O37" s="21"/>
      <c r="P37" s="21"/>
      <c r="Q37" s="21"/>
    </row>
    <row r="39" spans="1:17">
      <c r="A39" s="45" t="s">
        <v>1159</v>
      </c>
      <c r="B39" s="28">
        <f>AVERAGE(B33:B37)</f>
        <v>847.6645807831004</v>
      </c>
      <c r="C39" s="28">
        <f t="shared" ref="C39:K39" si="12">AVERAGE(C33:C37)</f>
        <v>2.4265143468310311</v>
      </c>
      <c r="D39" s="28">
        <f t="shared" si="12"/>
        <v>5754.9564235905273</v>
      </c>
      <c r="E39" s="28">
        <f t="shared" si="12"/>
        <v>50.331969994641895</v>
      </c>
      <c r="F39" s="28">
        <f t="shared" si="12"/>
        <v>1.9103087219831909</v>
      </c>
      <c r="G39" s="28">
        <f t="shared" si="12"/>
        <v>228.06459942131164</v>
      </c>
      <c r="H39" s="28">
        <f t="shared" si="12"/>
        <v>32.395209676473975</v>
      </c>
      <c r="I39" s="28">
        <f t="shared" si="12"/>
        <v>2.431500186694048</v>
      </c>
      <c r="J39" s="28">
        <f t="shared" si="12"/>
        <v>25.577945264449625</v>
      </c>
      <c r="K39" s="28">
        <f t="shared" si="12"/>
        <v>1.9142615099275655</v>
      </c>
    </row>
    <row r="40" spans="1:17">
      <c r="A40" s="45" t="s">
        <v>1160</v>
      </c>
      <c r="B40" s="28">
        <f>MEDIAN(B33:B37)</f>
        <v>103.8244514106583</v>
      </c>
      <c r="C40" s="28">
        <f t="shared" ref="C40:K40" si="13">MEDIAN(C33:C37)</f>
        <v>1.498077152295703</v>
      </c>
      <c r="D40" s="28">
        <f t="shared" si="13"/>
        <v>363.71055852306978</v>
      </c>
      <c r="E40" s="28">
        <f t="shared" si="13"/>
        <v>37.323182711198427</v>
      </c>
      <c r="F40" s="28">
        <f t="shared" si="13"/>
        <v>1.3291911772954701</v>
      </c>
      <c r="G40" s="28">
        <f t="shared" si="13"/>
        <v>232.77120372286734</v>
      </c>
      <c r="H40" s="28">
        <f t="shared" si="13"/>
        <v>33.354815114886456</v>
      </c>
      <c r="I40" s="28">
        <f t="shared" si="13"/>
        <v>1.5023927167507303</v>
      </c>
      <c r="J40" s="28">
        <f t="shared" si="13"/>
        <v>26.086461774215369</v>
      </c>
      <c r="K40" s="28">
        <f t="shared" si="13"/>
        <v>1.3330202258794377</v>
      </c>
    </row>
    <row r="41" spans="1:17" ht="16" thickBot="1"/>
    <row r="42" spans="1:17" ht="16" thickBot="1">
      <c r="B42" s="184" t="s">
        <v>1163</v>
      </c>
      <c r="C42" s="184"/>
      <c r="F42" s="185" t="s">
        <v>1179</v>
      </c>
      <c r="G42" s="186"/>
    </row>
    <row r="43" spans="1:17" ht="16" thickBot="1">
      <c r="A43" s="42"/>
      <c r="B43" s="48" t="s">
        <v>1164</v>
      </c>
      <c r="C43" s="42" t="s">
        <v>1165</v>
      </c>
      <c r="D43" s="42" t="s">
        <v>1166</v>
      </c>
      <c r="F43" s="161" t="s">
        <v>1164</v>
      </c>
      <c r="G43" s="161" t="s">
        <v>1165</v>
      </c>
    </row>
    <row r="44" spans="1:17" ht="16" thickBot="1">
      <c r="A44" s="42" t="s">
        <v>1167</v>
      </c>
      <c r="B44" s="21">
        <f>B40*N15*0.8</f>
        <v>3554.94921630094</v>
      </c>
      <c r="C44" s="21">
        <f>B40*N15*1.2</f>
        <v>5332.423824451409</v>
      </c>
      <c r="D44" s="22">
        <v>0.05</v>
      </c>
      <c r="F44" s="108">
        <f>SUMPRODUCT(B44:B54,D44:D54)</f>
        <v>3651.0668063860871</v>
      </c>
      <c r="G44" s="108">
        <f>SUMPRODUCT(C44:C54,D44:D54)</f>
        <v>5476.60020957913</v>
      </c>
    </row>
    <row r="45" spans="1:17">
      <c r="A45" s="42" t="s">
        <v>1168</v>
      </c>
      <c r="B45" s="21">
        <f>C40*(B6/H15)*0.8</f>
        <v>8081.5758223778848</v>
      </c>
      <c r="C45" s="21">
        <f>C40*(B6/H15)*1.2</f>
        <v>12122.363733566826</v>
      </c>
      <c r="D45" s="22">
        <v>0.02</v>
      </c>
    </row>
    <row r="46" spans="1:17">
      <c r="A46" s="42" t="s">
        <v>1169</v>
      </c>
      <c r="B46" s="21">
        <f>D40*N24*N15*0.8</f>
        <v>2731.6715535958565</v>
      </c>
      <c r="C46" s="21">
        <f>D40*N24*N15*1.2</f>
        <v>4097.5073303937843</v>
      </c>
      <c r="D46" s="22">
        <v>7.0000000000000007E-2</v>
      </c>
    </row>
    <row r="47" spans="1:17">
      <c r="A47" s="42" t="s">
        <v>1170</v>
      </c>
      <c r="B47" s="21">
        <f>E40*O15*0.8</f>
        <v>1519.8000000000002</v>
      </c>
      <c r="C47" s="21">
        <f>E40*O15*1.2</f>
        <v>2279.6999999999998</v>
      </c>
      <c r="D47" s="22">
        <v>7.0000000000000007E-2</v>
      </c>
    </row>
    <row r="48" spans="1:17">
      <c r="A48" s="42" t="s">
        <v>1171</v>
      </c>
      <c r="B48" s="21">
        <f>F40*(C6/H15)*0.8</f>
        <v>8952.7105444218796</v>
      </c>
      <c r="C48" s="21">
        <f>F40*(C6/H15)*1.2</f>
        <v>13429.065816632818</v>
      </c>
      <c r="D48" s="22">
        <v>0.02</v>
      </c>
    </row>
    <row r="49" spans="1:4">
      <c r="A49" s="42" t="s">
        <v>1172</v>
      </c>
      <c r="B49" s="21">
        <f>G40*N24*O15*0.8</f>
        <v>2079.1021958377419</v>
      </c>
      <c r="C49" s="21">
        <f>G40*N24*O15*1.2</f>
        <v>3118.6532937566121</v>
      </c>
      <c r="D49" s="22">
        <v>7.0000000000000007E-2</v>
      </c>
    </row>
    <row r="51" spans="1:4">
      <c r="A51" s="42" t="s">
        <v>1173</v>
      </c>
      <c r="B51" s="21">
        <f>D61*0.8</f>
        <v>19552.944119081585</v>
      </c>
      <c r="C51" s="21">
        <f>D61*1.2</f>
        <v>29329.416178622378</v>
      </c>
      <c r="D51" s="22">
        <v>7.0000000000000007E-2</v>
      </c>
    </row>
    <row r="52" spans="1:4">
      <c r="A52" s="42" t="s">
        <v>1174</v>
      </c>
      <c r="B52" s="21">
        <f t="shared" ref="B52:B54" si="14">D62*0.8</f>
        <v>8111.5202832983769</v>
      </c>
      <c r="C52" s="21">
        <f>D62*1.2</f>
        <v>12167.280424947565</v>
      </c>
      <c r="D52" s="22">
        <v>0.05</v>
      </c>
    </row>
    <row r="53" spans="1:4">
      <c r="A53" s="42" t="s">
        <v>1175</v>
      </c>
      <c r="B53" s="21">
        <f t="shared" si="14"/>
        <v>12913.128356897618</v>
      </c>
      <c r="C53" s="21">
        <f>D63*1.2</f>
        <v>19369.692535346425</v>
      </c>
      <c r="D53" s="22">
        <v>0.05</v>
      </c>
    </row>
    <row r="54" spans="1:4">
      <c r="A54" s="42" t="s">
        <v>1176</v>
      </c>
      <c r="B54" s="21">
        <f t="shared" si="14"/>
        <v>8985.1645143060668</v>
      </c>
      <c r="C54" s="21">
        <f>D64*1.2</f>
        <v>13477.7467714591</v>
      </c>
      <c r="D54" s="22">
        <v>0.03</v>
      </c>
    </row>
    <row r="57" spans="1:4">
      <c r="A57" s="42" t="s">
        <v>1177</v>
      </c>
      <c r="B57" s="48">
        <f>Output!C15*0.8</f>
        <v>104.00290819124882</v>
      </c>
      <c r="C57" s="48">
        <f>Output!C15*1.2</f>
        <v>156.00436228687323</v>
      </c>
      <c r="D57" s="22">
        <v>0.5</v>
      </c>
    </row>
    <row r="60" spans="1:4">
      <c r="B60" s="42" t="s">
        <v>1150</v>
      </c>
      <c r="C60" s="42" t="s">
        <v>150</v>
      </c>
      <c r="D60" s="42" t="s">
        <v>1178</v>
      </c>
    </row>
    <row r="61" spans="1:4">
      <c r="A61" s="42" t="s">
        <v>1174</v>
      </c>
      <c r="B61" s="21">
        <f>H40*H6</f>
        <v>442899.2441178101</v>
      </c>
      <c r="C61" s="21">
        <f>B61+$B$15-$N$6</f>
        <v>443050.23411781009</v>
      </c>
      <c r="D61" s="21">
        <f>C61/$H$15</f>
        <v>24441.180148851981</v>
      </c>
    </row>
    <row r="62" spans="1:4">
      <c r="A62" s="42" t="s">
        <v>1173</v>
      </c>
      <c r="B62" s="21">
        <f>I40*B6</f>
        <v>183647.97851745901</v>
      </c>
      <c r="C62" s="21">
        <f t="shared" ref="C62:C64" si="15">B62+$B$15-$N$6</f>
        <v>183798.968517459</v>
      </c>
      <c r="D62" s="21">
        <f t="shared" ref="D62:D64" si="16">C62/$H$15</f>
        <v>10139.40035412297</v>
      </c>
    </row>
    <row r="63" spans="1:4">
      <c r="A63" s="42" t="s">
        <v>1176</v>
      </c>
      <c r="B63" s="21">
        <f>J40*I6</f>
        <v>292447.63386317447</v>
      </c>
      <c r="C63" s="21">
        <f t="shared" si="15"/>
        <v>292598.62386317446</v>
      </c>
      <c r="D63" s="21">
        <f t="shared" si="16"/>
        <v>16141.410446122021</v>
      </c>
    </row>
    <row r="64" spans="1:4">
      <c r="A64" s="42" t="s">
        <v>1175</v>
      </c>
      <c r="B64" s="21">
        <f>K40*C6</f>
        <v>203443.88642402811</v>
      </c>
      <c r="C64" s="21">
        <f t="shared" si="15"/>
        <v>203594.8764240281</v>
      </c>
      <c r="D64" s="21">
        <f t="shared" si="16"/>
        <v>11231.455642882584</v>
      </c>
    </row>
  </sheetData>
  <mergeCells count="6">
    <mergeCell ref="B31:D31"/>
    <mergeCell ref="E31:G31"/>
    <mergeCell ref="H31:I31"/>
    <mergeCell ref="J31:K31"/>
    <mergeCell ref="B42:C42"/>
    <mergeCell ref="F42:G4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F1"/>
    </sheetView>
  </sheetViews>
  <sheetFormatPr baseColWidth="10" defaultColWidth="8.7109375" defaultRowHeight="25" customHeight="1" x14ac:dyDescent="0"/>
  <cols>
    <col min="1" max="1" width="15.140625" style="1" customWidth="1"/>
    <col min="2" max="9" width="11" style="1" bestFit="1" customWidth="1"/>
    <col min="10" max="16384" width="8.7109375" style="1"/>
  </cols>
  <sheetData>
    <row r="1" spans="1:9" ht="33" thickBot="1">
      <c r="A1" s="173" t="s">
        <v>0</v>
      </c>
      <c r="B1" s="173"/>
      <c r="C1" s="173"/>
      <c r="D1" s="173"/>
      <c r="E1" s="173"/>
      <c r="F1" s="173"/>
    </row>
    <row r="2" spans="1:9" ht="25" customHeight="1" thickBot="1">
      <c r="A2" s="4" t="s">
        <v>1</v>
      </c>
      <c r="B2" s="50">
        <v>2016</v>
      </c>
      <c r="C2" s="50">
        <v>2017</v>
      </c>
      <c r="D2" s="50">
        <v>2018</v>
      </c>
      <c r="E2" s="50" t="s">
        <v>29</v>
      </c>
      <c r="F2" s="50" t="s">
        <v>30</v>
      </c>
      <c r="G2" s="50" t="s">
        <v>31</v>
      </c>
      <c r="H2" s="50" t="s">
        <v>32</v>
      </c>
      <c r="I2" s="50" t="s">
        <v>33</v>
      </c>
    </row>
    <row r="3" spans="1:9" ht="25" customHeight="1">
      <c r="A3" s="5" t="s">
        <v>2</v>
      </c>
      <c r="B3" s="6">
        <f>'[1]Dupoint Analysis'!E15</f>
        <v>123</v>
      </c>
      <c r="C3" s="6">
        <f>'[1]Dupoint Analysis'!F15</f>
        <v>141</v>
      </c>
      <c r="D3" s="6">
        <f>'[1]Dupoint Analysis'!G15</f>
        <v>171</v>
      </c>
      <c r="E3" s="6">
        <f>D3+E9</f>
        <v>201</v>
      </c>
      <c r="F3" s="6">
        <f t="shared" ref="F3:I3" si="0">E3+F9</f>
        <v>231</v>
      </c>
      <c r="G3" s="6">
        <f t="shared" si="0"/>
        <v>261</v>
      </c>
      <c r="H3" s="6">
        <f t="shared" si="0"/>
        <v>291</v>
      </c>
      <c r="I3" s="6">
        <f t="shared" si="0"/>
        <v>321</v>
      </c>
    </row>
    <row r="4" spans="1:9" ht="25" customHeight="1">
      <c r="A4" s="5" t="s">
        <v>3</v>
      </c>
      <c r="B4" s="6">
        <f>'[1]Dupoint Analysis'!K15</f>
        <v>8211.3821138211388</v>
      </c>
      <c r="C4" s="6">
        <f>'[1]Dupoint Analysis'!L15</f>
        <v>8510.6382978723395</v>
      </c>
      <c r="D4" s="6">
        <f>'[1]Dupoint Analysis'!M15</f>
        <v>8187.1345029239765</v>
      </c>
      <c r="E4" s="6">
        <f>D4*(1+1.5%)</f>
        <v>8309.9415204678353</v>
      </c>
      <c r="F4" s="7">
        <f>E4*(1+1%)</f>
        <v>8393.040935672514</v>
      </c>
      <c r="G4" s="7">
        <f t="shared" ref="G4:I4" si="1">F4*(1+1%)</f>
        <v>8476.9713450292384</v>
      </c>
      <c r="H4" s="7">
        <f t="shared" si="1"/>
        <v>8561.7410584795307</v>
      </c>
      <c r="I4" s="7">
        <f t="shared" si="1"/>
        <v>8647.3584690643256</v>
      </c>
    </row>
    <row r="5" spans="1:9" ht="25" customHeight="1">
      <c r="A5" s="5" t="s">
        <v>4</v>
      </c>
      <c r="B5" s="6">
        <f>'[1]Dupoint Analysis'!H15</f>
        <v>1010000</v>
      </c>
      <c r="C5" s="6">
        <f>'[1]Dupoint Analysis'!I15</f>
        <v>1200000</v>
      </c>
      <c r="D5" s="6">
        <f>'[1]Dupoint Analysis'!J15</f>
        <v>1400000</v>
      </c>
      <c r="E5" s="6">
        <f t="shared" ref="E5:F5" si="2">E3*E4</f>
        <v>1670298.2456140348</v>
      </c>
      <c r="F5" s="7">
        <f t="shared" si="2"/>
        <v>1938792.4561403508</v>
      </c>
      <c r="G5" s="7">
        <f t="shared" ref="G5:I5" si="3">G3*G4</f>
        <v>2212489.5210526311</v>
      </c>
      <c r="H5" s="7">
        <f t="shared" si="3"/>
        <v>2491466.6480175434</v>
      </c>
      <c r="I5" s="7">
        <f t="shared" si="3"/>
        <v>2775802.0685696485</v>
      </c>
    </row>
    <row r="6" spans="1:9" ht="25" customHeight="1" thickBot="1">
      <c r="A6" s="5" t="s">
        <v>5</v>
      </c>
      <c r="B6" s="8">
        <f>'[1]Dupoint Analysis'!N15</f>
        <v>8.0123762376237628E-4</v>
      </c>
      <c r="C6" s="8">
        <f>'[1]Dupoint Analysis'!O15</f>
        <v>8.3477500000000006E-4</v>
      </c>
      <c r="D6" s="8">
        <f>'[1]Dupoint Analysis'!P15</f>
        <v>8.7312142857142849E-4</v>
      </c>
      <c r="E6" s="8">
        <f>D6*(1+4.65%)</f>
        <v>9.1372157499999991E-4</v>
      </c>
      <c r="F6" s="8">
        <f>E6*(1+4.7%)</f>
        <v>9.5666648902499986E-4</v>
      </c>
      <c r="G6" s="8">
        <f t="shared" ref="G6:I6" si="4">F6*(1+4.7%)</f>
        <v>1.0016298140091747E-3</v>
      </c>
      <c r="H6" s="8">
        <f t="shared" si="4"/>
        <v>1.0487064152676058E-3</v>
      </c>
      <c r="I6" s="8">
        <f t="shared" si="4"/>
        <v>1.0979956167851833E-3</v>
      </c>
    </row>
    <row r="7" spans="1:9" ht="25" customHeight="1" thickBot="1">
      <c r="A7" s="9" t="s">
        <v>6</v>
      </c>
      <c r="B7" s="10">
        <f>B6*B5</f>
        <v>809.25</v>
      </c>
      <c r="C7" s="10">
        <f t="shared" ref="C7:F7" si="5">C6*C5</f>
        <v>1001.73</v>
      </c>
      <c r="D7" s="10">
        <f t="shared" si="5"/>
        <v>1222.3699999999999</v>
      </c>
      <c r="E7" s="10">
        <f t="shared" si="5"/>
        <v>1526.1875437021927</v>
      </c>
      <c r="F7" s="10">
        <f t="shared" si="5"/>
        <v>1854.7777719639455</v>
      </c>
      <c r="G7" s="10">
        <f t="shared" ref="G7:I7" si="6">G6*G5</f>
        <v>2216.0954674691948</v>
      </c>
      <c r="H7" s="10">
        <f t="shared" si="6"/>
        <v>2612.8170572012759</v>
      </c>
      <c r="I7" s="10">
        <f t="shared" si="6"/>
        <v>3047.8185043527187</v>
      </c>
    </row>
    <row r="8" spans="1:9" ht="25" customHeight="1">
      <c r="A8" s="2"/>
      <c r="B8" s="2"/>
      <c r="C8" s="2"/>
      <c r="D8" s="2"/>
      <c r="E8" s="2"/>
      <c r="F8" s="2"/>
    </row>
    <row r="9" spans="1:9" s="52" customFormat="1" ht="25" customHeight="1">
      <c r="A9" s="51"/>
      <c r="B9" s="51"/>
      <c r="C9" s="51">
        <f>C3-B3</f>
        <v>18</v>
      </c>
      <c r="D9" s="51">
        <f>D3-C3</f>
        <v>30</v>
      </c>
      <c r="E9" s="51">
        <f>D9</f>
        <v>30</v>
      </c>
      <c r="F9" s="51">
        <f t="shared" ref="F9:I9" si="7">E9</f>
        <v>30</v>
      </c>
      <c r="G9" s="51">
        <f t="shared" si="7"/>
        <v>30</v>
      </c>
      <c r="H9" s="51">
        <f t="shared" si="7"/>
        <v>30</v>
      </c>
      <c r="I9" s="51">
        <f t="shared" si="7"/>
        <v>30</v>
      </c>
    </row>
    <row r="10" spans="1:9" s="52" customFormat="1" ht="25" customHeight="1">
      <c r="A10" s="51"/>
      <c r="B10" s="51"/>
      <c r="C10" s="51"/>
      <c r="D10" s="51"/>
      <c r="E10" s="51">
        <f>14672/100</f>
        <v>146.72</v>
      </c>
      <c r="F10" s="51"/>
    </row>
    <row r="11" spans="1:9" ht="25" customHeight="1">
      <c r="A11" s="2"/>
      <c r="B11" s="2"/>
      <c r="C11" s="2"/>
      <c r="D11" s="2"/>
      <c r="E11" s="2"/>
      <c r="F11" s="2"/>
    </row>
    <row r="12" spans="1:9" ht="25" customHeight="1">
      <c r="A12" s="2"/>
      <c r="B12" s="2"/>
      <c r="C12" s="2"/>
      <c r="D12" s="2"/>
      <c r="E12" s="2"/>
      <c r="F12" s="2"/>
    </row>
    <row r="13" spans="1:9" ht="25" customHeight="1">
      <c r="A13" s="2"/>
      <c r="B13" s="2"/>
      <c r="C13" s="2"/>
      <c r="D13" s="2"/>
      <c r="E13" s="2"/>
      <c r="F13" s="2"/>
    </row>
    <row r="14" spans="1:9" ht="25" customHeight="1">
      <c r="A14" s="2"/>
      <c r="B14" s="2"/>
      <c r="C14" s="2"/>
      <c r="D14" s="2"/>
      <c r="E14" s="2"/>
      <c r="F14" s="2"/>
    </row>
    <row r="15" spans="1:9" ht="25" customHeight="1">
      <c r="A15" s="3"/>
      <c r="B15" s="3"/>
      <c r="C15" s="3"/>
      <c r="D15" s="3"/>
      <c r="E15" s="3"/>
      <c r="F15" s="3"/>
    </row>
  </sheetData>
  <mergeCells count="1">
    <mergeCell ref="A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" sqref="B1:I1"/>
    </sheetView>
  </sheetViews>
  <sheetFormatPr baseColWidth="10" defaultColWidth="8.7109375" defaultRowHeight="25" customHeight="1" x14ac:dyDescent="0"/>
  <cols>
    <col min="1" max="1" width="25.28515625" style="12" bestFit="1" customWidth="1"/>
    <col min="2" max="2" width="6.28515625" style="11" bestFit="1" customWidth="1"/>
    <col min="3" max="3" width="7.7109375" style="11" bestFit="1" customWidth="1"/>
    <col min="4" max="4" width="11" style="11" bestFit="1" customWidth="1"/>
    <col min="5" max="5" width="10" style="11" bestFit="1" customWidth="1"/>
    <col min="6" max="6" width="7.7109375" style="11" bestFit="1" customWidth="1"/>
    <col min="7" max="16384" width="8.7109375" style="11"/>
  </cols>
  <sheetData>
    <row r="1" spans="1:10" ht="25" customHeight="1" thickBot="1">
      <c r="A1" s="58"/>
      <c r="B1" s="50">
        <v>2016</v>
      </c>
      <c r="C1" s="50">
        <v>2017</v>
      </c>
      <c r="D1" s="50">
        <v>2018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</row>
    <row r="2" spans="1:10" ht="25" customHeight="1">
      <c r="A2" s="59" t="s">
        <v>12</v>
      </c>
      <c r="B2" s="53">
        <f>'Revenue D'!B7</f>
        <v>809.25</v>
      </c>
      <c r="C2" s="53">
        <f>'Revenue D'!C7</f>
        <v>1001.73</v>
      </c>
      <c r="D2" s="53">
        <f>'Revenue D'!D7</f>
        <v>1222.3699999999999</v>
      </c>
      <c r="E2" s="53">
        <f>'Revenue D'!E7</f>
        <v>1526.1875437021927</v>
      </c>
      <c r="F2" s="53">
        <f>'Revenue D'!F7</f>
        <v>1854.7777719639455</v>
      </c>
      <c r="G2" s="53">
        <f>'Revenue D'!G7</f>
        <v>2216.0954674691948</v>
      </c>
      <c r="H2" s="53">
        <f>'Revenue D'!H7</f>
        <v>2612.8170572012759</v>
      </c>
      <c r="I2" s="53">
        <f>'Revenue D'!I7</f>
        <v>3047.8185043527187</v>
      </c>
      <c r="J2" s="2" t="s">
        <v>1</v>
      </c>
    </row>
    <row r="3" spans="1:10" ht="25" customHeight="1">
      <c r="A3" s="59"/>
      <c r="B3" s="54"/>
      <c r="C3" s="55"/>
      <c r="D3" s="55"/>
      <c r="E3" s="55"/>
      <c r="F3" s="55"/>
      <c r="G3" s="54"/>
      <c r="H3" s="54"/>
      <c r="I3" s="54"/>
    </row>
    <row r="4" spans="1:10" ht="25" customHeight="1">
      <c r="A4" s="60" t="s">
        <v>7</v>
      </c>
      <c r="B4" s="55">
        <f>59242.89/100+0.02</f>
        <v>592.44889999999998</v>
      </c>
      <c r="C4" s="55">
        <f>76732.4/100+0.19</f>
        <v>767.51400000000001</v>
      </c>
      <c r="D4" s="55">
        <f>86820.49/100</f>
        <v>868.20490000000007</v>
      </c>
      <c r="E4" s="55">
        <f>E2*E5/100</f>
        <v>1123.5529898373247</v>
      </c>
      <c r="F4" s="55">
        <f t="shared" ref="F4:I4" si="0">F2*F5/100</f>
        <v>1365.4554577995857</v>
      </c>
      <c r="G4" s="55">
        <f t="shared" si="0"/>
        <v>1631.4513236033956</v>
      </c>
      <c r="H4" s="55">
        <f t="shared" si="0"/>
        <v>1923.510926707766</v>
      </c>
      <c r="I4" s="55">
        <f t="shared" si="0"/>
        <v>2243.7515016930488</v>
      </c>
    </row>
    <row r="5" spans="1:10" ht="25" customHeight="1">
      <c r="A5" s="59" t="s">
        <v>1</v>
      </c>
      <c r="B5" s="54">
        <f>B4/B2*100</f>
        <v>73.209626197096071</v>
      </c>
      <c r="C5" s="54">
        <f t="shared" ref="C5:D5" si="1">C4/C2*100</f>
        <v>76.618849390554345</v>
      </c>
      <c r="D5" s="54">
        <f t="shared" si="1"/>
        <v>71.026358631183697</v>
      </c>
      <c r="E5" s="55">
        <f>AVERAGE(B5:D5)</f>
        <v>73.618278072944705</v>
      </c>
      <c r="F5" s="55">
        <f>E5</f>
        <v>73.618278072944705</v>
      </c>
      <c r="G5" s="55">
        <f t="shared" ref="G5:I5" si="2">F5</f>
        <v>73.618278072944705</v>
      </c>
      <c r="H5" s="55">
        <f t="shared" si="2"/>
        <v>73.618278072944705</v>
      </c>
      <c r="I5" s="55">
        <f t="shared" si="2"/>
        <v>73.618278072944705</v>
      </c>
    </row>
    <row r="6" spans="1:10" ht="25" customHeight="1">
      <c r="A6" s="60" t="s">
        <v>8</v>
      </c>
      <c r="B6" s="55">
        <f>-2124.62/100</f>
        <v>-21.246199999999998</v>
      </c>
      <c r="C6" s="55">
        <f>-6474.84/100</f>
        <v>-64.748400000000004</v>
      </c>
      <c r="D6" s="55">
        <f>-3793.69/100</f>
        <v>-37.936900000000001</v>
      </c>
      <c r="E6" s="55">
        <f>D6</f>
        <v>-37.936900000000001</v>
      </c>
      <c r="F6" s="55">
        <f t="shared" ref="F6:I6" si="3">E6</f>
        <v>-37.936900000000001</v>
      </c>
      <c r="G6" s="55">
        <f t="shared" si="3"/>
        <v>-37.936900000000001</v>
      </c>
      <c r="H6" s="55">
        <f t="shared" si="3"/>
        <v>-37.936900000000001</v>
      </c>
      <c r="I6" s="55">
        <f t="shared" si="3"/>
        <v>-37.936900000000001</v>
      </c>
    </row>
    <row r="7" spans="1:10" ht="25" customHeight="1">
      <c r="A7" s="59"/>
      <c r="B7" s="54">
        <f>B6/B2*100</f>
        <v>-2.6254185974667901</v>
      </c>
      <c r="C7" s="54">
        <f t="shared" ref="C7:D7" si="4">C6/C2*100</f>
        <v>-6.4636578718816455</v>
      </c>
      <c r="D7" s="54">
        <f t="shared" si="4"/>
        <v>-3.1035529340543375</v>
      </c>
      <c r="E7" s="55"/>
      <c r="F7" s="55"/>
      <c r="G7" s="54"/>
      <c r="H7" s="54"/>
      <c r="I7" s="54"/>
    </row>
    <row r="8" spans="1:10" ht="25" customHeight="1">
      <c r="A8" s="60" t="s">
        <v>9</v>
      </c>
      <c r="B8" s="55">
        <f>6225.42/100</f>
        <v>62.254199999999997</v>
      </c>
      <c r="C8" s="55">
        <f>7771.4/100</f>
        <v>77.713999999999999</v>
      </c>
      <c r="D8" s="55">
        <f>9839.05/100</f>
        <v>98.390499999999989</v>
      </c>
      <c r="E8" s="55">
        <f>E2*E9/100</f>
        <v>119.55117439646438</v>
      </c>
      <c r="F8" s="55">
        <f t="shared" ref="F8:I8" si="5">F2*F9/100</f>
        <v>145.29070283515296</v>
      </c>
      <c r="G8" s="55">
        <f t="shared" si="5"/>
        <v>173.59387894619161</v>
      </c>
      <c r="H8" s="55">
        <f t="shared" si="5"/>
        <v>204.67035585534757</v>
      </c>
      <c r="I8" s="55">
        <f t="shared" si="5"/>
        <v>238.74541700082386</v>
      </c>
    </row>
    <row r="9" spans="1:10" ht="25" customHeight="1">
      <c r="A9" s="59"/>
      <c r="B9" s="54">
        <f>B8/B2*100</f>
        <v>7.6928266913809082</v>
      </c>
      <c r="C9" s="54">
        <f t="shared" ref="C9:D9" si="6">C8/C2*100</f>
        <v>7.7579786968544413</v>
      </c>
      <c r="D9" s="54">
        <f t="shared" si="6"/>
        <v>8.0491586017326995</v>
      </c>
      <c r="E9" s="55">
        <f>AVERAGE(B9:D9)</f>
        <v>7.8333213299893494</v>
      </c>
      <c r="F9" s="55">
        <f>E9</f>
        <v>7.8333213299893494</v>
      </c>
      <c r="G9" s="55">
        <f t="shared" ref="G9:I9" si="7">F9</f>
        <v>7.8333213299893494</v>
      </c>
      <c r="H9" s="55">
        <f t="shared" si="7"/>
        <v>7.8333213299893494</v>
      </c>
      <c r="I9" s="55">
        <f t="shared" si="7"/>
        <v>7.8333213299893494</v>
      </c>
    </row>
    <row r="10" spans="1:10" ht="25" customHeight="1">
      <c r="A10" s="60" t="s">
        <v>10</v>
      </c>
      <c r="B10" s="55">
        <f>11376.74/100</f>
        <v>113.76739999999999</v>
      </c>
      <c r="C10" s="55">
        <f>13866.09/100</f>
        <v>138.6609</v>
      </c>
      <c r="D10" s="55">
        <f>16092.73/100</f>
        <v>160.9273</v>
      </c>
      <c r="E10" s="55">
        <f>E2*E11/100</f>
        <v>208.91322700786702</v>
      </c>
      <c r="F10" s="55">
        <f t="shared" ref="F10:I10" si="8">F2*F11/100</f>
        <v>253.89252541236874</v>
      </c>
      <c r="G10" s="55">
        <f t="shared" si="8"/>
        <v>303.35174558130024</v>
      </c>
      <c r="H10" s="55">
        <f t="shared" si="8"/>
        <v>357.65725205501366</v>
      </c>
      <c r="I10" s="55">
        <f t="shared" si="8"/>
        <v>417.20272302449308</v>
      </c>
    </row>
    <row r="11" spans="1:10" ht="25" customHeight="1">
      <c r="A11" s="59"/>
      <c r="B11" s="54">
        <f>B10/B2*100</f>
        <v>14.058375038616003</v>
      </c>
      <c r="C11" s="54">
        <f t="shared" ref="C11:D11" si="9">C10/C2*100</f>
        <v>13.84214309245006</v>
      </c>
      <c r="D11" s="54">
        <f t="shared" si="9"/>
        <v>13.165187300080991</v>
      </c>
      <c r="E11" s="55">
        <f>AVERAGE(B11:D11)</f>
        <v>13.688568477049017</v>
      </c>
      <c r="F11" s="55">
        <f>E11</f>
        <v>13.688568477049017</v>
      </c>
      <c r="G11" s="55">
        <f t="shared" ref="G11:I11" si="10">F11</f>
        <v>13.688568477049017</v>
      </c>
      <c r="H11" s="55">
        <f t="shared" si="10"/>
        <v>13.688568477049017</v>
      </c>
      <c r="I11" s="55">
        <f t="shared" si="10"/>
        <v>13.688568477049017</v>
      </c>
    </row>
    <row r="12" spans="1:10" ht="25" customHeight="1" thickBot="1">
      <c r="A12" s="61" t="s">
        <v>11</v>
      </c>
      <c r="B12" s="56">
        <f>19.46/100</f>
        <v>0.1946</v>
      </c>
      <c r="C12" s="56">
        <v>0</v>
      </c>
      <c r="D12" s="56">
        <v>0</v>
      </c>
      <c r="E12" s="56"/>
      <c r="F12" s="56"/>
      <c r="G12" s="57"/>
      <c r="H12" s="57"/>
      <c r="I12" s="57"/>
    </row>
    <row r="13" spans="1:10" ht="25" customHeight="1">
      <c r="A13" s="3"/>
      <c r="B13" s="3"/>
      <c r="C13" s="3"/>
      <c r="D13" s="3"/>
      <c r="E13" s="3"/>
      <c r="F1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pane xSplit="1" ySplit="1" topLeftCell="B5" activePane="bottomRight" state="frozen"/>
      <selection activeCell="A4" sqref="A4"/>
      <selection pane="topRight" activeCell="B4" sqref="B4"/>
      <selection pane="bottomLeft" activeCell="A5" sqref="A5"/>
      <selection pane="bottomRight" activeCell="D4" sqref="D4:I4"/>
    </sheetView>
  </sheetViews>
  <sheetFormatPr baseColWidth="10" defaultColWidth="8.7109375" defaultRowHeight="15" x14ac:dyDescent="0"/>
  <cols>
    <col min="1" max="1" width="26.140625" customWidth="1"/>
    <col min="2" max="2" width="10.140625" customWidth="1"/>
  </cols>
  <sheetData>
    <row r="1" spans="1:9">
      <c r="A1" s="83"/>
    </row>
    <row r="2" spans="1:9">
      <c r="A2" s="83"/>
    </row>
    <row r="3" spans="1:9" ht="16" thickBot="1">
      <c r="A3" s="83"/>
    </row>
    <row r="4" spans="1:9" ht="16" thickBot="1">
      <c r="A4" s="1"/>
      <c r="B4" s="65">
        <v>2016</v>
      </c>
      <c r="C4" s="65">
        <v>2017</v>
      </c>
      <c r="D4" s="65">
        <v>2018</v>
      </c>
      <c r="E4" s="65" t="s">
        <v>29</v>
      </c>
      <c r="F4" s="65" t="s">
        <v>30</v>
      </c>
      <c r="G4" s="65" t="s">
        <v>31</v>
      </c>
      <c r="H4" s="65" t="s">
        <v>32</v>
      </c>
      <c r="I4" s="65" t="s">
        <v>33</v>
      </c>
    </row>
    <row r="5" spans="1:9">
      <c r="A5" s="91" t="s">
        <v>12</v>
      </c>
      <c r="B5" s="74">
        <f>'Revenue D'!B7</f>
        <v>809.25</v>
      </c>
      <c r="C5" s="74">
        <f>'Revenue D'!C7</f>
        <v>1001.73</v>
      </c>
      <c r="D5" s="74">
        <f>'Revenue D'!D7</f>
        <v>1222.3699999999999</v>
      </c>
      <c r="E5" s="74">
        <f>'Revenue D'!E7</f>
        <v>1526.1875437021927</v>
      </c>
      <c r="F5" s="74">
        <f>'Revenue D'!F7</f>
        <v>1854.7777719639455</v>
      </c>
      <c r="G5" s="74">
        <f>'Revenue D'!G7</f>
        <v>2216.0954674691948</v>
      </c>
      <c r="H5" s="74">
        <f>'Revenue D'!H7</f>
        <v>2612.8170572012759</v>
      </c>
      <c r="I5" s="66">
        <f>'Revenue D'!I7</f>
        <v>3047.8185043527187</v>
      </c>
    </row>
    <row r="6" spans="1:9">
      <c r="A6" s="84"/>
      <c r="B6" s="75"/>
      <c r="C6" s="75"/>
      <c r="D6" s="75"/>
      <c r="E6" s="75"/>
      <c r="F6" s="75"/>
      <c r="G6" s="75"/>
      <c r="H6" s="75"/>
      <c r="I6" s="67"/>
    </row>
    <row r="7" spans="1:9">
      <c r="A7" s="85" t="s">
        <v>35</v>
      </c>
      <c r="B7" s="75"/>
      <c r="C7" s="75"/>
      <c r="D7" s="75"/>
      <c r="E7" s="75"/>
      <c r="F7" s="75"/>
      <c r="G7" s="75"/>
      <c r="H7" s="75"/>
      <c r="I7" s="67"/>
    </row>
    <row r="8" spans="1:9">
      <c r="A8" s="84" t="s">
        <v>13</v>
      </c>
      <c r="B8" s="76">
        <f>'Cost D'!B4</f>
        <v>592.44889999999998</v>
      </c>
      <c r="C8" s="76">
        <f>'Cost D'!C4</f>
        <v>767.51400000000001</v>
      </c>
      <c r="D8" s="76">
        <f>'Cost D'!D4</f>
        <v>868.20490000000007</v>
      </c>
      <c r="E8" s="76">
        <f>'Cost D'!E4</f>
        <v>1123.5529898373247</v>
      </c>
      <c r="F8" s="76">
        <f>'Cost D'!F4</f>
        <v>1365.4554577995857</v>
      </c>
      <c r="G8" s="76">
        <f>'Cost D'!G4</f>
        <v>1631.4513236033956</v>
      </c>
      <c r="H8" s="76">
        <f>'Cost D'!H4</f>
        <v>1923.510926707766</v>
      </c>
      <c r="I8" s="68">
        <f>'Cost D'!I4</f>
        <v>2243.7515016930488</v>
      </c>
    </row>
    <row r="9" spans="1:9">
      <c r="A9" s="84" t="s">
        <v>14</v>
      </c>
      <c r="B9" s="76">
        <f>'Cost D'!B6</f>
        <v>-21.246199999999998</v>
      </c>
      <c r="C9" s="76">
        <f>'Cost D'!C6</f>
        <v>-64.748400000000004</v>
      </c>
      <c r="D9" s="76">
        <f>'Cost D'!D6</f>
        <v>-37.936900000000001</v>
      </c>
      <c r="E9" s="76">
        <f>'Cost D'!E6</f>
        <v>-37.936900000000001</v>
      </c>
      <c r="F9" s="76">
        <f>'Cost D'!F6</f>
        <v>-37.936900000000001</v>
      </c>
      <c r="G9" s="76">
        <f>'Cost D'!G6</f>
        <v>-37.936900000000001</v>
      </c>
      <c r="H9" s="76">
        <f>'Cost D'!H6</f>
        <v>-37.936900000000001</v>
      </c>
      <c r="I9" s="68">
        <f>'Cost D'!I6</f>
        <v>-37.936900000000001</v>
      </c>
    </row>
    <row r="10" spans="1:9">
      <c r="A10" s="84" t="s">
        <v>15</v>
      </c>
      <c r="B10" s="76">
        <f>'Cost D'!B8</f>
        <v>62.254199999999997</v>
      </c>
      <c r="C10" s="76">
        <f>'Cost D'!C8</f>
        <v>77.713999999999999</v>
      </c>
      <c r="D10" s="76">
        <f>'Cost D'!D8</f>
        <v>98.390499999999989</v>
      </c>
      <c r="E10" s="76">
        <f>'Cost D'!E8</f>
        <v>119.55117439646438</v>
      </c>
      <c r="F10" s="76">
        <f>'Cost D'!F8</f>
        <v>145.29070283515296</v>
      </c>
      <c r="G10" s="76">
        <f>'Cost D'!G8</f>
        <v>173.59387894619161</v>
      </c>
      <c r="H10" s="76">
        <f>'Cost D'!H8</f>
        <v>204.67035585534757</v>
      </c>
      <c r="I10" s="68">
        <f>'Cost D'!I8</f>
        <v>238.74541700082386</v>
      </c>
    </row>
    <row r="11" spans="1:9">
      <c r="A11" s="84" t="s">
        <v>10</v>
      </c>
      <c r="B11" s="76">
        <f>'Cost D'!B10</f>
        <v>113.76739999999999</v>
      </c>
      <c r="C11" s="76">
        <f>'Cost D'!C10</f>
        <v>138.6609</v>
      </c>
      <c r="D11" s="76">
        <f>'Cost D'!D10</f>
        <v>160.9273</v>
      </c>
      <c r="E11" s="76">
        <f>'Cost D'!E10</f>
        <v>208.91322700786702</v>
      </c>
      <c r="F11" s="76">
        <f>'Cost D'!F10</f>
        <v>253.89252541236874</v>
      </c>
      <c r="G11" s="76">
        <f>'Cost D'!G10</f>
        <v>303.35174558130024</v>
      </c>
      <c r="H11" s="76">
        <f>'Cost D'!H10</f>
        <v>357.65725205501366</v>
      </c>
      <c r="I11" s="68">
        <f>'Cost D'!I10</f>
        <v>417.20272302449308</v>
      </c>
    </row>
    <row r="12" spans="1:9">
      <c r="A12" s="84" t="s">
        <v>11</v>
      </c>
      <c r="B12" s="76">
        <f>'Cost D'!B12</f>
        <v>0.1946</v>
      </c>
      <c r="C12" s="76">
        <f>'Cost D'!C12</f>
        <v>0</v>
      </c>
      <c r="D12" s="76">
        <f>'Cost D'!D12</f>
        <v>0</v>
      </c>
      <c r="E12" s="76">
        <f>'Cost D'!E12</f>
        <v>0</v>
      </c>
      <c r="F12" s="76">
        <f>'Cost D'!F12</f>
        <v>0</v>
      </c>
      <c r="G12" s="76">
        <f>'Cost D'!G12</f>
        <v>0</v>
      </c>
      <c r="H12" s="76">
        <f>'Cost D'!H12</f>
        <v>0</v>
      </c>
      <c r="I12" s="68">
        <f>'Cost D'!I12</f>
        <v>0</v>
      </c>
    </row>
    <row r="13" spans="1:9">
      <c r="A13" s="84" t="s">
        <v>17</v>
      </c>
      <c r="B13" s="76">
        <f>SUM(B8:B12)</f>
        <v>747.41889999999989</v>
      </c>
      <c r="C13" s="76">
        <f t="shared" ref="C13:I13" si="0">SUM(C8:C12)</f>
        <v>919.14049999999986</v>
      </c>
      <c r="D13" s="76">
        <f t="shared" si="0"/>
        <v>1089.5858000000001</v>
      </c>
      <c r="E13" s="76">
        <f t="shared" si="0"/>
        <v>1414.0804912416561</v>
      </c>
      <c r="F13" s="76">
        <f t="shared" si="0"/>
        <v>1726.7017860471074</v>
      </c>
      <c r="G13" s="76">
        <f t="shared" si="0"/>
        <v>2070.4600481308876</v>
      </c>
      <c r="H13" s="76">
        <f t="shared" si="0"/>
        <v>2447.901634618127</v>
      </c>
      <c r="I13" s="68">
        <f t="shared" si="0"/>
        <v>2861.7627417183658</v>
      </c>
    </row>
    <row r="14" spans="1:9">
      <c r="A14" s="86" t="s">
        <v>16</v>
      </c>
      <c r="B14" s="77">
        <f>B5-B13</f>
        <v>61.831100000000106</v>
      </c>
      <c r="C14" s="77">
        <f t="shared" ref="C14:I14" si="1">C5-C13</f>
        <v>82.589500000000157</v>
      </c>
      <c r="D14" s="77">
        <f t="shared" si="1"/>
        <v>132.78419999999983</v>
      </c>
      <c r="E14" s="77">
        <f t="shared" si="1"/>
        <v>112.10705246053658</v>
      </c>
      <c r="F14" s="77">
        <f t="shared" si="1"/>
        <v>128.07598591683814</v>
      </c>
      <c r="G14" s="77">
        <f t="shared" si="1"/>
        <v>145.6354193383072</v>
      </c>
      <c r="H14" s="77">
        <f t="shared" si="1"/>
        <v>164.91542258314894</v>
      </c>
      <c r="I14" s="69">
        <f t="shared" si="1"/>
        <v>186.05576263435296</v>
      </c>
    </row>
    <row r="15" spans="1:9">
      <c r="A15" s="84" t="s">
        <v>36</v>
      </c>
      <c r="B15" s="78">
        <f>1901.44/100</f>
        <v>19.014400000000002</v>
      </c>
      <c r="C15" s="78">
        <f>1855.32/100</f>
        <v>18.5532</v>
      </c>
      <c r="D15" s="78">
        <f>FAS!C8+FAS!C19+FAS!C30+FAS!C41+FAS!C51+FAS!C62+FAS!C75</f>
        <v>22.931999999999995</v>
      </c>
      <c r="E15" s="78">
        <f>FAS!D8+FAS!D19+FAS!D30+FAS!D41+FAS!D51+FAS!D62+FAS!D75</f>
        <v>28.626264474745462</v>
      </c>
      <c r="F15" s="78">
        <f>FAS!E8+FAS!E19+FAS!E30+FAS!E41+FAS!E51+FAS!E62+FAS!E75</f>
        <v>35.443404668360103</v>
      </c>
      <c r="G15" s="78">
        <f>FAS!F8+FAS!F19+FAS!F30+FAS!F41+FAS!F51+FAS!F62+FAS!F75</f>
        <v>43.412939837005482</v>
      </c>
      <c r="H15" s="78">
        <f>FAS!G8+FAS!G19+FAS!G30+FAS!G41+FAS!G51+FAS!G62+FAS!G75</f>
        <v>52.577664224266897</v>
      </c>
      <c r="I15" s="70">
        <f>FAS!H8+FAS!H19+FAS!H30+FAS!H41+FAS!H51+FAS!H62+FAS!H75</f>
        <v>62.992448847437139</v>
      </c>
    </row>
    <row r="16" spans="1:9">
      <c r="A16" s="86" t="s">
        <v>37</v>
      </c>
      <c r="B16" s="79">
        <f>B14-B15</f>
        <v>42.816700000000104</v>
      </c>
      <c r="C16" s="79">
        <f t="shared" ref="C16:I16" si="2">C14-C15</f>
        <v>64.036300000000153</v>
      </c>
      <c r="D16" s="79">
        <f t="shared" si="2"/>
        <v>109.85219999999984</v>
      </c>
      <c r="E16" s="79">
        <f t="shared" si="2"/>
        <v>83.480787985791125</v>
      </c>
      <c r="F16" s="79">
        <f t="shared" si="2"/>
        <v>92.632581248478033</v>
      </c>
      <c r="G16" s="79">
        <f t="shared" si="2"/>
        <v>102.22247950130172</v>
      </c>
      <c r="H16" s="79">
        <f t="shared" si="2"/>
        <v>112.33775835888204</v>
      </c>
      <c r="I16" s="71">
        <f t="shared" si="2"/>
        <v>123.06331378691581</v>
      </c>
    </row>
    <row r="17" spans="1:9">
      <c r="A17" s="84" t="s">
        <v>48</v>
      </c>
      <c r="B17" s="75">
        <f>311.48/100</f>
        <v>3.1148000000000002</v>
      </c>
      <c r="C17" s="75">
        <f>352.42/100</f>
        <v>3.5242</v>
      </c>
      <c r="D17" s="75">
        <f>'Debt schedule'!B10</f>
        <v>1.5288999999999999</v>
      </c>
      <c r="E17" s="75">
        <f>'Debt schedule'!C10</f>
        <v>1.3772526886076801E-2</v>
      </c>
      <c r="F17" s="75">
        <f>'Debt schedule'!D10</f>
        <v>0</v>
      </c>
      <c r="G17" s="75">
        <f>'Debt schedule'!E10</f>
        <v>0</v>
      </c>
      <c r="H17" s="75">
        <f>'Debt schedule'!F10</f>
        <v>0</v>
      </c>
      <c r="I17" s="67">
        <f>'Debt schedule'!G10</f>
        <v>0</v>
      </c>
    </row>
    <row r="18" spans="1:9">
      <c r="A18" s="86" t="s">
        <v>49</v>
      </c>
      <c r="B18" s="79">
        <f>B16-B17</f>
        <v>39.701900000000101</v>
      </c>
      <c r="C18" s="79">
        <f t="shared" ref="C18:I18" si="3">C16-C17</f>
        <v>60.512100000000153</v>
      </c>
      <c r="D18" s="79">
        <f t="shared" si="3"/>
        <v>108.32329999999985</v>
      </c>
      <c r="E18" s="79">
        <f t="shared" si="3"/>
        <v>83.467015458905053</v>
      </c>
      <c r="F18" s="79">
        <f t="shared" si="3"/>
        <v>92.632581248478033</v>
      </c>
      <c r="G18" s="79">
        <f t="shared" si="3"/>
        <v>102.22247950130172</v>
      </c>
      <c r="H18" s="79">
        <f t="shared" si="3"/>
        <v>112.33775835888204</v>
      </c>
      <c r="I18" s="71">
        <f t="shared" si="3"/>
        <v>123.06331378691581</v>
      </c>
    </row>
    <row r="19" spans="1:9">
      <c r="A19" s="84" t="s">
        <v>50</v>
      </c>
      <c r="B19" s="75">
        <f>1467.95/100</f>
        <v>14.679500000000001</v>
      </c>
      <c r="C19" s="75">
        <f>2291.8/100</f>
        <v>22.918000000000003</v>
      </c>
      <c r="D19" s="75">
        <f>3476.26/100</f>
        <v>34.762599999999999</v>
      </c>
      <c r="E19" s="75">
        <f>E18*E20</f>
        <v>29.75299845298785</v>
      </c>
      <c r="F19" s="75">
        <f t="shared" ref="F19:I19" si="4">F18*F20</f>
        <v>33.020194042270525</v>
      </c>
      <c r="G19" s="75">
        <f t="shared" si="4"/>
        <v>36.438648941032959</v>
      </c>
      <c r="H19" s="75">
        <f t="shared" si="4"/>
        <v>40.044383188824597</v>
      </c>
      <c r="I19" s="67">
        <f t="shared" si="4"/>
        <v>43.86765915362583</v>
      </c>
    </row>
    <row r="20" spans="1:9">
      <c r="A20" s="84"/>
      <c r="B20" s="80">
        <f>B19/B18</f>
        <v>0.36974300978038743</v>
      </c>
      <c r="C20" s="80">
        <f t="shared" ref="C20:D20" si="5">C19/C18</f>
        <v>0.37873417052126673</v>
      </c>
      <c r="D20" s="80">
        <f t="shared" si="5"/>
        <v>0.32091526015178679</v>
      </c>
      <c r="E20" s="82">
        <f>AVERAGE(B20:D20)</f>
        <v>0.35646414681781363</v>
      </c>
      <c r="F20" s="82">
        <f>E20</f>
        <v>0.35646414681781363</v>
      </c>
      <c r="G20" s="82">
        <f t="shared" ref="G20:I20" si="6">F20</f>
        <v>0.35646414681781363</v>
      </c>
      <c r="H20" s="82">
        <f t="shared" si="6"/>
        <v>0.35646414681781363</v>
      </c>
      <c r="I20" s="72">
        <f t="shared" si="6"/>
        <v>0.35646414681781363</v>
      </c>
    </row>
    <row r="21" spans="1:9">
      <c r="A21" s="86" t="s">
        <v>51</v>
      </c>
      <c r="B21" s="79">
        <f>B18-B19</f>
        <v>25.022400000000101</v>
      </c>
      <c r="C21" s="79">
        <f t="shared" ref="C21:I21" si="7">C18-C19</f>
        <v>37.594100000000154</v>
      </c>
      <c r="D21" s="79">
        <f t="shared" si="7"/>
        <v>73.560699999999855</v>
      </c>
      <c r="E21" s="79">
        <f t="shared" si="7"/>
        <v>53.714017005917199</v>
      </c>
      <c r="F21" s="79">
        <f t="shared" si="7"/>
        <v>59.612387206207508</v>
      </c>
      <c r="G21" s="79">
        <f t="shared" si="7"/>
        <v>65.783830560268768</v>
      </c>
      <c r="H21" s="79">
        <f t="shared" si="7"/>
        <v>72.293375170057445</v>
      </c>
      <c r="I21" s="71">
        <f t="shared" si="7"/>
        <v>79.19565463328999</v>
      </c>
    </row>
    <row r="22" spans="1:9">
      <c r="A22" s="84" t="s">
        <v>133</v>
      </c>
      <c r="B22" s="75">
        <f>478.59/100</f>
        <v>4.7858999999999998</v>
      </c>
      <c r="C22" s="75">
        <f>18.07/100</f>
        <v>0.1807</v>
      </c>
      <c r="D22" s="75">
        <v>0.26219999999999999</v>
      </c>
      <c r="E22" s="75">
        <f>E21*$D$27</f>
        <v>0.19145841813565553</v>
      </c>
      <c r="F22" s="75">
        <f>F21*$D$27</f>
        <v>0.21248258819543098</v>
      </c>
      <c r="G22" s="75">
        <f>G21*$D$27</f>
        <v>0.23448010109885448</v>
      </c>
      <c r="H22" s="75">
        <f>H21*$D$27</f>
        <v>0.25768274322551443</v>
      </c>
      <c r="I22" s="67">
        <f>I21*$D$27</f>
        <v>0.28228525075004285</v>
      </c>
    </row>
    <row r="23" spans="1:9">
      <c r="A23" s="87" t="s">
        <v>134</v>
      </c>
      <c r="B23" s="81">
        <f>55.13/100</f>
        <v>0.55130000000000001</v>
      </c>
      <c r="C23" s="81">
        <f>44.97/100</f>
        <v>0.44969999999999999</v>
      </c>
      <c r="D23" s="81">
        <v>0.46050000000000002</v>
      </c>
      <c r="E23" s="81">
        <f>E21*$D$26</f>
        <v>0.33625706159980695</v>
      </c>
      <c r="F23" s="81">
        <f>F21*$D$26</f>
        <v>0.37318166233408073</v>
      </c>
      <c r="G23" s="81">
        <f>G21*$D$26</f>
        <v>0.41181573819993322</v>
      </c>
      <c r="H23" s="81">
        <f>H21*$D$26</f>
        <v>0.45256637397158428</v>
      </c>
      <c r="I23" s="73">
        <f>I21*$D$26</f>
        <v>0.49577558341111644</v>
      </c>
    </row>
    <row r="24" spans="1:9" ht="16" thickBot="1">
      <c r="A24" s="88" t="s">
        <v>138</v>
      </c>
      <c r="B24" s="89">
        <f>B21-B22-B23</f>
        <v>19.685200000000098</v>
      </c>
      <c r="C24" s="89">
        <f t="shared" ref="C24:I24" si="8">C21-C22-C23</f>
        <v>36.963700000000152</v>
      </c>
      <c r="D24" s="89">
        <f t="shared" si="8"/>
        <v>72.837999999999852</v>
      </c>
      <c r="E24" s="89">
        <f t="shared" si="8"/>
        <v>53.186301526181737</v>
      </c>
      <c r="F24" s="89">
        <f t="shared" si="8"/>
        <v>59.026722955677997</v>
      </c>
      <c r="G24" s="89">
        <f t="shared" si="8"/>
        <v>65.137534720969981</v>
      </c>
      <c r="H24" s="89">
        <f t="shared" si="8"/>
        <v>71.583126052860351</v>
      </c>
      <c r="I24" s="90">
        <f t="shared" si="8"/>
        <v>78.417593799128824</v>
      </c>
    </row>
    <row r="26" spans="1:9">
      <c r="A26" s="62" t="s">
        <v>135</v>
      </c>
      <c r="B26" s="63">
        <f t="shared" ref="B26:I26" si="9">B23/B21</f>
        <v>2.2032259095850031E-2</v>
      </c>
      <c r="C26" s="63">
        <f t="shared" si="9"/>
        <v>1.1961983396330759E-2</v>
      </c>
      <c r="D26" s="63">
        <f t="shared" si="9"/>
        <v>6.2601361868497843E-3</v>
      </c>
      <c r="E26" s="63">
        <f t="shared" si="9"/>
        <v>6.2601361868497843E-3</v>
      </c>
      <c r="F26" s="63">
        <f t="shared" si="9"/>
        <v>6.2601361868497843E-3</v>
      </c>
      <c r="G26" s="63">
        <f t="shared" si="9"/>
        <v>6.2601361868497843E-3</v>
      </c>
      <c r="H26" s="63">
        <f t="shared" si="9"/>
        <v>6.2601361868497843E-3</v>
      </c>
      <c r="I26" s="63">
        <f t="shared" si="9"/>
        <v>6.2601361868497843E-3</v>
      </c>
    </row>
    <row r="27" spans="1:9">
      <c r="A27" s="62" t="s">
        <v>136</v>
      </c>
      <c r="B27" s="63">
        <f>B22/B21</f>
        <v>0.19126462689430193</v>
      </c>
      <c r="C27" s="64">
        <f>C22/C21</f>
        <v>4.8066052917877878E-3</v>
      </c>
      <c r="D27" s="64">
        <f>D22/D21</f>
        <v>3.5644032751183784E-3</v>
      </c>
      <c r="E27" s="62"/>
      <c r="F27" s="62"/>
      <c r="G27" s="62"/>
      <c r="H27" s="62"/>
      <c r="I27" s="6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selection activeCell="B2" sqref="B2:G2"/>
    </sheetView>
  </sheetViews>
  <sheetFormatPr baseColWidth="10" defaultColWidth="8.7109375" defaultRowHeight="15" x14ac:dyDescent="0"/>
  <cols>
    <col min="1" max="1" width="27.7109375" customWidth="1"/>
    <col min="2" max="2" width="10.28515625" style="1" bestFit="1" customWidth="1"/>
    <col min="3" max="3" width="11.85546875" bestFit="1" customWidth="1"/>
  </cols>
  <sheetData>
    <row r="1" spans="1:7" ht="16" thickBot="1"/>
    <row r="2" spans="1:7" ht="16" thickBot="1">
      <c r="A2" s="97"/>
      <c r="B2" s="65">
        <v>2018</v>
      </c>
      <c r="C2" s="65" t="s">
        <v>29</v>
      </c>
      <c r="D2" s="65" t="s">
        <v>30</v>
      </c>
      <c r="E2" s="65" t="s">
        <v>31</v>
      </c>
      <c r="F2" s="65" t="s">
        <v>32</v>
      </c>
      <c r="G2" s="65" t="s">
        <v>33</v>
      </c>
    </row>
    <row r="3" spans="1:7">
      <c r="A3" s="75"/>
      <c r="B3" s="92"/>
      <c r="C3" s="97"/>
      <c r="D3" s="97"/>
      <c r="E3" s="97"/>
      <c r="F3" s="97"/>
      <c r="G3" s="97"/>
    </row>
    <row r="4" spans="1:7">
      <c r="A4" s="101" t="s">
        <v>53</v>
      </c>
      <c r="B4" s="54"/>
      <c r="C4" s="75"/>
      <c r="D4" s="75"/>
      <c r="E4" s="75"/>
      <c r="F4" s="75"/>
      <c r="G4" s="75"/>
    </row>
    <row r="5" spans="1:7">
      <c r="A5" s="102" t="s">
        <v>64</v>
      </c>
      <c r="B5" s="54"/>
      <c r="C5" s="75"/>
      <c r="D5" s="75"/>
      <c r="E5" s="75"/>
      <c r="F5" s="75"/>
      <c r="G5" s="75"/>
    </row>
    <row r="6" spans="1:7">
      <c r="A6" s="75" t="s">
        <v>54</v>
      </c>
      <c r="B6" s="54">
        <f>FAS!C9+FAS!C20+FAS!C31+FAS!C42+FAS!C52+FAS!C63+FAS!C76</f>
        <v>144.74739999999997</v>
      </c>
      <c r="C6" s="75">
        <f>FAS!D9+FAS!D20+FAS!D31+FAS!D42+FAS!D52+FAS!D63+FAS!D76</f>
        <v>181.61933611005719</v>
      </c>
      <c r="D6" s="75">
        <f>FAS!E9+FAS!E20+FAS!E31+FAS!E42+FAS!E52+FAS!E63+FAS!E76</f>
        <v>225.77598259506519</v>
      </c>
      <c r="E6" s="75">
        <f>FAS!F9+FAS!F20+FAS!F31+FAS!F42+FAS!F52+FAS!F63+FAS!F76</f>
        <v>277.46948366850438</v>
      </c>
      <c r="F6" s="75">
        <f>FAS!G9+FAS!G20+FAS!G31+FAS!G42+FAS!G52+FAS!G63+FAS!G76</f>
        <v>337.0240514298477</v>
      </c>
      <c r="G6" s="75">
        <f>FAS!H9+FAS!H20+FAS!H31+FAS!H42+FAS!H52+FAS!H63+FAS!H76</f>
        <v>404.83245243073094</v>
      </c>
    </row>
    <row r="7" spans="1:7">
      <c r="A7" s="75" t="s">
        <v>65</v>
      </c>
      <c r="B7" s="54">
        <f>351.02/100</f>
        <v>3.5101999999999998</v>
      </c>
      <c r="C7" s="75">
        <f>B7</f>
        <v>3.5101999999999998</v>
      </c>
      <c r="D7" s="75">
        <f t="shared" ref="D7:G7" si="0">C7</f>
        <v>3.5101999999999998</v>
      </c>
      <c r="E7" s="75">
        <f t="shared" si="0"/>
        <v>3.5101999999999998</v>
      </c>
      <c r="F7" s="75">
        <f t="shared" si="0"/>
        <v>3.5101999999999998</v>
      </c>
      <c r="G7" s="75">
        <f t="shared" si="0"/>
        <v>3.5101999999999998</v>
      </c>
    </row>
    <row r="8" spans="1:7">
      <c r="A8" s="75" t="s">
        <v>66</v>
      </c>
      <c r="B8" s="54">
        <f>634.18/100</f>
        <v>6.3417999999999992</v>
      </c>
      <c r="C8" s="75">
        <f t="shared" ref="C8:G11" si="1">B8</f>
        <v>6.3417999999999992</v>
      </c>
      <c r="D8" s="75">
        <f t="shared" si="1"/>
        <v>6.3417999999999992</v>
      </c>
      <c r="E8" s="75">
        <f t="shared" si="1"/>
        <v>6.3417999999999992</v>
      </c>
      <c r="F8" s="75">
        <f t="shared" si="1"/>
        <v>6.3417999999999992</v>
      </c>
      <c r="G8" s="75">
        <f t="shared" si="1"/>
        <v>6.3417999999999992</v>
      </c>
    </row>
    <row r="9" spans="1:7">
      <c r="A9" s="75" t="s">
        <v>67</v>
      </c>
      <c r="B9" s="54">
        <f>719.52/100</f>
        <v>7.1951999999999998</v>
      </c>
      <c r="C9" s="75">
        <f t="shared" si="1"/>
        <v>7.1951999999999998</v>
      </c>
      <c r="D9" s="75">
        <f t="shared" si="1"/>
        <v>7.1951999999999998</v>
      </c>
      <c r="E9" s="75">
        <f t="shared" si="1"/>
        <v>7.1951999999999998</v>
      </c>
      <c r="F9" s="75">
        <f t="shared" si="1"/>
        <v>7.1951999999999998</v>
      </c>
      <c r="G9" s="75">
        <f t="shared" si="1"/>
        <v>7.1951999999999998</v>
      </c>
    </row>
    <row r="10" spans="1:7">
      <c r="A10" s="75" t="s">
        <v>68</v>
      </c>
      <c r="B10" s="54">
        <f>5.04/100</f>
        <v>5.04E-2</v>
      </c>
      <c r="C10" s="75">
        <f t="shared" si="1"/>
        <v>5.04E-2</v>
      </c>
      <c r="D10" s="75">
        <f t="shared" si="1"/>
        <v>5.04E-2</v>
      </c>
      <c r="E10" s="75">
        <f t="shared" si="1"/>
        <v>5.04E-2</v>
      </c>
      <c r="F10" s="75">
        <f t="shared" si="1"/>
        <v>5.04E-2</v>
      </c>
      <c r="G10" s="75">
        <f t="shared" si="1"/>
        <v>5.04E-2</v>
      </c>
    </row>
    <row r="11" spans="1:7">
      <c r="A11" s="75" t="s">
        <v>69</v>
      </c>
      <c r="B11" s="54">
        <f>(920.1+73.89+948.11)/100</f>
        <v>19.420999999999999</v>
      </c>
      <c r="C11" s="75">
        <f t="shared" si="1"/>
        <v>19.420999999999999</v>
      </c>
      <c r="D11" s="75">
        <f t="shared" si="1"/>
        <v>19.420999999999999</v>
      </c>
      <c r="E11" s="75">
        <f t="shared" si="1"/>
        <v>19.420999999999999</v>
      </c>
      <c r="F11" s="75">
        <f t="shared" si="1"/>
        <v>19.420999999999999</v>
      </c>
      <c r="G11" s="75">
        <f t="shared" si="1"/>
        <v>19.420999999999999</v>
      </c>
    </row>
    <row r="12" spans="1:7">
      <c r="A12" s="102" t="s">
        <v>70</v>
      </c>
      <c r="B12" s="54"/>
      <c r="C12" s="75"/>
      <c r="D12" s="75"/>
      <c r="E12" s="75"/>
      <c r="F12" s="75"/>
      <c r="G12" s="75"/>
    </row>
    <row r="13" spans="1:7">
      <c r="A13" s="75" t="s">
        <v>71</v>
      </c>
      <c r="B13" s="54">
        <f>30711.2/100</f>
        <v>307.11200000000002</v>
      </c>
      <c r="C13" s="75">
        <f>'Cost D'!E4*35%</f>
        <v>393.24354644306362</v>
      </c>
      <c r="D13" s="75">
        <f>'Cost D'!F4*33%</f>
        <v>450.60030107386331</v>
      </c>
      <c r="E13" s="75">
        <f>'Cost D'!G4*31%</f>
        <v>505.74991031705264</v>
      </c>
      <c r="F13" s="75">
        <f>'Cost D'!H4*29%</f>
        <v>557.81816874525214</v>
      </c>
      <c r="G13" s="75">
        <f>'Cost D'!I4*27%</f>
        <v>605.81290545712318</v>
      </c>
    </row>
    <row r="14" spans="1:7">
      <c r="A14" s="75" t="s">
        <v>66</v>
      </c>
      <c r="B14" s="54">
        <f>2769.13/100</f>
        <v>27.691300000000002</v>
      </c>
      <c r="C14" s="75">
        <f t="shared" ref="C14:G16" si="2">B14</f>
        <v>27.691300000000002</v>
      </c>
      <c r="D14" s="75">
        <f t="shared" si="2"/>
        <v>27.691300000000002</v>
      </c>
      <c r="E14" s="75">
        <f t="shared" si="2"/>
        <v>27.691300000000002</v>
      </c>
      <c r="F14" s="75">
        <f t="shared" si="2"/>
        <v>27.691300000000002</v>
      </c>
      <c r="G14" s="75">
        <f t="shared" si="2"/>
        <v>27.691300000000002</v>
      </c>
    </row>
    <row r="15" spans="1:7">
      <c r="A15" s="75" t="s">
        <v>67</v>
      </c>
      <c r="B15" s="54">
        <f>7.73/100</f>
        <v>7.7300000000000008E-2</v>
      </c>
      <c r="C15" s="75">
        <f t="shared" si="2"/>
        <v>7.7300000000000008E-2</v>
      </c>
      <c r="D15" s="75">
        <f t="shared" si="2"/>
        <v>7.7300000000000008E-2</v>
      </c>
      <c r="E15" s="75">
        <f t="shared" si="2"/>
        <v>7.7300000000000008E-2</v>
      </c>
      <c r="F15" s="75">
        <f t="shared" si="2"/>
        <v>7.7300000000000008E-2</v>
      </c>
      <c r="G15" s="75">
        <f t="shared" si="2"/>
        <v>7.7300000000000008E-2</v>
      </c>
    </row>
    <row r="16" spans="1:7">
      <c r="A16" s="75" t="s">
        <v>68</v>
      </c>
      <c r="B16" s="54">
        <f>111.89/100</f>
        <v>1.1189</v>
      </c>
      <c r="C16" s="75">
        <f t="shared" si="2"/>
        <v>1.1189</v>
      </c>
      <c r="D16" s="75">
        <f t="shared" si="2"/>
        <v>1.1189</v>
      </c>
      <c r="E16" s="75">
        <f t="shared" si="2"/>
        <v>1.1189</v>
      </c>
      <c r="F16" s="75">
        <f t="shared" si="2"/>
        <v>1.1189</v>
      </c>
      <c r="G16" s="75">
        <f t="shared" si="2"/>
        <v>1.1189</v>
      </c>
    </row>
    <row r="17" spans="1:9">
      <c r="A17" s="75" t="s">
        <v>55</v>
      </c>
      <c r="B17" s="93">
        <f>Cashflow!B53</f>
        <v>13.737099999999984</v>
      </c>
      <c r="C17" s="76">
        <f>Cashflow!C53</f>
        <v>21.799873827136537</v>
      </c>
      <c r="D17" s="76">
        <f>Cashflow!D53</f>
        <v>29.245836336086683</v>
      </c>
      <c r="E17" s="76">
        <f>Cashflow!E53</f>
        <v>42.44617426221383</v>
      </c>
      <c r="F17" s="76">
        <f>Cashflow!F53</f>
        <v>62.692370911172091</v>
      </c>
      <c r="G17" s="76">
        <f>Cashflow!G53</f>
        <v>91.409739022794341</v>
      </c>
    </row>
    <row r="18" spans="1:9">
      <c r="A18" s="75" t="s">
        <v>72</v>
      </c>
      <c r="B18" s="54">
        <f>585.07/100</f>
        <v>5.8507000000000007</v>
      </c>
      <c r="C18" s="75">
        <f>B18</f>
        <v>5.8507000000000007</v>
      </c>
      <c r="D18" s="75">
        <f t="shared" ref="D18:G18" si="3">C18</f>
        <v>5.8507000000000007</v>
      </c>
      <c r="E18" s="75">
        <f t="shared" si="3"/>
        <v>5.8507000000000007</v>
      </c>
      <c r="F18" s="75">
        <f t="shared" si="3"/>
        <v>5.8507000000000007</v>
      </c>
      <c r="G18" s="75">
        <f t="shared" si="3"/>
        <v>5.8507000000000007</v>
      </c>
    </row>
    <row r="19" spans="1:9" ht="16" thickBot="1">
      <c r="A19" s="75" t="s">
        <v>73</v>
      </c>
      <c r="B19" s="54">
        <f>1305.08/100</f>
        <v>13.050799999999999</v>
      </c>
      <c r="C19" s="75">
        <f>'P&amp;L'!E5*1%</f>
        <v>15.261875437021928</v>
      </c>
      <c r="D19" s="75">
        <f>'P&amp;L'!F5*1%</f>
        <v>18.547777719639456</v>
      </c>
      <c r="E19" s="75">
        <f>'P&amp;L'!G5*1%</f>
        <v>22.160954674691947</v>
      </c>
      <c r="F19" s="75">
        <f>'P&amp;L'!H5*1%</f>
        <v>26.12817057201276</v>
      </c>
      <c r="G19" s="75">
        <f>'P&amp;L'!I5*1%</f>
        <v>30.478185043527187</v>
      </c>
    </row>
    <row r="20" spans="1:9" ht="16" thickBot="1">
      <c r="A20" s="104" t="s">
        <v>56</v>
      </c>
      <c r="B20" s="105">
        <f>SUM(B6:B19)</f>
        <v>549.90409999999997</v>
      </c>
      <c r="C20" s="105">
        <f>SUM(C6:C19)</f>
        <v>683.18143181727919</v>
      </c>
      <c r="D20" s="105">
        <f t="shared" ref="D20:G20" si="4">SUM(D6:D19)</f>
        <v>795.42669772465467</v>
      </c>
      <c r="E20" s="105">
        <f t="shared" si="4"/>
        <v>919.08332292246291</v>
      </c>
      <c r="F20" s="105">
        <f t="shared" si="4"/>
        <v>1054.9195616582849</v>
      </c>
      <c r="G20" s="105">
        <f t="shared" si="4"/>
        <v>1203.7900819541755</v>
      </c>
      <c r="I20" s="13"/>
    </row>
    <row r="21" spans="1:9">
      <c r="A21" s="98" t="s">
        <v>52</v>
      </c>
      <c r="B21" s="94"/>
      <c r="C21" s="98"/>
      <c r="D21" s="98"/>
      <c r="E21" s="98"/>
      <c r="F21" s="98"/>
      <c r="G21" s="98"/>
      <c r="I21" s="13"/>
    </row>
    <row r="22" spans="1:9">
      <c r="A22" s="75" t="s">
        <v>57</v>
      </c>
      <c r="B22" s="54">
        <f>1809.74/100</f>
        <v>18.0974</v>
      </c>
      <c r="C22" s="75">
        <f t="shared" ref="C22:G22" si="5">B22</f>
        <v>18.0974</v>
      </c>
      <c r="D22" s="75">
        <f t="shared" si="5"/>
        <v>18.0974</v>
      </c>
      <c r="E22" s="75">
        <f t="shared" si="5"/>
        <v>18.0974</v>
      </c>
      <c r="F22" s="75">
        <f t="shared" si="5"/>
        <v>18.0974</v>
      </c>
      <c r="G22" s="75">
        <f t="shared" si="5"/>
        <v>18.0974</v>
      </c>
      <c r="I22" s="13"/>
    </row>
    <row r="23" spans="1:9">
      <c r="A23" s="75" t="s">
        <v>62</v>
      </c>
      <c r="B23" s="54"/>
      <c r="C23" s="75"/>
      <c r="D23" s="75"/>
      <c r="E23" s="75"/>
      <c r="F23" s="75"/>
      <c r="G23" s="75"/>
    </row>
    <row r="24" spans="1:9">
      <c r="A24" s="75" t="s">
        <v>58</v>
      </c>
      <c r="B24" s="95">
        <f>23550.56/100</f>
        <v>235.50560000000002</v>
      </c>
      <c r="C24" s="99">
        <f>B24+'P&amp;L'!E24</f>
        <v>288.69190152618177</v>
      </c>
      <c r="D24" s="99">
        <f>C24+'P&amp;L'!F24</f>
        <v>347.71862448185976</v>
      </c>
      <c r="E24" s="99">
        <f>D24+'P&amp;L'!G24</f>
        <v>412.85615920282976</v>
      </c>
      <c r="F24" s="99">
        <f>E24+'P&amp;L'!H24</f>
        <v>484.43928525569009</v>
      </c>
      <c r="G24" s="99">
        <f>F24+'P&amp;L'!I24</f>
        <v>562.85687905481893</v>
      </c>
    </row>
    <row r="25" spans="1:9">
      <c r="A25" s="75" t="s">
        <v>59</v>
      </c>
      <c r="B25" s="95">
        <f>9068.06/100</f>
        <v>90.680599999999998</v>
      </c>
      <c r="C25" s="99">
        <f>B25</f>
        <v>90.680599999999998</v>
      </c>
      <c r="D25" s="99">
        <f t="shared" ref="D25:G25" si="6">C25</f>
        <v>90.680599999999998</v>
      </c>
      <c r="E25" s="99">
        <f t="shared" si="6"/>
        <v>90.680599999999998</v>
      </c>
      <c r="F25" s="99">
        <f t="shared" si="6"/>
        <v>90.680599999999998</v>
      </c>
      <c r="G25" s="99">
        <f t="shared" si="6"/>
        <v>90.680599999999998</v>
      </c>
    </row>
    <row r="26" spans="1:9">
      <c r="A26" s="75" t="s">
        <v>60</v>
      </c>
      <c r="B26" s="95">
        <f>154.76/100</f>
        <v>1.5475999999999999</v>
      </c>
      <c r="C26" s="99">
        <f>B26</f>
        <v>1.5475999999999999</v>
      </c>
      <c r="D26" s="99">
        <f t="shared" ref="D26:G26" si="7">C26</f>
        <v>1.5475999999999999</v>
      </c>
      <c r="E26" s="99">
        <f t="shared" si="7"/>
        <v>1.5475999999999999</v>
      </c>
      <c r="F26" s="99">
        <f t="shared" si="7"/>
        <v>1.5475999999999999</v>
      </c>
      <c r="G26" s="99">
        <f t="shared" si="7"/>
        <v>1.5475999999999999</v>
      </c>
    </row>
    <row r="27" spans="1:9">
      <c r="A27" s="75" t="s">
        <v>61</v>
      </c>
      <c r="B27" s="95">
        <f>161.02/100</f>
        <v>1.6102000000000001</v>
      </c>
      <c r="C27" s="99">
        <f>B27</f>
        <v>1.6102000000000001</v>
      </c>
      <c r="D27" s="99">
        <f t="shared" ref="D27:G27" si="8">C27</f>
        <v>1.6102000000000001</v>
      </c>
      <c r="E27" s="99">
        <f t="shared" si="8"/>
        <v>1.6102000000000001</v>
      </c>
      <c r="F27" s="99">
        <f t="shared" si="8"/>
        <v>1.6102000000000001</v>
      </c>
      <c r="G27" s="99">
        <f t="shared" si="8"/>
        <v>1.6102000000000001</v>
      </c>
    </row>
    <row r="28" spans="1:9">
      <c r="A28" s="102" t="s">
        <v>63</v>
      </c>
      <c r="B28" s="96">
        <f>SUM(B22:B27)</f>
        <v>347.44139999999999</v>
      </c>
      <c r="C28" s="100">
        <f t="shared" ref="C28:G28" si="9">SUM(C22:C27)</f>
        <v>400.62770152618174</v>
      </c>
      <c r="D28" s="100">
        <f t="shared" si="9"/>
        <v>459.65442448185973</v>
      </c>
      <c r="E28" s="100">
        <f t="shared" si="9"/>
        <v>524.79195920282973</v>
      </c>
      <c r="F28" s="100">
        <f t="shared" si="9"/>
        <v>596.37508525569001</v>
      </c>
      <c r="G28" s="100">
        <f t="shared" si="9"/>
        <v>674.7926790548189</v>
      </c>
    </row>
    <row r="29" spans="1:9">
      <c r="A29" s="103" t="s">
        <v>77</v>
      </c>
      <c r="B29" s="54"/>
      <c r="C29" s="75"/>
      <c r="D29" s="75"/>
      <c r="E29" s="75"/>
      <c r="F29" s="75"/>
      <c r="G29" s="75"/>
    </row>
    <row r="30" spans="1:9">
      <c r="A30" s="75" t="s">
        <v>74</v>
      </c>
      <c r="B30" s="54">
        <f>32.24/100</f>
        <v>0.32240000000000002</v>
      </c>
      <c r="C30" s="75">
        <f>'Debt schedule'!C8</f>
        <v>0</v>
      </c>
      <c r="D30" s="75">
        <f>'Debt schedule'!D8</f>
        <v>0</v>
      </c>
      <c r="E30" s="75">
        <f>'Debt schedule'!E8</f>
        <v>0</v>
      </c>
      <c r="F30" s="75">
        <f>'Debt schedule'!F8</f>
        <v>0</v>
      </c>
      <c r="G30" s="75">
        <f>'Debt schedule'!G8</f>
        <v>0</v>
      </c>
    </row>
    <row r="31" spans="1:9">
      <c r="A31" s="75" t="s">
        <v>75</v>
      </c>
      <c r="B31" s="54">
        <f>416.66/100</f>
        <v>4.1665999999999999</v>
      </c>
      <c r="C31" s="75">
        <f>B31</f>
        <v>4.1665999999999999</v>
      </c>
      <c r="D31" s="75">
        <f t="shared" ref="D31:G31" si="10">C31</f>
        <v>4.1665999999999999</v>
      </c>
      <c r="E31" s="75">
        <f t="shared" si="10"/>
        <v>4.1665999999999999</v>
      </c>
      <c r="F31" s="75">
        <f t="shared" si="10"/>
        <v>4.1665999999999999</v>
      </c>
      <c r="G31" s="75">
        <f t="shared" si="10"/>
        <v>4.1665999999999999</v>
      </c>
    </row>
    <row r="32" spans="1:9">
      <c r="A32" s="75" t="s">
        <v>76</v>
      </c>
      <c r="B32" s="54">
        <f>390.63/100</f>
        <v>3.9062999999999999</v>
      </c>
      <c r="C32" s="75">
        <f>B32</f>
        <v>3.9062999999999999</v>
      </c>
      <c r="D32" s="75">
        <f t="shared" ref="D32:G32" si="11">C32</f>
        <v>3.9062999999999999</v>
      </c>
      <c r="E32" s="75">
        <f t="shared" si="11"/>
        <v>3.9062999999999999</v>
      </c>
      <c r="F32" s="75">
        <f t="shared" si="11"/>
        <v>3.9062999999999999</v>
      </c>
      <c r="G32" s="75">
        <f t="shared" si="11"/>
        <v>3.9062999999999999</v>
      </c>
    </row>
    <row r="33" spans="1:7">
      <c r="A33" s="102" t="s">
        <v>78</v>
      </c>
      <c r="B33" s="54"/>
      <c r="C33" s="75"/>
      <c r="D33" s="75"/>
      <c r="E33" s="75"/>
      <c r="F33" s="75"/>
      <c r="G33" s="75"/>
    </row>
    <row r="34" spans="1:7">
      <c r="A34" s="75" t="s">
        <v>74</v>
      </c>
      <c r="B34" s="54">
        <v>0</v>
      </c>
      <c r="C34" s="75">
        <f>B34</f>
        <v>0</v>
      </c>
      <c r="D34" s="75">
        <f t="shared" ref="D34:G34" si="12">C34</f>
        <v>0</v>
      </c>
      <c r="E34" s="75">
        <f t="shared" si="12"/>
        <v>0</v>
      </c>
      <c r="F34" s="75">
        <f t="shared" si="12"/>
        <v>0</v>
      </c>
      <c r="G34" s="75">
        <f t="shared" si="12"/>
        <v>0</v>
      </c>
    </row>
    <row r="35" spans="1:7">
      <c r="A35" s="75" t="s">
        <v>79</v>
      </c>
      <c r="B35" s="54">
        <f>16678.2/100</f>
        <v>166.78200000000001</v>
      </c>
      <c r="C35" s="75">
        <f>'P&amp;L'!E8*22%</f>
        <v>247.18165776421145</v>
      </c>
      <c r="D35" s="75">
        <f>'P&amp;L'!F8*22%</f>
        <v>300.40020071590885</v>
      </c>
      <c r="E35" s="75">
        <f>'P&amp;L'!G8*22%</f>
        <v>358.91929119274704</v>
      </c>
      <c r="F35" s="75">
        <f>'P&amp;L'!H8*22%</f>
        <v>423.17240387570854</v>
      </c>
      <c r="G35" s="75">
        <f>'P&amp;L'!I8*22%</f>
        <v>493.62533037247073</v>
      </c>
    </row>
    <row r="36" spans="1:7">
      <c r="A36" s="75" t="s">
        <v>80</v>
      </c>
      <c r="B36" s="54">
        <f>1529.34/100</f>
        <v>15.293399999999998</v>
      </c>
      <c r="C36" s="75">
        <f t="shared" ref="C36:G37" si="13">B36</f>
        <v>15.293399999999998</v>
      </c>
      <c r="D36" s="75">
        <f t="shared" si="13"/>
        <v>15.293399999999998</v>
      </c>
      <c r="E36" s="75">
        <f t="shared" si="13"/>
        <v>15.293399999999998</v>
      </c>
      <c r="F36" s="75">
        <f t="shared" si="13"/>
        <v>15.293399999999998</v>
      </c>
      <c r="G36" s="75">
        <f t="shared" si="13"/>
        <v>15.293399999999998</v>
      </c>
    </row>
    <row r="37" spans="1:7">
      <c r="A37" s="75" t="s">
        <v>81</v>
      </c>
      <c r="B37" s="54">
        <f>(932.76+29.52+236.9)/100</f>
        <v>11.991800000000001</v>
      </c>
      <c r="C37" s="75">
        <f t="shared" si="13"/>
        <v>11.991800000000001</v>
      </c>
      <c r="D37" s="75">
        <f t="shared" si="13"/>
        <v>11.991800000000001</v>
      </c>
      <c r="E37" s="75">
        <f t="shared" si="13"/>
        <v>11.991800000000001</v>
      </c>
      <c r="F37" s="75">
        <f t="shared" si="13"/>
        <v>11.991800000000001</v>
      </c>
      <c r="G37" s="75">
        <f t="shared" si="13"/>
        <v>11.991800000000001</v>
      </c>
    </row>
    <row r="38" spans="1:7" ht="16" thickBot="1">
      <c r="A38" s="75"/>
      <c r="B38" s="54"/>
      <c r="C38" s="75"/>
      <c r="D38" s="75"/>
      <c r="E38" s="75"/>
      <c r="F38" s="75"/>
      <c r="G38" s="75"/>
    </row>
    <row r="39" spans="1:7" ht="16" thickBot="1">
      <c r="A39" s="104" t="s">
        <v>56</v>
      </c>
      <c r="B39" s="105">
        <f>SUM(B28:B38)</f>
        <v>549.90390000000002</v>
      </c>
      <c r="C39" s="105">
        <f t="shared" ref="C39:G39" si="14">SUM(C28:C38)</f>
        <v>683.16745929039325</v>
      </c>
      <c r="D39" s="105">
        <f t="shared" si="14"/>
        <v>795.41272519776862</v>
      </c>
      <c r="E39" s="105">
        <f t="shared" si="14"/>
        <v>919.06935039557675</v>
      </c>
      <c r="F39" s="105">
        <f t="shared" si="14"/>
        <v>1054.9055891313985</v>
      </c>
      <c r="G39" s="105">
        <f t="shared" si="14"/>
        <v>1203.7761094272896</v>
      </c>
    </row>
    <row r="40" spans="1:7" s="62" customFormat="1">
      <c r="B40" s="106">
        <f>B39-B20</f>
        <v>-1.9999999994979589E-4</v>
      </c>
      <c r="C40" s="107">
        <f t="shared" ref="C40:G40" si="15">C39-C20</f>
        <v>-1.3972526885936531E-2</v>
      </c>
      <c r="D40" s="107">
        <f t="shared" si="15"/>
        <v>-1.3972526886050218E-2</v>
      </c>
      <c r="E40" s="107">
        <f t="shared" si="15"/>
        <v>-1.3972526886163905E-2</v>
      </c>
      <c r="F40" s="107">
        <f t="shared" si="15"/>
        <v>-1.3972526886391279E-2</v>
      </c>
      <c r="G40" s="107">
        <f t="shared" si="15"/>
        <v>-1.3972526885936531E-2</v>
      </c>
    </row>
    <row r="42" spans="1:7">
      <c r="C42" s="26"/>
    </row>
  </sheetData>
  <pageMargins left="0.7" right="0.7" top="0.75" bottom="0.75" header="0.3" footer="0.3"/>
  <ignoredErrors>
    <ignoredError sqref="C17:G17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B4" sqref="B4"/>
    </sheetView>
  </sheetViews>
  <sheetFormatPr baseColWidth="10" defaultColWidth="8.7109375" defaultRowHeight="15" x14ac:dyDescent="0"/>
  <cols>
    <col min="1" max="1" width="14.28515625" customWidth="1"/>
  </cols>
  <sheetData>
    <row r="3" spans="1:7" ht="16" thickBot="1">
      <c r="B3" s="174" t="s">
        <v>41</v>
      </c>
      <c r="C3" s="174"/>
      <c r="D3" s="174"/>
      <c r="E3" s="174"/>
      <c r="F3" s="174"/>
      <c r="G3" s="174"/>
    </row>
    <row r="4" spans="1:7" ht="16" thickBot="1">
      <c r="A4" s="50"/>
      <c r="B4" s="110">
        <v>2018</v>
      </c>
      <c r="C4" s="110" t="s">
        <v>29</v>
      </c>
      <c r="D4" s="110" t="s">
        <v>30</v>
      </c>
      <c r="E4" s="110" t="s">
        <v>31</v>
      </c>
      <c r="F4" s="110" t="s">
        <v>32</v>
      </c>
      <c r="G4" s="110" t="s">
        <v>33</v>
      </c>
    </row>
    <row r="5" spans="1:7">
      <c r="A5" s="75" t="s">
        <v>45</v>
      </c>
      <c r="B5" s="97">
        <f>59.71/100+3487.04/100</f>
        <v>35.467499999999994</v>
      </c>
      <c r="C5" s="97">
        <f>B8</f>
        <v>0.32240000000000002</v>
      </c>
      <c r="D5" s="97">
        <f t="shared" ref="D5:G5" si="0">C8</f>
        <v>0</v>
      </c>
      <c r="E5" s="97">
        <f t="shared" si="0"/>
        <v>0</v>
      </c>
      <c r="F5" s="97">
        <f t="shared" si="0"/>
        <v>0</v>
      </c>
      <c r="G5" s="97">
        <f t="shared" si="0"/>
        <v>0</v>
      </c>
    </row>
    <row r="6" spans="1:7">
      <c r="A6" s="75" t="s">
        <v>42</v>
      </c>
      <c r="B6" s="75"/>
      <c r="C6" s="75"/>
      <c r="D6" s="75"/>
      <c r="E6" s="75"/>
      <c r="F6" s="75"/>
      <c r="G6" s="75"/>
    </row>
    <row r="7" spans="1:7" ht="16" thickBot="1">
      <c r="A7" s="75" t="s">
        <v>43</v>
      </c>
      <c r="B7" s="75"/>
      <c r="C7" s="75">
        <f>B8</f>
        <v>0.32240000000000002</v>
      </c>
      <c r="D7" s="75"/>
      <c r="E7" s="75"/>
      <c r="F7" s="75"/>
      <c r="G7" s="75"/>
    </row>
    <row r="8" spans="1:7" ht="16" thickBot="1">
      <c r="A8" s="109" t="s">
        <v>44</v>
      </c>
      <c r="B8" s="109">
        <f>32.24/100</f>
        <v>0.32240000000000002</v>
      </c>
      <c r="C8" s="109">
        <f>C5+C6-C7</f>
        <v>0</v>
      </c>
      <c r="D8" s="109">
        <f t="shared" ref="D8:G8" si="1">D5+D6-D7</f>
        <v>0</v>
      </c>
      <c r="E8" s="109">
        <f t="shared" si="1"/>
        <v>0</v>
      </c>
      <c r="F8" s="109">
        <f t="shared" si="1"/>
        <v>0</v>
      </c>
      <c r="G8" s="109">
        <f t="shared" si="1"/>
        <v>0</v>
      </c>
    </row>
    <row r="9" spans="1:7" ht="16" thickBot="1">
      <c r="A9" s="75"/>
      <c r="B9" s="75"/>
      <c r="C9" s="75"/>
      <c r="D9" s="75"/>
      <c r="E9" s="75"/>
      <c r="F9" s="75"/>
      <c r="G9" s="75"/>
    </row>
    <row r="10" spans="1:7" ht="16" thickBot="1">
      <c r="A10" s="109" t="s">
        <v>46</v>
      </c>
      <c r="B10" s="109">
        <f>152.89/100</f>
        <v>1.5288999999999999</v>
      </c>
      <c r="C10" s="109">
        <f>AVERAGE(C5,C8)*$B$12</f>
        <v>1.3772526886076801E-2</v>
      </c>
      <c r="D10" s="109">
        <f t="shared" ref="D10:G10" si="2">AVERAGE(D5,D8)*$B$12</f>
        <v>0</v>
      </c>
      <c r="E10" s="109">
        <f t="shared" si="2"/>
        <v>0</v>
      </c>
      <c r="F10" s="109">
        <f t="shared" si="2"/>
        <v>0</v>
      </c>
      <c r="G10" s="109">
        <f t="shared" si="2"/>
        <v>0</v>
      </c>
    </row>
    <row r="12" spans="1:7">
      <c r="A12" t="s">
        <v>47</v>
      </c>
      <c r="B12" s="15">
        <f>B10/AVERAGE(B5,B8)</f>
        <v>8.5437511700228286E-2</v>
      </c>
    </row>
  </sheetData>
  <mergeCells count="1">
    <mergeCell ref="B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9"/>
  <sheetViews>
    <sheetView topLeftCell="A18" zoomScale="85" zoomScaleNormal="85" zoomScalePageLayoutView="85" workbookViewId="0">
      <selection activeCell="C18" sqref="C18"/>
    </sheetView>
  </sheetViews>
  <sheetFormatPr baseColWidth="10" defaultColWidth="8.7109375" defaultRowHeight="15" x14ac:dyDescent="0"/>
  <cols>
    <col min="2" max="2" width="14.7109375" customWidth="1"/>
  </cols>
  <sheetData>
    <row r="2" spans="2:15">
      <c r="B2" s="16"/>
      <c r="C2" s="175" t="s">
        <v>28</v>
      </c>
      <c r="D2" s="175"/>
      <c r="E2" s="175"/>
      <c r="F2" s="175"/>
      <c r="G2" s="175"/>
      <c r="H2" s="175"/>
      <c r="I2" s="17"/>
      <c r="J2" s="17"/>
    </row>
    <row r="3" spans="2:15">
      <c r="B3" s="16"/>
      <c r="C3" s="111">
        <v>2018</v>
      </c>
      <c r="D3" s="111" t="s">
        <v>29</v>
      </c>
      <c r="E3" s="111" t="s">
        <v>30</v>
      </c>
      <c r="F3" s="111" t="s">
        <v>31</v>
      </c>
      <c r="G3" s="111" t="s">
        <v>32</v>
      </c>
      <c r="H3" s="111" t="s">
        <v>33</v>
      </c>
      <c r="I3" s="17"/>
      <c r="J3" s="17"/>
    </row>
    <row r="4" spans="2:15">
      <c r="B4" s="16" t="s">
        <v>18</v>
      </c>
      <c r="C4" s="16">
        <f>4728.73/100</f>
        <v>47.287299999999995</v>
      </c>
      <c r="D4" s="16">
        <f>C9</f>
        <v>56.267499999999998</v>
      </c>
      <c r="E4" s="16">
        <f t="shared" ref="E4:H4" si="0">D9</f>
        <v>68.072409904706703</v>
      </c>
      <c r="F4" s="16">
        <f t="shared" si="0"/>
        <v>82.466850447044067</v>
      </c>
      <c r="G4" s="16">
        <f t="shared" si="0"/>
        <v>99.489895957941002</v>
      </c>
      <c r="H4" s="16">
        <f t="shared" si="0"/>
        <v>119.21054840049797</v>
      </c>
      <c r="I4" s="16"/>
      <c r="J4" s="16"/>
      <c r="K4" s="16"/>
      <c r="L4" s="16"/>
      <c r="M4" s="16"/>
      <c r="N4" s="16"/>
      <c r="O4" s="16"/>
    </row>
    <row r="5" spans="2:15">
      <c r="B5" s="16" t="s">
        <v>19</v>
      </c>
      <c r="C5" s="16">
        <f>1944.01/100</f>
        <v>19.440100000000001</v>
      </c>
      <c r="D5" s="16">
        <f>$C6*'Revenue D'!E$7</f>
        <v>24.27189678110965</v>
      </c>
      <c r="E5" s="16">
        <f>$C6*'Revenue D'!F$7</f>
        <v>29.497668762123009</v>
      </c>
      <c r="F5" s="16">
        <f>$C6*'Revenue D'!G$7</f>
        <v>35.243925732100671</v>
      </c>
      <c r="G5" s="16">
        <f>$C6*'Revenue D'!H$7</f>
        <v>41.553232551272146</v>
      </c>
      <c r="H5" s="16">
        <f>$C6*'Revenue D'!I$7</f>
        <v>48.471327426611658</v>
      </c>
      <c r="I5" s="16"/>
      <c r="J5" s="16"/>
    </row>
    <row r="6" spans="2:15">
      <c r="B6" s="16" t="s">
        <v>27</v>
      </c>
      <c r="C6" s="15">
        <f>FAS!C5/'Revenue D'!$D$7</f>
        <v>1.5903613472189274E-2</v>
      </c>
      <c r="D6" s="16"/>
      <c r="E6" s="16"/>
      <c r="F6" s="16"/>
      <c r="G6" s="16"/>
      <c r="H6" s="16"/>
      <c r="I6" s="16"/>
      <c r="J6" s="16"/>
    </row>
    <row r="7" spans="2:15">
      <c r="B7" s="16" t="s">
        <v>20</v>
      </c>
      <c r="C7" s="16">
        <f>15.49/100</f>
        <v>0.15490000000000001</v>
      </c>
      <c r="D7" s="16"/>
      <c r="E7" s="16"/>
      <c r="F7" s="16"/>
      <c r="G7" s="16"/>
      <c r="H7" s="16"/>
      <c r="I7" s="16"/>
      <c r="J7" s="16"/>
    </row>
    <row r="8" spans="2:15">
      <c r="B8" s="16" t="s">
        <v>21</v>
      </c>
      <c r="C8" s="16">
        <f>C4+C5-C7-C9</f>
        <v>10.304999999999993</v>
      </c>
      <c r="D8" s="16">
        <f>$C11*(D4+D5-D7)</f>
        <v>12.466986876402936</v>
      </c>
      <c r="E8" s="16">
        <f t="shared" ref="E8" si="1">$C11*(E4+E5-E7)</f>
        <v>15.103228219785644</v>
      </c>
      <c r="F8" s="16">
        <f t="shared" ref="F8" si="2">$C11*(F4+F5-F7)</f>
        <v>18.220880221203739</v>
      </c>
      <c r="G8" s="16">
        <f t="shared" ref="G8" si="3">$C11*(G4+G5-G7)</f>
        <v>21.83258010871517</v>
      </c>
      <c r="H8" s="16">
        <f t="shared" ref="H8" si="4">$C11*(H4+H5-H7)</f>
        <v>25.956088931591331</v>
      </c>
      <c r="I8" s="16"/>
      <c r="J8" s="16"/>
    </row>
    <row r="9" spans="2:15">
      <c r="B9" s="20" t="s">
        <v>22</v>
      </c>
      <c r="C9" s="20">
        <f>5626.75/100</f>
        <v>56.267499999999998</v>
      </c>
      <c r="D9" s="20">
        <f>D4+D5-D7-D8</f>
        <v>68.072409904706703</v>
      </c>
      <c r="E9" s="20">
        <f t="shared" ref="E9" si="5">E4+E5-E7-E8</f>
        <v>82.466850447044067</v>
      </c>
      <c r="F9" s="20">
        <f t="shared" ref="F9" si="6">F4+F5-F7-F8</f>
        <v>99.489895957941002</v>
      </c>
      <c r="G9" s="20">
        <f t="shared" ref="G9" si="7">G4+G5-G7-G8</f>
        <v>119.21054840049797</v>
      </c>
      <c r="H9" s="20">
        <f t="shared" ref="H9" si="8">H4+H5-H7-H8</f>
        <v>141.7257868955183</v>
      </c>
      <c r="I9" s="16"/>
      <c r="J9" s="16"/>
    </row>
    <row r="10" spans="2:15">
      <c r="B10" s="16"/>
      <c r="C10" s="16"/>
      <c r="D10" s="16"/>
      <c r="E10" s="16"/>
      <c r="F10" s="16"/>
      <c r="G10" s="16"/>
      <c r="H10" s="16"/>
      <c r="I10" s="16"/>
      <c r="J10" s="16"/>
    </row>
    <row r="11" spans="2:15">
      <c r="B11" s="16" t="s">
        <v>26</v>
      </c>
      <c r="C11" s="15">
        <f>C8/(C4+C5-C7)</f>
        <v>0.15479364602501025</v>
      </c>
      <c r="D11" s="16"/>
      <c r="E11" s="16"/>
      <c r="F11" s="16"/>
      <c r="G11" s="16"/>
      <c r="H11" s="16"/>
      <c r="I11" s="16"/>
      <c r="J11" s="16"/>
    </row>
    <row r="12" spans="2:15">
      <c r="B12" s="16"/>
      <c r="C12" s="15"/>
      <c r="D12" s="16"/>
      <c r="E12" s="16"/>
      <c r="F12" s="16"/>
      <c r="G12" s="16"/>
      <c r="H12" s="16"/>
      <c r="I12" s="16"/>
      <c r="J12" s="16"/>
    </row>
    <row r="13" spans="2:15">
      <c r="B13" s="16"/>
      <c r="C13" s="175" t="s">
        <v>38</v>
      </c>
      <c r="D13" s="175"/>
      <c r="E13" s="175"/>
      <c r="F13" s="175"/>
      <c r="G13" s="175"/>
      <c r="H13" s="175"/>
      <c r="I13" s="16"/>
      <c r="J13" s="17"/>
    </row>
    <row r="14" spans="2:15">
      <c r="B14" s="16"/>
      <c r="C14" s="111">
        <v>2018</v>
      </c>
      <c r="D14" s="111" t="s">
        <v>29</v>
      </c>
      <c r="E14" s="111" t="s">
        <v>30</v>
      </c>
      <c r="F14" s="111" t="s">
        <v>31</v>
      </c>
      <c r="G14" s="111" t="s">
        <v>32</v>
      </c>
      <c r="H14" s="111" t="s">
        <v>33</v>
      </c>
      <c r="I14" s="17"/>
      <c r="J14" s="17"/>
    </row>
    <row r="15" spans="2:15">
      <c r="B15" s="16" t="s">
        <v>18</v>
      </c>
      <c r="C15" s="16">
        <f>259.56/100</f>
        <v>2.5956000000000001</v>
      </c>
      <c r="D15" s="16">
        <f>C20</f>
        <v>2.8747000000000003</v>
      </c>
      <c r="E15" s="16">
        <f t="shared" ref="E15:H15" si="9">D20</f>
        <v>3.3323737395292961</v>
      </c>
      <c r="F15" s="16">
        <f t="shared" si="9"/>
        <v>3.9356820795660479</v>
      </c>
      <c r="G15" s="16">
        <f t="shared" si="9"/>
        <v>4.6699086478839611</v>
      </c>
      <c r="H15" s="16">
        <f t="shared" si="9"/>
        <v>5.52691025297257</v>
      </c>
      <c r="I15" s="16"/>
      <c r="J15" s="16"/>
    </row>
    <row r="16" spans="2:15">
      <c r="B16" s="16" t="s">
        <v>19</v>
      </c>
      <c r="C16" s="16">
        <f>146.77/100</f>
        <v>1.4677</v>
      </c>
      <c r="D16" s="16">
        <f>$C17*'Revenue D'!E$7</f>
        <v>1.8324938094780698</v>
      </c>
      <c r="E16" s="16">
        <f>$C17*'Revenue D'!F$7</f>
        <v>2.2270321882175472</v>
      </c>
      <c r="F16" s="16">
        <f>$C17*'Revenue D'!G$7</f>
        <v>2.6608664460061497</v>
      </c>
      <c r="G16" s="16">
        <f>$C17*'Revenue D'!H$7</f>
        <v>3.1372101694694021</v>
      </c>
      <c r="H16" s="16">
        <f>$C17*'Revenue D'!I$7</f>
        <v>3.6595165284148705</v>
      </c>
      <c r="I16" s="16"/>
      <c r="J16" s="16"/>
    </row>
    <row r="17" spans="2:10">
      <c r="B17" s="16" t="s">
        <v>27</v>
      </c>
      <c r="C17" s="15">
        <f>FAS!C16/'Revenue D'!$D$7</f>
        <v>1.2007002789662705E-3</v>
      </c>
      <c r="D17" s="16"/>
      <c r="E17" s="16"/>
      <c r="F17" s="16"/>
      <c r="G17" s="16"/>
      <c r="H17" s="16"/>
      <c r="I17" s="16"/>
      <c r="J17" s="16"/>
    </row>
    <row r="18" spans="2:10">
      <c r="B18" s="16" t="s">
        <v>20</v>
      </c>
      <c r="C18" s="16">
        <f>0.26/100</f>
        <v>2.5999999999999999E-3</v>
      </c>
      <c r="D18" s="16"/>
      <c r="E18" s="16"/>
      <c r="F18" s="16"/>
      <c r="G18" s="16"/>
      <c r="H18" s="16"/>
      <c r="I18" s="16"/>
      <c r="J18" s="16"/>
    </row>
    <row r="19" spans="2:10">
      <c r="B19" s="16" t="s">
        <v>21</v>
      </c>
      <c r="C19" s="16">
        <f>C15+C16-C18-C20</f>
        <v>1.1859999999999995</v>
      </c>
      <c r="D19" s="16">
        <f>$C22*(D15+D16-D18)</f>
        <v>1.3748200699487747</v>
      </c>
      <c r="E19" s="16">
        <f>$C22*(E15+E16-E18)</f>
        <v>1.6237238481807947</v>
      </c>
      <c r="F19" s="16">
        <f>$C22*(F15+F16-F18)</f>
        <v>1.9266398776882367</v>
      </c>
      <c r="G19" s="16">
        <f>$C22*(G15+G16-G18)</f>
        <v>2.2802085643807928</v>
      </c>
      <c r="H19" s="16">
        <f>$C22*(H15+H16-H18)</f>
        <v>2.6830601036091069</v>
      </c>
      <c r="I19" s="16"/>
      <c r="J19" s="16"/>
    </row>
    <row r="20" spans="2:10">
      <c r="B20" s="20" t="s">
        <v>22</v>
      </c>
      <c r="C20" s="20">
        <f>287.47/100</f>
        <v>2.8747000000000003</v>
      </c>
      <c r="D20" s="20">
        <f>D15+D16-D18-D19</f>
        <v>3.3323737395292961</v>
      </c>
      <c r="E20" s="20">
        <f>E15+E16-E18-E19</f>
        <v>3.9356820795660479</v>
      </c>
      <c r="F20" s="20">
        <f>F15+F16-F18-F19</f>
        <v>4.6699086478839611</v>
      </c>
      <c r="G20" s="20">
        <f>G15+G16-G18-G19</f>
        <v>5.52691025297257</v>
      </c>
      <c r="H20" s="20">
        <f>H15+H16-H18-H19</f>
        <v>6.5033666777783345</v>
      </c>
      <c r="I20" s="16"/>
      <c r="J20" s="16"/>
    </row>
    <row r="21" spans="2:10">
      <c r="B21" s="16"/>
      <c r="C21" s="16"/>
      <c r="D21" s="16"/>
      <c r="E21" s="16"/>
      <c r="F21" s="16"/>
      <c r="G21" s="16"/>
      <c r="H21" s="16"/>
      <c r="I21" s="16"/>
      <c r="J21" s="16"/>
    </row>
    <row r="22" spans="2:10">
      <c r="B22" s="16" t="s">
        <v>26</v>
      </c>
      <c r="C22" s="15">
        <f>C19/(C15+C16-C18)</f>
        <v>0.29206787007166241</v>
      </c>
      <c r="D22" s="16"/>
      <c r="E22" s="16"/>
      <c r="F22" s="16"/>
      <c r="G22" s="16"/>
      <c r="H22" s="16"/>
      <c r="I22" s="16"/>
      <c r="J22" s="16"/>
    </row>
    <row r="23" spans="2:10">
      <c r="B23" s="16"/>
      <c r="C23" s="15"/>
      <c r="D23" s="16"/>
      <c r="E23" s="16"/>
      <c r="F23" s="16"/>
      <c r="G23" s="16"/>
      <c r="H23" s="16"/>
      <c r="I23" s="16"/>
      <c r="J23" s="16"/>
    </row>
    <row r="24" spans="2:10">
      <c r="B24" s="16"/>
      <c r="C24" s="175" t="s">
        <v>23</v>
      </c>
      <c r="D24" s="175"/>
      <c r="E24" s="175"/>
      <c r="F24" s="175"/>
      <c r="G24" s="175"/>
      <c r="H24" s="175"/>
      <c r="I24" s="16"/>
      <c r="J24" s="16"/>
    </row>
    <row r="25" spans="2:10">
      <c r="B25" s="16"/>
      <c r="C25" s="111">
        <v>2018</v>
      </c>
      <c r="D25" s="111" t="s">
        <v>29</v>
      </c>
      <c r="E25" s="111" t="s">
        <v>30</v>
      </c>
      <c r="F25" s="111" t="s">
        <v>31</v>
      </c>
      <c r="G25" s="111" t="s">
        <v>32</v>
      </c>
      <c r="H25" s="111" t="s">
        <v>33</v>
      </c>
      <c r="I25" s="17"/>
      <c r="J25" s="17"/>
    </row>
    <row r="26" spans="2:10">
      <c r="B26" s="16" t="s">
        <v>18</v>
      </c>
      <c r="C26" s="16">
        <f>571.14 /100</f>
        <v>5.7114000000000003</v>
      </c>
      <c r="D26" s="16">
        <f>C31</f>
        <v>5.8576999999999995</v>
      </c>
      <c r="E26" s="16">
        <f t="shared" ref="E26:G26" si="10">D31</f>
        <v>7.7227062749112552</v>
      </c>
      <c r="F26" s="16">
        <f t="shared" si="10"/>
        <v>9.8247723480157774</v>
      </c>
      <c r="G26" s="16">
        <f t="shared" si="10"/>
        <v>12.17353410683728</v>
      </c>
      <c r="H26" s="16">
        <f>G31</f>
        <v>14.782071438398743</v>
      </c>
      <c r="I26" s="16"/>
      <c r="J26" s="16"/>
    </row>
    <row r="27" spans="2:10">
      <c r="B27" s="16" t="s">
        <v>19</v>
      </c>
      <c r="C27" s="16">
        <f>380.93/100</f>
        <v>3.8092999999999999</v>
      </c>
      <c r="D27" s="16">
        <f>$C28*'Revenue D'!E$7</f>
        <v>4.7560936624956129</v>
      </c>
      <c r="E27" s="16">
        <f>$C28*'Revenue D'!F$7</f>
        <v>5.7800870168134511</v>
      </c>
      <c r="F27" s="16">
        <f>$C28*'Revenue D'!G$7</f>
        <v>6.9060697368476029</v>
      </c>
      <c r="G27" s="16">
        <f>$C28*'Revenue D'!H$7</f>
        <v>8.1423824341212736</v>
      </c>
      <c r="H27" s="16">
        <f>$C28*'Revenue D'!I$7</f>
        <v>9.4979875394772542</v>
      </c>
      <c r="I27" s="16"/>
      <c r="J27" s="16"/>
    </row>
    <row r="28" spans="2:10">
      <c r="B28" s="16" t="s">
        <v>27</v>
      </c>
      <c r="C28" s="15">
        <f>FAS!C27/'Revenue D'!$D$7</f>
        <v>3.1163232081939185E-3</v>
      </c>
      <c r="D28" s="16"/>
      <c r="E28" s="16"/>
      <c r="F28" s="16"/>
      <c r="G28" s="16"/>
      <c r="H28" s="16"/>
      <c r="I28" s="16"/>
      <c r="J28" s="16"/>
    </row>
    <row r="29" spans="2:10">
      <c r="B29" s="16" t="s">
        <v>20</v>
      </c>
      <c r="C29" s="16">
        <f>147.01/100</f>
        <v>1.4701</v>
      </c>
      <c r="D29" s="16"/>
      <c r="E29" s="16"/>
      <c r="F29" s="16"/>
      <c r="G29" s="16"/>
      <c r="H29" s="16"/>
      <c r="I29" s="16"/>
      <c r="J29" s="16"/>
    </row>
    <row r="30" spans="2:10">
      <c r="B30" s="16" t="s">
        <v>21</v>
      </c>
      <c r="C30" s="16">
        <f>C26+C27-C29-C31</f>
        <v>2.1928999999999998</v>
      </c>
      <c r="D30" s="16">
        <f>$C33*(D26+D27-D29)</f>
        <v>2.8910873875843577</v>
      </c>
      <c r="E30" s="16">
        <f t="shared" ref="E30" si="11">$C33*(E26+E27-E29)</f>
        <v>3.6780209437089302</v>
      </c>
      <c r="F30" s="16">
        <f t="shared" ref="F30" si="12">$C33*(F26+F27-F29)</f>
        <v>4.5573079780260981</v>
      </c>
      <c r="G30" s="16">
        <f t="shared" ref="G30" si="13">$C33*(G26+G27-G29)</f>
        <v>5.5338451025598108</v>
      </c>
      <c r="H30" s="16">
        <f>$C33*(H26+H27-H29)</f>
        <v>6.6136364162403138</v>
      </c>
      <c r="I30" s="16"/>
      <c r="J30" s="16"/>
    </row>
    <row r="31" spans="2:10">
      <c r="B31" s="20" t="s">
        <v>22</v>
      </c>
      <c r="C31" s="20">
        <f>585.77/100</f>
        <v>5.8576999999999995</v>
      </c>
      <c r="D31" s="20">
        <f>D26+D27-D29-D30</f>
        <v>7.7227062749112552</v>
      </c>
      <c r="E31" s="20">
        <f t="shared" ref="E31" si="14">E26+E27-E29-E30</f>
        <v>9.8247723480157774</v>
      </c>
      <c r="F31" s="20">
        <f t="shared" ref="F31" si="15">F26+F27-F29-F30</f>
        <v>12.17353410683728</v>
      </c>
      <c r="G31" s="20">
        <f t="shared" ref="G31" si="16">G26+G27-G29-G30</f>
        <v>14.782071438398743</v>
      </c>
      <c r="H31" s="20">
        <f t="shared" ref="H31" si="17">H26+H27-H29-H30</f>
        <v>17.666422561635681</v>
      </c>
      <c r="I31" s="16"/>
      <c r="J31" s="16"/>
    </row>
    <row r="32" spans="2:10">
      <c r="B32" s="16"/>
      <c r="C32" s="16"/>
      <c r="D32" s="16"/>
      <c r="E32" s="16"/>
      <c r="F32" s="16"/>
      <c r="G32" s="16"/>
      <c r="H32" s="16"/>
      <c r="I32" s="16"/>
      <c r="J32" s="16"/>
    </row>
    <row r="33" spans="2:10">
      <c r="B33" s="16" t="s">
        <v>26</v>
      </c>
      <c r="C33" s="15">
        <f>C30/(C26+C27-C29)</f>
        <v>0.27238963555511392</v>
      </c>
      <c r="D33" s="16"/>
      <c r="E33" s="16"/>
      <c r="F33" s="16"/>
      <c r="G33" s="16"/>
      <c r="H33" s="16"/>
      <c r="I33" s="16"/>
      <c r="J33" s="16"/>
    </row>
    <row r="34" spans="2:10">
      <c r="B34" s="16"/>
      <c r="C34" s="16"/>
      <c r="D34" s="16"/>
      <c r="E34" s="16"/>
      <c r="F34" s="16"/>
      <c r="G34" s="16"/>
      <c r="H34" s="16"/>
      <c r="I34" s="16"/>
      <c r="J34" s="16"/>
    </row>
    <row r="35" spans="2:10">
      <c r="B35" s="16"/>
      <c r="C35" s="175" t="s">
        <v>24</v>
      </c>
      <c r="D35" s="175"/>
      <c r="E35" s="175"/>
      <c r="F35" s="175"/>
      <c r="G35" s="175"/>
      <c r="H35" s="175"/>
      <c r="I35" s="16"/>
      <c r="J35" s="16"/>
    </row>
    <row r="36" spans="2:10">
      <c r="B36" s="16"/>
      <c r="C36" s="111">
        <v>2018</v>
      </c>
      <c r="D36" s="111" t="s">
        <v>29</v>
      </c>
      <c r="E36" s="111" t="s">
        <v>30</v>
      </c>
      <c r="F36" s="111" t="s">
        <v>31</v>
      </c>
      <c r="G36" s="111" t="s">
        <v>32</v>
      </c>
      <c r="H36" s="111" t="s">
        <v>33</v>
      </c>
      <c r="I36" s="16"/>
      <c r="J36" s="16"/>
    </row>
    <row r="37" spans="2:10">
      <c r="B37" s="16" t="s">
        <v>18</v>
      </c>
      <c r="C37" s="16">
        <f>325.22 /100</f>
        <v>3.2522000000000002</v>
      </c>
      <c r="D37" s="16">
        <f>C42</f>
        <v>4.2860000000000005</v>
      </c>
      <c r="E37" s="16">
        <f t="shared" ref="E37:G37" si="18">D42</f>
        <v>5.5578382966104396</v>
      </c>
      <c r="F37" s="16">
        <f t="shared" si="18"/>
        <v>7.0584076285165445</v>
      </c>
      <c r="G37" s="16">
        <f t="shared" si="18"/>
        <v>8.7973040328989534</v>
      </c>
      <c r="H37" s="16">
        <f>G42</f>
        <v>10.786085221690163</v>
      </c>
      <c r="I37" s="16"/>
      <c r="J37" s="16"/>
    </row>
    <row r="38" spans="2:10">
      <c r="B38" s="16" t="s">
        <v>19</v>
      </c>
      <c r="C38" s="16">
        <f>167.91/100</f>
        <v>1.6791</v>
      </c>
      <c r="D38" s="16">
        <f>$C39*'Revenue D'!E$7</f>
        <v>2.0964368436973682</v>
      </c>
      <c r="E38" s="16">
        <f>$C39*'Revenue D'!F$7</f>
        <v>2.5478025122546049</v>
      </c>
      <c r="F38" s="16">
        <f>$C39*'Revenue D'!G$7</f>
        <v>3.044124037261652</v>
      </c>
      <c r="G38" s="16">
        <f>$C39*'Revenue D'!H$7</f>
        <v>3.5890778739225135</v>
      </c>
      <c r="H38" s="16">
        <f>$C39*'Revenue D'!I$7</f>
        <v>4.1866145689591949</v>
      </c>
      <c r="I38" s="16"/>
      <c r="J38" s="16"/>
    </row>
    <row r="39" spans="2:10">
      <c r="B39" s="16" t="s">
        <v>27</v>
      </c>
      <c r="C39" s="15">
        <f>FAS!C38/'Revenue D'!$D$7</f>
        <v>1.3736430049821251E-3</v>
      </c>
      <c r="D39" s="16"/>
      <c r="E39" s="16"/>
      <c r="F39" s="16"/>
      <c r="G39" s="16"/>
      <c r="H39" s="16"/>
      <c r="I39" s="16"/>
      <c r="J39" s="16"/>
    </row>
    <row r="40" spans="2:10">
      <c r="B40" s="16" t="s">
        <v>20</v>
      </c>
      <c r="C40" s="16">
        <f>0.94/100</f>
        <v>9.3999999999999986E-3</v>
      </c>
      <c r="D40" s="16"/>
      <c r="E40" s="16"/>
      <c r="F40" s="16"/>
      <c r="G40" s="16"/>
      <c r="H40" s="16"/>
      <c r="I40" s="16"/>
      <c r="J40" s="16"/>
    </row>
    <row r="41" spans="2:10">
      <c r="B41" s="16" t="s">
        <v>21</v>
      </c>
      <c r="C41" s="16">
        <f>C37+C38-C40-C42</f>
        <v>0.63589999999999947</v>
      </c>
      <c r="D41" s="16">
        <f>$C44*(D37+D38-D40)</f>
        <v>0.82459854708692837</v>
      </c>
      <c r="E41" s="16">
        <f t="shared" ref="E41:G41" si="19">$C44*(E37+E38-E40)</f>
        <v>1.0472331803484989</v>
      </c>
      <c r="F41" s="16">
        <f t="shared" si="19"/>
        <v>1.3052276328792436</v>
      </c>
      <c r="G41" s="16">
        <f t="shared" si="19"/>
        <v>1.6002966851313036</v>
      </c>
      <c r="H41" s="16">
        <f>$C44*(H37+H38-H40)</f>
        <v>1.9344439742526094</v>
      </c>
      <c r="I41" s="16"/>
      <c r="J41" s="16"/>
    </row>
    <row r="42" spans="2:10">
      <c r="B42" s="20" t="s">
        <v>22</v>
      </c>
      <c r="C42" s="20">
        <f>428.6 /100</f>
        <v>4.2860000000000005</v>
      </c>
      <c r="D42" s="20">
        <f>D37+D38-D40-D41</f>
        <v>5.5578382966104396</v>
      </c>
      <c r="E42" s="20">
        <f t="shared" ref="E42:H42" si="20">E37+E38-E40-E41</f>
        <v>7.0584076285165445</v>
      </c>
      <c r="F42" s="20">
        <f t="shared" si="20"/>
        <v>8.7973040328989534</v>
      </c>
      <c r="G42" s="20">
        <f t="shared" si="20"/>
        <v>10.786085221690163</v>
      </c>
      <c r="H42" s="20">
        <f t="shared" si="20"/>
        <v>13.038255816396749</v>
      </c>
      <c r="I42" s="16"/>
      <c r="J42" s="16"/>
    </row>
    <row r="43" spans="2:10">
      <c r="B43" s="16"/>
      <c r="C43" s="16"/>
      <c r="D43" s="16"/>
      <c r="E43" s="16"/>
      <c r="F43" s="16"/>
      <c r="G43" s="16"/>
      <c r="H43" s="16"/>
      <c r="I43" s="16"/>
      <c r="J43" s="16"/>
    </row>
    <row r="44" spans="2:10">
      <c r="B44" s="16" t="s">
        <v>26</v>
      </c>
      <c r="C44" s="15">
        <f>C41/(C37+C38-C40)</f>
        <v>0.12919807391454508</v>
      </c>
      <c r="D44" s="16"/>
      <c r="E44" s="16"/>
      <c r="F44" s="16"/>
      <c r="G44" s="16"/>
      <c r="H44" s="16"/>
      <c r="I44" s="16"/>
      <c r="J44" s="16"/>
    </row>
    <row r="45" spans="2:10">
      <c r="B45" s="16"/>
      <c r="C45" s="175" t="s">
        <v>25</v>
      </c>
      <c r="D45" s="175"/>
      <c r="E45" s="175"/>
      <c r="F45" s="175"/>
      <c r="G45" s="175"/>
      <c r="H45" s="175"/>
      <c r="I45" s="16"/>
      <c r="J45" s="16"/>
    </row>
    <row r="46" spans="2:10">
      <c r="B46" s="16"/>
      <c r="C46" s="111">
        <v>2018</v>
      </c>
      <c r="D46" s="111" t="s">
        <v>29</v>
      </c>
      <c r="E46" s="111" t="s">
        <v>30</v>
      </c>
      <c r="F46" s="111" t="s">
        <v>31</v>
      </c>
      <c r="G46" s="111" t="s">
        <v>32</v>
      </c>
      <c r="H46" s="111" t="s">
        <v>33</v>
      </c>
      <c r="I46" s="16"/>
      <c r="J46" s="16"/>
    </row>
    <row r="47" spans="2:10">
      <c r="B47" s="16" t="s">
        <v>18</v>
      </c>
      <c r="C47" s="16">
        <f>5362.75/100</f>
        <v>53.627499999999998</v>
      </c>
      <c r="D47" s="16">
        <f>C52</f>
        <v>70.043400000000005</v>
      </c>
      <c r="E47" s="16">
        <f t="shared" ref="E47:G47" si="21">D52</f>
        <v>90.319527640193343</v>
      </c>
      <c r="F47" s="16">
        <f t="shared" si="21"/>
        <v>114.44230900872773</v>
      </c>
      <c r="G47" s="16">
        <f t="shared" si="21"/>
        <v>142.61241558973035</v>
      </c>
      <c r="H47" s="16">
        <f>G52</f>
        <v>175.05830377860042</v>
      </c>
      <c r="I47" s="16"/>
      <c r="J47" s="16"/>
    </row>
    <row r="48" spans="2:10">
      <c r="B48" s="16" t="s">
        <v>19</v>
      </c>
      <c r="C48" s="16">
        <f>2426.47/100</f>
        <v>24.264699999999998</v>
      </c>
      <c r="D48" s="16">
        <f>$C49*'Revenue D'!E$7</f>
        <v>30.295641165662275</v>
      </c>
      <c r="E48" s="16">
        <f>$C49*'Revenue D'!F$7</f>
        <v>36.818333404266752</v>
      </c>
      <c r="F48" s="16">
        <f>$C49*'Revenue D'!G$7</f>
        <v>43.990683417868375</v>
      </c>
      <c r="G48" s="16">
        <f>$C49*'Revenue D'!H$7</f>
        <v>51.865819717329288</v>
      </c>
      <c r="H48" s="16">
        <f>$C49*'Revenue D'!I$7</f>
        <v>60.50083171426607</v>
      </c>
      <c r="I48" s="16"/>
      <c r="J48" s="16"/>
    </row>
    <row r="49" spans="2:10">
      <c r="B49" s="16" t="s">
        <v>27</v>
      </c>
      <c r="C49" s="15">
        <f>FAS!C48/'Revenue D'!$D$7</f>
        <v>1.9850536253343914E-2</v>
      </c>
      <c r="D49" s="16"/>
      <c r="E49" s="16"/>
      <c r="F49" s="16"/>
      <c r="G49" s="16"/>
      <c r="H49" s="16"/>
      <c r="I49" s="16"/>
      <c r="J49" s="16"/>
    </row>
    <row r="50" spans="2:10">
      <c r="B50" s="16" t="s">
        <v>20</v>
      </c>
      <c r="C50" s="16">
        <f>7.86/100</f>
        <v>7.8600000000000003E-2</v>
      </c>
      <c r="D50" s="16"/>
      <c r="E50" s="16"/>
      <c r="F50" s="16"/>
      <c r="G50" s="16"/>
      <c r="H50" s="16"/>
      <c r="I50" s="16"/>
      <c r="J50" s="16"/>
    </row>
    <row r="51" spans="2:10">
      <c r="B51" s="16" t="s">
        <v>21</v>
      </c>
      <c r="C51" s="16">
        <f>C47+C48-C50-C52</f>
        <v>7.7702000000000027</v>
      </c>
      <c r="D51" s="16">
        <f>$C54*(D47+D48-D50)</f>
        <v>10.01951352546893</v>
      </c>
      <c r="E51" s="16">
        <f>$C54*(E47+E48-E50)</f>
        <v>12.695552035732366</v>
      </c>
      <c r="F51" s="16">
        <f>$C54*(F47+F48-F50)</f>
        <v>15.820576836865758</v>
      </c>
      <c r="G51" s="16">
        <f>$C54*(G47+G48-G50)</f>
        <v>19.41993152845923</v>
      </c>
      <c r="H51" s="16">
        <f>$C54*(H47+H48-H50)</f>
        <v>23.522129738332008</v>
      </c>
      <c r="I51" s="16"/>
      <c r="J51" s="16"/>
    </row>
    <row r="52" spans="2:10">
      <c r="B52" s="20" t="s">
        <v>22</v>
      </c>
      <c r="C52" s="20">
        <f>7004.34/100</f>
        <v>70.043400000000005</v>
      </c>
      <c r="D52" s="20">
        <f>D47+D48-D50-D51</f>
        <v>90.319527640193343</v>
      </c>
      <c r="E52" s="20">
        <f>E47+E48-E50-E51</f>
        <v>114.44230900872773</v>
      </c>
      <c r="F52" s="20">
        <f>F47+F48-F50-F51</f>
        <v>142.61241558973035</v>
      </c>
      <c r="G52" s="20">
        <f>G47+G48-G50-G51</f>
        <v>175.05830377860042</v>
      </c>
      <c r="H52" s="20">
        <f>H47+H48-H50-H51</f>
        <v>212.03700575453448</v>
      </c>
      <c r="I52" s="16"/>
      <c r="J52" s="16"/>
    </row>
    <row r="53" spans="2:10">
      <c r="B53" s="16"/>
      <c r="C53" s="16"/>
      <c r="D53" s="16"/>
      <c r="E53" s="16"/>
      <c r="F53" s="16"/>
      <c r="G53" s="16"/>
      <c r="H53" s="16"/>
      <c r="I53" s="16"/>
      <c r="J53" s="16"/>
    </row>
    <row r="54" spans="2:10">
      <c r="B54" s="16" t="s">
        <v>26</v>
      </c>
      <c r="C54" s="15">
        <f>C51/(C47+C48-C50)</f>
        <v>9.9856580340711668E-2</v>
      </c>
      <c r="D54" s="16"/>
      <c r="E54" s="16"/>
      <c r="F54" s="16"/>
      <c r="G54" s="16"/>
      <c r="H54" s="16"/>
      <c r="I54" s="16"/>
      <c r="J54" s="16"/>
    </row>
    <row r="55" spans="2:10">
      <c r="B55" s="16"/>
      <c r="C55" s="176"/>
      <c r="D55" s="176"/>
      <c r="E55" s="176"/>
      <c r="F55" s="176"/>
      <c r="G55" s="176"/>
      <c r="H55" s="176"/>
      <c r="I55" s="16"/>
      <c r="J55" s="16"/>
    </row>
    <row r="56" spans="2:10">
      <c r="B56" s="16"/>
      <c r="C56" s="175" t="s">
        <v>40</v>
      </c>
      <c r="D56" s="175"/>
      <c r="E56" s="175"/>
      <c r="F56" s="175"/>
      <c r="G56" s="175"/>
      <c r="H56" s="175"/>
      <c r="I56" s="16"/>
      <c r="J56" s="16"/>
    </row>
    <row r="57" spans="2:10">
      <c r="B57" s="16"/>
      <c r="C57" s="111">
        <v>2018</v>
      </c>
      <c r="D57" s="111" t="s">
        <v>29</v>
      </c>
      <c r="E57" s="111" t="s">
        <v>30</v>
      </c>
      <c r="F57" s="111" t="s">
        <v>31</v>
      </c>
      <c r="G57" s="111" t="s">
        <v>32</v>
      </c>
      <c r="H57" s="111" t="s">
        <v>33</v>
      </c>
      <c r="I57" s="16"/>
      <c r="J57" s="16"/>
    </row>
    <row r="58" spans="2:10">
      <c r="B58" s="16" t="s">
        <v>18</v>
      </c>
      <c r="C58" s="16">
        <f>208.99/100</f>
        <v>2.0899000000000001</v>
      </c>
      <c r="D58" s="16">
        <f>C63</f>
        <v>1.8977999999999999</v>
      </c>
      <c r="E58" s="16">
        <f t="shared" ref="E58:G58" si="22">D63</f>
        <v>2.1373224153561452</v>
      </c>
      <c r="F58" s="16">
        <f t="shared" si="22"/>
        <v>2.4406765456342647</v>
      </c>
      <c r="G58" s="16">
        <f t="shared" si="22"/>
        <v>2.8113208055549248</v>
      </c>
      <c r="H58" s="16">
        <f>G63</f>
        <v>3.253124202587018</v>
      </c>
      <c r="I58" s="17"/>
      <c r="J58" s="17"/>
    </row>
    <row r="59" spans="2:10">
      <c r="B59" s="16" t="s">
        <v>19</v>
      </c>
      <c r="C59">
        <f>32.57/100</f>
        <v>0.32569999999999999</v>
      </c>
      <c r="D59" s="16">
        <f>$C60*'Revenue D'!E$7</f>
        <v>0.40665206360087719</v>
      </c>
      <c r="E59" s="16">
        <f>$C60*'Revenue D'!F$7</f>
        <v>0.49420479914318671</v>
      </c>
      <c r="F59" s="16">
        <f>$C60*'Revenue D'!G$7</f>
        <v>0.59047775530708124</v>
      </c>
      <c r="G59" s="16">
        <f>$C60*'Revenue D'!H$7</f>
        <v>0.69618406499705954</v>
      </c>
      <c r="H59" s="16">
        <f>$C60*'Revenue D'!I$7</f>
        <v>0.81209002746114567</v>
      </c>
      <c r="I59" s="16"/>
      <c r="J59" s="16"/>
    </row>
    <row r="60" spans="2:10">
      <c r="B60" s="16" t="s">
        <v>27</v>
      </c>
      <c r="C60" s="15">
        <f>FAS!C59/'Revenue D'!$D$7</f>
        <v>2.6644960200266699E-4</v>
      </c>
      <c r="D60" s="16"/>
      <c r="E60" s="16"/>
      <c r="F60" s="16"/>
      <c r="G60" s="16"/>
      <c r="H60" s="16"/>
      <c r="I60" s="16"/>
      <c r="J60" s="16"/>
    </row>
    <row r="61" spans="2:10">
      <c r="B61" s="16" t="s">
        <v>20</v>
      </c>
      <c r="C61">
        <f>36.94/100</f>
        <v>0.36939999999999995</v>
      </c>
      <c r="D61" s="16"/>
      <c r="E61" s="16"/>
      <c r="F61" s="16"/>
      <c r="G61" s="16"/>
      <c r="H61" s="16"/>
      <c r="I61" s="16"/>
      <c r="J61" s="16"/>
    </row>
    <row r="62" spans="2:10">
      <c r="B62" s="16" t="s">
        <v>21</v>
      </c>
      <c r="C62" s="16">
        <f>C58+C59-C61-C63</f>
        <v>0.14839999999999987</v>
      </c>
      <c r="D62" s="16">
        <f>$C64*(D58+D59-D61)</f>
        <v>0.16712964824473162</v>
      </c>
      <c r="E62" s="16">
        <f t="shared" ref="E62" si="23">$C64*(E58+E59-E61)</f>
        <v>0.19085066886506719</v>
      </c>
      <c r="F62" s="16">
        <f t="shared" ref="F62" si="24">$C64*(F58+F59-F61)</f>
        <v>0.21983349538642133</v>
      </c>
      <c r="G62" s="16">
        <f t="shared" ref="G62" si="25">$C64*(G58+G59-G61)</f>
        <v>0.25438066796496628</v>
      </c>
      <c r="H62" s="16">
        <f>$C64*(H58+H59-H61)</f>
        <v>0.29482836073655899</v>
      </c>
      <c r="I62" s="16"/>
      <c r="J62" s="16"/>
    </row>
    <row r="63" spans="2:10">
      <c r="B63" s="20" t="s">
        <v>22</v>
      </c>
      <c r="C63" s="18">
        <f>189.78/100</f>
        <v>1.8977999999999999</v>
      </c>
      <c r="D63" s="20">
        <f>D58+D59-D61-D62</f>
        <v>2.1373224153561452</v>
      </c>
      <c r="E63" s="20">
        <f t="shared" ref="E63" si="26">E58+E59-E61-E62</f>
        <v>2.4406765456342647</v>
      </c>
      <c r="F63" s="20">
        <f t="shared" ref="F63" si="27">F58+F59-F61-F62</f>
        <v>2.8113208055549248</v>
      </c>
      <c r="G63" s="20">
        <f t="shared" ref="G63" si="28">G58+G59-G61-G62</f>
        <v>3.253124202587018</v>
      </c>
      <c r="H63" s="20">
        <f t="shared" ref="H63" si="29">H58+H59-H61-H62</f>
        <v>3.7703858693116046</v>
      </c>
      <c r="I63" s="16"/>
      <c r="J63" s="16"/>
    </row>
    <row r="64" spans="2:10">
      <c r="B64" s="16" t="s">
        <v>26</v>
      </c>
      <c r="C64" s="15">
        <f>C62/(C58+C59-C61)</f>
        <v>7.2524679894438407E-2</v>
      </c>
      <c r="I64" s="16"/>
      <c r="J64" s="16"/>
    </row>
    <row r="65" spans="2:10">
      <c r="B65" s="16"/>
      <c r="C65" s="15"/>
      <c r="D65" s="16"/>
      <c r="E65" s="16"/>
      <c r="F65" s="16"/>
      <c r="G65" s="16"/>
      <c r="H65" s="16"/>
      <c r="I65" s="16"/>
      <c r="J65" s="16"/>
    </row>
    <row r="66" spans="2:10">
      <c r="B66" s="16"/>
      <c r="C66" s="16"/>
      <c r="D66" s="16"/>
      <c r="E66" s="16"/>
      <c r="F66" s="16"/>
      <c r="G66" s="16"/>
      <c r="H66" s="16"/>
      <c r="I66" s="16"/>
      <c r="J66" s="16"/>
    </row>
    <row r="67" spans="2:10">
      <c r="B67" s="16"/>
      <c r="C67" s="16"/>
      <c r="D67" s="16"/>
      <c r="E67" s="16"/>
      <c r="F67" s="16"/>
      <c r="G67" s="16"/>
      <c r="H67" s="16"/>
      <c r="I67" s="16"/>
      <c r="J67" s="16"/>
    </row>
    <row r="68" spans="2:10">
      <c r="B68" s="16"/>
      <c r="C68" s="16"/>
      <c r="D68" s="16"/>
      <c r="E68" s="16"/>
      <c r="F68" s="16"/>
      <c r="G68" s="16"/>
      <c r="H68" s="16"/>
      <c r="I68" s="16"/>
      <c r="J68" s="16"/>
    </row>
    <row r="69" spans="2:10">
      <c r="B69" s="16"/>
      <c r="C69" s="175" t="s">
        <v>39</v>
      </c>
      <c r="D69" s="175"/>
      <c r="E69" s="175"/>
      <c r="F69" s="175"/>
      <c r="G69" s="175"/>
      <c r="H69" s="175"/>
      <c r="I69" s="16"/>
      <c r="J69" s="16"/>
    </row>
    <row r="70" spans="2:10">
      <c r="B70" s="16"/>
      <c r="C70" s="111">
        <v>2018</v>
      </c>
      <c r="D70" s="111" t="s">
        <v>29</v>
      </c>
      <c r="E70" s="111" t="s">
        <v>30</v>
      </c>
      <c r="F70" s="111" t="s">
        <v>31</v>
      </c>
      <c r="G70" s="111" t="s">
        <v>32</v>
      </c>
      <c r="H70" s="111" t="s">
        <v>33</v>
      </c>
      <c r="I70" s="16"/>
      <c r="J70" s="16"/>
    </row>
    <row r="71" spans="2:10">
      <c r="B71" s="16" t="s">
        <v>18</v>
      </c>
      <c r="C71" s="16">
        <f>274.1/100</f>
        <v>2.7410000000000001</v>
      </c>
      <c r="D71" s="16">
        <f>C76</f>
        <v>3.5202999999999998</v>
      </c>
      <c r="E71" s="16">
        <f t="shared" ref="E71:H71" si="30">D76</f>
        <v>4.4771578387499709</v>
      </c>
      <c r="F71" s="16">
        <f t="shared" si="30"/>
        <v>5.6072845375607452</v>
      </c>
      <c r="G71" s="16">
        <f t="shared" si="30"/>
        <v>6.9151045276578884</v>
      </c>
      <c r="H71" s="16">
        <f t="shared" si="30"/>
        <v>8.4070081351007886</v>
      </c>
      <c r="I71" s="16"/>
      <c r="J71" s="16"/>
    </row>
    <row r="72" spans="2:10">
      <c r="B72" s="16" t="s">
        <v>19</v>
      </c>
      <c r="C72">
        <f>147.29/100</f>
        <v>1.4728999999999999</v>
      </c>
      <c r="D72" s="16">
        <f>$C73*'Revenue D'!E$7</f>
        <v>1.8389862587587715</v>
      </c>
      <c r="E72" s="16">
        <f>$C73*'Revenue D'!F$7</f>
        <v>2.2349224705495843</v>
      </c>
      <c r="F72" s="16">
        <f>$C73*'Revenue D'!G$7</f>
        <v>2.6702937850531154</v>
      </c>
      <c r="G72" s="16">
        <f>$C73*'Revenue D'!H$7</f>
        <v>3.1483251744985226</v>
      </c>
      <c r="H72" s="16">
        <f>$C73*'Revenue D'!I$7</f>
        <v>3.6724820431302461</v>
      </c>
      <c r="I72" s="16"/>
      <c r="J72" s="16"/>
    </row>
    <row r="73" spans="2:10">
      <c r="B73" s="16" t="s">
        <v>27</v>
      </c>
      <c r="C73" s="15">
        <f>FAS!C72/'Revenue D'!$D$7</f>
        <v>1.2049543100697824E-3</v>
      </c>
      <c r="D73" s="16"/>
      <c r="E73" s="16"/>
      <c r="F73" s="16"/>
      <c r="G73" s="16"/>
      <c r="H73" s="16"/>
      <c r="I73" s="16"/>
      <c r="J73" s="16"/>
    </row>
    <row r="74" spans="2:10">
      <c r="B74" s="16" t="s">
        <v>20</v>
      </c>
      <c r="D74" s="16"/>
      <c r="E74" s="16"/>
      <c r="F74" s="16"/>
      <c r="G74" s="16"/>
      <c r="H74" s="16"/>
      <c r="I74" s="16"/>
      <c r="J74" s="16"/>
    </row>
    <row r="75" spans="2:10">
      <c r="B75" s="16" t="s">
        <v>34</v>
      </c>
      <c r="C75" s="16">
        <f>C71+C72-C74-C76</f>
        <v>0.69359999999999999</v>
      </c>
      <c r="D75" s="16">
        <f>$C77*(D71+D72-D74)</f>
        <v>0.88212842000880043</v>
      </c>
      <c r="E75" s="16">
        <f t="shared" ref="E75:G75" si="31">$C77*(E71+E72-E74)</f>
        <v>1.1047957717388099</v>
      </c>
      <c r="F75" s="16">
        <f t="shared" si="31"/>
        <v>1.3624737949559729</v>
      </c>
      <c r="G75" s="16">
        <f t="shared" si="31"/>
        <v>1.6564215670556222</v>
      </c>
      <c r="H75" s="16">
        <f>$C77*(H71+H72-H74)</f>
        <v>1.9882613226752048</v>
      </c>
      <c r="I75" s="16"/>
      <c r="J75" s="16"/>
    </row>
    <row r="76" spans="2:10">
      <c r="B76" s="20" t="s">
        <v>22</v>
      </c>
      <c r="C76" s="18">
        <f>352.03/100</f>
        <v>3.5202999999999998</v>
      </c>
      <c r="D76" s="20">
        <f>D71+D72-D74-D75</f>
        <v>4.4771578387499709</v>
      </c>
      <c r="E76" s="20">
        <f t="shared" ref="E76:H76" si="32">E71+E72-E74-E75</f>
        <v>5.6072845375607452</v>
      </c>
      <c r="F76" s="20">
        <f t="shared" si="32"/>
        <v>6.9151045276578884</v>
      </c>
      <c r="G76" s="20">
        <f t="shared" si="32"/>
        <v>8.4070081351007886</v>
      </c>
      <c r="H76" s="20">
        <f t="shared" si="32"/>
        <v>10.09122885555583</v>
      </c>
      <c r="I76" s="17"/>
      <c r="J76" s="17"/>
    </row>
    <row r="77" spans="2:10">
      <c r="B77" s="16" t="s">
        <v>26</v>
      </c>
      <c r="C77" s="15">
        <f>C75/(C71+C72-C74)</f>
        <v>0.1645981157597475</v>
      </c>
      <c r="I77" s="16"/>
      <c r="J77" s="16"/>
    </row>
    <row r="78" spans="2:10">
      <c r="B78" s="16"/>
      <c r="C78" s="16"/>
      <c r="D78" s="16"/>
      <c r="E78" s="16"/>
      <c r="F78" s="16"/>
      <c r="G78" s="16"/>
      <c r="H78" s="16"/>
      <c r="I78" s="16"/>
      <c r="J78" s="16"/>
    </row>
    <row r="79" spans="2:10">
      <c r="B79" s="16"/>
      <c r="C79" s="16"/>
      <c r="D79" s="16">
        <f>D72+D59+D48+D38+D27+D16+D5</f>
        <v>65.498200584802618</v>
      </c>
      <c r="E79" s="16">
        <f t="shared" ref="E79:H79" si="33">E72+E59+E48+E38+E27+E16+E5</f>
        <v>79.600051153368142</v>
      </c>
      <c r="F79" s="16">
        <f t="shared" si="33"/>
        <v>95.106440910444661</v>
      </c>
      <c r="G79" s="16">
        <f t="shared" si="33"/>
        <v>112.13223198561019</v>
      </c>
      <c r="H79" s="16">
        <f t="shared" si="33"/>
        <v>130.80084984832044</v>
      </c>
      <c r="I79" s="16"/>
      <c r="J79" s="16"/>
    </row>
    <row r="80" spans="2:10">
      <c r="B80" s="16"/>
      <c r="C80" s="16"/>
      <c r="D80" s="16"/>
      <c r="E80" s="16"/>
      <c r="F80" s="16"/>
      <c r="G80" s="16"/>
      <c r="H80" s="16"/>
      <c r="I80" s="16"/>
      <c r="J80" s="16"/>
    </row>
    <row r="81" spans="2:10">
      <c r="B81" s="16"/>
      <c r="C81" s="16"/>
      <c r="D81" s="16"/>
      <c r="E81" s="16"/>
      <c r="F81" s="16"/>
      <c r="G81" s="16"/>
      <c r="H81" s="16"/>
      <c r="I81" s="16"/>
      <c r="J81" s="16"/>
    </row>
    <row r="82" spans="2:10">
      <c r="B82" s="16"/>
      <c r="C82" s="15"/>
      <c r="D82" s="16"/>
      <c r="E82" s="16"/>
      <c r="F82" s="16"/>
      <c r="G82" s="16"/>
      <c r="H82" s="16"/>
      <c r="I82" s="16"/>
      <c r="J82" s="16"/>
    </row>
    <row r="83" spans="2:10">
      <c r="B83" s="16"/>
      <c r="C83" s="16"/>
      <c r="D83" s="16"/>
      <c r="E83" s="16"/>
      <c r="F83" s="16"/>
      <c r="G83" s="16"/>
      <c r="H83" s="16"/>
      <c r="I83" s="16"/>
      <c r="J83" s="16"/>
    </row>
    <row r="84" spans="2:10">
      <c r="B84" s="16"/>
      <c r="C84" s="176"/>
      <c r="D84" s="176"/>
      <c r="E84" s="176"/>
      <c r="F84" s="176"/>
      <c r="G84" s="176"/>
      <c r="H84" s="176"/>
      <c r="I84" s="16"/>
      <c r="J84" s="16"/>
    </row>
    <row r="85" spans="2:10">
      <c r="B85" s="16"/>
      <c r="C85" s="17"/>
      <c r="D85" s="17"/>
      <c r="E85" s="17"/>
      <c r="F85" s="17"/>
      <c r="G85" s="17"/>
      <c r="H85" s="17"/>
      <c r="I85" s="16"/>
      <c r="J85" s="16"/>
    </row>
    <row r="86" spans="2:10">
      <c r="B86" s="16"/>
      <c r="C86" s="16"/>
      <c r="D86" s="16"/>
      <c r="E86" s="16"/>
      <c r="F86" s="16"/>
      <c r="G86" s="16"/>
      <c r="H86" s="16"/>
      <c r="I86" s="16"/>
      <c r="J86" s="16"/>
    </row>
    <row r="87" spans="2:10">
      <c r="B87" s="16"/>
      <c r="C87" s="16"/>
      <c r="D87" s="16"/>
      <c r="E87" s="16"/>
      <c r="F87" s="16"/>
      <c r="G87" s="16"/>
      <c r="H87" s="16"/>
      <c r="I87" s="16"/>
      <c r="J87" s="16"/>
    </row>
    <row r="88" spans="2:10">
      <c r="B88" s="16"/>
      <c r="C88" s="16"/>
      <c r="D88" s="16"/>
      <c r="E88" s="16"/>
      <c r="F88" s="16"/>
      <c r="G88" s="16"/>
      <c r="H88" s="16"/>
      <c r="I88" s="16"/>
      <c r="J88" s="16"/>
    </row>
    <row r="89" spans="2:10">
      <c r="B89" s="16"/>
      <c r="C89" s="16"/>
      <c r="D89" s="16"/>
      <c r="E89" s="16"/>
      <c r="F89" s="16"/>
      <c r="G89" s="16"/>
      <c r="H89" s="16"/>
      <c r="I89" s="16"/>
      <c r="J89" s="16"/>
    </row>
    <row r="90" spans="2:10">
      <c r="B90" s="16"/>
      <c r="C90" s="16"/>
      <c r="D90" s="16"/>
      <c r="E90" s="16"/>
      <c r="F90" s="16"/>
      <c r="G90" s="16"/>
      <c r="H90" s="16"/>
      <c r="I90" s="16"/>
      <c r="J90" s="16"/>
    </row>
    <row r="91" spans="2:10">
      <c r="B91" s="16"/>
      <c r="C91" s="16"/>
      <c r="D91" s="16"/>
      <c r="E91" s="16"/>
      <c r="F91" s="16"/>
      <c r="G91" s="16"/>
      <c r="H91" s="16"/>
      <c r="I91" s="16"/>
      <c r="J91" s="16"/>
    </row>
    <row r="92" spans="2:10">
      <c r="B92" s="16"/>
      <c r="C92" s="15"/>
      <c r="D92" s="16"/>
      <c r="E92" s="16"/>
      <c r="F92" s="16"/>
      <c r="G92" s="16"/>
      <c r="H92" s="16"/>
      <c r="I92" s="16"/>
      <c r="J92" s="16"/>
    </row>
    <row r="93" spans="2:10">
      <c r="B93" s="16"/>
      <c r="C93" s="176"/>
      <c r="D93" s="176"/>
      <c r="E93" s="176"/>
      <c r="F93" s="176"/>
      <c r="G93" s="176"/>
      <c r="H93" s="176"/>
      <c r="I93" s="16"/>
      <c r="J93" s="16"/>
    </row>
    <row r="94" spans="2:10">
      <c r="B94" s="16"/>
      <c r="C94" s="17"/>
      <c r="D94" s="17"/>
      <c r="E94" s="17"/>
      <c r="F94" s="17"/>
      <c r="G94" s="17"/>
      <c r="H94" s="17"/>
      <c r="I94" s="16"/>
      <c r="J94" s="16"/>
    </row>
    <row r="95" spans="2:10">
      <c r="B95" s="16"/>
      <c r="C95" s="16"/>
      <c r="D95" s="16"/>
      <c r="E95" s="16"/>
      <c r="F95" s="16"/>
      <c r="G95" s="16"/>
      <c r="H95" s="16"/>
      <c r="I95" s="16"/>
      <c r="J95" s="16"/>
    </row>
    <row r="96" spans="2:10">
      <c r="B96" s="16"/>
      <c r="C96" s="16"/>
      <c r="D96" s="16"/>
      <c r="E96" s="16"/>
      <c r="F96" s="16"/>
      <c r="G96" s="16"/>
      <c r="H96" s="16"/>
      <c r="I96" s="16"/>
      <c r="J96" s="16"/>
    </row>
    <row r="97" spans="2:10">
      <c r="B97" s="16"/>
      <c r="C97" s="16"/>
      <c r="D97" s="16"/>
      <c r="E97" s="16"/>
      <c r="F97" s="16"/>
      <c r="G97" s="16"/>
      <c r="H97" s="16"/>
      <c r="I97" s="16"/>
      <c r="J97" s="16"/>
    </row>
    <row r="98" spans="2:10">
      <c r="B98" s="16"/>
      <c r="C98" s="16"/>
      <c r="D98" s="16"/>
      <c r="E98" s="16"/>
      <c r="F98" s="16"/>
      <c r="G98" s="16"/>
      <c r="H98" s="16"/>
      <c r="I98" s="16"/>
      <c r="J98" s="16"/>
    </row>
    <row r="99" spans="2:10">
      <c r="B99" s="16"/>
      <c r="C99" s="16"/>
      <c r="D99" s="16"/>
      <c r="E99" s="16"/>
      <c r="F99" s="16"/>
      <c r="G99" s="16"/>
      <c r="H99" s="16"/>
      <c r="I99" s="16"/>
      <c r="J99" s="16"/>
    </row>
    <row r="100" spans="2:10">
      <c r="B100" s="16"/>
      <c r="C100" s="15"/>
      <c r="D100" s="16"/>
      <c r="E100" s="16"/>
      <c r="F100" s="16"/>
      <c r="G100" s="16"/>
      <c r="H100" s="16"/>
      <c r="I100" s="16"/>
      <c r="J100" s="16"/>
    </row>
    <row r="101" spans="2:10">
      <c r="B101" s="16"/>
      <c r="C101" s="176"/>
      <c r="D101" s="176"/>
      <c r="E101" s="176"/>
      <c r="F101" s="176"/>
      <c r="G101" s="176"/>
      <c r="H101" s="176"/>
      <c r="I101" s="16"/>
      <c r="J101" s="16"/>
    </row>
    <row r="102" spans="2:10">
      <c r="B102" s="16"/>
      <c r="C102" s="17"/>
      <c r="D102" s="17"/>
      <c r="E102" s="17"/>
      <c r="F102" s="17"/>
      <c r="G102" s="17"/>
      <c r="H102" s="17"/>
      <c r="I102" s="16"/>
      <c r="J102" s="16"/>
    </row>
    <row r="103" spans="2:10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>
      <c r="B104" s="16"/>
      <c r="D104" s="16"/>
      <c r="E104" s="16"/>
      <c r="F104" s="16"/>
      <c r="G104" s="16"/>
      <c r="H104" s="16"/>
    </row>
    <row r="105" spans="2:10">
      <c r="B105" s="16"/>
      <c r="D105" s="16"/>
      <c r="E105" s="16"/>
      <c r="F105" s="16"/>
      <c r="G105" s="16"/>
      <c r="H105" s="16"/>
    </row>
    <row r="106" spans="2:10">
      <c r="B106" s="16"/>
      <c r="C106" s="16"/>
      <c r="D106" s="16"/>
      <c r="E106" s="16"/>
      <c r="F106" s="16"/>
      <c r="G106" s="16"/>
      <c r="H106" s="16"/>
    </row>
    <row r="107" spans="2:10">
      <c r="B107" s="16"/>
      <c r="D107" s="16"/>
      <c r="E107" s="16"/>
      <c r="F107" s="16"/>
      <c r="G107" s="16"/>
      <c r="H107" s="16"/>
    </row>
    <row r="108" spans="2:10">
      <c r="B108" s="16"/>
      <c r="C108" s="15"/>
    </row>
    <row r="109" spans="2:10">
      <c r="C109" s="15"/>
    </row>
  </sheetData>
  <mergeCells count="11">
    <mergeCell ref="C2:H2"/>
    <mergeCell ref="C69:H69"/>
    <mergeCell ref="C84:H84"/>
    <mergeCell ref="C93:H93"/>
    <mergeCell ref="C101:H101"/>
    <mergeCell ref="C24:H24"/>
    <mergeCell ref="C13:H13"/>
    <mergeCell ref="C56:H56"/>
    <mergeCell ref="C35:H35"/>
    <mergeCell ref="C55:H55"/>
    <mergeCell ref="C45:H4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pane ySplit="1" topLeftCell="A2" activePane="bottomLeft" state="frozen"/>
      <selection pane="bottomLeft" activeCell="B1" sqref="B1"/>
    </sheetView>
  </sheetViews>
  <sheetFormatPr baseColWidth="10" defaultColWidth="8.7109375" defaultRowHeight="15" x14ac:dyDescent="0"/>
  <cols>
    <col min="1" max="1" width="25.7109375" style="23" customWidth="1"/>
    <col min="2" max="2" width="8.7109375" bestFit="1" customWidth="1"/>
    <col min="3" max="7" width="15.7109375" customWidth="1"/>
  </cols>
  <sheetData>
    <row r="1" spans="1:7" s="27" customFormat="1" ht="16" thickBot="1">
      <c r="A1" s="112" t="s">
        <v>82</v>
      </c>
      <c r="B1" s="113">
        <v>2018</v>
      </c>
      <c r="C1" s="113" t="s">
        <v>29</v>
      </c>
      <c r="D1" s="113" t="s">
        <v>30</v>
      </c>
      <c r="E1" s="113" t="s">
        <v>31</v>
      </c>
      <c r="F1" s="113" t="s">
        <v>32</v>
      </c>
      <c r="G1" s="113" t="s">
        <v>33</v>
      </c>
    </row>
    <row r="2" spans="1:7" s="1" customFormat="1" ht="30">
      <c r="A2" s="114" t="s">
        <v>83</v>
      </c>
      <c r="B2" s="92"/>
      <c r="C2" s="92"/>
      <c r="D2" s="92"/>
      <c r="E2" s="92"/>
      <c r="F2" s="92"/>
      <c r="G2" s="92"/>
    </row>
    <row r="3" spans="1:7" s="1" customFormat="1">
      <c r="A3" s="115" t="s">
        <v>87</v>
      </c>
      <c r="B3" s="93">
        <f>11246.67/100</f>
        <v>112.4667</v>
      </c>
      <c r="C3" s="95">
        <f>'P&amp;L'!E18</f>
        <v>83.467015458905053</v>
      </c>
      <c r="D3" s="95">
        <f>'P&amp;L'!F18</f>
        <v>92.632581248478033</v>
      </c>
      <c r="E3" s="95">
        <f>'P&amp;L'!G18</f>
        <v>102.22247950130172</v>
      </c>
      <c r="F3" s="95">
        <f>'P&amp;L'!H18</f>
        <v>112.33775835888204</v>
      </c>
      <c r="G3" s="95">
        <f>'P&amp;L'!I18</f>
        <v>123.06331378691581</v>
      </c>
    </row>
    <row r="4" spans="1:7" s="1" customFormat="1">
      <c r="A4" s="115" t="s">
        <v>84</v>
      </c>
      <c r="B4" s="54"/>
      <c r="C4" s="54"/>
      <c r="D4" s="54"/>
      <c r="E4" s="54"/>
      <c r="F4" s="54"/>
      <c r="G4" s="54"/>
    </row>
    <row r="5" spans="1:7" s="1" customFormat="1" ht="30">
      <c r="A5" s="115" t="s">
        <v>88</v>
      </c>
      <c r="B5" s="54">
        <f>2217.98/100</f>
        <v>22.1798</v>
      </c>
      <c r="C5" s="95">
        <f>'P&amp;L'!E15</f>
        <v>28.626264474745462</v>
      </c>
      <c r="D5" s="95">
        <f>'P&amp;L'!F15</f>
        <v>35.443404668360103</v>
      </c>
      <c r="E5" s="95">
        <f>'P&amp;L'!G15</f>
        <v>43.412939837005482</v>
      </c>
      <c r="F5" s="95">
        <f>'P&amp;L'!H15</f>
        <v>52.577664224266897</v>
      </c>
      <c r="G5" s="95">
        <f>'P&amp;L'!I15</f>
        <v>62.992448847437139</v>
      </c>
    </row>
    <row r="6" spans="1:7" s="1" customFormat="1" ht="30" hidden="1">
      <c r="A6" s="115" t="s">
        <v>89</v>
      </c>
      <c r="B6" s="54">
        <f>4.19/100</f>
        <v>4.1900000000000007E-2</v>
      </c>
      <c r="C6" s="54"/>
      <c r="D6" s="54"/>
      <c r="E6" s="54"/>
      <c r="F6" s="54"/>
      <c r="G6" s="54"/>
    </row>
    <row r="7" spans="1:7" s="1" customFormat="1" ht="30" hidden="1">
      <c r="A7" s="115" t="s">
        <v>90</v>
      </c>
      <c r="B7" s="54">
        <f>-110.39/100</f>
        <v>-1.1039000000000001</v>
      </c>
      <c r="C7" s="54"/>
      <c r="D7" s="54"/>
      <c r="E7" s="54"/>
      <c r="F7" s="54"/>
      <c r="G7" s="54"/>
    </row>
    <row r="8" spans="1:7" s="1" customFormat="1" hidden="1">
      <c r="A8" s="115" t="s">
        <v>91</v>
      </c>
      <c r="B8" s="54">
        <f>41.37/100</f>
        <v>0.41369999999999996</v>
      </c>
      <c r="C8" s="54"/>
      <c r="D8" s="54"/>
      <c r="E8" s="54"/>
      <c r="F8" s="54"/>
      <c r="G8" s="54"/>
    </row>
    <row r="9" spans="1:7" s="1" customFormat="1" ht="30" hidden="1">
      <c r="A9" s="115" t="s">
        <v>92</v>
      </c>
      <c r="B9" s="54">
        <f>118.67/100</f>
        <v>1.1867000000000001</v>
      </c>
      <c r="C9" s="54"/>
      <c r="D9" s="54"/>
      <c r="E9" s="54"/>
      <c r="F9" s="54"/>
      <c r="G9" s="54"/>
    </row>
    <row r="10" spans="1:7" s="1" customFormat="1" hidden="1">
      <c r="A10" s="115" t="s">
        <v>93</v>
      </c>
      <c r="B10" s="54">
        <f>54.95/100</f>
        <v>0.54949999999999999</v>
      </c>
      <c r="C10" s="54"/>
      <c r="D10" s="54"/>
      <c r="E10" s="54"/>
      <c r="F10" s="54"/>
      <c r="G10" s="54"/>
    </row>
    <row r="11" spans="1:7" s="1" customFormat="1" hidden="1">
      <c r="A11" s="115" t="s">
        <v>94</v>
      </c>
      <c r="B11" s="54">
        <f>-47.14/100</f>
        <v>-0.47139999999999999</v>
      </c>
      <c r="C11" s="54"/>
      <c r="D11" s="54"/>
      <c r="E11" s="54"/>
      <c r="F11" s="54"/>
      <c r="G11" s="54"/>
    </row>
    <row r="12" spans="1:7" s="1" customFormat="1" hidden="1">
      <c r="A12" s="115" t="s">
        <v>95</v>
      </c>
      <c r="B12" s="54">
        <f>99.48/100</f>
        <v>0.99480000000000002</v>
      </c>
      <c r="C12" s="54"/>
      <c r="D12" s="54"/>
      <c r="E12" s="54"/>
      <c r="F12" s="54"/>
      <c r="G12" s="54"/>
    </row>
    <row r="13" spans="1:7" s="1" customFormat="1" hidden="1">
      <c r="A13" s="115" t="s">
        <v>96</v>
      </c>
      <c r="B13" s="54">
        <f>-26.35/100</f>
        <v>-0.26350000000000001</v>
      </c>
      <c r="C13" s="54"/>
      <c r="D13" s="54"/>
      <c r="E13" s="54"/>
      <c r="F13" s="54"/>
      <c r="G13" s="54"/>
    </row>
    <row r="14" spans="1:7" s="1" customFormat="1">
      <c r="A14" s="115" t="s">
        <v>97</v>
      </c>
      <c r="B14" s="54">
        <f>152.89/100</f>
        <v>1.5288999999999999</v>
      </c>
      <c r="C14" s="54">
        <f>'P&amp;L'!E17</f>
        <v>1.3772526886076801E-2</v>
      </c>
      <c r="D14" s="54">
        <f>'P&amp;L'!F17</f>
        <v>0</v>
      </c>
      <c r="E14" s="54">
        <f>'P&amp;L'!G17</f>
        <v>0</v>
      </c>
      <c r="F14" s="54">
        <f>'P&amp;L'!H17</f>
        <v>0</v>
      </c>
      <c r="G14" s="54">
        <f>'P&amp;L'!I17</f>
        <v>0</v>
      </c>
    </row>
    <row r="15" spans="1:7" s="1" customFormat="1" ht="30" hidden="1">
      <c r="A15" s="115" t="s">
        <v>98</v>
      </c>
      <c r="B15" s="54">
        <v>0</v>
      </c>
      <c r="C15" s="54"/>
      <c r="D15" s="54"/>
      <c r="E15" s="54"/>
      <c r="F15" s="54"/>
      <c r="G15" s="54"/>
    </row>
    <row r="16" spans="1:7" s="1" customFormat="1" ht="30" hidden="1">
      <c r="A16" s="115" t="s">
        <v>99</v>
      </c>
      <c r="B16" s="54">
        <f>-50.69/100</f>
        <v>-0.50690000000000002</v>
      </c>
      <c r="C16" s="54"/>
      <c r="D16" s="54"/>
      <c r="E16" s="54"/>
      <c r="F16" s="54"/>
      <c r="G16" s="54"/>
    </row>
    <row r="17" spans="1:7" s="1" customFormat="1" ht="30" hidden="1">
      <c r="A17" s="115" t="s">
        <v>86</v>
      </c>
      <c r="B17" s="54">
        <v>0</v>
      </c>
      <c r="C17" s="54"/>
      <c r="D17" s="54"/>
      <c r="E17" s="54"/>
      <c r="F17" s="54"/>
      <c r="G17" s="54"/>
    </row>
    <row r="18" spans="1:7" s="1" customFormat="1" ht="30">
      <c r="A18" s="116" t="s">
        <v>100</v>
      </c>
      <c r="B18" s="121">
        <f>SUM(B3:B17)</f>
        <v>137.0163</v>
      </c>
      <c r="C18" s="121">
        <f>SUM(C3:C17)</f>
        <v>112.10705246053658</v>
      </c>
      <c r="D18" s="121">
        <f t="shared" ref="D18:G18" si="0">SUM(D3:D17)</f>
        <v>128.07598591683814</v>
      </c>
      <c r="E18" s="121">
        <f t="shared" si="0"/>
        <v>145.6354193383072</v>
      </c>
      <c r="F18" s="121">
        <f t="shared" si="0"/>
        <v>164.91542258314894</v>
      </c>
      <c r="G18" s="121">
        <f t="shared" si="0"/>
        <v>186.05576263435296</v>
      </c>
    </row>
    <row r="19" spans="1:7" s="1" customFormat="1">
      <c r="A19" s="117" t="s">
        <v>85</v>
      </c>
      <c r="B19" s="54"/>
      <c r="C19" s="54"/>
      <c r="D19" s="54"/>
      <c r="E19" s="54"/>
      <c r="F19" s="54"/>
      <c r="G19" s="54"/>
    </row>
    <row r="20" spans="1:7" s="1" customFormat="1" ht="30">
      <c r="A20" s="115" t="s">
        <v>101</v>
      </c>
      <c r="B20" s="54">
        <f>-131.32/100</f>
        <v>-1.3131999999999999</v>
      </c>
      <c r="C20" s="54">
        <v>0</v>
      </c>
      <c r="D20" s="54">
        <f>C20</f>
        <v>0</v>
      </c>
      <c r="E20" s="54">
        <f t="shared" ref="E20:G20" si="1">D20</f>
        <v>0</v>
      </c>
      <c r="F20" s="54">
        <f t="shared" si="1"/>
        <v>0</v>
      </c>
      <c r="G20" s="54">
        <f t="shared" si="1"/>
        <v>0</v>
      </c>
    </row>
    <row r="21" spans="1:7" s="1" customFormat="1">
      <c r="A21" s="115" t="s">
        <v>102</v>
      </c>
      <c r="B21" s="54">
        <f>-945.84/100</f>
        <v>-9.458400000000001</v>
      </c>
      <c r="C21" s="54">
        <f>-(BS!C19-BS!B19)</f>
        <v>-2.211075437021929</v>
      </c>
      <c r="D21" s="54">
        <f>-(BS!D19-BS!C19)</f>
        <v>-3.2859022826175277</v>
      </c>
      <c r="E21" s="54">
        <f>-(BS!E19-BS!D19)</f>
        <v>-3.6131769550524915</v>
      </c>
      <c r="F21" s="54">
        <f>-(BS!F19-BS!E19)</f>
        <v>-3.9672158973208127</v>
      </c>
      <c r="G21" s="54">
        <f>-(BS!G19-BS!F19)</f>
        <v>-4.3500144715144273</v>
      </c>
    </row>
    <row r="22" spans="1:7" s="1" customFormat="1">
      <c r="A22" s="115" t="s">
        <v>103</v>
      </c>
      <c r="B22" s="54">
        <f>-3793.65/100</f>
        <v>-37.936500000000002</v>
      </c>
      <c r="C22" s="54">
        <f>-(BS!C13-BS!B13)</f>
        <v>-86.131546443063598</v>
      </c>
      <c r="D22" s="54">
        <f>-(BS!D13-BS!C13)</f>
        <v>-57.356754630799685</v>
      </c>
      <c r="E22" s="54">
        <f>-(BS!E13-BS!D13)</f>
        <v>-55.149609243189332</v>
      </c>
      <c r="F22" s="54">
        <f>-(BS!F13-BS!E13)</f>
        <v>-52.068258428199499</v>
      </c>
      <c r="G22" s="54">
        <f>-(BS!G13-BS!F13)</f>
        <v>-47.994736711871042</v>
      </c>
    </row>
    <row r="23" spans="1:7" s="1" customFormat="1">
      <c r="A23" s="115" t="s">
        <v>104</v>
      </c>
      <c r="B23" s="54">
        <f>687.88 /100</f>
        <v>6.8788</v>
      </c>
      <c r="C23" s="54">
        <f>(BS!C35-BS!B35)</f>
        <v>80.39965776421144</v>
      </c>
      <c r="D23" s="54">
        <f>(BS!D35-BS!C35)</f>
        <v>53.218542951697401</v>
      </c>
      <c r="E23" s="54">
        <f>(BS!E35-BS!D35)</f>
        <v>58.519090476838187</v>
      </c>
      <c r="F23" s="54">
        <f>(BS!F35-BS!E35)</f>
        <v>64.2531126829615</v>
      </c>
      <c r="G23" s="54">
        <f>(BS!G35-BS!F35)</f>
        <v>70.452926496762188</v>
      </c>
    </row>
    <row r="24" spans="1:7" s="1" customFormat="1" ht="30">
      <c r="A24" s="115" t="s">
        <v>105</v>
      </c>
      <c r="B24" s="54">
        <f>182.46/100</f>
        <v>1.8246</v>
      </c>
      <c r="C24" s="54">
        <f>0</f>
        <v>0</v>
      </c>
      <c r="D24" s="54">
        <f>C24</f>
        <v>0</v>
      </c>
      <c r="E24" s="54">
        <f t="shared" ref="E24:G24" si="2">D24</f>
        <v>0</v>
      </c>
      <c r="F24" s="54">
        <f t="shared" si="2"/>
        <v>0</v>
      </c>
      <c r="G24" s="54">
        <f t="shared" si="2"/>
        <v>0</v>
      </c>
    </row>
    <row r="25" spans="1:7" s="1" customFormat="1">
      <c r="A25" s="115" t="s">
        <v>106</v>
      </c>
      <c r="B25" s="54">
        <f>432.09/100</f>
        <v>4.3209</v>
      </c>
      <c r="C25" s="54">
        <f>0</f>
        <v>0</v>
      </c>
      <c r="D25" s="54">
        <f t="shared" ref="D25:G26" si="3">C25</f>
        <v>0</v>
      </c>
      <c r="E25" s="54">
        <f t="shared" si="3"/>
        <v>0</v>
      </c>
      <c r="F25" s="54">
        <f t="shared" si="3"/>
        <v>0</v>
      </c>
      <c r="G25" s="54">
        <f t="shared" si="3"/>
        <v>0</v>
      </c>
    </row>
    <row r="26" spans="1:7" s="1" customFormat="1">
      <c r="A26" s="118" t="s">
        <v>107</v>
      </c>
      <c r="B26" s="122">
        <f>111.47 /100</f>
        <v>1.1147</v>
      </c>
      <c r="C26" s="122">
        <f>0</f>
        <v>0</v>
      </c>
      <c r="D26" s="122">
        <f t="shared" si="3"/>
        <v>0</v>
      </c>
      <c r="E26" s="122">
        <f t="shared" si="3"/>
        <v>0</v>
      </c>
      <c r="F26" s="122">
        <f t="shared" si="3"/>
        <v>0</v>
      </c>
      <c r="G26" s="122">
        <f t="shared" si="3"/>
        <v>0</v>
      </c>
    </row>
    <row r="27" spans="1:7" s="1" customFormat="1">
      <c r="A27" s="118" t="s">
        <v>108</v>
      </c>
      <c r="B27" s="123">
        <f>SUM(B18:B26)</f>
        <v>102.4472</v>
      </c>
      <c r="C27" s="123">
        <f>SUM(C18:C26)</f>
        <v>104.16408834466249</v>
      </c>
      <c r="D27" s="123">
        <f t="shared" ref="D27:G27" si="4">SUM(D18:D26)</f>
        <v>120.65187195511832</v>
      </c>
      <c r="E27" s="123">
        <f t="shared" si="4"/>
        <v>145.39172361690356</v>
      </c>
      <c r="F27" s="123">
        <f t="shared" si="4"/>
        <v>173.13306094059013</v>
      </c>
      <c r="G27" s="123">
        <f t="shared" si="4"/>
        <v>204.16393794772966</v>
      </c>
    </row>
    <row r="28" spans="1:7" s="1" customFormat="1">
      <c r="A28" s="115" t="s">
        <v>109</v>
      </c>
      <c r="B28" s="54">
        <f>-3810.96/100</f>
        <v>-38.1096</v>
      </c>
      <c r="C28" s="54">
        <f>-'P&amp;L'!E19</f>
        <v>-29.75299845298785</v>
      </c>
      <c r="D28" s="54">
        <f>-'P&amp;L'!F19</f>
        <v>-33.020194042270525</v>
      </c>
      <c r="E28" s="54">
        <f>-'P&amp;L'!G19</f>
        <v>-36.438648941032959</v>
      </c>
      <c r="F28" s="54">
        <f>-'P&amp;L'!H19</f>
        <v>-40.044383188824597</v>
      </c>
      <c r="G28" s="54">
        <f>-'P&amp;L'!I19</f>
        <v>-43.86765915362583</v>
      </c>
    </row>
    <row r="29" spans="1:7" ht="30">
      <c r="A29" s="119" t="s">
        <v>110</v>
      </c>
      <c r="B29" s="124">
        <f>B27+B28</f>
        <v>64.337599999999995</v>
      </c>
      <c r="C29" s="124">
        <f t="shared" ref="C29:G29" si="5">C27+C28</f>
        <v>74.411089891674635</v>
      </c>
      <c r="D29" s="124">
        <f t="shared" si="5"/>
        <v>87.631677912847806</v>
      </c>
      <c r="E29" s="124">
        <f t="shared" si="5"/>
        <v>108.9530746758706</v>
      </c>
      <c r="F29" s="124">
        <f t="shared" si="5"/>
        <v>133.08867775176554</v>
      </c>
      <c r="G29" s="124">
        <f t="shared" si="5"/>
        <v>160.29627879410384</v>
      </c>
    </row>
    <row r="30" spans="1:7" ht="30">
      <c r="A30" s="120" t="s">
        <v>111</v>
      </c>
      <c r="B30" s="75"/>
      <c r="C30" s="75"/>
      <c r="D30" s="75"/>
      <c r="E30" s="75"/>
      <c r="F30" s="75"/>
      <c r="G30" s="75"/>
    </row>
    <row r="31" spans="1:7" ht="60">
      <c r="A31" s="115" t="s">
        <v>112</v>
      </c>
      <c r="B31" s="75">
        <f>-4791.06/100</f>
        <v>-47.910600000000002</v>
      </c>
      <c r="C31" s="75">
        <f>-FAS!D79</f>
        <v>-65.498200584802618</v>
      </c>
      <c r="D31" s="75">
        <f>-FAS!E79</f>
        <v>-79.600051153368142</v>
      </c>
      <c r="E31" s="75">
        <f>-FAS!F79</f>
        <v>-95.106440910444661</v>
      </c>
      <c r="F31" s="75">
        <f>-FAS!G79</f>
        <v>-112.13223198561019</v>
      </c>
      <c r="G31" s="75">
        <f>-FAS!H79</f>
        <v>-130.80084984832044</v>
      </c>
    </row>
    <row r="32" spans="1:7" s="24" customFormat="1" hidden="1">
      <c r="A32" s="115" t="s">
        <v>113</v>
      </c>
      <c r="B32" s="125">
        <f>-3403.31/100</f>
        <v>-34.033099999999997</v>
      </c>
      <c r="C32" s="125"/>
      <c r="D32" s="125"/>
      <c r="E32" s="125"/>
      <c r="F32" s="125"/>
      <c r="G32" s="125"/>
    </row>
    <row r="33" spans="1:8" s="24" customFormat="1" ht="30" hidden="1">
      <c r="A33" s="115" t="s">
        <v>114</v>
      </c>
      <c r="B33" s="125">
        <f>7355.74/100</f>
        <v>73.557400000000001</v>
      </c>
      <c r="C33" s="125"/>
      <c r="D33" s="125"/>
      <c r="E33" s="125"/>
      <c r="F33" s="125"/>
      <c r="G33" s="125"/>
    </row>
    <row r="34" spans="1:8" s="24" customFormat="1" hidden="1">
      <c r="A34" s="115" t="s">
        <v>115</v>
      </c>
      <c r="B34" s="125">
        <f>13.54/100</f>
        <v>0.13539999999999999</v>
      </c>
      <c r="C34" s="125"/>
      <c r="D34" s="125"/>
      <c r="E34" s="125"/>
      <c r="F34" s="125"/>
      <c r="G34" s="125"/>
    </row>
    <row r="35" spans="1:8">
      <c r="A35" s="115" t="s">
        <v>120</v>
      </c>
      <c r="B35" s="75">
        <f>-(99.71)/100</f>
        <v>-0.99709999999999999</v>
      </c>
      <c r="C35" s="75">
        <v>0</v>
      </c>
      <c r="D35" s="75">
        <f>C35</f>
        <v>0</v>
      </c>
      <c r="E35" s="75">
        <f t="shared" ref="E35:G35" si="6">D35</f>
        <v>0</v>
      </c>
      <c r="F35" s="75">
        <f t="shared" si="6"/>
        <v>0</v>
      </c>
      <c r="G35" s="75">
        <f t="shared" si="6"/>
        <v>0</v>
      </c>
    </row>
    <row r="36" spans="1:8" s="24" customFormat="1" ht="60" hidden="1">
      <c r="A36" s="115" t="s">
        <v>116</v>
      </c>
      <c r="B36" s="125">
        <v>0</v>
      </c>
      <c r="C36" s="125"/>
      <c r="D36" s="125"/>
      <c r="E36" s="125"/>
      <c r="F36" s="125"/>
      <c r="G36" s="125"/>
    </row>
    <row r="37" spans="1:8" s="24" customFormat="1" ht="30" hidden="1">
      <c r="A37" s="115" t="s">
        <v>117</v>
      </c>
      <c r="B37" s="125">
        <f>-(463.35)/100</f>
        <v>-4.6335000000000006</v>
      </c>
      <c r="C37" s="125"/>
      <c r="D37" s="125"/>
      <c r="E37" s="125"/>
      <c r="F37" s="125"/>
      <c r="G37" s="125"/>
    </row>
    <row r="38" spans="1:8" s="24" customFormat="1" ht="30" hidden="1">
      <c r="A38" s="115" t="s">
        <v>118</v>
      </c>
      <c r="B38" s="125">
        <f>-(117.84)/100</f>
        <v>-1.1784000000000001</v>
      </c>
      <c r="C38" s="125"/>
      <c r="D38" s="125"/>
      <c r="E38" s="125"/>
      <c r="F38" s="125"/>
      <c r="G38" s="125"/>
    </row>
    <row r="39" spans="1:8" ht="30">
      <c r="A39" s="119" t="s">
        <v>119</v>
      </c>
      <c r="B39" s="98">
        <f>SUM(B31:B38)</f>
        <v>-15.059900000000006</v>
      </c>
      <c r="C39" s="98">
        <f t="shared" ref="C39:G39" si="7">SUM(C31:C38)</f>
        <v>-65.498200584802618</v>
      </c>
      <c r="D39" s="98">
        <f t="shared" si="7"/>
        <v>-79.600051153368142</v>
      </c>
      <c r="E39" s="98">
        <f t="shared" si="7"/>
        <v>-95.106440910444661</v>
      </c>
      <c r="F39" s="98">
        <f t="shared" si="7"/>
        <v>-112.13223198561019</v>
      </c>
      <c r="G39" s="98">
        <f t="shared" si="7"/>
        <v>-130.80084984832044</v>
      </c>
    </row>
    <row r="40" spans="1:8">
      <c r="A40" s="115"/>
      <c r="B40" s="75"/>
      <c r="C40" s="75"/>
      <c r="D40" s="75"/>
      <c r="E40" s="75"/>
      <c r="F40" s="75"/>
      <c r="G40" s="75"/>
    </row>
    <row r="41" spans="1:8" ht="30">
      <c r="A41" s="120" t="s">
        <v>121</v>
      </c>
      <c r="B41" s="75"/>
      <c r="C41" s="75"/>
      <c r="D41" s="75"/>
      <c r="E41" s="75"/>
      <c r="F41" s="75"/>
      <c r="G41" s="75"/>
    </row>
    <row r="42" spans="1:8" ht="45">
      <c r="A42" s="115" t="s">
        <v>122</v>
      </c>
      <c r="B42" s="75">
        <f>94.77/100</f>
        <v>0.94769999999999999</v>
      </c>
      <c r="C42" s="75">
        <v>0</v>
      </c>
      <c r="D42" s="75">
        <f>C42</f>
        <v>0</v>
      </c>
      <c r="E42" s="75">
        <f t="shared" ref="E42:G44" si="8">D42</f>
        <v>0</v>
      </c>
      <c r="F42" s="75">
        <f t="shared" si="8"/>
        <v>0</v>
      </c>
      <c r="G42" s="75">
        <f t="shared" si="8"/>
        <v>0</v>
      </c>
    </row>
    <row r="43" spans="1:8" ht="30">
      <c r="A43" s="115" t="s">
        <v>123</v>
      </c>
      <c r="B43" s="75">
        <f>-(23.29) /100</f>
        <v>-0.2329</v>
      </c>
      <c r="C43" s="75">
        <f>-'Debt schedule'!C7</f>
        <v>-0.32240000000000002</v>
      </c>
      <c r="D43" s="75">
        <v>0</v>
      </c>
      <c r="E43" s="75">
        <f t="shared" si="8"/>
        <v>0</v>
      </c>
      <c r="F43" s="75">
        <f t="shared" si="8"/>
        <v>0</v>
      </c>
      <c r="G43" s="75">
        <f t="shared" si="8"/>
        <v>0</v>
      </c>
    </row>
    <row r="44" spans="1:8" ht="30">
      <c r="A44" s="115" t="s">
        <v>124</v>
      </c>
      <c r="B44" s="75">
        <f>-3487.04/100</f>
        <v>-34.870399999999997</v>
      </c>
      <c r="C44" s="75">
        <v>0</v>
      </c>
      <c r="D44" s="75">
        <v>0</v>
      </c>
      <c r="E44" s="75">
        <f t="shared" si="8"/>
        <v>0</v>
      </c>
      <c r="F44" s="75">
        <f t="shared" si="8"/>
        <v>0</v>
      </c>
      <c r="G44" s="75">
        <f t="shared" si="8"/>
        <v>0</v>
      </c>
    </row>
    <row r="45" spans="1:8">
      <c r="A45" s="115" t="s">
        <v>125</v>
      </c>
      <c r="B45" s="75">
        <f>-(226.22)/100</f>
        <v>-2.2622</v>
      </c>
      <c r="C45" s="75">
        <f>-'P&amp;L'!E22</f>
        <v>-0.19145841813565553</v>
      </c>
      <c r="D45" s="75">
        <f>-'P&amp;L'!F22</f>
        <v>-0.21248258819543098</v>
      </c>
      <c r="E45" s="75">
        <f>-'P&amp;L'!G22</f>
        <v>-0.23448010109885448</v>
      </c>
      <c r="F45" s="75">
        <f>-'P&amp;L'!H22</f>
        <v>-0.25768274322551443</v>
      </c>
      <c r="G45" s="75">
        <f>-'P&amp;L'!I22</f>
        <v>-0.28228525075004285</v>
      </c>
      <c r="H45" t="s">
        <v>1</v>
      </c>
    </row>
    <row r="46" spans="1:8">
      <c r="A46" s="115" t="s">
        <v>126</v>
      </c>
      <c r="B46" s="75">
        <f>-(46.05)/100</f>
        <v>-0.46049999999999996</v>
      </c>
      <c r="C46" s="75">
        <f>-'P&amp;L'!E23</f>
        <v>-0.33625706159980695</v>
      </c>
      <c r="D46" s="75">
        <f>-'P&amp;L'!F23</f>
        <v>-0.37318166233408073</v>
      </c>
      <c r="E46" s="75">
        <f>-'P&amp;L'!G23</f>
        <v>-0.41181573819993322</v>
      </c>
      <c r="F46" s="75">
        <f>-'P&amp;L'!H23</f>
        <v>-0.45256637397158428</v>
      </c>
      <c r="G46" s="75">
        <f>-'P&amp;L'!I23</f>
        <v>-0.49577558341111644</v>
      </c>
    </row>
    <row r="47" spans="1:8">
      <c r="A47" s="115" t="s">
        <v>127</v>
      </c>
      <c r="B47" s="75">
        <f>-(152.53)/100</f>
        <v>-1.5253000000000001</v>
      </c>
      <c r="C47" s="75"/>
      <c r="D47" s="75"/>
      <c r="E47" s="75"/>
      <c r="F47" s="75"/>
      <c r="G47" s="75"/>
    </row>
    <row r="48" spans="1:8" ht="30">
      <c r="A48" s="115" t="s">
        <v>128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</row>
    <row r="49" spans="1:7" ht="30">
      <c r="A49" s="119" t="s">
        <v>129</v>
      </c>
      <c r="B49" s="98">
        <f>SUM(B42:B48)</f>
        <v>-38.403600000000004</v>
      </c>
      <c r="C49" s="98">
        <f t="shared" ref="C49:G49" si="9">SUM(C42:C48)</f>
        <v>-0.85011547973546253</v>
      </c>
      <c r="D49" s="98">
        <f t="shared" si="9"/>
        <v>-0.58566425052951177</v>
      </c>
      <c r="E49" s="98">
        <f t="shared" si="9"/>
        <v>-0.64629583929878764</v>
      </c>
      <c r="F49" s="98">
        <f t="shared" si="9"/>
        <v>-0.71024911719709871</v>
      </c>
      <c r="G49" s="98">
        <f t="shared" si="9"/>
        <v>-0.77806083416115923</v>
      </c>
    </row>
    <row r="50" spans="1:7">
      <c r="A50" s="115"/>
      <c r="B50" s="75"/>
      <c r="C50" s="75"/>
      <c r="D50" s="75"/>
      <c r="E50" s="75"/>
      <c r="F50" s="75"/>
      <c r="G50" s="75"/>
    </row>
    <row r="51" spans="1:7" ht="30">
      <c r="A51" s="119" t="s">
        <v>130</v>
      </c>
      <c r="B51" s="124">
        <f>B49+B39+B29</f>
        <v>10.874099999999984</v>
      </c>
      <c r="C51" s="124">
        <f>C49+C39+C29</f>
        <v>8.062773827136553</v>
      </c>
      <c r="D51" s="124">
        <f t="shared" ref="D51:G51" si="10">D49+D39+D29</f>
        <v>7.4459625089501458</v>
      </c>
      <c r="E51" s="124">
        <f t="shared" si="10"/>
        <v>13.200337926127148</v>
      </c>
      <c r="F51" s="124">
        <f t="shared" si="10"/>
        <v>20.246196648958261</v>
      </c>
      <c r="G51" s="124">
        <f t="shared" si="10"/>
        <v>28.71736811162225</v>
      </c>
    </row>
    <row r="52" spans="1:7" ht="16" thickBot="1">
      <c r="A52" s="115" t="s">
        <v>131</v>
      </c>
      <c r="B52" s="75">
        <f>286.3/100</f>
        <v>2.863</v>
      </c>
      <c r="C52" s="76">
        <f>B53</f>
        <v>13.737099999999984</v>
      </c>
      <c r="D52" s="76">
        <f t="shared" ref="D52:G52" si="11">C53</f>
        <v>21.799873827136537</v>
      </c>
      <c r="E52" s="76">
        <f t="shared" si="11"/>
        <v>29.245836336086683</v>
      </c>
      <c r="F52" s="76">
        <f t="shared" si="11"/>
        <v>42.44617426221383</v>
      </c>
      <c r="G52" s="76">
        <f t="shared" si="11"/>
        <v>62.692370911172091</v>
      </c>
    </row>
    <row r="53" spans="1:7" ht="16" thickBot="1">
      <c r="A53" s="127" t="s">
        <v>132</v>
      </c>
      <c r="B53" s="126">
        <f>B52+B51</f>
        <v>13.737099999999984</v>
      </c>
      <c r="C53" s="126">
        <f t="shared" ref="C53:G53" si="12">C52+C51</f>
        <v>21.799873827136537</v>
      </c>
      <c r="D53" s="126">
        <f t="shared" si="12"/>
        <v>29.245836336086683</v>
      </c>
      <c r="E53" s="126">
        <f t="shared" si="12"/>
        <v>42.44617426221383</v>
      </c>
      <c r="F53" s="126">
        <f t="shared" si="12"/>
        <v>62.692370911172091</v>
      </c>
      <c r="G53" s="126">
        <f t="shared" si="12"/>
        <v>91.409739022794341</v>
      </c>
    </row>
    <row r="54" spans="1:7">
      <c r="B54" t="s">
        <v>1</v>
      </c>
    </row>
    <row r="55" spans="1:7">
      <c r="B55" s="13" t="s">
        <v>1</v>
      </c>
    </row>
    <row r="58" spans="1:7">
      <c r="A58" s="23" t="s">
        <v>135</v>
      </c>
      <c r="B58" s="22">
        <v>0.01</v>
      </c>
    </row>
    <row r="59" spans="1:7">
      <c r="A59" s="23" t="s">
        <v>137</v>
      </c>
      <c r="B59" s="25">
        <v>4.1999999999999997E-3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" sqref="B1"/>
    </sheetView>
  </sheetViews>
  <sheetFormatPr baseColWidth="10" defaultColWidth="8.7109375" defaultRowHeight="15" x14ac:dyDescent="0"/>
  <cols>
    <col min="1" max="1" width="35.28515625" bestFit="1" customWidth="1"/>
    <col min="2" max="2" width="9.28515625" bestFit="1" customWidth="1"/>
    <col min="3" max="3" width="10" bestFit="1" customWidth="1"/>
    <col min="4" max="4" width="11.28515625" customWidth="1"/>
    <col min="5" max="5" width="14.28515625" customWidth="1"/>
    <col min="6" max="7" width="6.28515625" bestFit="1" customWidth="1"/>
  </cols>
  <sheetData>
    <row r="1" spans="1:7" ht="16" thickBot="1">
      <c r="A1" s="131" t="s">
        <v>139</v>
      </c>
      <c r="B1" s="134"/>
      <c r="C1" s="139">
        <f>'[2]P&amp;L'!F1</f>
        <v>19</v>
      </c>
      <c r="D1" s="139">
        <f>'[2]P&amp;L'!G1</f>
        <v>20</v>
      </c>
      <c r="E1" s="139">
        <f>'[2]P&amp;L'!H1</f>
        <v>21</v>
      </c>
      <c r="F1" s="139">
        <f>'[2]P&amp;L'!I1</f>
        <v>22</v>
      </c>
      <c r="G1" s="139">
        <f>'[2]P&amp;L'!J1</f>
        <v>23</v>
      </c>
    </row>
    <row r="2" spans="1:7" ht="16" thickBot="1">
      <c r="A2" s="132"/>
      <c r="B2" s="162"/>
      <c r="C2" s="177" t="s">
        <v>140</v>
      </c>
      <c r="D2" s="178"/>
      <c r="E2" s="178"/>
      <c r="F2" s="178"/>
      <c r="G2" s="179"/>
    </row>
    <row r="3" spans="1:7">
      <c r="A3" s="142" t="s">
        <v>37</v>
      </c>
      <c r="B3" s="75"/>
      <c r="C3" s="140">
        <f>'P&amp;L'!E16</f>
        <v>83.480787985791125</v>
      </c>
      <c r="D3" s="140">
        <f>'P&amp;L'!F16</f>
        <v>92.632581248478033</v>
      </c>
      <c r="E3" s="140">
        <f>'P&amp;L'!G16</f>
        <v>102.22247950130172</v>
      </c>
      <c r="F3" s="140">
        <f>'P&amp;L'!H16</f>
        <v>112.33775835888204</v>
      </c>
      <c r="G3" s="130">
        <f>'P&amp;L'!I16</f>
        <v>123.06331378691581</v>
      </c>
    </row>
    <row r="4" spans="1:7">
      <c r="A4" s="143" t="s">
        <v>141</v>
      </c>
      <c r="B4" s="135"/>
      <c r="C4" s="141">
        <f>C3*'P&amp;L'!E20</f>
        <v>29.757907865033818</v>
      </c>
      <c r="D4" s="141">
        <f>D3*'P&amp;L'!F20</f>
        <v>33.020194042270525</v>
      </c>
      <c r="E4" s="141">
        <f>E3*'P&amp;L'!G20</f>
        <v>36.438648941032959</v>
      </c>
      <c r="F4" s="141">
        <f>F3*'P&amp;L'!H20</f>
        <v>40.044383188824597</v>
      </c>
      <c r="G4" s="128">
        <f>G3*'P&amp;L'!I20</f>
        <v>43.86765915362583</v>
      </c>
    </row>
    <row r="5" spans="1:7">
      <c r="A5" s="144" t="s">
        <v>142</v>
      </c>
      <c r="B5" s="133"/>
      <c r="C5" s="137">
        <f>C3-C4</f>
        <v>53.72288012075731</v>
      </c>
      <c r="D5" s="137">
        <f t="shared" ref="D5:G5" si="0">D3-D4</f>
        <v>59.612387206207508</v>
      </c>
      <c r="E5" s="137">
        <f t="shared" si="0"/>
        <v>65.783830560268768</v>
      </c>
      <c r="F5" s="137">
        <f t="shared" si="0"/>
        <v>72.293375170057445</v>
      </c>
      <c r="G5" s="129">
        <f t="shared" si="0"/>
        <v>79.19565463328999</v>
      </c>
    </row>
    <row r="6" spans="1:7">
      <c r="A6" s="143" t="s">
        <v>143</v>
      </c>
      <c r="B6" s="75"/>
      <c r="C6" s="136">
        <f>'P&amp;L'!E15</f>
        <v>28.626264474745462</v>
      </c>
      <c r="D6" s="136">
        <f>'P&amp;L'!F15</f>
        <v>35.443404668360103</v>
      </c>
      <c r="E6" s="136">
        <f>'P&amp;L'!G15</f>
        <v>43.412939837005482</v>
      </c>
      <c r="F6" s="136">
        <f>'P&amp;L'!H15</f>
        <v>52.577664224266897</v>
      </c>
      <c r="G6" s="130">
        <f>'P&amp;L'!I15</f>
        <v>62.992448847437139</v>
      </c>
    </row>
    <row r="7" spans="1:7">
      <c r="A7" s="143" t="s">
        <v>144</v>
      </c>
      <c r="B7" s="75"/>
      <c r="C7" s="136">
        <f>FAS!D5+FAS!D16+FAS!D27+FAS!D38+FAS!D48+FAS!D59+FAS!D72</f>
        <v>65.498200584802618</v>
      </c>
      <c r="D7" s="136">
        <f>FAS!E5+FAS!E16+FAS!E27+FAS!E38+FAS!E48+FAS!E59+FAS!E72</f>
        <v>79.600051153368156</v>
      </c>
      <c r="E7" s="136">
        <f>FAS!F5+FAS!F16+FAS!F27+FAS!F38+FAS!F48+FAS!F59+FAS!F72</f>
        <v>95.106440910444647</v>
      </c>
      <c r="F7" s="136">
        <f>FAS!G5+FAS!G16+FAS!G27+FAS!G38+FAS!G48+FAS!G59+FAS!G72</f>
        <v>112.1322319856102</v>
      </c>
      <c r="G7" s="130">
        <f>FAS!H5+FAS!H16+FAS!H27+FAS!H38+FAS!H48+FAS!H59+FAS!H72</f>
        <v>130.80084984832044</v>
      </c>
    </row>
    <row r="8" spans="1:7">
      <c r="A8" s="143" t="s">
        <v>145</v>
      </c>
      <c r="B8" s="136"/>
      <c r="C8" s="136">
        <f>SUM(Cashflow!C20:C26)</f>
        <v>-7.9429641158740907</v>
      </c>
      <c r="D8" s="136">
        <f>SUM(Cashflow!D20:D26)</f>
        <v>-7.4241139617198115</v>
      </c>
      <c r="E8" s="136">
        <f>SUM(Cashflow!E20:E26)</f>
        <v>-0.24369572140363971</v>
      </c>
      <c r="F8" s="136">
        <f>SUM(Cashflow!F20:F26)</f>
        <v>8.2176383574411886</v>
      </c>
      <c r="G8" s="130">
        <f>SUM(Cashflow!G20:G26)</f>
        <v>18.108175313376719</v>
      </c>
    </row>
    <row r="9" spans="1:7">
      <c r="A9" s="145" t="s">
        <v>146</v>
      </c>
      <c r="B9" s="137"/>
      <c r="C9" s="137">
        <f>C5+C6-C7+C8</f>
        <v>8.907979894826056</v>
      </c>
      <c r="D9" s="137">
        <f t="shared" ref="D9:G9" si="1">D5+D6-D7+D8</f>
        <v>8.0316267594796358</v>
      </c>
      <c r="E9" s="137">
        <f t="shared" si="1"/>
        <v>13.846633765425963</v>
      </c>
      <c r="F9" s="137">
        <f t="shared" si="1"/>
        <v>20.956445766155326</v>
      </c>
      <c r="G9" s="129">
        <f t="shared" si="1"/>
        <v>29.495428945783416</v>
      </c>
    </row>
    <row r="10" spans="1:7">
      <c r="A10" s="143" t="s">
        <v>147</v>
      </c>
      <c r="B10" s="138"/>
      <c r="C10" s="136"/>
      <c r="D10" s="136"/>
      <c r="E10" s="136"/>
      <c r="F10" s="136"/>
      <c r="G10" s="130">
        <f>G9*(1+B36)/(B18-B36)</f>
        <v>308.98749110460858</v>
      </c>
    </row>
    <row r="11" spans="1:7" ht="16" thickBot="1">
      <c r="A11" s="146" t="s">
        <v>148</v>
      </c>
      <c r="B11" s="147"/>
      <c r="C11" s="148">
        <f>C9+C10</f>
        <v>8.907979894826056</v>
      </c>
      <c r="D11" s="148">
        <f t="shared" ref="D11:G11" si="2">D9+D10</f>
        <v>8.0316267594796358</v>
      </c>
      <c r="E11" s="148">
        <f t="shared" si="2"/>
        <v>13.846633765425963</v>
      </c>
      <c r="F11" s="148">
        <f t="shared" si="2"/>
        <v>20.956445766155326</v>
      </c>
      <c r="G11" s="149">
        <f t="shared" si="2"/>
        <v>338.48292005039201</v>
      </c>
    </row>
    <row r="12" spans="1:7">
      <c r="A12" s="11"/>
      <c r="B12" s="29"/>
      <c r="C12" s="29"/>
      <c r="D12" s="29"/>
      <c r="E12" s="29"/>
      <c r="F12" s="29"/>
      <c r="G12" s="31"/>
    </row>
    <row r="13" spans="1:7">
      <c r="A13" s="11" t="s">
        <v>149</v>
      </c>
      <c r="B13" s="29"/>
      <c r="C13" s="29">
        <f>NPV(B18,C11:G11)</f>
        <v>221.8574938211797</v>
      </c>
      <c r="D13" s="29"/>
      <c r="E13" s="29"/>
      <c r="F13" s="29"/>
      <c r="G13" s="29"/>
    </row>
    <row r="14" spans="1:7">
      <c r="A14" s="11" t="s">
        <v>150</v>
      </c>
      <c r="B14" s="29"/>
      <c r="C14" s="29">
        <f>C13-E27+BS!B17</f>
        <v>235.27219382117971</v>
      </c>
      <c r="D14" s="29"/>
      <c r="E14" s="29"/>
      <c r="F14" s="29"/>
      <c r="G14" s="31"/>
    </row>
    <row r="15" spans="1:7">
      <c r="A15" s="11" t="s">
        <v>151</v>
      </c>
      <c r="B15" s="32"/>
      <c r="C15" s="33">
        <f>C14/D15</f>
        <v>130.00363523906103</v>
      </c>
      <c r="D15" s="29">
        <f>18097355/10000000</f>
        <v>1.8097354999999999</v>
      </c>
      <c r="E15" s="34" t="s">
        <v>152</v>
      </c>
      <c r="F15" s="29"/>
      <c r="G15" s="31"/>
    </row>
    <row r="16" spans="1:7" ht="16" thickBot="1">
      <c r="A16" s="11"/>
      <c r="B16" s="29"/>
      <c r="C16" s="29"/>
      <c r="D16" s="29"/>
      <c r="E16" s="29"/>
      <c r="F16" s="29"/>
      <c r="G16" s="31"/>
    </row>
    <row r="17" spans="1:7" ht="16" thickBot="1">
      <c r="A17" s="180" t="s">
        <v>153</v>
      </c>
      <c r="B17" s="181"/>
      <c r="C17" s="29"/>
      <c r="D17" s="29"/>
      <c r="E17" s="29"/>
      <c r="F17" s="29"/>
      <c r="G17" s="31"/>
    </row>
    <row r="18" spans="1:7">
      <c r="A18" s="150" t="s">
        <v>154</v>
      </c>
      <c r="B18" s="153">
        <f>(B20*B21*B22)+(B24*B25)</f>
        <v>0.12832207674669777</v>
      </c>
      <c r="C18" s="29"/>
      <c r="D18" s="29"/>
      <c r="E18" s="29"/>
      <c r="F18" s="29"/>
      <c r="G18" s="29"/>
    </row>
    <row r="19" spans="1:7">
      <c r="A19" s="151"/>
      <c r="B19" s="151"/>
      <c r="C19" s="30"/>
      <c r="D19" s="30"/>
      <c r="E19" s="30"/>
      <c r="F19" s="30"/>
      <c r="G19" s="30"/>
    </row>
    <row r="20" spans="1:7">
      <c r="A20" s="151" t="s">
        <v>155</v>
      </c>
      <c r="B20" s="154">
        <f>'Debt schedule'!B12</f>
        <v>8.5437511700228286E-2</v>
      </c>
      <c r="C20" s="31"/>
      <c r="D20" s="31"/>
      <c r="E20" s="31"/>
      <c r="F20" s="31" t="s">
        <v>1</v>
      </c>
      <c r="G20" s="31"/>
    </row>
    <row r="21" spans="1:7">
      <c r="A21" s="151" t="s">
        <v>156</v>
      </c>
      <c r="B21" s="155">
        <f>E27/(E26+E27)</f>
        <v>9.302533867109495E-5</v>
      </c>
      <c r="C21" s="30"/>
      <c r="D21" s="31"/>
      <c r="E21" s="31"/>
      <c r="F21" s="31"/>
      <c r="G21" s="31"/>
    </row>
    <row r="22" spans="1:7">
      <c r="A22" s="151" t="s">
        <v>157</v>
      </c>
      <c r="B22" s="154">
        <f>1-32%</f>
        <v>0.67999999999999994</v>
      </c>
      <c r="C22" s="31"/>
      <c r="D22" s="31"/>
      <c r="E22" s="31"/>
      <c r="F22" s="31"/>
      <c r="G22" s="31"/>
    </row>
    <row r="23" spans="1:7">
      <c r="A23" s="151"/>
      <c r="B23" s="151"/>
      <c r="C23" s="31"/>
      <c r="D23" s="31"/>
      <c r="E23" s="31"/>
      <c r="F23" s="31"/>
      <c r="G23" s="31"/>
    </row>
    <row r="24" spans="1:7">
      <c r="A24" s="151" t="s">
        <v>158</v>
      </c>
      <c r="B24" s="156">
        <f>B27+B28*(B29-B27)</f>
        <v>0.12831679157347411</v>
      </c>
      <c r="C24" s="30"/>
      <c r="D24" s="30"/>
      <c r="E24" s="30"/>
      <c r="F24" s="30"/>
      <c r="G24" s="30"/>
    </row>
    <row r="25" spans="1:7">
      <c r="A25" s="151" t="s">
        <v>159</v>
      </c>
      <c r="B25" s="154">
        <f>1-B21%</f>
        <v>0.99999906974661323</v>
      </c>
      <c r="C25" s="30"/>
      <c r="D25" s="35" t="s">
        <v>1</v>
      </c>
      <c r="E25" s="30"/>
      <c r="F25" s="30"/>
      <c r="G25" s="30"/>
    </row>
    <row r="26" spans="1:7">
      <c r="A26" s="151"/>
      <c r="B26" s="151"/>
      <c r="C26" s="30"/>
      <c r="D26" s="35" t="s">
        <v>160</v>
      </c>
      <c r="E26" s="37">
        <f>34654000000/10000000</f>
        <v>3465.4</v>
      </c>
      <c r="F26" s="30"/>
      <c r="G26" s="30"/>
    </row>
    <row r="27" spans="1:7">
      <c r="A27" s="151" t="s">
        <v>161</v>
      </c>
      <c r="B27" s="157">
        <v>7.7100000000000002E-2</v>
      </c>
      <c r="C27" s="30"/>
      <c r="D27" s="35" t="s">
        <v>162</v>
      </c>
      <c r="E27" s="49">
        <f>'Debt schedule'!B8</f>
        <v>0.32240000000000002</v>
      </c>
      <c r="F27" s="30"/>
      <c r="G27" s="30"/>
    </row>
    <row r="28" spans="1:7">
      <c r="A28" s="151" t="s">
        <v>163</v>
      </c>
      <c r="B28" s="158">
        <f>[3]Sheet2!H5</f>
        <v>0.81425741770229099</v>
      </c>
      <c r="C28" s="30"/>
      <c r="D28" s="30"/>
      <c r="E28" s="30"/>
      <c r="F28" s="30"/>
      <c r="G28" s="30"/>
    </row>
    <row r="29" spans="1:7" ht="16" thickBot="1">
      <c r="A29" s="152" t="s">
        <v>164</v>
      </c>
      <c r="B29" s="159">
        <v>0.14000000000000001</v>
      </c>
      <c r="C29" s="30"/>
      <c r="D29" s="30"/>
      <c r="E29" s="38"/>
      <c r="F29" s="38"/>
      <c r="G29" s="30"/>
    </row>
    <row r="30" spans="1:7">
      <c r="A30" s="30"/>
      <c r="B30" s="30"/>
      <c r="C30" s="30"/>
      <c r="D30" s="30"/>
      <c r="E30" s="30"/>
      <c r="F30" s="30"/>
      <c r="G30" s="30"/>
    </row>
    <row r="31" spans="1:7">
      <c r="A31" s="30"/>
      <c r="B31" s="30"/>
      <c r="C31" s="30"/>
      <c r="D31" s="30"/>
      <c r="E31" s="30"/>
      <c r="F31" s="30"/>
      <c r="G31" s="30"/>
    </row>
    <row r="32" spans="1:7">
      <c r="A32" s="11" t="s">
        <v>165</v>
      </c>
      <c r="B32" s="30"/>
      <c r="C32" s="36"/>
      <c r="D32" s="36"/>
      <c r="E32" s="36"/>
      <c r="F32" s="36"/>
      <c r="G32" s="36"/>
    </row>
    <row r="33" spans="1:7">
      <c r="A33" s="11" t="s">
        <v>166</v>
      </c>
      <c r="B33" s="30"/>
      <c r="C33" s="36"/>
      <c r="D33" s="36"/>
      <c r="E33" s="36"/>
      <c r="F33" s="36"/>
      <c r="G33" s="36"/>
    </row>
    <row r="34" spans="1:7">
      <c r="A34" s="11" t="s">
        <v>12</v>
      </c>
      <c r="B34" s="30"/>
      <c r="C34" s="39"/>
      <c r="D34" s="39"/>
      <c r="E34" s="39"/>
      <c r="F34" s="39"/>
      <c r="G34" s="39"/>
    </row>
    <row r="35" spans="1:7">
      <c r="A35" s="30"/>
      <c r="B35" s="30"/>
      <c r="C35" s="30"/>
      <c r="D35" s="30"/>
      <c r="E35" s="30"/>
      <c r="F35" s="30"/>
      <c r="G35" s="30"/>
    </row>
    <row r="36" spans="1:7">
      <c r="A36" s="30" t="s">
        <v>167</v>
      </c>
      <c r="B36" s="160">
        <v>0.03</v>
      </c>
      <c r="C36" s="30"/>
      <c r="D36" s="30"/>
      <c r="E36" s="30"/>
      <c r="F36" s="30"/>
      <c r="G36" s="30"/>
    </row>
  </sheetData>
  <mergeCells count="2">
    <mergeCell ref="C2:G2"/>
    <mergeCell ref="A17:B1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</vt:lpstr>
      <vt:lpstr>Revenue D</vt:lpstr>
      <vt:lpstr>Cost D</vt:lpstr>
      <vt:lpstr>P&amp;L</vt:lpstr>
      <vt:lpstr>BS</vt:lpstr>
      <vt:lpstr>Debt schedule</vt:lpstr>
      <vt:lpstr>FAS</vt:lpstr>
      <vt:lpstr>Cashflow</vt:lpstr>
      <vt:lpstr>Output</vt:lpstr>
      <vt:lpstr>Sheet2</vt:lpstr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Haridas</dc:creator>
  <cp:lastModifiedBy>Shravan Paturkar</cp:lastModifiedBy>
  <dcterms:created xsi:type="dcterms:W3CDTF">2018-10-21T08:47:56Z</dcterms:created>
  <dcterms:modified xsi:type="dcterms:W3CDTF">2018-12-29T07:16:11Z</dcterms:modified>
</cp:coreProperties>
</file>