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pro\Dropbox\Süsteemide arendus\Arvutivõrgud\eksamiKonspekt\harjutustunnid\"/>
    </mc:Choice>
  </mc:AlternateContent>
  <bookViews>
    <workbookView xWindow="0" yWindow="0" windowWidth="15495" windowHeight="6885" firstSheet="1" activeTab="3"/>
  </bookViews>
  <sheets>
    <sheet name="1. harjutustund" sheetId="1" r:id="rId1"/>
    <sheet name="2. harjutustund" sheetId="2" r:id="rId2"/>
    <sheet name="3. harjutustund" sheetId="3" r:id="rId3"/>
    <sheet name="4. harjutustund"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9" i="4" l="1"/>
  <c r="B57" i="4"/>
  <c r="D52" i="4"/>
  <c r="D51" i="4"/>
  <c r="F50" i="4"/>
  <c r="B31" i="4"/>
  <c r="B32" i="4" s="1"/>
  <c r="F23" i="4"/>
  <c r="B19" i="4"/>
  <c r="B18" i="4"/>
  <c r="B13" i="4"/>
  <c r="B15" i="4" s="1"/>
  <c r="F5" i="4"/>
  <c r="B12" i="4"/>
  <c r="B60" i="3"/>
  <c r="B62" i="3" s="1"/>
  <c r="B46" i="3"/>
  <c r="D48" i="3" s="1"/>
  <c r="B45" i="3"/>
  <c r="B23" i="3"/>
  <c r="B26" i="3" s="1"/>
  <c r="B24" i="3"/>
  <c r="B27" i="3" s="1"/>
  <c r="B8" i="3"/>
  <c r="B9" i="3" s="1"/>
  <c r="B10" i="3" s="1"/>
  <c r="B124" i="2"/>
  <c r="B123" i="2"/>
  <c r="B119" i="2"/>
  <c r="B113" i="2"/>
  <c r="B114" i="2"/>
  <c r="B112" i="2"/>
  <c r="C100" i="2"/>
  <c r="C101" i="2" s="1"/>
  <c r="C99" i="2"/>
  <c r="B99" i="2"/>
  <c r="B100" i="2" s="1"/>
  <c r="B101" i="2" s="1"/>
  <c r="B80" i="2"/>
  <c r="B64" i="2"/>
  <c r="B66" i="2" s="1"/>
  <c r="B81" i="2" s="1"/>
  <c r="B82" i="2" s="1"/>
  <c r="B53" i="2"/>
  <c r="B54" i="2" s="1"/>
  <c r="B50" i="2"/>
  <c r="B36" i="2"/>
  <c r="B37" i="2"/>
  <c r="B23" i="2"/>
  <c r="B22" i="2"/>
  <c r="B10" i="2"/>
  <c r="B11" i="2" s="1"/>
  <c r="B92" i="1"/>
  <c r="B91" i="1"/>
  <c r="B77" i="1"/>
  <c r="B74" i="1"/>
  <c r="B78" i="1" s="1"/>
  <c r="B79" i="1" s="1"/>
  <c r="B80" i="1" s="1"/>
  <c r="B68" i="1"/>
  <c r="B67" i="1"/>
  <c r="B66" i="1"/>
  <c r="B51" i="1"/>
  <c r="B50" i="1"/>
  <c r="B52" i="1" s="1"/>
  <c r="B41" i="1"/>
  <c r="B40" i="1"/>
  <c r="B25" i="1"/>
  <c r="B28" i="1" s="1"/>
  <c r="B29" i="1" s="1"/>
  <c r="B16" i="1"/>
  <c r="B8" i="1"/>
  <c r="B24" i="2" l="1"/>
  <c r="B25" i="2" s="1"/>
  <c r="B26" i="2" s="1"/>
  <c r="B53" i="1"/>
  <c r="B42" i="1"/>
</calcChain>
</file>

<file path=xl/sharedStrings.xml><?xml version="1.0" encoding="utf-8"?>
<sst xmlns="http://schemas.openxmlformats.org/spreadsheetml/2006/main" count="400" uniqueCount="205">
  <si>
    <t>SNR</t>
  </si>
  <si>
    <t>korda</t>
  </si>
  <si>
    <t>dB</t>
  </si>
  <si>
    <t>Andmed:</t>
  </si>
  <si>
    <t>Lahendus</t>
  </si>
  <si>
    <t>1. Signaal-müra suhe on 200 korda, mitu dB see on?</t>
  </si>
  <si>
    <t>2. Signaali võimsus on -60 dBm, mitu mW see on?</t>
  </si>
  <si>
    <t>P</t>
  </si>
  <si>
    <t>dBm</t>
  </si>
  <si>
    <t>mW</t>
  </si>
  <si>
    <t>1. Müra võimsus on N = -135 dBm ja signaal müra suhe on 500 korda. Kui suur on signaali võimsus S? Vastus anda nii vattides kui dBm-ides.</t>
  </si>
  <si>
    <t>N</t>
  </si>
  <si>
    <t>S =</t>
  </si>
  <si>
    <t>SNR[dB] + N[dBm]</t>
  </si>
  <si>
    <t>2. Võimendi võimendus on 13 dB ja tema sisendis on signaal võimsusega 4 dBm, kui suur on võimendi väljundvõimsus W? Mitu korda võimendi signaali võimsust suurendab?</t>
  </si>
  <si>
    <t>S[sisend]</t>
  </si>
  <si>
    <t>S[võimendi]</t>
  </si>
  <si>
    <t>S[dBm] - N[dBm]</t>
  </si>
  <si>
    <t>SNR[dB] =</t>
  </si>
  <si>
    <t>S[väljund]=</t>
  </si>
  <si>
    <t>s[sisend][mW] * s[väljund][Mw]</t>
  </si>
  <si>
    <t xml:space="preserve">S[sisend] = </t>
  </si>
  <si>
    <t xml:space="preserve">S[võim] = </t>
  </si>
  <si>
    <t>3. Raadiosaatja väljundvõimsus on P2 = 5W, signaali võimsus vastuvõtja sisendis on P1 = -109 dBm. Kui suur on sumbumus kanalis? Vastus anda kordades ja detsibellides.</t>
  </si>
  <si>
    <t>P2</t>
  </si>
  <si>
    <t>W</t>
  </si>
  <si>
    <t>P1</t>
  </si>
  <si>
    <t>K[dB]</t>
  </si>
  <si>
    <t>K</t>
  </si>
  <si>
    <t>Shannoni valem</t>
  </si>
  <si>
    <t>1. Lühilainel edastatakse andmeid kanalis mille alumine sagedus on 9,350 ja ülemine 9,353 MHz. Signaali- müra suhe vastuvõtjas on 12 dB. Kui suur on maksimaalne teoreetiline edastuskiirus selles kanalis?</t>
  </si>
  <si>
    <t>f_max</t>
  </si>
  <si>
    <t>MHz</t>
  </si>
  <si>
    <t>f_min</t>
  </si>
  <si>
    <t>B</t>
  </si>
  <si>
    <t xml:space="preserve">B = </t>
  </si>
  <si>
    <t>f_max - f_min</t>
  </si>
  <si>
    <t>Hz</t>
  </si>
  <si>
    <t xml:space="preserve">C = </t>
  </si>
  <si>
    <t xml:space="preserve">SNR  = </t>
  </si>
  <si>
    <t>bit/s</t>
  </si>
  <si>
    <t>2. Signaali võimsus on 0,8 mW müra oma aga 7,6 * 10 ^ -5 W. Kui suur on maksimaalne võimalik edastuskiirus kanalis ribalaiusega 200 kHz</t>
  </si>
  <si>
    <t>kHz</t>
  </si>
  <si>
    <t>S</t>
  </si>
  <si>
    <t xml:space="preserve">N = </t>
  </si>
  <si>
    <t>3. Kui suur peab olema signaal-müra suhe kanalis ribalaiusega 6,25 kHz, et edastada andmeid kiirusega 61000 bit/s ?</t>
  </si>
  <si>
    <t>C</t>
  </si>
  <si>
    <t xml:space="preserve">SNR = </t>
  </si>
  <si>
    <t>1.</t>
  </si>
  <si>
    <t xml:space="preserve">s(t) = </t>
  </si>
  <si>
    <t xml:space="preserve">f_max=f= </t>
  </si>
  <si>
    <t>f_s &gt;=</t>
  </si>
  <si>
    <t>diskreetimissagedus</t>
  </si>
  <si>
    <t xml:space="preserve">Δt = </t>
  </si>
  <si>
    <t>s</t>
  </si>
  <si>
    <t>diskreetimissamm</t>
  </si>
  <si>
    <t>2.</t>
  </si>
  <si>
    <t xml:space="preserve">s_1(t) = </t>
  </si>
  <si>
    <t xml:space="preserve">20 * sin(6 * pi * t) </t>
  </si>
  <si>
    <t xml:space="preserve">3,7 * cos(30800 * t) </t>
  </si>
  <si>
    <t xml:space="preserve">s_2(t) = </t>
  </si>
  <si>
    <t xml:space="preserve">1,7 * cos(21800 * t) </t>
  </si>
  <si>
    <t>f_1</t>
  </si>
  <si>
    <t>30800 * t = 2 pi * f_1 * t</t>
  </si>
  <si>
    <t>21800 * t = 2 pi * f_2 * t</t>
  </si>
  <si>
    <t>f_2</t>
  </si>
  <si>
    <t>teisendades</t>
  </si>
  <si>
    <t xml:space="preserve">f_max = </t>
  </si>
  <si>
    <t>Nyquisti kriteeriumi järgi</t>
  </si>
  <si>
    <t>Khz</t>
  </si>
  <si>
    <t>ms</t>
  </si>
  <si>
    <t>Kvantimine</t>
  </si>
  <si>
    <t>3.</t>
  </si>
  <si>
    <t>1. Mitu bitti on vaja signaali s(t) = 20 sin(6 * pi * t) väärtuse salvestamiseks täpsusega q = 25 mV?</t>
  </si>
  <si>
    <t>A=</t>
  </si>
  <si>
    <t>V</t>
  </si>
  <si>
    <t>q=</t>
  </si>
  <si>
    <t>mV</t>
  </si>
  <si>
    <t>n_b=</t>
  </si>
  <si>
    <t xml:space="preserve">q = </t>
  </si>
  <si>
    <t xml:space="preserve">U_m / (2^(n_b) -1) </t>
  </si>
  <si>
    <t>log_2(U_m/q) + 1</t>
  </si>
  <si>
    <t>q =</t>
  </si>
  <si>
    <t>bit</t>
  </si>
  <si>
    <t>2. Kui suure võimsusega kvantimismüra tekib, kui kuuebitise analoog-digitaalmuunduriga digitaliseerida signaali, mille pinge on vahemikus +- 1,27 V ?</t>
  </si>
  <si>
    <t>n_B</t>
  </si>
  <si>
    <t>bitti</t>
  </si>
  <si>
    <t>U_max</t>
  </si>
  <si>
    <t>U_min</t>
  </si>
  <si>
    <t>N =</t>
  </si>
  <si>
    <t>q^2 / 12</t>
  </si>
  <si>
    <t>3. Kui suur on signaal-kvantimismüra suhe, kui eelmises üleasandes antud muunduriga muunadad siinussignaali amplituudiga 0,5V?</t>
  </si>
  <si>
    <t>s(t) =</t>
  </si>
  <si>
    <t>U_m * sin(2 pi * f * t)</t>
  </si>
  <si>
    <t>U_m^2 / 2 * ( R)</t>
  </si>
  <si>
    <t xml:space="preserve">S = </t>
  </si>
  <si>
    <t>U_m</t>
  </si>
  <si>
    <t>V^2</t>
  </si>
  <si>
    <t>S/N =</t>
  </si>
  <si>
    <t>A-seadus</t>
  </si>
  <si>
    <t>1. A-seadust kasutava kompressori sisendis muutub pinge vahemikus 350mV kuni 1,05V, maksimaalne lubatud pinge väärtus on 1,4V. Millises vahemikus muutub väljundpinge? Kui suur on kompressori ülekanne 350 mV pinge jaoks?</t>
  </si>
  <si>
    <t>U_sis</t>
  </si>
  <si>
    <t>U_s =</t>
  </si>
  <si>
    <t>u_sis/u_max</t>
  </si>
  <si>
    <t>normeeritud sisendpinge</t>
  </si>
  <si>
    <t>u_s =</t>
  </si>
  <si>
    <t>u_v =</t>
  </si>
  <si>
    <t>A-seaduste järgi</t>
  </si>
  <si>
    <t>A =</t>
  </si>
  <si>
    <t>u_välj=</t>
  </si>
  <si>
    <t>Kompressori ülekanne 350mV jaoks on 1,05 V</t>
  </si>
  <si>
    <t>2. CD plaadile salvestatakse muusika stereohelina, mõlemas kanalis on diskreetimissagedus 44,1 kHz ja signaali väärtused salvestatakse 16-bitiste arvudena. Kui suur andmemaht salvestatakse ühes sekundis</t>
  </si>
  <si>
    <t>Δt</t>
  </si>
  <si>
    <t>hZ</t>
  </si>
  <si>
    <t xml:space="preserve">r = </t>
  </si>
  <si>
    <t>bait/s</t>
  </si>
  <si>
    <t>kB/s</t>
  </si>
  <si>
    <t>3. MP3 audio koodek (MPEG-2 Audio Layer III) kasutades saab stereoheli salvestada ligikaudse mahuga u 1,5 MB minuti kohta. Mitu korda vähem vajab MP3 formaadis heli salvestamiseks vähem ruumi, kui CD plaadile salvestatav kodeerimata heli?</t>
  </si>
  <si>
    <t>r_cd</t>
  </si>
  <si>
    <t>r_mp3</t>
  </si>
  <si>
    <t>MB/min</t>
  </si>
  <si>
    <t>k =</t>
  </si>
  <si>
    <t>1. Printeri väljaprindi punktitihedus on 600 dpi. Mitu pildipunkti sisaldab pilt, mille mõõdud paberil on 20x20 cm?</t>
  </si>
  <si>
    <t>tihedus</t>
  </si>
  <si>
    <t>DPI</t>
  </si>
  <si>
    <t>mõõdud</t>
  </si>
  <si>
    <t>20x20</t>
  </si>
  <si>
    <t>cm</t>
  </si>
  <si>
    <t>toll</t>
  </si>
  <si>
    <t>pikslit</t>
  </si>
  <si>
    <t>px</t>
  </si>
  <si>
    <t>px/cm</t>
  </si>
  <si>
    <t>Mpx</t>
  </si>
  <si>
    <t>2. Kuvari resolutsioon on 800x600, kuvasuhe 4:3, diagonaal on 20 tolli. Kui suur oleks ekraanil pilt mõõtudega 300x100 pikslit</t>
  </si>
  <si>
    <t>800x600</t>
  </si>
  <si>
    <t>diagonaal</t>
  </si>
  <si>
    <t>pildi mõõt</t>
  </si>
  <si>
    <t>300x100</t>
  </si>
  <si>
    <t>laius</t>
  </si>
  <si>
    <t>tolli</t>
  </si>
  <si>
    <t>kõrgus</t>
  </si>
  <si>
    <t>ekraani</t>
  </si>
  <si>
    <t>pildil</t>
  </si>
  <si>
    <t>YUV kodeering</t>
  </si>
  <si>
    <t>1. Videot kodeeritakse 4x2 px plokkidena värvusinfo skeemi 4:2:0 järgi. Mitu bitti piksli kohta on vaja, kui ühe komponendi jaoks kasutatakse 8 bitti?</t>
  </si>
  <si>
    <t>skeem</t>
  </si>
  <si>
    <t>4:2:0</t>
  </si>
  <si>
    <t>üks komponent</t>
  </si>
  <si>
    <t>Komponentide arv</t>
  </si>
  <si>
    <t>Y</t>
  </si>
  <si>
    <t>Cb</t>
  </si>
  <si>
    <t>Cr</t>
  </si>
  <si>
    <t>kokku</t>
  </si>
  <si>
    <t>punkti</t>
  </si>
  <si>
    <t>ühe piksli jaoks on vaja</t>
  </si>
  <si>
    <t>2. MPEG-1 koodeksiga surutakse kokku järgnevate parameetritega videot. SIF formaadis (352 x 240) värviline (8 bitti värvikomponent), kaadrisagedus 25 fps ja värvusinfo aladiskreetimine skeemi 4:2:0 kohaselt. Kui suur peaks olema koodri kompressioontegur, kui lõplik andmevoog on kiirusega 1,5 Mbit/s</t>
  </si>
  <si>
    <t>sagedus</t>
  </si>
  <si>
    <t>bit/px</t>
  </si>
  <si>
    <t>fps</t>
  </si>
  <si>
    <t>352</t>
  </si>
  <si>
    <t>voog =</t>
  </si>
  <si>
    <t>lõplik voog</t>
  </si>
  <si>
    <t>Mbit/s</t>
  </si>
  <si>
    <t>k=</t>
  </si>
  <si>
    <t>3. Harjutustund</t>
  </si>
  <si>
    <t>2. Harjutustund</t>
  </si>
  <si>
    <t>1. Harjutustund</t>
  </si>
  <si>
    <t>4. Harjutustund</t>
  </si>
  <si>
    <t>P_s</t>
  </si>
  <si>
    <t>U_vmin</t>
  </si>
  <si>
    <t>dBµV</t>
  </si>
  <si>
    <t>Z</t>
  </si>
  <si>
    <t>Ω</t>
  </si>
  <si>
    <t>1.) Motorola VX-2000 raadiosaatja väljundvõimsus on 50 W ja tundlikkus -4 dBµV (sisendimpedants 50 Ω). Kui suure vahemaa taha saaks kahe sellise raadio vahel, töösagedusel 165 MHz, teoreetiliselt sidet pidada? Siinjuures eeldame et jaamade vahe on otsenähtavus ja täiendavad kaod kanalis puuduvad ja mõlema antenni võimendus on 5,2 dBi.</t>
  </si>
  <si>
    <t>f</t>
  </si>
  <si>
    <t>G</t>
  </si>
  <si>
    <t>dBi</t>
  </si>
  <si>
    <t>c</t>
  </si>
  <si>
    <t>m/s</t>
  </si>
  <si>
    <t>U^2 / Z</t>
  </si>
  <si>
    <t xml:space="preserve">P_vv = </t>
  </si>
  <si>
    <t>g =</t>
  </si>
  <si>
    <t>U_vmin =</t>
  </si>
  <si>
    <t xml:space="preserve">d_max = </t>
  </si>
  <si>
    <t>(g*c)/(4pi * f) * sqrt(p_s/p_vvmin)</t>
  </si>
  <si>
    <t>m</t>
  </si>
  <si>
    <t>km</t>
  </si>
  <si>
    <t>3) 5 GHz sagedusel töötava raadioreleelingi pikkus on 10 km ja lingi mõlemas otsas on antennid võimendusega 17 dBi. Milline on
minimaalne vajalik saatevõimsus Ps, kui on vastuvõtja tundlikkus on -97dBm</t>
  </si>
  <si>
    <t>GHz</t>
  </si>
  <si>
    <t>d</t>
  </si>
  <si>
    <t>Pvv</t>
  </si>
  <si>
    <t>FSL=</t>
  </si>
  <si>
    <t>20 * log(d) + 20 * log(f) + 20 * log(2pi/c)</t>
  </si>
  <si>
    <t>P_s &gt;=</t>
  </si>
  <si>
    <t>4.) Kui kõrgete mastide otsas peaksid antud antennid asuma, et maapind jääks esimesest Fresnelli tsoonist täielikult välja?</t>
  </si>
  <si>
    <t>5.) Kui kõrged peaksid mastid olema, kui arvestame asjaoluga, et maapind pole tegelikult lame vaid Maa on ligikaudu kerakujuline raadiusega 6371 km?</t>
  </si>
  <si>
    <t>Bitivea tõenäosus</t>
  </si>
  <si>
    <t>6.) Kui suur on bitivea tõenäosus, kui signaal-müra suhe on 7 dB?</t>
  </si>
  <si>
    <t>r</t>
  </si>
  <si>
    <t>kbitt/s</t>
  </si>
  <si>
    <t>𝜌 =</t>
  </si>
  <si>
    <t>bitt/s</t>
  </si>
  <si>
    <t>E_b/𝜂=</t>
  </si>
  <si>
    <t xml:space="preserve">SNR / 𝜌 </t>
  </si>
  <si>
    <t>P_b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</si>
</sst>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5" formatCode="0.0"/>
    <numFmt numFmtId="167" formatCode="0.0E+00"/>
    <numFmt numFmtId="170" formatCode="0.0000"/>
  </numFmts>
  <fonts count="6" x14ac:knownFonts="1">
    <font>
      <sz val="11"/>
      <color theme="1"/>
      <name val="Calibri"/>
      <family val="2"/>
      <charset val="186"/>
      <scheme val="minor"/>
    </font>
    <font>
      <sz val="11"/>
      <color theme="1"/>
      <name val="Calibri"/>
      <family val="2"/>
      <charset val="186"/>
      <scheme val="minor"/>
    </font>
    <font>
      <sz val="18"/>
      <color theme="3"/>
      <name val="Calibri Light"/>
      <family val="2"/>
      <charset val="186"/>
      <scheme val="major"/>
    </font>
    <font>
      <b/>
      <sz val="15"/>
      <color theme="3"/>
      <name val="Calibri"/>
      <family val="2"/>
      <charset val="186"/>
      <scheme val="minor"/>
    </font>
    <font>
      <b/>
      <sz val="11"/>
      <color theme="3"/>
      <name val="Calibri"/>
      <family val="2"/>
      <charset val="186"/>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9" tint="0.79998168889431442"/>
        <bgColor indexed="65"/>
      </patternFill>
    </fill>
    <fill>
      <patternFill patternType="solid">
        <fgColor theme="9" tint="0.39997558519241921"/>
        <bgColor indexed="65"/>
      </patternFill>
    </fill>
  </fills>
  <borders count="2">
    <border>
      <left/>
      <right/>
      <top/>
      <bottom/>
      <diagonal/>
    </border>
    <border>
      <left/>
      <right/>
      <top/>
      <bottom style="thick">
        <color theme="4"/>
      </bottom>
      <diagonal/>
    </border>
  </borders>
  <cellStyleXfs count="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30">
    <xf numFmtId="0" fontId="0" fillId="0" borderId="0" xfId="0"/>
    <xf numFmtId="0" fontId="3" fillId="0" borderId="0" xfId="2" applyBorder="1" applyAlignment="1">
      <alignment horizontal="center"/>
    </xf>
    <xf numFmtId="0" fontId="1" fillId="2" borderId="0" xfId="4"/>
    <xf numFmtId="0" fontId="1" fillId="3" borderId="0" xfId="5"/>
    <xf numFmtId="0" fontId="2" fillId="0" borderId="0" xfId="1"/>
    <xf numFmtId="0" fontId="1" fillId="4" borderId="0" xfId="6"/>
    <xf numFmtId="0" fontId="0" fillId="0" borderId="0" xfId="0" applyAlignment="1">
      <alignment horizontal="right"/>
    </xf>
    <xf numFmtId="11" fontId="1" fillId="4" borderId="0" xfId="6" applyNumberFormat="1"/>
    <xf numFmtId="0" fontId="4" fillId="0" borderId="0" xfId="3" applyAlignment="1">
      <alignment wrapText="1"/>
    </xf>
    <xf numFmtId="0" fontId="4" fillId="0" borderId="0" xfId="3" applyAlignment="1">
      <alignment horizontal="left" wrapText="1"/>
    </xf>
    <xf numFmtId="0" fontId="4" fillId="0" borderId="0" xfId="3" applyAlignment="1">
      <alignment horizontal="left"/>
    </xf>
    <xf numFmtId="0" fontId="0" fillId="0" borderId="0" xfId="0" applyAlignment="1">
      <alignment horizontal="left"/>
    </xf>
    <xf numFmtId="2" fontId="1" fillId="4" borderId="0" xfId="6" applyNumberFormat="1"/>
    <xf numFmtId="2" fontId="0" fillId="0" borderId="0" xfId="0" applyNumberFormat="1"/>
    <xf numFmtId="11" fontId="0" fillId="0" borderId="0" xfId="0" applyNumberFormat="1"/>
    <xf numFmtId="0" fontId="2" fillId="0" borderId="0" xfId="1" applyAlignment="1">
      <alignment horizontal="left"/>
    </xf>
    <xf numFmtId="0" fontId="3" fillId="0" borderId="0" xfId="2" applyBorder="1" applyAlignment="1">
      <alignment horizontal="center"/>
    </xf>
    <xf numFmtId="165" fontId="0" fillId="0" borderId="0" xfId="0" applyNumberFormat="1"/>
    <xf numFmtId="1" fontId="0" fillId="0" borderId="0" xfId="0" applyNumberFormat="1"/>
    <xf numFmtId="170" fontId="0" fillId="0" borderId="0" xfId="0" applyNumberFormat="1"/>
    <xf numFmtId="0" fontId="0" fillId="3" borderId="0" xfId="5" applyFont="1"/>
    <xf numFmtId="167" fontId="1" fillId="4" borderId="0" xfId="6" applyNumberFormat="1"/>
    <xf numFmtId="165" fontId="1" fillId="4" borderId="0" xfId="6" applyNumberFormat="1"/>
    <xf numFmtId="1" fontId="1" fillId="4" borderId="0" xfId="6" applyNumberFormat="1"/>
    <xf numFmtId="49" fontId="0" fillId="0" borderId="0" xfId="0" applyNumberFormat="1"/>
    <xf numFmtId="49" fontId="0" fillId="0" borderId="0" xfId="0" applyNumberFormat="1" applyAlignment="1">
      <alignment horizontal="right"/>
    </xf>
    <xf numFmtId="0" fontId="5" fillId="0" borderId="0" xfId="0" applyFont="1" applyAlignment="1">
      <alignment horizontal="right"/>
    </xf>
    <xf numFmtId="0" fontId="3" fillId="0" borderId="0" xfId="2" applyBorder="1" applyAlignment="1">
      <alignment horizontal="left"/>
    </xf>
    <xf numFmtId="0" fontId="3" fillId="0" borderId="0" xfId="2" applyBorder="1" applyAlignment="1">
      <alignment horizontal="left"/>
    </xf>
    <xf numFmtId="0" fontId="4" fillId="0" borderId="0" xfId="3" applyAlignment="1">
      <alignment horizontal="left"/>
    </xf>
  </cellXfs>
  <cellStyles count="7">
    <cellStyle name="20% - Accent1" xfId="4" builtinId="30"/>
    <cellStyle name="20% - Accent6" xfId="5" builtinId="50"/>
    <cellStyle name="60% - Accent6" xfId="6" builtinId="52"/>
    <cellStyle name="Heading 1" xfId="2" builtinId="16"/>
    <cellStyle name="Heading 4" xfId="3" builtinId="19"/>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56</xdr:row>
      <xdr:rowOff>0</xdr:rowOff>
    </xdr:from>
    <xdr:to>
      <xdr:col>6</xdr:col>
      <xdr:colOff>554906</xdr:colOff>
      <xdr:row>57</xdr:row>
      <xdr:rowOff>0</xdr:rowOff>
    </xdr:to>
    <xdr:pic>
      <xdr:nvPicPr>
        <xdr:cNvPr id="2" name="Picture 1">
          <a:extLst>
            <a:ext uri="{FF2B5EF4-FFF2-40B4-BE49-F238E27FC236}">
              <a16:creationId xmlns:a16="http://schemas.microsoft.com/office/drawing/2014/main" id="{F0D2A4D1-5D95-4BF4-B8A7-56CD4D1487B5}"/>
            </a:ext>
          </a:extLst>
        </xdr:cNvPr>
        <xdr:cNvPicPr>
          <a:picLocks noChangeAspect="1"/>
        </xdr:cNvPicPr>
      </xdr:nvPicPr>
      <xdr:blipFill>
        <a:blip xmlns:r="http://schemas.openxmlformats.org/officeDocument/2006/relationships" r:embed="rId1"/>
        <a:stretch>
          <a:fillRect/>
        </a:stretch>
      </xdr:blipFill>
      <xdr:spPr>
        <a:xfrm>
          <a:off x="0" y="15030450"/>
          <a:ext cx="4374431" cy="2447925"/>
        </a:xfrm>
        <a:prstGeom prst="rect">
          <a:avLst/>
        </a:prstGeom>
      </xdr:spPr>
    </xdr:pic>
    <xdr:clientData/>
  </xdr:twoCellAnchor>
  <xdr:twoCellAnchor editAs="oneCell">
    <xdr:from>
      <xdr:col>0</xdr:col>
      <xdr:colOff>0</xdr:colOff>
      <xdr:row>1</xdr:row>
      <xdr:rowOff>1</xdr:rowOff>
    </xdr:from>
    <xdr:to>
      <xdr:col>7</xdr:col>
      <xdr:colOff>19050</xdr:colOff>
      <xdr:row>1</xdr:row>
      <xdr:rowOff>693867</xdr:rowOff>
    </xdr:to>
    <xdr:pic>
      <xdr:nvPicPr>
        <xdr:cNvPr id="3" name="Picture 2">
          <a:extLst>
            <a:ext uri="{FF2B5EF4-FFF2-40B4-BE49-F238E27FC236}">
              <a16:creationId xmlns:a16="http://schemas.microsoft.com/office/drawing/2014/main" id="{D0F8F081-9BE3-4A6A-B36D-9FA53986778C}"/>
            </a:ext>
          </a:extLst>
        </xdr:cNvPr>
        <xdr:cNvPicPr>
          <a:picLocks noChangeAspect="1"/>
        </xdr:cNvPicPr>
      </xdr:nvPicPr>
      <xdr:blipFill>
        <a:blip xmlns:r="http://schemas.openxmlformats.org/officeDocument/2006/relationships" r:embed="rId2"/>
        <a:stretch>
          <a:fillRect/>
        </a:stretch>
      </xdr:blipFill>
      <xdr:spPr>
        <a:xfrm>
          <a:off x="0" y="371476"/>
          <a:ext cx="4448175" cy="693866"/>
        </a:xfrm>
        <a:prstGeom prst="rect">
          <a:avLst/>
        </a:prstGeom>
      </xdr:spPr>
    </xdr:pic>
    <xdr:clientData/>
  </xdr:twoCellAnchor>
  <xdr:twoCellAnchor editAs="oneCell">
    <xdr:from>
      <xdr:col>0</xdr:col>
      <xdr:colOff>0</xdr:colOff>
      <xdr:row>17</xdr:row>
      <xdr:rowOff>1</xdr:rowOff>
    </xdr:from>
    <xdr:to>
      <xdr:col>8</xdr:col>
      <xdr:colOff>400050</xdr:colOff>
      <xdr:row>17</xdr:row>
      <xdr:rowOff>2618671</xdr:rowOff>
    </xdr:to>
    <xdr:pic>
      <xdr:nvPicPr>
        <xdr:cNvPr id="4" name="Picture 3">
          <a:extLst>
            <a:ext uri="{FF2B5EF4-FFF2-40B4-BE49-F238E27FC236}">
              <a16:creationId xmlns:a16="http://schemas.microsoft.com/office/drawing/2014/main" id="{50556E3D-F36E-4DBA-AE53-E0712DF4E08E}"/>
            </a:ext>
          </a:extLst>
        </xdr:cNvPr>
        <xdr:cNvPicPr>
          <a:picLocks noChangeAspect="1"/>
        </xdr:cNvPicPr>
      </xdr:nvPicPr>
      <xdr:blipFill>
        <a:blip xmlns:r="http://schemas.openxmlformats.org/officeDocument/2006/relationships" r:embed="rId3"/>
        <a:stretch>
          <a:fillRect/>
        </a:stretch>
      </xdr:blipFill>
      <xdr:spPr>
        <a:xfrm>
          <a:off x="0" y="4324351"/>
          <a:ext cx="5438775" cy="26186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7</xdr:col>
      <xdr:colOff>371476</xdr:colOff>
      <xdr:row>1</xdr:row>
      <xdr:rowOff>2354283</xdr:rowOff>
    </xdr:to>
    <xdr:pic>
      <xdr:nvPicPr>
        <xdr:cNvPr id="3" name="Picture 2">
          <a:extLst>
            <a:ext uri="{FF2B5EF4-FFF2-40B4-BE49-F238E27FC236}">
              <a16:creationId xmlns:a16="http://schemas.microsoft.com/office/drawing/2014/main" id="{3F7B0AFC-7CB0-466B-A283-67749877CA9E}"/>
            </a:ext>
          </a:extLst>
        </xdr:cNvPr>
        <xdr:cNvPicPr>
          <a:picLocks noChangeAspect="1"/>
        </xdr:cNvPicPr>
      </xdr:nvPicPr>
      <xdr:blipFill>
        <a:blip xmlns:r="http://schemas.openxmlformats.org/officeDocument/2006/relationships" r:embed="rId1"/>
        <a:stretch>
          <a:fillRect/>
        </a:stretch>
      </xdr:blipFill>
      <xdr:spPr>
        <a:xfrm>
          <a:off x="1" y="247650"/>
          <a:ext cx="4648200" cy="2354283"/>
        </a:xfrm>
        <a:prstGeom prst="rect">
          <a:avLst/>
        </a:prstGeom>
      </xdr:spPr>
    </xdr:pic>
    <xdr:clientData/>
  </xdr:twoCellAnchor>
  <xdr:twoCellAnchor editAs="oneCell">
    <xdr:from>
      <xdr:col>0</xdr:col>
      <xdr:colOff>0</xdr:colOff>
      <xdr:row>2</xdr:row>
      <xdr:rowOff>0</xdr:rowOff>
    </xdr:from>
    <xdr:to>
      <xdr:col>6</xdr:col>
      <xdr:colOff>488441</xdr:colOff>
      <xdr:row>2</xdr:row>
      <xdr:rowOff>2352675</xdr:rowOff>
    </xdr:to>
    <xdr:pic>
      <xdr:nvPicPr>
        <xdr:cNvPr id="4" name="Picture 3">
          <a:extLst>
            <a:ext uri="{FF2B5EF4-FFF2-40B4-BE49-F238E27FC236}">
              <a16:creationId xmlns:a16="http://schemas.microsoft.com/office/drawing/2014/main" id="{B9757BA7-C318-4CF7-9559-FB23A50E308F}"/>
            </a:ext>
          </a:extLst>
        </xdr:cNvPr>
        <xdr:cNvPicPr>
          <a:picLocks noChangeAspect="1"/>
        </xdr:cNvPicPr>
      </xdr:nvPicPr>
      <xdr:blipFill>
        <a:blip xmlns:r="http://schemas.openxmlformats.org/officeDocument/2006/relationships" r:embed="rId2"/>
        <a:stretch>
          <a:fillRect/>
        </a:stretch>
      </xdr:blipFill>
      <xdr:spPr>
        <a:xfrm>
          <a:off x="0" y="2647950"/>
          <a:ext cx="4155566" cy="2352675"/>
        </a:xfrm>
        <a:prstGeom prst="rect">
          <a:avLst/>
        </a:prstGeom>
      </xdr:spPr>
    </xdr:pic>
    <xdr:clientData/>
  </xdr:twoCellAnchor>
  <xdr:twoCellAnchor editAs="oneCell">
    <xdr:from>
      <xdr:col>4</xdr:col>
      <xdr:colOff>219075</xdr:colOff>
      <xdr:row>3</xdr:row>
      <xdr:rowOff>180975</xdr:rowOff>
    </xdr:from>
    <xdr:to>
      <xdr:col>8</xdr:col>
      <xdr:colOff>94961</xdr:colOff>
      <xdr:row>6</xdr:row>
      <xdr:rowOff>38046</xdr:rowOff>
    </xdr:to>
    <xdr:pic>
      <xdr:nvPicPr>
        <xdr:cNvPr id="5" name="Picture 4">
          <a:extLst>
            <a:ext uri="{FF2B5EF4-FFF2-40B4-BE49-F238E27FC236}">
              <a16:creationId xmlns:a16="http://schemas.microsoft.com/office/drawing/2014/main" id="{61718DB4-E076-4294-A0CB-C0C02697FEC7}"/>
            </a:ext>
          </a:extLst>
        </xdr:cNvPr>
        <xdr:cNvPicPr>
          <a:picLocks noChangeAspect="1"/>
        </xdr:cNvPicPr>
      </xdr:nvPicPr>
      <xdr:blipFill>
        <a:blip xmlns:r="http://schemas.openxmlformats.org/officeDocument/2006/relationships" r:embed="rId3"/>
        <a:stretch>
          <a:fillRect/>
        </a:stretch>
      </xdr:blipFill>
      <xdr:spPr>
        <a:xfrm>
          <a:off x="2657475" y="5286375"/>
          <a:ext cx="2314286" cy="428571"/>
        </a:xfrm>
        <a:prstGeom prst="rect">
          <a:avLst/>
        </a:prstGeom>
      </xdr:spPr>
    </xdr:pic>
    <xdr:clientData/>
  </xdr:twoCellAnchor>
  <xdr:twoCellAnchor editAs="oneCell">
    <xdr:from>
      <xdr:col>0</xdr:col>
      <xdr:colOff>0</xdr:colOff>
      <xdr:row>40</xdr:row>
      <xdr:rowOff>0</xdr:rowOff>
    </xdr:from>
    <xdr:to>
      <xdr:col>7</xdr:col>
      <xdr:colOff>342900</xdr:colOff>
      <xdr:row>40</xdr:row>
      <xdr:rowOff>2182081</xdr:rowOff>
    </xdr:to>
    <xdr:pic>
      <xdr:nvPicPr>
        <xdr:cNvPr id="7" name="Picture 6">
          <a:extLst>
            <a:ext uri="{FF2B5EF4-FFF2-40B4-BE49-F238E27FC236}">
              <a16:creationId xmlns:a16="http://schemas.microsoft.com/office/drawing/2014/main" id="{BFA68B2C-F587-440A-9F36-6BEC93CA823C}"/>
            </a:ext>
          </a:extLst>
        </xdr:cNvPr>
        <xdr:cNvPicPr>
          <a:picLocks noChangeAspect="1"/>
        </xdr:cNvPicPr>
      </xdr:nvPicPr>
      <xdr:blipFill>
        <a:blip xmlns:r="http://schemas.openxmlformats.org/officeDocument/2006/relationships" r:embed="rId4"/>
        <a:stretch>
          <a:fillRect/>
        </a:stretch>
      </xdr:blipFill>
      <xdr:spPr>
        <a:xfrm>
          <a:off x="0" y="12258675"/>
          <a:ext cx="4619625" cy="2182081"/>
        </a:xfrm>
        <a:prstGeom prst="rect">
          <a:avLst/>
        </a:prstGeom>
      </xdr:spPr>
    </xdr:pic>
    <xdr:clientData/>
  </xdr:twoCellAnchor>
  <xdr:twoCellAnchor editAs="oneCell">
    <xdr:from>
      <xdr:col>0</xdr:col>
      <xdr:colOff>0</xdr:colOff>
      <xdr:row>84</xdr:row>
      <xdr:rowOff>0</xdr:rowOff>
    </xdr:from>
    <xdr:to>
      <xdr:col>8</xdr:col>
      <xdr:colOff>476047</xdr:colOff>
      <xdr:row>84</xdr:row>
      <xdr:rowOff>2571750</xdr:rowOff>
    </xdr:to>
    <xdr:pic>
      <xdr:nvPicPr>
        <xdr:cNvPr id="8" name="Picture 7">
          <a:extLst>
            <a:ext uri="{FF2B5EF4-FFF2-40B4-BE49-F238E27FC236}">
              <a16:creationId xmlns:a16="http://schemas.microsoft.com/office/drawing/2014/main" id="{114E5EB7-4F60-4941-989F-4027A36C6312}"/>
            </a:ext>
          </a:extLst>
        </xdr:cNvPr>
        <xdr:cNvPicPr>
          <a:picLocks noChangeAspect="1"/>
        </xdr:cNvPicPr>
      </xdr:nvPicPr>
      <xdr:blipFill>
        <a:blip xmlns:r="http://schemas.openxmlformats.org/officeDocument/2006/relationships" r:embed="rId5"/>
        <a:stretch>
          <a:fillRect/>
        </a:stretch>
      </xdr:blipFill>
      <xdr:spPr>
        <a:xfrm>
          <a:off x="0" y="23183850"/>
          <a:ext cx="5362372" cy="2571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30</xdr:row>
      <xdr:rowOff>0</xdr:rowOff>
    </xdr:from>
    <xdr:to>
      <xdr:col>6</xdr:col>
      <xdr:colOff>295275</xdr:colOff>
      <xdr:row>30</xdr:row>
      <xdr:rowOff>2437265</xdr:rowOff>
    </xdr:to>
    <xdr:pic>
      <xdr:nvPicPr>
        <xdr:cNvPr id="2" name="Picture 1">
          <a:extLst>
            <a:ext uri="{FF2B5EF4-FFF2-40B4-BE49-F238E27FC236}">
              <a16:creationId xmlns:a16="http://schemas.microsoft.com/office/drawing/2014/main" id="{D7EB271C-45D0-43EA-8D5C-9B360A5680AE}"/>
            </a:ext>
          </a:extLst>
        </xdr:cNvPr>
        <xdr:cNvPicPr>
          <a:picLocks noChangeAspect="1"/>
        </xdr:cNvPicPr>
      </xdr:nvPicPr>
      <xdr:blipFill>
        <a:blip xmlns:r="http://schemas.openxmlformats.org/officeDocument/2006/relationships" r:embed="rId1"/>
        <a:stretch>
          <a:fillRect/>
        </a:stretch>
      </xdr:blipFill>
      <xdr:spPr>
        <a:xfrm>
          <a:off x="0" y="6315075"/>
          <a:ext cx="3952875" cy="2437265"/>
        </a:xfrm>
        <a:prstGeom prst="rect">
          <a:avLst/>
        </a:prstGeom>
      </xdr:spPr>
    </xdr:pic>
    <xdr:clientData/>
  </xdr:twoCellAnchor>
  <xdr:twoCellAnchor editAs="oneCell">
    <xdr:from>
      <xdr:col>0</xdr:col>
      <xdr:colOff>0</xdr:colOff>
      <xdr:row>31</xdr:row>
      <xdr:rowOff>9525</xdr:rowOff>
    </xdr:from>
    <xdr:to>
      <xdr:col>9</xdr:col>
      <xdr:colOff>41111</xdr:colOff>
      <xdr:row>31</xdr:row>
      <xdr:rowOff>2219325</xdr:rowOff>
    </xdr:to>
    <xdr:pic>
      <xdr:nvPicPr>
        <xdr:cNvPr id="3" name="Picture 2">
          <a:extLst>
            <a:ext uri="{FF2B5EF4-FFF2-40B4-BE49-F238E27FC236}">
              <a16:creationId xmlns:a16="http://schemas.microsoft.com/office/drawing/2014/main" id="{8F6A8CFD-39E3-474C-87F3-D33C567BF63E}"/>
            </a:ext>
          </a:extLst>
        </xdr:cNvPr>
        <xdr:cNvPicPr>
          <a:picLocks noChangeAspect="1"/>
        </xdr:cNvPicPr>
      </xdr:nvPicPr>
      <xdr:blipFill>
        <a:blip xmlns:r="http://schemas.openxmlformats.org/officeDocument/2006/relationships" r:embed="rId2"/>
        <a:stretch>
          <a:fillRect/>
        </a:stretch>
      </xdr:blipFill>
      <xdr:spPr>
        <a:xfrm>
          <a:off x="0" y="8801100"/>
          <a:ext cx="5527511" cy="2209800"/>
        </a:xfrm>
        <a:prstGeom prst="rect">
          <a:avLst/>
        </a:prstGeom>
      </xdr:spPr>
    </xdr:pic>
    <xdr:clientData/>
  </xdr:twoCellAnchor>
  <xdr:twoCellAnchor editAs="oneCell">
    <xdr:from>
      <xdr:col>0</xdr:col>
      <xdr:colOff>0</xdr:colOff>
      <xdr:row>32</xdr:row>
      <xdr:rowOff>1</xdr:rowOff>
    </xdr:from>
    <xdr:to>
      <xdr:col>8</xdr:col>
      <xdr:colOff>174016</xdr:colOff>
      <xdr:row>32</xdr:row>
      <xdr:rowOff>2514601</xdr:rowOff>
    </xdr:to>
    <xdr:pic>
      <xdr:nvPicPr>
        <xdr:cNvPr id="4" name="Picture 3">
          <a:extLst>
            <a:ext uri="{FF2B5EF4-FFF2-40B4-BE49-F238E27FC236}">
              <a16:creationId xmlns:a16="http://schemas.microsoft.com/office/drawing/2014/main" id="{0D1D4121-98E6-4522-877A-FC0DB6E8C079}"/>
            </a:ext>
          </a:extLst>
        </xdr:cNvPr>
        <xdr:cNvPicPr>
          <a:picLocks noChangeAspect="1"/>
        </xdr:cNvPicPr>
      </xdr:nvPicPr>
      <xdr:blipFill>
        <a:blip xmlns:r="http://schemas.openxmlformats.org/officeDocument/2006/relationships" r:embed="rId3"/>
        <a:stretch>
          <a:fillRect/>
        </a:stretch>
      </xdr:blipFill>
      <xdr:spPr>
        <a:xfrm>
          <a:off x="0" y="11077576"/>
          <a:ext cx="5050816" cy="2514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557764</xdr:colOff>
      <xdr:row>1</xdr:row>
      <xdr:rowOff>2047875</xdr:rowOff>
    </xdr:to>
    <xdr:pic>
      <xdr:nvPicPr>
        <xdr:cNvPr id="2" name="Picture 1">
          <a:extLst>
            <a:ext uri="{FF2B5EF4-FFF2-40B4-BE49-F238E27FC236}">
              <a16:creationId xmlns:a16="http://schemas.microsoft.com/office/drawing/2014/main" id="{CAD5C5A2-02F7-4D04-A836-2451FBB7EE20}"/>
            </a:ext>
          </a:extLst>
        </xdr:cNvPr>
        <xdr:cNvPicPr>
          <a:picLocks noChangeAspect="1"/>
        </xdr:cNvPicPr>
      </xdr:nvPicPr>
      <xdr:blipFill>
        <a:blip xmlns:r="http://schemas.openxmlformats.org/officeDocument/2006/relationships" r:embed="rId1"/>
        <a:stretch>
          <a:fillRect/>
        </a:stretch>
      </xdr:blipFill>
      <xdr:spPr>
        <a:xfrm>
          <a:off x="0" y="247650"/>
          <a:ext cx="3043789" cy="2047875"/>
        </a:xfrm>
        <a:prstGeom prst="rect">
          <a:avLst/>
        </a:prstGeom>
      </xdr:spPr>
    </xdr:pic>
    <xdr:clientData/>
  </xdr:twoCellAnchor>
  <xdr:twoCellAnchor editAs="oneCell">
    <xdr:from>
      <xdr:col>0</xdr:col>
      <xdr:colOff>0</xdr:colOff>
      <xdr:row>44</xdr:row>
      <xdr:rowOff>0</xdr:rowOff>
    </xdr:from>
    <xdr:to>
      <xdr:col>7</xdr:col>
      <xdr:colOff>133350</xdr:colOff>
      <xdr:row>44</xdr:row>
      <xdr:rowOff>1995579</xdr:rowOff>
    </xdr:to>
    <xdr:pic>
      <xdr:nvPicPr>
        <xdr:cNvPr id="4" name="Picture 3">
          <a:extLst>
            <a:ext uri="{FF2B5EF4-FFF2-40B4-BE49-F238E27FC236}">
              <a16:creationId xmlns:a16="http://schemas.microsoft.com/office/drawing/2014/main" id="{27027F69-BED3-4820-9680-3B18FE27C403}"/>
            </a:ext>
          </a:extLst>
        </xdr:cNvPr>
        <xdr:cNvPicPr>
          <a:picLocks noChangeAspect="1"/>
        </xdr:cNvPicPr>
      </xdr:nvPicPr>
      <xdr:blipFill>
        <a:blip xmlns:r="http://schemas.openxmlformats.org/officeDocument/2006/relationships" r:embed="rId2"/>
        <a:stretch>
          <a:fillRect/>
        </a:stretch>
      </xdr:blipFill>
      <xdr:spPr>
        <a:xfrm>
          <a:off x="0" y="12277725"/>
          <a:ext cx="4505325" cy="1995579"/>
        </a:xfrm>
        <a:prstGeom prst="rect">
          <a:avLst/>
        </a:prstGeom>
      </xdr:spPr>
    </xdr:pic>
    <xdr:clientData/>
  </xdr:twoCellAnchor>
  <xdr:twoCellAnchor editAs="oneCell">
    <xdr:from>
      <xdr:col>0</xdr:col>
      <xdr:colOff>0</xdr:colOff>
      <xdr:row>45</xdr:row>
      <xdr:rowOff>38101</xdr:rowOff>
    </xdr:from>
    <xdr:to>
      <xdr:col>7</xdr:col>
      <xdr:colOff>596190</xdr:colOff>
      <xdr:row>45</xdr:row>
      <xdr:rowOff>1295401</xdr:rowOff>
    </xdr:to>
    <xdr:pic>
      <xdr:nvPicPr>
        <xdr:cNvPr id="5" name="Picture 4">
          <a:extLst>
            <a:ext uri="{FF2B5EF4-FFF2-40B4-BE49-F238E27FC236}">
              <a16:creationId xmlns:a16="http://schemas.microsoft.com/office/drawing/2014/main" id="{00A2C5AF-D6B0-4CC1-BAEA-5CB1A8D1C9FD}"/>
            </a:ext>
          </a:extLst>
        </xdr:cNvPr>
        <xdr:cNvPicPr>
          <a:picLocks noChangeAspect="1"/>
        </xdr:cNvPicPr>
      </xdr:nvPicPr>
      <xdr:blipFill>
        <a:blip xmlns:r="http://schemas.openxmlformats.org/officeDocument/2006/relationships" r:embed="rId3"/>
        <a:stretch>
          <a:fillRect/>
        </a:stretch>
      </xdr:blipFill>
      <xdr:spPr>
        <a:xfrm>
          <a:off x="0" y="14392276"/>
          <a:ext cx="4968165" cy="125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selection activeCell="A2" sqref="A2"/>
    </sheetView>
  </sheetViews>
  <sheetFormatPr defaultRowHeight="15" x14ac:dyDescent="0.25"/>
  <cols>
    <col min="1" max="1" width="11.5703125" customWidth="1"/>
    <col min="2" max="2" width="9.140625" customWidth="1"/>
  </cols>
  <sheetData>
    <row r="1" spans="1:8" ht="29.25" customHeight="1" x14ac:dyDescent="0.3">
      <c r="A1" s="1" t="s">
        <v>166</v>
      </c>
      <c r="B1" s="1"/>
    </row>
    <row r="2" spans="1:8" ht="59.25" customHeight="1" x14ac:dyDescent="0.3">
      <c r="A2" s="16"/>
      <c r="B2" s="16"/>
    </row>
    <row r="3" spans="1:8" x14ac:dyDescent="0.25">
      <c r="A3" s="10" t="s">
        <v>5</v>
      </c>
      <c r="B3" s="10"/>
      <c r="C3" s="10"/>
      <c r="D3" s="10"/>
      <c r="E3" s="10"/>
      <c r="F3" s="10"/>
      <c r="G3" s="10"/>
      <c r="H3" s="10"/>
    </row>
    <row r="4" spans="1:8" x14ac:dyDescent="0.25">
      <c r="A4" s="2" t="s">
        <v>3</v>
      </c>
    </row>
    <row r="5" spans="1:8" x14ac:dyDescent="0.25">
      <c r="A5" s="6" t="s">
        <v>0</v>
      </c>
      <c r="B5">
        <v>200</v>
      </c>
      <c r="C5" t="s">
        <v>1</v>
      </c>
    </row>
    <row r="7" spans="1:8" x14ac:dyDescent="0.25">
      <c r="A7" s="3" t="s">
        <v>4</v>
      </c>
    </row>
    <row r="8" spans="1:8" x14ac:dyDescent="0.25">
      <c r="A8" s="6" t="s">
        <v>0</v>
      </c>
      <c r="B8" s="5">
        <f>10 *LOG(B5, 10)</f>
        <v>23.010299956639809</v>
      </c>
      <c r="C8" t="s">
        <v>2</v>
      </c>
    </row>
    <row r="11" spans="1:8" x14ac:dyDescent="0.25">
      <c r="A11" s="10" t="s">
        <v>6</v>
      </c>
      <c r="B11" s="10"/>
      <c r="C11" s="10"/>
      <c r="D11" s="10"/>
      <c r="E11" s="10"/>
      <c r="F11" s="10"/>
      <c r="G11" s="10"/>
    </row>
    <row r="12" spans="1:8" x14ac:dyDescent="0.25">
      <c r="A12" s="2" t="s">
        <v>3</v>
      </c>
    </row>
    <row r="13" spans="1:8" x14ac:dyDescent="0.25">
      <c r="A13" s="6" t="s">
        <v>7</v>
      </c>
      <c r="B13">
        <v>-60</v>
      </c>
      <c r="C13" t="s">
        <v>8</v>
      </c>
    </row>
    <row r="15" spans="1:8" x14ac:dyDescent="0.25">
      <c r="A15" s="3" t="s">
        <v>4</v>
      </c>
    </row>
    <row r="16" spans="1:8" x14ac:dyDescent="0.25">
      <c r="A16" s="6" t="s">
        <v>7</v>
      </c>
      <c r="B16" s="7">
        <f>10 ^ (B13 / 10)</f>
        <v>9.9999999999999995E-7</v>
      </c>
      <c r="C16" t="s">
        <v>9</v>
      </c>
    </row>
    <row r="18" spans="1:7" ht="210.75" customHeight="1" x14ac:dyDescent="0.25"/>
    <row r="19" spans="1:7" ht="33" customHeight="1" x14ac:dyDescent="0.25">
      <c r="A19" s="9" t="s">
        <v>10</v>
      </c>
      <c r="B19" s="9"/>
      <c r="C19" s="9"/>
      <c r="D19" s="9"/>
      <c r="E19" s="9"/>
      <c r="F19" s="9"/>
      <c r="G19" s="9"/>
    </row>
    <row r="20" spans="1:7" x14ac:dyDescent="0.25">
      <c r="A20" s="2" t="s">
        <v>3</v>
      </c>
    </row>
    <row r="21" spans="1:7" x14ac:dyDescent="0.25">
      <c r="A21" s="6" t="s">
        <v>11</v>
      </c>
      <c r="B21">
        <v>-135</v>
      </c>
      <c r="C21" t="s">
        <v>8</v>
      </c>
    </row>
    <row r="22" spans="1:7" x14ac:dyDescent="0.25">
      <c r="A22" s="6" t="s">
        <v>0</v>
      </c>
      <c r="B22">
        <v>500</v>
      </c>
      <c r="C22" t="s">
        <v>1</v>
      </c>
    </row>
    <row r="24" spans="1:7" x14ac:dyDescent="0.25">
      <c r="A24" s="3" t="s">
        <v>4</v>
      </c>
    </row>
    <row r="25" spans="1:7" x14ac:dyDescent="0.25">
      <c r="A25" s="6" t="s">
        <v>0</v>
      </c>
      <c r="B25">
        <f xml:space="preserve"> 10 * LOG(B22, 10)</f>
        <v>26.989700043360184</v>
      </c>
      <c r="C25" t="s">
        <v>2</v>
      </c>
    </row>
    <row r="26" spans="1:7" x14ac:dyDescent="0.25">
      <c r="A26" s="6" t="s">
        <v>18</v>
      </c>
      <c r="B26" t="s">
        <v>17</v>
      </c>
    </row>
    <row r="27" spans="1:7" x14ac:dyDescent="0.25">
      <c r="A27" s="6" t="s">
        <v>12</v>
      </c>
      <c r="B27" t="s">
        <v>13</v>
      </c>
    </row>
    <row r="28" spans="1:7" x14ac:dyDescent="0.25">
      <c r="A28" s="6" t="s">
        <v>12</v>
      </c>
      <c r="B28" s="12">
        <f>B25 + B21</f>
        <v>-108.01029995663981</v>
      </c>
      <c r="C28" t="s">
        <v>8</v>
      </c>
    </row>
    <row r="29" spans="1:7" x14ac:dyDescent="0.25">
      <c r="A29" s="6" t="s">
        <v>12</v>
      </c>
      <c r="B29" s="7">
        <f xml:space="preserve"> 10 ^ (B28/10)</f>
        <v>1.5811388300841881E-11</v>
      </c>
      <c r="C29" t="s">
        <v>9</v>
      </c>
    </row>
    <row r="33" spans="1:7" ht="45.75" customHeight="1" x14ac:dyDescent="0.25">
      <c r="A33" s="9" t="s">
        <v>14</v>
      </c>
      <c r="B33" s="9"/>
      <c r="C33" s="9"/>
      <c r="D33" s="9"/>
      <c r="E33" s="9"/>
      <c r="F33" s="9"/>
      <c r="G33" s="9"/>
    </row>
    <row r="34" spans="1:7" x14ac:dyDescent="0.25">
      <c r="A34" s="2" t="s">
        <v>3</v>
      </c>
    </row>
    <row r="35" spans="1:7" x14ac:dyDescent="0.25">
      <c r="A35" s="6" t="s">
        <v>15</v>
      </c>
      <c r="B35">
        <v>4</v>
      </c>
      <c r="C35" t="s">
        <v>8</v>
      </c>
    </row>
    <row r="36" spans="1:7" x14ac:dyDescent="0.25">
      <c r="A36" s="6" t="s">
        <v>16</v>
      </c>
      <c r="B36">
        <v>13</v>
      </c>
      <c r="C36" t="s">
        <v>8</v>
      </c>
    </row>
    <row r="38" spans="1:7" x14ac:dyDescent="0.25">
      <c r="A38" s="3" t="s">
        <v>4</v>
      </c>
    </row>
    <row r="39" spans="1:7" x14ac:dyDescent="0.25">
      <c r="A39" s="6" t="s">
        <v>19</v>
      </c>
      <c r="B39" t="s">
        <v>20</v>
      </c>
    </row>
    <row r="40" spans="1:7" x14ac:dyDescent="0.25">
      <c r="A40" s="6" t="s">
        <v>21</v>
      </c>
      <c r="B40">
        <f>10 * LOG(B35,10)</f>
        <v>6.0205999132796233</v>
      </c>
      <c r="C40" t="s">
        <v>9</v>
      </c>
    </row>
    <row r="41" spans="1:7" x14ac:dyDescent="0.25">
      <c r="A41" s="6" t="s">
        <v>22</v>
      </c>
      <c r="B41">
        <f>10 * LOG(B36,10)</f>
        <v>11.139433523068368</v>
      </c>
      <c r="C41" t="s">
        <v>9</v>
      </c>
    </row>
    <row r="42" spans="1:7" x14ac:dyDescent="0.25">
      <c r="A42" s="6" t="s">
        <v>12</v>
      </c>
      <c r="B42" s="12">
        <f>B40 *B41</f>
        <v>67.066072502969547</v>
      </c>
      <c r="C42" t="s">
        <v>9</v>
      </c>
    </row>
    <row r="44" spans="1:7" ht="47.25" customHeight="1" x14ac:dyDescent="0.25">
      <c r="A44" s="9" t="s">
        <v>23</v>
      </c>
      <c r="B44" s="9"/>
      <c r="C44" s="9"/>
      <c r="D44" s="9"/>
      <c r="E44" s="9"/>
      <c r="F44" s="9"/>
      <c r="G44" s="9"/>
    </row>
    <row r="45" spans="1:7" x14ac:dyDescent="0.25">
      <c r="A45" s="2" t="s">
        <v>3</v>
      </c>
    </row>
    <row r="46" spans="1:7" x14ac:dyDescent="0.25">
      <c r="A46" s="6" t="s">
        <v>24</v>
      </c>
      <c r="B46">
        <v>5</v>
      </c>
      <c r="C46" t="s">
        <v>25</v>
      </c>
    </row>
    <row r="47" spans="1:7" x14ac:dyDescent="0.25">
      <c r="A47" s="6" t="s">
        <v>26</v>
      </c>
      <c r="B47">
        <v>-109</v>
      </c>
      <c r="C47" t="s">
        <v>8</v>
      </c>
    </row>
    <row r="49" spans="1:7" x14ac:dyDescent="0.25">
      <c r="A49" s="3" t="s">
        <v>4</v>
      </c>
    </row>
    <row r="50" spans="1:7" x14ac:dyDescent="0.25">
      <c r="A50" s="6" t="s">
        <v>24</v>
      </c>
      <c r="B50" s="14">
        <f xml:space="preserve"> 5 * 10 ^ 6</f>
        <v>5000000</v>
      </c>
      <c r="C50" t="s">
        <v>9</v>
      </c>
    </row>
    <row r="51" spans="1:7" x14ac:dyDescent="0.25">
      <c r="A51" s="6" t="s">
        <v>26</v>
      </c>
      <c r="B51" s="14">
        <f xml:space="preserve"> 10 ^ (B47/10)</f>
        <v>1.2589254117941641E-11</v>
      </c>
      <c r="C51" t="s">
        <v>9</v>
      </c>
    </row>
    <row r="52" spans="1:7" x14ac:dyDescent="0.25">
      <c r="A52" s="6" t="s">
        <v>27</v>
      </c>
      <c r="B52" s="12">
        <f xml:space="preserve"> 10 * LOG(B50/B51)</f>
        <v>175.98970004336022</v>
      </c>
      <c r="C52" t="s">
        <v>2</v>
      </c>
    </row>
    <row r="53" spans="1:7" x14ac:dyDescent="0.25">
      <c r="A53" s="6" t="s">
        <v>28</v>
      </c>
      <c r="B53" s="7">
        <f>B50/B51</f>
        <v>3.9716411736214176E+17</v>
      </c>
      <c r="C53" t="s">
        <v>1</v>
      </c>
    </row>
    <row r="56" spans="1:7" ht="23.25" x14ac:dyDescent="0.35">
      <c r="A56" s="15" t="s">
        <v>29</v>
      </c>
    </row>
    <row r="57" spans="1:7" ht="192.75" customHeight="1" x14ac:dyDescent="0.25"/>
    <row r="58" spans="1:7" ht="48" customHeight="1" x14ac:dyDescent="0.25">
      <c r="A58" s="9" t="s">
        <v>30</v>
      </c>
      <c r="B58" s="9"/>
      <c r="C58" s="9"/>
      <c r="D58" s="9"/>
      <c r="E58" s="9"/>
      <c r="F58" s="9"/>
      <c r="G58" s="9"/>
    </row>
    <row r="59" spans="1:7" x14ac:dyDescent="0.25">
      <c r="A59" s="2" t="s">
        <v>3</v>
      </c>
    </row>
    <row r="60" spans="1:7" x14ac:dyDescent="0.25">
      <c r="A60" s="6" t="s">
        <v>31</v>
      </c>
      <c r="B60">
        <v>9.3529999999999998</v>
      </c>
      <c r="C60" t="s">
        <v>32</v>
      </c>
    </row>
    <row r="61" spans="1:7" x14ac:dyDescent="0.25">
      <c r="A61" s="6" t="s">
        <v>33</v>
      </c>
      <c r="B61">
        <v>9.35</v>
      </c>
      <c r="C61" t="s">
        <v>32</v>
      </c>
    </row>
    <row r="62" spans="1:7" x14ac:dyDescent="0.25">
      <c r="A62" s="6" t="s">
        <v>0</v>
      </c>
      <c r="B62">
        <v>12</v>
      </c>
      <c r="C62" t="s">
        <v>2</v>
      </c>
    </row>
    <row r="64" spans="1:7" x14ac:dyDescent="0.25">
      <c r="A64" s="3" t="s">
        <v>4</v>
      </c>
    </row>
    <row r="65" spans="1:7" x14ac:dyDescent="0.25">
      <c r="A65" s="6" t="s">
        <v>35</v>
      </c>
      <c r="B65" s="14" t="s">
        <v>36</v>
      </c>
    </row>
    <row r="66" spans="1:7" x14ac:dyDescent="0.25">
      <c r="A66" s="6" t="s">
        <v>35</v>
      </c>
      <c r="B66" s="18">
        <f>(B60-B61) * 1000</f>
        <v>3.0000000000001137</v>
      </c>
      <c r="C66" t="s">
        <v>37</v>
      </c>
    </row>
    <row r="67" spans="1:7" x14ac:dyDescent="0.25">
      <c r="A67" s="6" t="s">
        <v>39</v>
      </c>
      <c r="B67" s="17">
        <f xml:space="preserve"> 10 ^ (B62/10)</f>
        <v>15.848931924611136</v>
      </c>
      <c r="C67" t="s">
        <v>25</v>
      </c>
    </row>
    <row r="68" spans="1:7" x14ac:dyDescent="0.25">
      <c r="A68" s="6" t="s">
        <v>38</v>
      </c>
      <c r="B68" s="12">
        <f>B66 * LOG(1 + B67,2)</f>
        <v>12.223755704716746</v>
      </c>
      <c r="C68" t="s">
        <v>40</v>
      </c>
    </row>
    <row r="69" spans="1:7" x14ac:dyDescent="0.25">
      <c r="A69" s="6"/>
    </row>
    <row r="70" spans="1:7" ht="32.25" customHeight="1" x14ac:dyDescent="0.25">
      <c r="A70" s="9" t="s">
        <v>41</v>
      </c>
      <c r="B70" s="9"/>
      <c r="C70" s="9"/>
      <c r="D70" s="9"/>
      <c r="E70" s="9"/>
      <c r="F70" s="9"/>
      <c r="G70" s="9"/>
    </row>
    <row r="71" spans="1:7" x14ac:dyDescent="0.25">
      <c r="A71" s="2" t="s">
        <v>3</v>
      </c>
    </row>
    <row r="72" spans="1:7" x14ac:dyDescent="0.25">
      <c r="A72" s="6" t="s">
        <v>34</v>
      </c>
      <c r="B72">
        <v>200</v>
      </c>
      <c r="C72" t="s">
        <v>42</v>
      </c>
    </row>
    <row r="73" spans="1:7" x14ac:dyDescent="0.25">
      <c r="A73" s="6" t="s">
        <v>43</v>
      </c>
      <c r="B73">
        <v>0.8</v>
      </c>
      <c r="C73" t="s">
        <v>9</v>
      </c>
    </row>
    <row r="74" spans="1:7" x14ac:dyDescent="0.25">
      <c r="A74" s="6" t="s">
        <v>11</v>
      </c>
      <c r="B74">
        <f xml:space="preserve"> 7.6 * 10 ^ -5</f>
        <v>7.6000000000000004E-5</v>
      </c>
      <c r="C74" t="s">
        <v>25</v>
      </c>
    </row>
    <row r="76" spans="1:7" x14ac:dyDescent="0.25">
      <c r="A76" s="3" t="s">
        <v>4</v>
      </c>
    </row>
    <row r="77" spans="1:7" x14ac:dyDescent="0.25">
      <c r="A77" s="6" t="s">
        <v>35</v>
      </c>
      <c r="B77" s="18">
        <f>B72 *1000</f>
        <v>200000</v>
      </c>
      <c r="C77" t="s">
        <v>37</v>
      </c>
    </row>
    <row r="78" spans="1:7" x14ac:dyDescent="0.25">
      <c r="A78" s="6" t="s">
        <v>44</v>
      </c>
      <c r="B78" s="18">
        <f>B74 * (10 ^ 6)</f>
        <v>76</v>
      </c>
      <c r="C78" t="s">
        <v>9</v>
      </c>
    </row>
    <row r="79" spans="1:7" x14ac:dyDescent="0.25">
      <c r="A79" s="6" t="s">
        <v>0</v>
      </c>
      <c r="B79" s="19">
        <f xml:space="preserve"> B73/ B78</f>
        <v>1.0526315789473684E-2</v>
      </c>
      <c r="C79" t="s">
        <v>1</v>
      </c>
    </row>
    <row r="80" spans="1:7" x14ac:dyDescent="0.25">
      <c r="A80" s="6" t="s">
        <v>38</v>
      </c>
      <c r="B80" s="12">
        <f xml:space="preserve"> B77 *LOG(1 + B79, 2)</f>
        <v>3021.3784780416777</v>
      </c>
      <c r="C80" t="s">
        <v>40</v>
      </c>
    </row>
    <row r="81" spans="1:7" x14ac:dyDescent="0.25">
      <c r="A81" s="6"/>
    </row>
    <row r="84" spans="1:7" ht="28.5" customHeight="1" x14ac:dyDescent="0.25">
      <c r="A84" s="9" t="s">
        <v>45</v>
      </c>
      <c r="B84" s="9"/>
      <c r="C84" s="9"/>
      <c r="D84" s="9"/>
      <c r="E84" s="9"/>
      <c r="F84" s="9"/>
      <c r="G84" s="9"/>
    </row>
    <row r="85" spans="1:7" x14ac:dyDescent="0.25">
      <c r="A85" s="2" t="s">
        <v>3</v>
      </c>
    </row>
    <row r="86" spans="1:7" x14ac:dyDescent="0.25">
      <c r="A86" s="6" t="s">
        <v>46</v>
      </c>
      <c r="B86">
        <v>61000</v>
      </c>
      <c r="C86" t="s">
        <v>40</v>
      </c>
    </row>
    <row r="87" spans="1:7" x14ac:dyDescent="0.25">
      <c r="A87" s="6" t="s">
        <v>34</v>
      </c>
      <c r="B87">
        <v>6.25</v>
      </c>
      <c r="C87" t="s">
        <v>42</v>
      </c>
    </row>
    <row r="88" spans="1:7" x14ac:dyDescent="0.25">
      <c r="A88" s="6"/>
    </row>
    <row r="90" spans="1:7" x14ac:dyDescent="0.25">
      <c r="A90" s="3" t="s">
        <v>4</v>
      </c>
    </row>
    <row r="91" spans="1:7" x14ac:dyDescent="0.25">
      <c r="A91" s="6" t="s">
        <v>35</v>
      </c>
      <c r="B91" s="18">
        <f>B87 *1000</f>
        <v>6250</v>
      </c>
      <c r="C91" t="s">
        <v>37</v>
      </c>
    </row>
    <row r="92" spans="1:7" x14ac:dyDescent="0.25">
      <c r="A92" s="6" t="s">
        <v>47</v>
      </c>
      <c r="B92" s="12">
        <f xml:space="preserve"> 2 ^ (B86/B91) - 1</f>
        <v>866.06719985922769</v>
      </c>
      <c r="C92" t="s">
        <v>1</v>
      </c>
    </row>
    <row r="93" spans="1:7" x14ac:dyDescent="0.25">
      <c r="A93" s="6"/>
    </row>
  </sheetData>
  <mergeCells count="9">
    <mergeCell ref="A33:G33"/>
    <mergeCell ref="A44:G44"/>
    <mergeCell ref="A58:G58"/>
    <mergeCell ref="A70:G70"/>
    <mergeCell ref="A84:G84"/>
    <mergeCell ref="A1:B1"/>
    <mergeCell ref="A3:H3"/>
    <mergeCell ref="A11:G11"/>
    <mergeCell ref="A19:G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workbookViewId="0">
      <selection sqref="A1:C1"/>
    </sheetView>
  </sheetViews>
  <sheetFormatPr defaultRowHeight="15" x14ac:dyDescent="0.25"/>
  <cols>
    <col min="2" max="2" width="9.140625" customWidth="1"/>
    <col min="3" max="3" width="9.28515625" customWidth="1"/>
  </cols>
  <sheetData>
    <row r="1" spans="1:8" ht="19.5" x14ac:dyDescent="0.3">
      <c r="A1" s="27" t="s">
        <v>165</v>
      </c>
      <c r="B1" s="27"/>
      <c r="C1" s="27"/>
    </row>
    <row r="2" spans="1:8" ht="189" customHeight="1" x14ac:dyDescent="0.3">
      <c r="A2" s="16"/>
      <c r="B2" s="16"/>
    </row>
    <row r="3" spans="1:8" ht="193.5" customHeight="1" x14ac:dyDescent="0.3">
      <c r="A3" s="16"/>
      <c r="B3" s="16"/>
    </row>
    <row r="4" spans="1:8" x14ac:dyDescent="0.25">
      <c r="A4" s="10" t="s">
        <v>48</v>
      </c>
      <c r="B4" s="10"/>
      <c r="C4" s="10"/>
      <c r="D4" s="10"/>
      <c r="E4" s="10"/>
      <c r="F4" s="10"/>
      <c r="G4" s="10"/>
      <c r="H4" s="10"/>
    </row>
    <row r="5" spans="1:8" x14ac:dyDescent="0.25">
      <c r="A5" s="2" t="s">
        <v>3</v>
      </c>
    </row>
    <row r="6" spans="1:8" x14ac:dyDescent="0.25">
      <c r="A6" s="6" t="s">
        <v>49</v>
      </c>
      <c r="B6" t="s">
        <v>58</v>
      </c>
    </row>
    <row r="7" spans="1:8" x14ac:dyDescent="0.25">
      <c r="A7" s="6"/>
    </row>
    <row r="8" spans="1:8" x14ac:dyDescent="0.25">
      <c r="A8" s="3" t="s">
        <v>4</v>
      </c>
    </row>
    <row r="9" spans="1:8" x14ac:dyDescent="0.25">
      <c r="A9" s="6" t="s">
        <v>50</v>
      </c>
      <c r="B9">
        <v>3</v>
      </c>
      <c r="C9" t="s">
        <v>37</v>
      </c>
    </row>
    <row r="10" spans="1:8" x14ac:dyDescent="0.25">
      <c r="A10" s="6" t="s">
        <v>51</v>
      </c>
      <c r="B10">
        <f xml:space="preserve"> 2 *B9</f>
        <v>6</v>
      </c>
      <c r="C10" t="s">
        <v>37</v>
      </c>
      <c r="D10" t="s">
        <v>52</v>
      </c>
    </row>
    <row r="11" spans="1:8" x14ac:dyDescent="0.25">
      <c r="A11" s="6" t="s">
        <v>53</v>
      </c>
      <c r="B11" s="5">
        <f>1 / B10</f>
        <v>0.16666666666666666</v>
      </c>
      <c r="C11" t="s">
        <v>54</v>
      </c>
      <c r="D11" t="s">
        <v>55</v>
      </c>
    </row>
    <row r="14" spans="1:8" x14ac:dyDescent="0.25">
      <c r="A14" s="10" t="s">
        <v>56</v>
      </c>
      <c r="B14" s="10"/>
      <c r="C14" s="10"/>
      <c r="D14" s="10"/>
      <c r="E14" s="10"/>
      <c r="F14" s="10"/>
      <c r="G14" s="10"/>
      <c r="H14" s="10"/>
    </row>
    <row r="15" spans="1:8" x14ac:dyDescent="0.25">
      <c r="A15" s="2" t="s">
        <v>3</v>
      </c>
    </row>
    <row r="16" spans="1:8" x14ac:dyDescent="0.25">
      <c r="A16" s="6" t="s">
        <v>57</v>
      </c>
      <c r="B16" t="s">
        <v>59</v>
      </c>
    </row>
    <row r="17" spans="1:8" x14ac:dyDescent="0.25">
      <c r="A17" s="6" t="s">
        <v>60</v>
      </c>
      <c r="B17" t="s">
        <v>61</v>
      </c>
    </row>
    <row r="18" spans="1:8" x14ac:dyDescent="0.25">
      <c r="A18" s="6"/>
    </row>
    <row r="19" spans="1:8" x14ac:dyDescent="0.25">
      <c r="A19" s="3" t="s">
        <v>4</v>
      </c>
    </row>
    <row r="20" spans="1:8" x14ac:dyDescent="0.25">
      <c r="A20" s="6"/>
      <c r="B20" t="s">
        <v>63</v>
      </c>
    </row>
    <row r="21" spans="1:8" x14ac:dyDescent="0.25">
      <c r="A21" s="6"/>
      <c r="B21" t="s">
        <v>64</v>
      </c>
    </row>
    <row r="22" spans="1:8" x14ac:dyDescent="0.25">
      <c r="A22" s="6" t="s">
        <v>62</v>
      </c>
      <c r="B22" s="18">
        <f>30800 / 2 * PI()</f>
        <v>48380.526865282816</v>
      </c>
      <c r="C22" t="s">
        <v>37</v>
      </c>
      <c r="D22" t="s">
        <v>66</v>
      </c>
    </row>
    <row r="23" spans="1:8" x14ac:dyDescent="0.25">
      <c r="A23" s="6" t="s">
        <v>65</v>
      </c>
      <c r="B23" s="18">
        <f>21800 / 2 * PI()</f>
        <v>34243.359924128745</v>
      </c>
      <c r="C23" t="s">
        <v>37</v>
      </c>
    </row>
    <row r="24" spans="1:8" x14ac:dyDescent="0.25">
      <c r="A24" s="6" t="s">
        <v>67</v>
      </c>
      <c r="B24" s="18">
        <f xml:space="preserve"> MAX(B22:B23)</f>
        <v>48380.526865282816</v>
      </c>
      <c r="C24" t="s">
        <v>37</v>
      </c>
    </row>
    <row r="25" spans="1:8" x14ac:dyDescent="0.25">
      <c r="A25" s="6" t="s">
        <v>51</v>
      </c>
      <c r="B25" s="5">
        <f xml:space="preserve"> 2 *B24</f>
        <v>96761.053730565633</v>
      </c>
      <c r="C25" t="s">
        <v>37</v>
      </c>
      <c r="D25" t="s">
        <v>52</v>
      </c>
    </row>
    <row r="26" spans="1:8" x14ac:dyDescent="0.25">
      <c r="A26" s="6" t="s">
        <v>53</v>
      </c>
      <c r="B26" s="5">
        <f>1 / B25</f>
        <v>1.0334736564408788E-5</v>
      </c>
      <c r="C26" t="s">
        <v>54</v>
      </c>
      <c r="D26" t="s">
        <v>55</v>
      </c>
    </row>
    <row r="29" spans="1:8" x14ac:dyDescent="0.25">
      <c r="A29" s="10" t="s">
        <v>72</v>
      </c>
      <c r="B29" s="10"/>
      <c r="C29" s="10"/>
      <c r="D29" s="10"/>
      <c r="E29" s="10"/>
      <c r="F29" s="10"/>
      <c r="G29" s="10"/>
      <c r="H29" s="10"/>
    </row>
    <row r="30" spans="1:8" x14ac:dyDescent="0.25">
      <c r="A30" s="2" t="s">
        <v>3</v>
      </c>
    </row>
    <row r="31" spans="1:8" x14ac:dyDescent="0.25">
      <c r="A31" s="6" t="s">
        <v>35</v>
      </c>
      <c r="B31">
        <v>4</v>
      </c>
      <c r="C31" t="s">
        <v>42</v>
      </c>
    </row>
    <row r="33" spans="1:8" x14ac:dyDescent="0.25">
      <c r="A33" s="3" t="s">
        <v>4</v>
      </c>
    </row>
    <row r="34" spans="1:8" x14ac:dyDescent="0.25">
      <c r="A34" s="11" t="s">
        <v>68</v>
      </c>
    </row>
    <row r="35" spans="1:8" x14ac:dyDescent="0.25">
      <c r="A35" s="6"/>
    </row>
    <row r="36" spans="1:8" x14ac:dyDescent="0.25">
      <c r="A36" s="6" t="s">
        <v>51</v>
      </c>
      <c r="B36" s="5">
        <f xml:space="preserve"> 2 *B31</f>
        <v>8</v>
      </c>
      <c r="C36" t="s">
        <v>69</v>
      </c>
      <c r="D36" t="s">
        <v>52</v>
      </c>
    </row>
    <row r="37" spans="1:8" x14ac:dyDescent="0.25">
      <c r="A37" s="6" t="s">
        <v>53</v>
      </c>
      <c r="B37" s="5">
        <f>1 / B36</f>
        <v>0.125</v>
      </c>
      <c r="C37" t="s">
        <v>70</v>
      </c>
      <c r="D37" t="s">
        <v>55</v>
      </c>
    </row>
    <row r="40" spans="1:8" ht="23.25" x14ac:dyDescent="0.35">
      <c r="A40" s="4" t="s">
        <v>71</v>
      </c>
    </row>
    <row r="41" spans="1:8" ht="174" customHeight="1" x14ac:dyDescent="0.25"/>
    <row r="44" spans="1:8" ht="30.75" customHeight="1" x14ac:dyDescent="0.25">
      <c r="A44" s="9" t="s">
        <v>73</v>
      </c>
      <c r="B44" s="9"/>
      <c r="C44" s="9"/>
      <c r="D44" s="9"/>
      <c r="E44" s="9"/>
      <c r="F44" s="9"/>
      <c r="G44" s="9"/>
      <c r="H44" s="9"/>
    </row>
    <row r="45" spans="1:8" x14ac:dyDescent="0.25">
      <c r="A45" s="2" t="s">
        <v>3</v>
      </c>
    </row>
    <row r="46" spans="1:8" x14ac:dyDescent="0.25">
      <c r="A46" s="6" t="s">
        <v>74</v>
      </c>
      <c r="B46">
        <v>20</v>
      </c>
      <c r="C46" t="s">
        <v>75</v>
      </c>
    </row>
    <row r="47" spans="1:8" x14ac:dyDescent="0.25">
      <c r="A47" s="6" t="s">
        <v>76</v>
      </c>
      <c r="B47">
        <v>25</v>
      </c>
      <c r="C47" t="s">
        <v>77</v>
      </c>
    </row>
    <row r="48" spans="1:8" x14ac:dyDescent="0.25">
      <c r="A48" s="6"/>
    </row>
    <row r="49" spans="1:8" x14ac:dyDescent="0.25">
      <c r="A49" s="3" t="s">
        <v>4</v>
      </c>
    </row>
    <row r="50" spans="1:8" x14ac:dyDescent="0.25">
      <c r="A50" s="6" t="s">
        <v>82</v>
      </c>
      <c r="B50">
        <f>B47/ 10 ^ 3</f>
        <v>2.5000000000000001E-2</v>
      </c>
      <c r="C50" t="s">
        <v>75</v>
      </c>
    </row>
    <row r="51" spans="1:8" x14ac:dyDescent="0.25">
      <c r="A51" s="6" t="s">
        <v>79</v>
      </c>
      <c r="B51" t="s">
        <v>80</v>
      </c>
    </row>
    <row r="52" spans="1:8" x14ac:dyDescent="0.25">
      <c r="A52" s="6" t="s">
        <v>78</v>
      </c>
      <c r="B52" t="s">
        <v>81</v>
      </c>
    </row>
    <row r="53" spans="1:8" x14ac:dyDescent="0.25">
      <c r="A53" s="6" t="s">
        <v>78</v>
      </c>
      <c r="B53">
        <f>LOG(B46/B50,2) + 1</f>
        <v>10.643856189774725</v>
      </c>
      <c r="C53" t="s">
        <v>83</v>
      </c>
    </row>
    <row r="54" spans="1:8" x14ac:dyDescent="0.25">
      <c r="A54" s="6" t="s">
        <v>78</v>
      </c>
      <c r="B54" s="5">
        <f>ROUNDUP(B53,0)</f>
        <v>11</v>
      </c>
      <c r="C54" t="s">
        <v>83</v>
      </c>
    </row>
    <row r="57" spans="1:8" ht="32.25" customHeight="1" x14ac:dyDescent="0.25">
      <c r="A57" s="9" t="s">
        <v>84</v>
      </c>
      <c r="B57" s="9"/>
      <c r="C57" s="9"/>
      <c r="D57" s="9"/>
      <c r="E57" s="9"/>
      <c r="F57" s="9"/>
      <c r="G57" s="9"/>
      <c r="H57" s="9"/>
    </row>
    <row r="58" spans="1:8" x14ac:dyDescent="0.25">
      <c r="A58" s="2" t="s">
        <v>3</v>
      </c>
    </row>
    <row r="59" spans="1:8" x14ac:dyDescent="0.25">
      <c r="A59" s="6" t="s">
        <v>85</v>
      </c>
      <c r="B59">
        <v>6</v>
      </c>
      <c r="C59" t="s">
        <v>86</v>
      </c>
    </row>
    <row r="60" spans="1:8" x14ac:dyDescent="0.25">
      <c r="A60" s="6" t="s">
        <v>87</v>
      </c>
      <c r="B60">
        <v>1.27</v>
      </c>
      <c r="C60" t="s">
        <v>75</v>
      </c>
    </row>
    <row r="61" spans="1:8" x14ac:dyDescent="0.25">
      <c r="A61" s="6" t="s">
        <v>88</v>
      </c>
      <c r="B61">
        <v>-1.27</v>
      </c>
      <c r="C61" t="s">
        <v>75</v>
      </c>
    </row>
    <row r="63" spans="1:8" x14ac:dyDescent="0.25">
      <c r="A63" s="20" t="s">
        <v>4</v>
      </c>
    </row>
    <row r="64" spans="1:8" x14ac:dyDescent="0.25">
      <c r="A64" s="6" t="s">
        <v>82</v>
      </c>
      <c r="B64">
        <f>B60/ (2^B59)</f>
        <v>1.984375E-2</v>
      </c>
      <c r="C64" t="s">
        <v>75</v>
      </c>
    </row>
    <row r="65" spans="1:8" x14ac:dyDescent="0.25">
      <c r="A65" s="6" t="s">
        <v>89</v>
      </c>
      <c r="B65" t="s">
        <v>90</v>
      </c>
    </row>
    <row r="66" spans="1:8" x14ac:dyDescent="0.25">
      <c r="A66" s="6" t="s">
        <v>89</v>
      </c>
      <c r="B66" s="21">
        <f>(B64^2) / 12</f>
        <v>3.2814534505208331E-5</v>
      </c>
      <c r="C66" t="s">
        <v>25</v>
      </c>
    </row>
    <row r="67" spans="1:8" x14ac:dyDescent="0.25">
      <c r="A67" s="6"/>
    </row>
    <row r="68" spans="1:8" x14ac:dyDescent="0.25">
      <c r="A68" s="6"/>
    </row>
    <row r="69" spans="1:8" x14ac:dyDescent="0.25">
      <c r="A69" s="9" t="s">
        <v>91</v>
      </c>
      <c r="B69" s="9"/>
      <c r="C69" s="9"/>
      <c r="D69" s="9"/>
      <c r="E69" s="9"/>
      <c r="F69" s="9"/>
      <c r="G69" s="9"/>
      <c r="H69" s="9"/>
    </row>
    <row r="70" spans="1:8" x14ac:dyDescent="0.25">
      <c r="A70" s="2" t="s">
        <v>3</v>
      </c>
    </row>
    <row r="71" spans="1:8" x14ac:dyDescent="0.25">
      <c r="A71" s="6" t="s">
        <v>85</v>
      </c>
      <c r="B71">
        <v>6</v>
      </c>
      <c r="C71" t="s">
        <v>86</v>
      </c>
    </row>
    <row r="72" spans="1:8" x14ac:dyDescent="0.25">
      <c r="A72" s="6" t="s">
        <v>87</v>
      </c>
      <c r="B72">
        <v>1.27</v>
      </c>
      <c r="C72" t="s">
        <v>75</v>
      </c>
    </row>
    <row r="73" spans="1:8" x14ac:dyDescent="0.25">
      <c r="A73" s="6" t="s">
        <v>88</v>
      </c>
      <c r="B73">
        <v>-1.27</v>
      </c>
      <c r="C73" t="s">
        <v>75</v>
      </c>
    </row>
    <row r="74" spans="1:8" x14ac:dyDescent="0.25">
      <c r="A74" s="6" t="s">
        <v>96</v>
      </c>
      <c r="B74">
        <v>0.5</v>
      </c>
      <c r="C74" t="s">
        <v>75</v>
      </c>
    </row>
    <row r="75" spans="1:8" x14ac:dyDescent="0.25">
      <c r="A75" s="6" t="s">
        <v>92</v>
      </c>
      <c r="B75" t="s">
        <v>93</v>
      </c>
    </row>
    <row r="76" spans="1:8" x14ac:dyDescent="0.25">
      <c r="A76" s="6"/>
    </row>
    <row r="78" spans="1:8" x14ac:dyDescent="0.25">
      <c r="A78" s="20" t="s">
        <v>4</v>
      </c>
    </row>
    <row r="79" spans="1:8" x14ac:dyDescent="0.25">
      <c r="A79" s="6" t="s">
        <v>12</v>
      </c>
      <c r="B79" t="s">
        <v>94</v>
      </c>
    </row>
    <row r="80" spans="1:8" x14ac:dyDescent="0.25">
      <c r="A80" s="6" t="s">
        <v>95</v>
      </c>
      <c r="B80">
        <f>B74^2/2</f>
        <v>0.125</v>
      </c>
      <c r="C80" t="s">
        <v>97</v>
      </c>
    </row>
    <row r="81" spans="1:8" x14ac:dyDescent="0.25">
      <c r="A81" s="6" t="s">
        <v>98</v>
      </c>
      <c r="B81" s="23">
        <f>B80/B66</f>
        <v>3809.2876185752375</v>
      </c>
      <c r="C81" t="s">
        <v>1</v>
      </c>
    </row>
    <row r="82" spans="1:8" x14ac:dyDescent="0.25">
      <c r="A82" s="6" t="s">
        <v>98</v>
      </c>
      <c r="B82" s="23">
        <f>10 * LOG(B81)</f>
        <v>35.808437651115419</v>
      </c>
      <c r="C82" t="s">
        <v>2</v>
      </c>
    </row>
    <row r="84" spans="1:8" ht="23.25" x14ac:dyDescent="0.35">
      <c r="A84" s="4" t="s">
        <v>99</v>
      </c>
    </row>
    <row r="85" spans="1:8" ht="214.5" customHeight="1" x14ac:dyDescent="0.25"/>
    <row r="88" spans="1:8" ht="47.25" customHeight="1" x14ac:dyDescent="0.25">
      <c r="A88" s="9" t="s">
        <v>100</v>
      </c>
      <c r="B88" s="9"/>
      <c r="C88" s="9"/>
      <c r="D88" s="9"/>
      <c r="E88" s="9"/>
      <c r="F88" s="9"/>
      <c r="G88" s="9"/>
      <c r="H88" s="9"/>
    </row>
    <row r="89" spans="1:8" x14ac:dyDescent="0.25">
      <c r="A89" s="2" t="s">
        <v>3</v>
      </c>
    </row>
    <row r="90" spans="1:8" x14ac:dyDescent="0.25">
      <c r="A90" s="6" t="s">
        <v>87</v>
      </c>
      <c r="B90">
        <v>1.4</v>
      </c>
      <c r="C90" t="s">
        <v>75</v>
      </c>
    </row>
    <row r="91" spans="1:8" x14ac:dyDescent="0.25">
      <c r="A91" s="6" t="s">
        <v>101</v>
      </c>
      <c r="B91">
        <v>0.35</v>
      </c>
      <c r="C91">
        <v>1.05</v>
      </c>
      <c r="D91" t="s">
        <v>75</v>
      </c>
    </row>
    <row r="92" spans="1:8" x14ac:dyDescent="0.25">
      <c r="A92" s="6" t="s">
        <v>108</v>
      </c>
      <c r="B92">
        <v>87.6</v>
      </c>
    </row>
    <row r="93" spans="1:8" x14ac:dyDescent="0.25">
      <c r="A93" s="6"/>
    </row>
    <row r="94" spans="1:8" x14ac:dyDescent="0.25">
      <c r="A94" s="6"/>
    </row>
    <row r="95" spans="1:8" x14ac:dyDescent="0.25">
      <c r="A95" s="6"/>
    </row>
    <row r="97" spans="1:8" x14ac:dyDescent="0.25">
      <c r="A97" s="20" t="s">
        <v>4</v>
      </c>
    </row>
    <row r="98" spans="1:8" x14ac:dyDescent="0.25">
      <c r="A98" s="6" t="s">
        <v>102</v>
      </c>
      <c r="B98" t="s">
        <v>103</v>
      </c>
      <c r="D98" t="s">
        <v>104</v>
      </c>
    </row>
    <row r="99" spans="1:8" x14ac:dyDescent="0.25">
      <c r="A99" s="6" t="s">
        <v>105</v>
      </c>
      <c r="B99">
        <f>B91/B90</f>
        <v>0.25</v>
      </c>
      <c r="C99">
        <f>C91/B90</f>
        <v>0.75000000000000011</v>
      </c>
      <c r="D99" t="s">
        <v>75</v>
      </c>
    </row>
    <row r="100" spans="1:8" x14ac:dyDescent="0.25">
      <c r="A100" s="6" t="s">
        <v>106</v>
      </c>
      <c r="B100" s="13">
        <f>(1+LN(B92*B99))/(1+LN(B92))</f>
        <v>0.74669288582146642</v>
      </c>
      <c r="C100" s="13">
        <f>(1+LN(B92*C99))/(1+LN(B92))</f>
        <v>0.94743402439090041</v>
      </c>
      <c r="D100" t="s">
        <v>75</v>
      </c>
      <c r="E100" t="s">
        <v>107</v>
      </c>
    </row>
    <row r="101" spans="1:8" x14ac:dyDescent="0.25">
      <c r="A101" s="6" t="s">
        <v>109</v>
      </c>
      <c r="B101" s="12">
        <f>B100*$B$90</f>
        <v>1.045370040150053</v>
      </c>
      <c r="C101" s="12">
        <f>C100*$B$90</f>
        <v>1.3264076341472606</v>
      </c>
      <c r="D101" t="s">
        <v>75</v>
      </c>
    </row>
    <row r="103" spans="1:8" x14ac:dyDescent="0.25">
      <c r="A103" s="11" t="s">
        <v>110</v>
      </c>
    </row>
    <row r="106" spans="1:8" ht="47.25" customHeight="1" x14ac:dyDescent="0.25">
      <c r="A106" s="9" t="s">
        <v>111</v>
      </c>
      <c r="B106" s="9"/>
      <c r="C106" s="9"/>
      <c r="D106" s="9"/>
      <c r="E106" s="9"/>
      <c r="F106" s="9"/>
      <c r="G106" s="9"/>
      <c r="H106" s="9"/>
    </row>
    <row r="107" spans="1:8" x14ac:dyDescent="0.25">
      <c r="A107" s="2" t="s">
        <v>3</v>
      </c>
    </row>
    <row r="108" spans="1:8" x14ac:dyDescent="0.25">
      <c r="A108" s="6" t="s">
        <v>112</v>
      </c>
      <c r="B108">
        <v>44100</v>
      </c>
      <c r="C108" t="s">
        <v>113</v>
      </c>
    </row>
    <row r="109" spans="1:8" x14ac:dyDescent="0.25">
      <c r="A109" s="6" t="s">
        <v>85</v>
      </c>
      <c r="B109">
        <v>16</v>
      </c>
      <c r="C109" t="s">
        <v>86</v>
      </c>
    </row>
    <row r="111" spans="1:8" x14ac:dyDescent="0.25">
      <c r="A111" s="20" t="s">
        <v>4</v>
      </c>
    </row>
    <row r="112" spans="1:8" x14ac:dyDescent="0.25">
      <c r="A112" s="6" t="s">
        <v>114</v>
      </c>
      <c r="B112" s="21">
        <f xml:space="preserve"> 2 * B108 *B109</f>
        <v>1411200</v>
      </c>
      <c r="C112" t="s">
        <v>40</v>
      </c>
    </row>
    <row r="113" spans="1:8" x14ac:dyDescent="0.25">
      <c r="A113" s="6" t="s">
        <v>114</v>
      </c>
      <c r="B113" s="21">
        <f>B112/8</f>
        <v>176400</v>
      </c>
      <c r="C113" t="s">
        <v>115</v>
      </c>
    </row>
    <row r="114" spans="1:8" x14ac:dyDescent="0.25">
      <c r="A114" s="6" t="s">
        <v>114</v>
      </c>
      <c r="B114" s="23">
        <f>B113/1000</f>
        <v>176.4</v>
      </c>
      <c r="C114" t="s">
        <v>116</v>
      </c>
    </row>
    <row r="117" spans="1:8" ht="64.5" customHeight="1" x14ac:dyDescent="0.25">
      <c r="A117" s="9" t="s">
        <v>117</v>
      </c>
      <c r="B117" s="9"/>
      <c r="C117" s="9"/>
      <c r="D117" s="9"/>
      <c r="E117" s="9"/>
      <c r="F117" s="9"/>
      <c r="G117" s="9"/>
      <c r="H117" s="9"/>
    </row>
    <row r="118" spans="1:8" x14ac:dyDescent="0.25">
      <c r="A118" s="2" t="s">
        <v>3</v>
      </c>
    </row>
    <row r="119" spans="1:8" x14ac:dyDescent="0.25">
      <c r="A119" s="6" t="s">
        <v>118</v>
      </c>
      <c r="B119" s="18">
        <f>B114</f>
        <v>176.4</v>
      </c>
      <c r="C119" t="s">
        <v>116</v>
      </c>
    </row>
    <row r="120" spans="1:8" x14ac:dyDescent="0.25">
      <c r="A120" s="6" t="s">
        <v>119</v>
      </c>
      <c r="B120">
        <v>1.5</v>
      </c>
      <c r="C120" t="s">
        <v>120</v>
      </c>
    </row>
    <row r="122" spans="1:8" x14ac:dyDescent="0.25">
      <c r="A122" s="20" t="s">
        <v>4</v>
      </c>
    </row>
    <row r="123" spans="1:8" x14ac:dyDescent="0.25">
      <c r="A123" s="6" t="s">
        <v>118</v>
      </c>
      <c r="B123">
        <f>B119*60/1000</f>
        <v>10.584</v>
      </c>
      <c r="C123" t="s">
        <v>120</v>
      </c>
    </row>
    <row r="124" spans="1:8" x14ac:dyDescent="0.25">
      <c r="A124" s="6" t="s">
        <v>121</v>
      </c>
      <c r="B124" s="23">
        <f>B123/B120</f>
        <v>7.056</v>
      </c>
      <c r="C124" t="s">
        <v>1</v>
      </c>
    </row>
    <row r="125" spans="1:8" x14ac:dyDescent="0.25">
      <c r="A125" s="6"/>
      <c r="B125" s="6"/>
    </row>
  </sheetData>
  <mergeCells count="10">
    <mergeCell ref="A69:H69"/>
    <mergeCell ref="A88:H88"/>
    <mergeCell ref="A106:H106"/>
    <mergeCell ref="A117:H117"/>
    <mergeCell ref="A1:C1"/>
    <mergeCell ref="A4:H4"/>
    <mergeCell ref="A14:H14"/>
    <mergeCell ref="A29:H29"/>
    <mergeCell ref="A44:H44"/>
    <mergeCell ref="A57:H5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sqref="A1:H8"/>
    </sheetView>
  </sheetViews>
  <sheetFormatPr defaultRowHeight="15" x14ac:dyDescent="0.25"/>
  <sheetData>
    <row r="1" spans="1:8" ht="19.5" x14ac:dyDescent="0.3">
      <c r="A1" s="27" t="s">
        <v>164</v>
      </c>
      <c r="B1" s="27"/>
      <c r="C1" s="27"/>
    </row>
    <row r="2" spans="1:8" ht="33" customHeight="1" x14ac:dyDescent="0.25">
      <c r="A2" s="9" t="s">
        <v>122</v>
      </c>
      <c r="B2" s="9"/>
      <c r="C2" s="9"/>
      <c r="D2" s="9"/>
      <c r="E2" s="9"/>
      <c r="F2" s="9"/>
      <c r="G2" s="9"/>
      <c r="H2" s="9"/>
    </row>
    <row r="3" spans="1:8" x14ac:dyDescent="0.25">
      <c r="A3" s="2" t="s">
        <v>3</v>
      </c>
    </row>
    <row r="4" spans="1:8" x14ac:dyDescent="0.25">
      <c r="A4" s="6" t="s">
        <v>123</v>
      </c>
      <c r="B4">
        <v>600</v>
      </c>
      <c r="C4" t="s">
        <v>124</v>
      </c>
      <c r="E4" t="s">
        <v>128</v>
      </c>
      <c r="F4">
        <v>2.54</v>
      </c>
      <c r="G4" t="s">
        <v>127</v>
      </c>
    </row>
    <row r="5" spans="1:8" x14ac:dyDescent="0.25">
      <c r="A5" t="s">
        <v>125</v>
      </c>
      <c r="B5" t="s">
        <v>126</v>
      </c>
      <c r="C5" t="s">
        <v>127</v>
      </c>
    </row>
    <row r="7" spans="1:8" x14ac:dyDescent="0.25">
      <c r="A7" s="3" t="s">
        <v>4</v>
      </c>
    </row>
    <row r="8" spans="1:8" x14ac:dyDescent="0.25">
      <c r="A8" t="s">
        <v>123</v>
      </c>
      <c r="B8">
        <f>600/F4</f>
        <v>236.22047244094489</v>
      </c>
      <c r="C8" t="s">
        <v>131</v>
      </c>
    </row>
    <row r="9" spans="1:8" x14ac:dyDescent="0.25">
      <c r="A9" s="6" t="s">
        <v>129</v>
      </c>
      <c r="B9" s="5">
        <f>(20 * B8) ^ 2</f>
        <v>22320044.640089281</v>
      </c>
      <c r="C9" t="s">
        <v>130</v>
      </c>
    </row>
    <row r="10" spans="1:8" x14ac:dyDescent="0.25">
      <c r="B10" s="22">
        <f>B9/ 10 ^ 6</f>
        <v>22.320044640089282</v>
      </c>
      <c r="C10" t="s">
        <v>132</v>
      </c>
    </row>
    <row r="12" spans="1:8" ht="31.5" customHeight="1" x14ac:dyDescent="0.25">
      <c r="A12" s="9" t="s">
        <v>133</v>
      </c>
      <c r="B12" s="9"/>
      <c r="C12" s="9"/>
      <c r="D12" s="9"/>
      <c r="E12" s="9"/>
      <c r="F12" s="9"/>
      <c r="G12" s="9"/>
      <c r="H12" s="9"/>
    </row>
    <row r="13" spans="1:8" x14ac:dyDescent="0.25">
      <c r="A13" s="2" t="s">
        <v>3</v>
      </c>
    </row>
    <row r="14" spans="1:8" x14ac:dyDescent="0.25">
      <c r="A14" s="6" t="s">
        <v>135</v>
      </c>
      <c r="B14">
        <v>20</v>
      </c>
      <c r="C14" t="s">
        <v>139</v>
      </c>
      <c r="E14" t="s">
        <v>128</v>
      </c>
      <c r="F14">
        <v>2.54</v>
      </c>
      <c r="G14" t="s">
        <v>127</v>
      </c>
    </row>
    <row r="15" spans="1:8" x14ac:dyDescent="0.25">
      <c r="A15" t="s">
        <v>125</v>
      </c>
      <c r="B15" t="s">
        <v>134</v>
      </c>
      <c r="C15" t="s">
        <v>130</v>
      </c>
    </row>
    <row r="16" spans="1:8" x14ac:dyDescent="0.25">
      <c r="A16" t="s">
        <v>136</v>
      </c>
      <c r="B16" t="s">
        <v>137</v>
      </c>
      <c r="C16" t="s">
        <v>130</v>
      </c>
    </row>
    <row r="18" spans="1:3" x14ac:dyDescent="0.25">
      <c r="A18" s="3" t="s">
        <v>4</v>
      </c>
    </row>
    <row r="19" spans="1:3" x14ac:dyDescent="0.25">
      <c r="A19" t="s">
        <v>141</v>
      </c>
    </row>
    <row r="20" spans="1:3" x14ac:dyDescent="0.25">
      <c r="A20" s="6" t="s">
        <v>138</v>
      </c>
      <c r="B20">
        <v>16</v>
      </c>
      <c r="C20" t="s">
        <v>139</v>
      </c>
    </row>
    <row r="21" spans="1:3" x14ac:dyDescent="0.25">
      <c r="A21" s="6" t="s">
        <v>140</v>
      </c>
      <c r="B21">
        <v>12</v>
      </c>
      <c r="C21" t="s">
        <v>139</v>
      </c>
    </row>
    <row r="22" spans="1:3" x14ac:dyDescent="0.25">
      <c r="A22" t="s">
        <v>142</v>
      </c>
    </row>
    <row r="23" spans="1:3" x14ac:dyDescent="0.25">
      <c r="A23" t="s">
        <v>138</v>
      </c>
      <c r="B23" s="18">
        <f>B20/800 * 300</f>
        <v>6</v>
      </c>
      <c r="C23" t="s">
        <v>139</v>
      </c>
    </row>
    <row r="24" spans="1:3" x14ac:dyDescent="0.25">
      <c r="A24" t="s">
        <v>140</v>
      </c>
      <c r="B24">
        <f>B21/600 * 100</f>
        <v>2</v>
      </c>
      <c r="C24" t="s">
        <v>139</v>
      </c>
    </row>
    <row r="26" spans="1:3" x14ac:dyDescent="0.25">
      <c r="A26" t="s">
        <v>138</v>
      </c>
      <c r="B26" s="5">
        <f>B23*$F$14</f>
        <v>15.24</v>
      </c>
      <c r="C26" t="s">
        <v>127</v>
      </c>
    </row>
    <row r="27" spans="1:3" x14ac:dyDescent="0.25">
      <c r="A27" t="s">
        <v>140</v>
      </c>
      <c r="B27" s="5">
        <f>B24*$F$14</f>
        <v>5.08</v>
      </c>
      <c r="C27" t="s">
        <v>127</v>
      </c>
    </row>
    <row r="30" spans="1:3" ht="23.25" x14ac:dyDescent="0.35">
      <c r="A30" s="4" t="s">
        <v>143</v>
      </c>
    </row>
    <row r="31" spans="1:3" ht="195" customHeight="1" x14ac:dyDescent="0.25"/>
    <row r="32" spans="1:3" ht="180" customHeight="1" x14ac:dyDescent="0.25"/>
    <row r="33" spans="1:8" ht="201.75" customHeight="1" x14ac:dyDescent="0.25"/>
    <row r="35" spans="1:8" ht="30.75" customHeight="1" x14ac:dyDescent="0.25">
      <c r="A35" s="9" t="s">
        <v>144</v>
      </c>
      <c r="B35" s="9"/>
      <c r="C35" s="9"/>
      <c r="D35" s="9"/>
      <c r="E35" s="9"/>
      <c r="F35" s="9"/>
      <c r="G35" s="9"/>
      <c r="H35" s="9"/>
    </row>
    <row r="36" spans="1:8" x14ac:dyDescent="0.25">
      <c r="A36" s="2" t="s">
        <v>3</v>
      </c>
    </row>
    <row r="37" spans="1:8" x14ac:dyDescent="0.25">
      <c r="A37" s="6" t="s">
        <v>145</v>
      </c>
      <c r="B37" s="25" t="s">
        <v>146</v>
      </c>
    </row>
    <row r="38" spans="1:8" x14ac:dyDescent="0.25">
      <c r="A38" t="s">
        <v>147</v>
      </c>
      <c r="B38">
        <v>8</v>
      </c>
      <c r="C38" t="s">
        <v>86</v>
      </c>
    </row>
    <row r="40" spans="1:8" x14ac:dyDescent="0.25">
      <c r="A40" s="3" t="s">
        <v>4</v>
      </c>
    </row>
    <row r="41" spans="1:8" x14ac:dyDescent="0.25">
      <c r="A41" t="s">
        <v>148</v>
      </c>
    </row>
    <row r="42" spans="1:8" x14ac:dyDescent="0.25">
      <c r="A42" s="6" t="s">
        <v>149</v>
      </c>
      <c r="B42">
        <v>8</v>
      </c>
      <c r="C42" t="s">
        <v>153</v>
      </c>
    </row>
    <row r="43" spans="1:8" x14ac:dyDescent="0.25">
      <c r="A43" s="6" t="s">
        <v>150</v>
      </c>
      <c r="B43">
        <v>2</v>
      </c>
      <c r="C43" t="s">
        <v>153</v>
      </c>
    </row>
    <row r="44" spans="1:8" x14ac:dyDescent="0.25">
      <c r="A44" s="6" t="s">
        <v>151</v>
      </c>
      <c r="B44">
        <v>2</v>
      </c>
      <c r="C44" t="s">
        <v>153</v>
      </c>
    </row>
    <row r="45" spans="1:8" x14ac:dyDescent="0.25">
      <c r="A45" s="26" t="s">
        <v>152</v>
      </c>
      <c r="B45" s="18">
        <f>SUM(B42:B44)</f>
        <v>12</v>
      </c>
      <c r="C45" t="s">
        <v>153</v>
      </c>
    </row>
    <row r="46" spans="1:8" x14ac:dyDescent="0.25">
      <c r="B46">
        <f>B38*B45</f>
        <v>96</v>
      </c>
      <c r="C46" t="s">
        <v>86</v>
      </c>
    </row>
    <row r="48" spans="1:8" x14ac:dyDescent="0.25">
      <c r="A48" s="11" t="s">
        <v>154</v>
      </c>
      <c r="D48" s="5">
        <f>B46/8</f>
        <v>12</v>
      </c>
      <c r="E48" t="s">
        <v>86</v>
      </c>
    </row>
    <row r="49" spans="1:8" ht="14.25" customHeight="1" x14ac:dyDescent="0.25"/>
    <row r="51" spans="1:8" ht="65.25" customHeight="1" x14ac:dyDescent="0.25">
      <c r="A51" s="9" t="s">
        <v>155</v>
      </c>
      <c r="B51" s="9"/>
      <c r="C51" s="9"/>
      <c r="D51" s="9"/>
      <c r="E51" s="9"/>
      <c r="F51" s="9"/>
      <c r="G51" s="9"/>
      <c r="H51" s="9"/>
    </row>
    <row r="52" spans="1:8" x14ac:dyDescent="0.25">
      <c r="A52" s="2" t="s">
        <v>3</v>
      </c>
    </row>
    <row r="53" spans="1:8" x14ac:dyDescent="0.25">
      <c r="A53" s="6" t="s">
        <v>138</v>
      </c>
      <c r="B53" s="25" t="s">
        <v>159</v>
      </c>
    </row>
    <row r="54" spans="1:8" x14ac:dyDescent="0.25">
      <c r="A54" t="s">
        <v>140</v>
      </c>
      <c r="B54">
        <v>240</v>
      </c>
      <c r="C54" t="s">
        <v>86</v>
      </c>
    </row>
    <row r="55" spans="1:8" x14ac:dyDescent="0.25">
      <c r="A55" t="s">
        <v>156</v>
      </c>
      <c r="B55">
        <v>25</v>
      </c>
      <c r="C55" t="s">
        <v>158</v>
      </c>
    </row>
    <row r="56" spans="1:8" x14ac:dyDescent="0.25">
      <c r="B56">
        <v>12</v>
      </c>
      <c r="C56" t="s">
        <v>157</v>
      </c>
    </row>
    <row r="57" spans="1:8" x14ac:dyDescent="0.25">
      <c r="A57" t="s">
        <v>161</v>
      </c>
      <c r="B57">
        <v>1.5</v>
      </c>
      <c r="C57" t="s">
        <v>162</v>
      </c>
    </row>
    <row r="59" spans="1:8" x14ac:dyDescent="0.25">
      <c r="A59" s="20" t="s">
        <v>4</v>
      </c>
    </row>
    <row r="60" spans="1:8" x14ac:dyDescent="0.25">
      <c r="A60" s="6" t="s">
        <v>160</v>
      </c>
      <c r="B60" s="24">
        <f>B53*B54*B55*B56</f>
        <v>25344000</v>
      </c>
      <c r="C60" t="s">
        <v>40</v>
      </c>
    </row>
    <row r="62" spans="1:8" x14ac:dyDescent="0.25">
      <c r="A62" s="6" t="s">
        <v>163</v>
      </c>
      <c r="B62" s="22">
        <f>B60/(B57*10^6)</f>
        <v>16.896000000000001</v>
      </c>
      <c r="C62" t="s">
        <v>1</v>
      </c>
    </row>
  </sheetData>
  <mergeCells count="5">
    <mergeCell ref="A2:H2"/>
    <mergeCell ref="A12:H12"/>
    <mergeCell ref="A35:H35"/>
    <mergeCell ref="A51:H51"/>
    <mergeCell ref="A1: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abSelected="1" topLeftCell="A43" workbookViewId="0">
      <selection activeCell="C48" sqref="C48"/>
    </sheetView>
  </sheetViews>
  <sheetFormatPr defaultRowHeight="15" x14ac:dyDescent="0.25"/>
  <cols>
    <col min="2" max="2" width="9.85546875" customWidth="1"/>
    <col min="6" max="6" width="10" bestFit="1" customWidth="1"/>
  </cols>
  <sheetData>
    <row r="1" spans="1:8" ht="19.5" x14ac:dyDescent="0.3">
      <c r="A1" s="27" t="s">
        <v>167</v>
      </c>
      <c r="B1" s="27"/>
      <c r="C1" s="27"/>
    </row>
    <row r="2" spans="1:8" ht="165.75" customHeight="1" x14ac:dyDescent="0.3">
      <c r="A2" s="28"/>
      <c r="B2" s="28"/>
      <c r="C2" s="28"/>
    </row>
    <row r="3" spans="1:8" ht="71.25" customHeight="1" x14ac:dyDescent="0.25">
      <c r="A3" s="9" t="s">
        <v>173</v>
      </c>
      <c r="B3" s="9"/>
      <c r="C3" s="9"/>
      <c r="D3" s="9"/>
      <c r="E3" s="9"/>
      <c r="F3" s="9"/>
      <c r="G3" s="9"/>
      <c r="H3" s="8"/>
    </row>
    <row r="4" spans="1:8" x14ac:dyDescent="0.25">
      <c r="A4" s="2" t="s">
        <v>3</v>
      </c>
    </row>
    <row r="5" spans="1:8" x14ac:dyDescent="0.25">
      <c r="A5" s="6" t="s">
        <v>168</v>
      </c>
      <c r="B5">
        <v>50</v>
      </c>
      <c r="C5" t="s">
        <v>25</v>
      </c>
      <c r="E5" s="6" t="s">
        <v>177</v>
      </c>
      <c r="F5">
        <f xml:space="preserve"> 3 * 10 ^ 8</f>
        <v>300000000</v>
      </c>
      <c r="G5" t="s">
        <v>178</v>
      </c>
    </row>
    <row r="6" spans="1:8" x14ac:dyDescent="0.25">
      <c r="A6" s="6" t="s">
        <v>169</v>
      </c>
      <c r="B6">
        <v>-4</v>
      </c>
      <c r="C6" t="s">
        <v>170</v>
      </c>
    </row>
    <row r="7" spans="1:8" x14ac:dyDescent="0.25">
      <c r="A7" s="6" t="s">
        <v>171</v>
      </c>
      <c r="B7">
        <v>50</v>
      </c>
      <c r="C7" t="s">
        <v>172</v>
      </c>
    </row>
    <row r="8" spans="1:8" x14ac:dyDescent="0.25">
      <c r="A8" s="6" t="s">
        <v>174</v>
      </c>
      <c r="B8">
        <v>165</v>
      </c>
      <c r="C8" t="s">
        <v>32</v>
      </c>
    </row>
    <row r="9" spans="1:8" x14ac:dyDescent="0.25">
      <c r="A9" s="6" t="s">
        <v>175</v>
      </c>
      <c r="B9">
        <v>5.2</v>
      </c>
      <c r="C9" t="s">
        <v>176</v>
      </c>
    </row>
    <row r="10" spans="1:8" x14ac:dyDescent="0.25">
      <c r="A10" s="6"/>
    </row>
    <row r="11" spans="1:8" x14ac:dyDescent="0.25">
      <c r="A11" s="3" t="s">
        <v>4</v>
      </c>
    </row>
    <row r="12" spans="1:8" x14ac:dyDescent="0.25">
      <c r="A12" s="6" t="s">
        <v>181</v>
      </c>
      <c r="B12" s="13">
        <f>10 ^ (B9/10)</f>
        <v>3.3113112148259116</v>
      </c>
    </row>
    <row r="13" spans="1:8" x14ac:dyDescent="0.25">
      <c r="A13" s="6" t="s">
        <v>182</v>
      </c>
      <c r="B13" s="14">
        <f>(10^(B6/20)) * 10 ^ -6</f>
        <v>6.3095734448019318E-7</v>
      </c>
    </row>
    <row r="14" spans="1:8" x14ac:dyDescent="0.25">
      <c r="A14" s="6" t="s">
        <v>180</v>
      </c>
      <c r="B14" t="s">
        <v>179</v>
      </c>
    </row>
    <row r="15" spans="1:8" x14ac:dyDescent="0.25">
      <c r="A15" s="6" t="s">
        <v>180</v>
      </c>
      <c r="B15" s="14">
        <f>B13^2/B7</f>
        <v>7.9621434110699437E-15</v>
      </c>
      <c r="C15" t="s">
        <v>25</v>
      </c>
    </row>
    <row r="17" spans="1:7" x14ac:dyDescent="0.25">
      <c r="A17" s="6" t="s">
        <v>183</v>
      </c>
      <c r="B17" t="s">
        <v>184</v>
      </c>
    </row>
    <row r="18" spans="1:7" x14ac:dyDescent="0.25">
      <c r="A18" s="6" t="s">
        <v>183</v>
      </c>
      <c r="B18" s="7">
        <f>((B12*F5)/(4*PI()*B8*10^6)) * SQRT(B5/B15)</f>
        <v>37966227.94102487</v>
      </c>
      <c r="C18" t="s">
        <v>185</v>
      </c>
    </row>
    <row r="19" spans="1:7" x14ac:dyDescent="0.25">
      <c r="A19" s="6" t="s">
        <v>183</v>
      </c>
      <c r="B19" s="23">
        <f>B18/1000</f>
        <v>37966.227941024867</v>
      </c>
      <c r="C19" t="s">
        <v>186</v>
      </c>
    </row>
    <row r="21" spans="1:7" ht="65.25" customHeight="1" x14ac:dyDescent="0.25">
      <c r="A21" s="9" t="s">
        <v>187</v>
      </c>
      <c r="B21" s="9"/>
      <c r="C21" s="9"/>
      <c r="D21" s="9"/>
      <c r="E21" s="9"/>
      <c r="F21" s="9"/>
      <c r="G21" s="9"/>
    </row>
    <row r="22" spans="1:7" x14ac:dyDescent="0.25">
      <c r="A22" s="2" t="s">
        <v>3</v>
      </c>
    </row>
    <row r="23" spans="1:7" x14ac:dyDescent="0.25">
      <c r="A23" s="6" t="s">
        <v>174</v>
      </c>
      <c r="B23">
        <v>5</v>
      </c>
      <c r="C23" t="s">
        <v>188</v>
      </c>
      <c r="E23" s="6" t="s">
        <v>177</v>
      </c>
      <c r="F23">
        <f xml:space="preserve"> 3 * 10 ^ 8</f>
        <v>300000000</v>
      </c>
      <c r="G23" t="s">
        <v>178</v>
      </c>
    </row>
    <row r="24" spans="1:7" x14ac:dyDescent="0.25">
      <c r="A24" s="6" t="s">
        <v>189</v>
      </c>
      <c r="B24">
        <v>10</v>
      </c>
      <c r="C24" t="s">
        <v>186</v>
      </c>
    </row>
    <row r="25" spans="1:7" x14ac:dyDescent="0.25">
      <c r="A25" s="6" t="s">
        <v>175</v>
      </c>
      <c r="B25">
        <v>17</v>
      </c>
      <c r="C25" t="s">
        <v>176</v>
      </c>
    </row>
    <row r="26" spans="1:7" x14ac:dyDescent="0.25">
      <c r="A26" s="6" t="s">
        <v>190</v>
      </c>
      <c r="B26">
        <v>-97</v>
      </c>
      <c r="C26" t="s">
        <v>8</v>
      </c>
    </row>
    <row r="27" spans="1:7" x14ac:dyDescent="0.25">
      <c r="A27" s="6"/>
    </row>
    <row r="28" spans="1:7" x14ac:dyDescent="0.25">
      <c r="A28" s="6"/>
    </row>
    <row r="29" spans="1:7" x14ac:dyDescent="0.25">
      <c r="A29" s="3" t="s">
        <v>4</v>
      </c>
    </row>
    <row r="30" spans="1:7" x14ac:dyDescent="0.25">
      <c r="A30" s="6" t="s">
        <v>191</v>
      </c>
      <c r="B30" s="13" t="s">
        <v>192</v>
      </c>
    </row>
    <row r="31" spans="1:7" x14ac:dyDescent="0.25">
      <c r="A31" s="6" t="s">
        <v>191</v>
      </c>
      <c r="B31" s="13">
        <f>20*LOG10(B24*1000) + 20 *LOG10(B23 * 10 ^ 9) - 148</f>
        <v>125.97940008672037</v>
      </c>
    </row>
    <row r="32" spans="1:7" x14ac:dyDescent="0.25">
      <c r="A32" s="6" t="s">
        <v>193</v>
      </c>
      <c r="B32" s="12">
        <f>B26-B25-B25+B31</f>
        <v>-5.0205999132796251</v>
      </c>
      <c r="C32" t="s">
        <v>8</v>
      </c>
    </row>
    <row r="33" spans="1:7" x14ac:dyDescent="0.25">
      <c r="A33" s="6"/>
      <c r="B33" s="14"/>
    </row>
    <row r="35" spans="1:7" x14ac:dyDescent="0.25">
      <c r="A35" s="9" t="s">
        <v>187</v>
      </c>
      <c r="B35" s="9"/>
      <c r="C35" s="9"/>
      <c r="D35" s="9"/>
      <c r="E35" s="9"/>
      <c r="F35" s="9"/>
      <c r="G35" s="9"/>
    </row>
    <row r="36" spans="1:7" x14ac:dyDescent="0.25">
      <c r="A36" s="6"/>
    </row>
    <row r="37" spans="1:7" x14ac:dyDescent="0.25">
      <c r="A37" s="6"/>
    </row>
    <row r="38" spans="1:7" ht="36" customHeight="1" x14ac:dyDescent="0.25">
      <c r="A38" s="9" t="s">
        <v>194</v>
      </c>
      <c r="B38" s="9"/>
      <c r="C38" s="9"/>
      <c r="D38" s="9"/>
      <c r="E38" s="9"/>
      <c r="F38" s="9"/>
      <c r="G38" s="9"/>
    </row>
    <row r="41" spans="1:7" ht="30.75" customHeight="1" x14ac:dyDescent="0.25">
      <c r="A41" s="9" t="s">
        <v>195</v>
      </c>
      <c r="B41" s="9"/>
      <c r="C41" s="9"/>
      <c r="D41" s="9"/>
      <c r="E41" s="9"/>
      <c r="F41" s="9"/>
      <c r="G41" s="9"/>
    </row>
    <row r="44" spans="1:7" ht="23.25" x14ac:dyDescent="0.35">
      <c r="A44" s="4" t="s">
        <v>196</v>
      </c>
    </row>
    <row r="45" spans="1:7" ht="163.5" customHeight="1" x14ac:dyDescent="0.25"/>
    <row r="46" spans="1:7" ht="108" customHeight="1" x14ac:dyDescent="0.25"/>
    <row r="48" spans="1:7" ht="15" customHeight="1" x14ac:dyDescent="0.25">
      <c r="A48" s="29" t="s">
        <v>197</v>
      </c>
      <c r="B48" s="29"/>
      <c r="C48" s="29"/>
      <c r="D48" s="29"/>
      <c r="E48" s="29"/>
      <c r="F48" s="29"/>
      <c r="G48" s="29"/>
    </row>
    <row r="49" spans="1:7" x14ac:dyDescent="0.25">
      <c r="A49" s="2" t="s">
        <v>3</v>
      </c>
    </row>
    <row r="50" spans="1:7" x14ac:dyDescent="0.25">
      <c r="A50" s="6" t="s">
        <v>0</v>
      </c>
      <c r="B50">
        <v>5</v>
      </c>
      <c r="C50" t="s">
        <v>2</v>
      </c>
      <c r="E50" s="6" t="s">
        <v>177</v>
      </c>
      <c r="F50">
        <f xml:space="preserve"> 3 * 10 ^ 8</f>
        <v>300000000</v>
      </c>
      <c r="G50" t="s">
        <v>178</v>
      </c>
    </row>
    <row r="51" spans="1:7" x14ac:dyDescent="0.25">
      <c r="A51" s="6" t="s">
        <v>198</v>
      </c>
      <c r="B51">
        <v>9.6</v>
      </c>
      <c r="C51" t="s">
        <v>199</v>
      </c>
      <c r="D51">
        <f>B51*1000</f>
        <v>9600</v>
      </c>
      <c r="E51" t="s">
        <v>201</v>
      </c>
    </row>
    <row r="52" spans="1:7" x14ac:dyDescent="0.25">
      <c r="A52" s="6" t="s">
        <v>174</v>
      </c>
      <c r="B52">
        <v>24</v>
      </c>
      <c r="C52" t="s">
        <v>42</v>
      </c>
      <c r="D52">
        <f>B52*1000</f>
        <v>24000</v>
      </c>
      <c r="E52" t="s">
        <v>37</v>
      </c>
    </row>
    <row r="53" spans="1:7" x14ac:dyDescent="0.25">
      <c r="A53" s="6"/>
    </row>
    <row r="54" spans="1:7" x14ac:dyDescent="0.25">
      <c r="A54" s="6"/>
    </row>
    <row r="55" spans="1:7" x14ac:dyDescent="0.25">
      <c r="A55" s="6"/>
    </row>
    <row r="56" spans="1:7" x14ac:dyDescent="0.25">
      <c r="A56" s="3" t="s">
        <v>4</v>
      </c>
    </row>
    <row r="57" spans="1:7" x14ac:dyDescent="0.25">
      <c r="A57" s="6" t="s">
        <v>200</v>
      </c>
      <c r="B57" s="13">
        <f>D51/D52</f>
        <v>0.4</v>
      </c>
      <c r="D57" t="s">
        <v>202</v>
      </c>
      <c r="E57" t="s">
        <v>203</v>
      </c>
    </row>
    <row r="58" spans="1:7" x14ac:dyDescent="0.25">
      <c r="A58" s="6"/>
      <c r="B58" s="13"/>
    </row>
    <row r="59" spans="1:7" x14ac:dyDescent="0.25">
      <c r="A59" s="6" t="s">
        <v>204</v>
      </c>
      <c r="B59" s="7">
        <f>0.5*EXP(-B50/(B57 * 2))</f>
        <v>9.6522706811385465E-4</v>
      </c>
    </row>
  </sheetData>
  <mergeCells count="6">
    <mergeCell ref="A41:G41"/>
    <mergeCell ref="A1:C1"/>
    <mergeCell ref="A3:G3"/>
    <mergeCell ref="A21:G21"/>
    <mergeCell ref="A35:G35"/>
    <mergeCell ref="A38:G3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harjutustund</vt:lpstr>
      <vt:lpstr>2. harjutustund</vt:lpstr>
      <vt:lpstr>3. harjutustund</vt:lpstr>
      <vt:lpstr>4. harjutustund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c:creator>
  <cp:lastModifiedBy>pro</cp:lastModifiedBy>
  <dcterms:created xsi:type="dcterms:W3CDTF">2018-05-29T08:34:37Z</dcterms:created>
  <dcterms:modified xsi:type="dcterms:W3CDTF">2018-05-30T15:01:27Z</dcterms:modified>
</cp:coreProperties>
</file>