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b62c1a3e21464/Desktop/Ordersheets/"/>
    </mc:Choice>
  </mc:AlternateContent>
  <xr:revisionPtr revIDLastSave="0" documentId="8_{A8F93329-5CB6-4C1D-BF48-6FECE5DEE5AA}" xr6:coauthVersionLast="47" xr6:coauthVersionMax="47" xr10:uidLastSave="{00000000-0000-0000-0000-000000000000}"/>
  <bookViews>
    <workbookView xWindow="-14160" yWindow="-18000" windowWidth="28980" windowHeight="17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F34" i="1"/>
  <c r="F33" i="1"/>
  <c r="F32" i="1"/>
  <c r="P100" i="1"/>
  <c r="P101" i="1"/>
  <c r="P102" i="1"/>
  <c r="O102" i="1"/>
  <c r="O101" i="1"/>
  <c r="O100" i="1"/>
  <c r="G108" i="1"/>
  <c r="G109" i="1"/>
  <c r="G110" i="1"/>
  <c r="G111" i="1"/>
  <c r="G112" i="1"/>
  <c r="G113" i="1"/>
  <c r="G114" i="1"/>
  <c r="F114" i="1"/>
  <c r="F113" i="1"/>
  <c r="F112" i="1"/>
  <c r="F111" i="1"/>
  <c r="F110" i="1"/>
  <c r="F109" i="1"/>
  <c r="F108" i="1"/>
  <c r="P86" i="1"/>
  <c r="P87" i="1"/>
  <c r="P88" i="1"/>
  <c r="O88" i="1"/>
  <c r="O87" i="1"/>
  <c r="O86" i="1"/>
  <c r="P43" i="1"/>
  <c r="P42" i="1"/>
  <c r="P41" i="1"/>
  <c r="O43" i="1"/>
  <c r="O42" i="1"/>
  <c r="O41" i="1"/>
  <c r="P30" i="1"/>
  <c r="O30" i="1"/>
  <c r="P52" i="1"/>
  <c r="O52" i="1"/>
  <c r="P125" i="1"/>
  <c r="O125" i="1"/>
  <c r="P124" i="1"/>
  <c r="O124" i="1"/>
  <c r="P68" i="1" l="1"/>
  <c r="D145" i="1"/>
  <c r="G138" i="1"/>
  <c r="P90" i="1"/>
  <c r="O90" i="1"/>
  <c r="P18" i="1"/>
  <c r="O18" i="1"/>
  <c r="M69" i="1"/>
  <c r="P57" i="1"/>
  <c r="O57" i="1"/>
  <c r="P22" i="1"/>
  <c r="P23" i="1"/>
  <c r="P24" i="1"/>
  <c r="P25" i="1"/>
  <c r="P26" i="1"/>
  <c r="P27" i="1"/>
  <c r="P28" i="1"/>
  <c r="P29" i="1"/>
  <c r="O22" i="1"/>
  <c r="O23" i="1"/>
  <c r="O24" i="1"/>
  <c r="O25" i="1"/>
  <c r="O26" i="1"/>
  <c r="O27" i="1"/>
  <c r="O28" i="1"/>
  <c r="O29" i="1"/>
  <c r="P103" i="1"/>
  <c r="P104" i="1"/>
  <c r="P105" i="1"/>
  <c r="O104" i="1"/>
  <c r="O105" i="1"/>
  <c r="O103" i="1"/>
  <c r="P95" i="1"/>
  <c r="O95" i="1"/>
  <c r="G134" i="1"/>
  <c r="F134" i="1"/>
  <c r="G137" i="1"/>
  <c r="G107" i="1"/>
  <c r="F107" i="1"/>
  <c r="P150" i="1"/>
  <c r="O150" i="1"/>
  <c r="G141" i="1"/>
  <c r="G142" i="1"/>
  <c r="F136" i="1"/>
  <c r="G136" i="1"/>
  <c r="G144" i="1"/>
  <c r="F144" i="1"/>
  <c r="G143" i="1"/>
  <c r="F143" i="1"/>
  <c r="G140" i="1"/>
  <c r="G139" i="1"/>
  <c r="F133" i="1"/>
  <c r="G133" i="1"/>
  <c r="F135" i="1"/>
  <c r="G135" i="1"/>
  <c r="F137" i="1"/>
  <c r="F145" i="1" l="1"/>
  <c r="G145" i="1"/>
  <c r="P13" i="1"/>
  <c r="G27" i="1" l="1"/>
  <c r="F27" i="1"/>
  <c r="P91" i="1"/>
  <c r="O91" i="1"/>
  <c r="O13" i="1"/>
  <c r="P157" i="1" l="1"/>
  <c r="O157" i="1"/>
  <c r="P143" i="1"/>
  <c r="O143" i="1"/>
  <c r="O62" i="1" l="1"/>
  <c r="P62" i="1"/>
  <c r="P44" i="1"/>
  <c r="O44" i="1"/>
  <c r="P11" i="1"/>
  <c r="O11" i="1"/>
  <c r="F97" i="1" l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P147" i="1"/>
  <c r="G24" i="1"/>
  <c r="F24" i="1"/>
  <c r="G31" i="1" l="1"/>
  <c r="G30" i="1"/>
  <c r="F31" i="1"/>
  <c r="F30" i="1"/>
  <c r="O68" i="1" l="1"/>
  <c r="O147" i="1"/>
  <c r="P97" i="1" l="1"/>
  <c r="P98" i="1"/>
  <c r="O98" i="1"/>
  <c r="O97" i="1"/>
  <c r="P96" i="1" l="1"/>
  <c r="O96" i="1"/>
  <c r="P19" i="1"/>
  <c r="P31" i="1"/>
  <c r="P21" i="1"/>
  <c r="O21" i="1"/>
  <c r="P60" i="1"/>
  <c r="P61" i="1"/>
  <c r="P63" i="1"/>
  <c r="O63" i="1"/>
  <c r="O61" i="1"/>
  <c r="O60" i="1"/>
  <c r="M133" i="1"/>
  <c r="P122" i="1"/>
  <c r="O122" i="1"/>
  <c r="F91" i="1"/>
  <c r="G91" i="1"/>
  <c r="F56" i="1"/>
  <c r="G56" i="1"/>
  <c r="F92" i="1"/>
  <c r="G92" i="1"/>
  <c r="F93" i="1"/>
  <c r="G93" i="1"/>
  <c r="F94" i="1"/>
  <c r="G94" i="1"/>
  <c r="F95" i="1"/>
  <c r="G95" i="1"/>
  <c r="F96" i="1"/>
  <c r="G96" i="1"/>
  <c r="P151" i="1"/>
  <c r="O151" i="1"/>
  <c r="P93" i="1" l="1"/>
  <c r="O93" i="1"/>
  <c r="P92" i="1"/>
  <c r="O92" i="1"/>
  <c r="O19" i="1" l="1"/>
  <c r="P20" i="1"/>
  <c r="O20" i="1"/>
  <c r="O31" i="1" l="1"/>
  <c r="P83" i="1" l="1"/>
  <c r="O83" i="1"/>
  <c r="P32" i="1"/>
  <c r="M165" i="1"/>
  <c r="D130" i="1"/>
  <c r="O123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C151" i="1" l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6" i="1"/>
  <c r="O156" i="1"/>
  <c r="P155" i="1"/>
  <c r="O155" i="1"/>
  <c r="P154" i="1"/>
  <c r="O154" i="1"/>
  <c r="P153" i="1"/>
  <c r="O153" i="1"/>
  <c r="P152" i="1"/>
  <c r="O152" i="1"/>
  <c r="P149" i="1"/>
  <c r="O149" i="1"/>
  <c r="P148" i="1"/>
  <c r="O148" i="1"/>
  <c r="P146" i="1"/>
  <c r="O146" i="1"/>
  <c r="P145" i="1"/>
  <c r="O145" i="1"/>
  <c r="P144" i="1"/>
  <c r="O144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3" i="1"/>
  <c r="P121" i="1"/>
  <c r="O121" i="1"/>
  <c r="P120" i="1"/>
  <c r="O120" i="1"/>
  <c r="G129" i="1"/>
  <c r="F129" i="1"/>
  <c r="P119" i="1"/>
  <c r="O119" i="1"/>
  <c r="G128" i="1"/>
  <c r="F128" i="1"/>
  <c r="P118" i="1"/>
  <c r="O118" i="1"/>
  <c r="G127" i="1"/>
  <c r="F127" i="1"/>
  <c r="P117" i="1"/>
  <c r="O117" i="1"/>
  <c r="G126" i="1"/>
  <c r="F126" i="1"/>
  <c r="P116" i="1"/>
  <c r="O116" i="1"/>
  <c r="G125" i="1"/>
  <c r="F125" i="1"/>
  <c r="P115" i="1"/>
  <c r="O115" i="1"/>
  <c r="G124" i="1"/>
  <c r="F124" i="1"/>
  <c r="P114" i="1"/>
  <c r="O114" i="1"/>
  <c r="G123" i="1"/>
  <c r="F123" i="1"/>
  <c r="P113" i="1"/>
  <c r="O113" i="1"/>
  <c r="G122" i="1"/>
  <c r="F122" i="1"/>
  <c r="P112" i="1"/>
  <c r="O112" i="1"/>
  <c r="P111" i="1"/>
  <c r="O111" i="1"/>
  <c r="G121" i="1"/>
  <c r="F121" i="1"/>
  <c r="P110" i="1"/>
  <c r="O110" i="1"/>
  <c r="G120" i="1"/>
  <c r="F120" i="1"/>
  <c r="P109" i="1"/>
  <c r="O109" i="1"/>
  <c r="G119" i="1"/>
  <c r="F119" i="1"/>
  <c r="G118" i="1"/>
  <c r="F118" i="1"/>
  <c r="G117" i="1"/>
  <c r="F117" i="1"/>
  <c r="G116" i="1"/>
  <c r="F116" i="1"/>
  <c r="P99" i="1"/>
  <c r="O99" i="1"/>
  <c r="G115" i="1"/>
  <c r="F115" i="1"/>
  <c r="P94" i="1"/>
  <c r="O94" i="1"/>
  <c r="G79" i="1"/>
  <c r="F79" i="1"/>
  <c r="P89" i="1"/>
  <c r="O89" i="1"/>
  <c r="G78" i="1"/>
  <c r="F78" i="1"/>
  <c r="G77" i="1"/>
  <c r="F77" i="1"/>
  <c r="G76" i="1"/>
  <c r="F76" i="1"/>
  <c r="G75" i="1"/>
  <c r="F75" i="1"/>
  <c r="P85" i="1"/>
  <c r="O85" i="1"/>
  <c r="P84" i="1"/>
  <c r="O84" i="1"/>
  <c r="G74" i="1"/>
  <c r="F74" i="1"/>
  <c r="G73" i="1"/>
  <c r="F73" i="1"/>
  <c r="G72" i="1"/>
  <c r="F72" i="1"/>
  <c r="P82" i="1"/>
  <c r="O82" i="1"/>
  <c r="G71" i="1"/>
  <c r="F71" i="1"/>
  <c r="P81" i="1"/>
  <c r="O81" i="1"/>
  <c r="P80" i="1"/>
  <c r="O80" i="1"/>
  <c r="G70" i="1"/>
  <c r="F70" i="1"/>
  <c r="P79" i="1"/>
  <c r="O79" i="1"/>
  <c r="G69" i="1"/>
  <c r="F69" i="1"/>
  <c r="P78" i="1"/>
  <c r="O78" i="1"/>
  <c r="G68" i="1"/>
  <c r="F68" i="1"/>
  <c r="P77" i="1"/>
  <c r="O77" i="1"/>
  <c r="G67" i="1"/>
  <c r="F67" i="1"/>
  <c r="P76" i="1"/>
  <c r="O76" i="1"/>
  <c r="G66" i="1"/>
  <c r="F66" i="1"/>
  <c r="P75" i="1"/>
  <c r="O75" i="1"/>
  <c r="G65" i="1"/>
  <c r="F65" i="1"/>
  <c r="P74" i="1"/>
  <c r="O74" i="1"/>
  <c r="G64" i="1"/>
  <c r="F64" i="1"/>
  <c r="P73" i="1"/>
  <c r="O73" i="1"/>
  <c r="G63" i="1"/>
  <c r="F63" i="1"/>
  <c r="P72" i="1"/>
  <c r="O72" i="1"/>
  <c r="G62" i="1"/>
  <c r="F62" i="1"/>
  <c r="G61" i="1"/>
  <c r="F61" i="1"/>
  <c r="G60" i="1"/>
  <c r="F60" i="1"/>
  <c r="G59" i="1"/>
  <c r="F59" i="1"/>
  <c r="P67" i="1"/>
  <c r="O67" i="1"/>
  <c r="G58" i="1"/>
  <c r="F58" i="1"/>
  <c r="P66" i="1"/>
  <c r="O66" i="1"/>
  <c r="G57" i="1"/>
  <c r="F57" i="1"/>
  <c r="P65" i="1"/>
  <c r="O65" i="1"/>
  <c r="G55" i="1"/>
  <c r="F55" i="1"/>
  <c r="P64" i="1"/>
  <c r="O64" i="1"/>
  <c r="G54" i="1"/>
  <c r="F54" i="1"/>
  <c r="G53" i="1"/>
  <c r="F53" i="1"/>
  <c r="P59" i="1"/>
  <c r="O59" i="1"/>
  <c r="G52" i="1"/>
  <c r="F52" i="1"/>
  <c r="P58" i="1"/>
  <c r="O58" i="1"/>
  <c r="G51" i="1"/>
  <c r="F51" i="1"/>
  <c r="P56" i="1"/>
  <c r="O56" i="1"/>
  <c r="G50" i="1"/>
  <c r="F50" i="1"/>
  <c r="P55" i="1"/>
  <c r="O55" i="1"/>
  <c r="G49" i="1"/>
  <c r="F49" i="1"/>
  <c r="P54" i="1"/>
  <c r="O54" i="1"/>
  <c r="G48" i="1"/>
  <c r="F48" i="1"/>
  <c r="P53" i="1"/>
  <c r="O53" i="1"/>
  <c r="G47" i="1"/>
  <c r="F47" i="1"/>
  <c r="G46" i="1"/>
  <c r="F46" i="1"/>
  <c r="P51" i="1"/>
  <c r="O51" i="1"/>
  <c r="G45" i="1"/>
  <c r="F45" i="1"/>
  <c r="P50" i="1"/>
  <c r="O50" i="1"/>
  <c r="G44" i="1"/>
  <c r="F44" i="1"/>
  <c r="P49" i="1"/>
  <c r="O49" i="1"/>
  <c r="G43" i="1"/>
  <c r="F43" i="1"/>
  <c r="P48" i="1"/>
  <c r="O48" i="1"/>
  <c r="G42" i="1"/>
  <c r="F42" i="1"/>
  <c r="P47" i="1"/>
  <c r="O47" i="1"/>
  <c r="G41" i="1"/>
  <c r="F41" i="1"/>
  <c r="P46" i="1"/>
  <c r="O46" i="1"/>
  <c r="G40" i="1"/>
  <c r="F40" i="1"/>
  <c r="P45" i="1"/>
  <c r="O45" i="1"/>
  <c r="G39" i="1"/>
  <c r="F39" i="1"/>
  <c r="P40" i="1"/>
  <c r="O40" i="1"/>
  <c r="G38" i="1"/>
  <c r="F38" i="1"/>
  <c r="P39" i="1"/>
  <c r="O39" i="1"/>
  <c r="G37" i="1"/>
  <c r="F37" i="1"/>
  <c r="P38" i="1"/>
  <c r="O38" i="1"/>
  <c r="G36" i="1"/>
  <c r="F36" i="1"/>
  <c r="P37" i="1"/>
  <c r="O37" i="1"/>
  <c r="G35" i="1"/>
  <c r="F35" i="1"/>
  <c r="P36" i="1"/>
  <c r="O36" i="1"/>
  <c r="P35" i="1"/>
  <c r="O35" i="1"/>
  <c r="G29" i="1"/>
  <c r="F29" i="1"/>
  <c r="P34" i="1"/>
  <c r="O34" i="1"/>
  <c r="G28" i="1"/>
  <c r="F28" i="1"/>
  <c r="G26" i="1"/>
  <c r="F26" i="1"/>
  <c r="G25" i="1"/>
  <c r="F25" i="1"/>
  <c r="G23" i="1"/>
  <c r="F23" i="1"/>
  <c r="P33" i="1"/>
  <c r="O33" i="1"/>
  <c r="G22" i="1"/>
  <c r="F22" i="1"/>
  <c r="G21" i="1"/>
  <c r="F21" i="1"/>
  <c r="G20" i="1"/>
  <c r="F20" i="1"/>
  <c r="O32" i="1"/>
  <c r="P108" i="1"/>
  <c r="O108" i="1"/>
  <c r="G19" i="1"/>
  <c r="F19" i="1"/>
  <c r="P107" i="1"/>
  <c r="O107" i="1"/>
  <c r="G18" i="1"/>
  <c r="F18" i="1"/>
  <c r="P106" i="1"/>
  <c r="O106" i="1"/>
  <c r="G16" i="1"/>
  <c r="F16" i="1"/>
  <c r="P17" i="1"/>
  <c r="O17" i="1"/>
  <c r="G15" i="1"/>
  <c r="F15" i="1"/>
  <c r="P16" i="1"/>
  <c r="O16" i="1"/>
  <c r="G14" i="1"/>
  <c r="F14" i="1"/>
  <c r="P15" i="1"/>
  <c r="O15" i="1"/>
  <c r="G13" i="1"/>
  <c r="F13" i="1"/>
  <c r="P14" i="1"/>
  <c r="O14" i="1"/>
  <c r="G12" i="1"/>
  <c r="F12" i="1"/>
  <c r="P12" i="1"/>
  <c r="O12" i="1"/>
  <c r="G11" i="1"/>
  <c r="F11" i="1"/>
  <c r="P10" i="1"/>
  <c r="O10" i="1"/>
  <c r="G10" i="1"/>
  <c r="F10" i="1"/>
  <c r="P9" i="1"/>
  <c r="O9" i="1"/>
  <c r="G9" i="1"/>
  <c r="F9" i="1"/>
  <c r="P8" i="1"/>
  <c r="O8" i="1"/>
  <c r="G8" i="1"/>
  <c r="F8" i="1"/>
  <c r="P7" i="1"/>
  <c r="O7" i="1"/>
  <c r="G7" i="1"/>
  <c r="F7" i="1"/>
  <c r="P69" i="1" l="1"/>
  <c r="P165" i="1"/>
  <c r="P133" i="1"/>
  <c r="O133" i="1"/>
  <c r="O69" i="1"/>
  <c r="O165" i="1"/>
  <c r="G17" i="1"/>
  <c r="G130" i="1" s="1"/>
  <c r="F17" i="1"/>
  <c r="F130" i="1" s="1"/>
  <c r="C147" i="1" l="1"/>
  <c r="C149" i="1"/>
</calcChain>
</file>

<file path=xl/sharedStrings.xml><?xml version="1.0" encoding="utf-8"?>
<sst xmlns="http://schemas.openxmlformats.org/spreadsheetml/2006/main" count="630" uniqueCount="604">
  <si>
    <t>ORDER SHEET: Version 7.7 March (2025)</t>
  </si>
  <si>
    <t>DATE</t>
  </si>
  <si>
    <t xml:space="preserve">Please submit completed order form to Orders@chaiiwala.co.uk on your allocated day otherwise, you will be fined. </t>
  </si>
  <si>
    <t>STORE</t>
  </si>
  <si>
    <t>SUBMITTED BY</t>
  </si>
  <si>
    <t>Packaging</t>
  </si>
  <si>
    <t>Frozen Food</t>
  </si>
  <si>
    <t>Item Code</t>
  </si>
  <si>
    <t>Packaging type</t>
  </si>
  <si>
    <t xml:space="preserve">Quantity per box </t>
  </si>
  <si>
    <t>Order Quantity (Box)</t>
  </si>
  <si>
    <t>Price (box)</t>
  </si>
  <si>
    <t>Order Value</t>
  </si>
  <si>
    <t>Weight (Kg)</t>
  </si>
  <si>
    <t>Product</t>
  </si>
  <si>
    <t>Portion per Container/ pack</t>
  </si>
  <si>
    <t>Containers/ pack per box</t>
  </si>
  <si>
    <t>Order</t>
  </si>
  <si>
    <t>Price (Box)</t>
  </si>
  <si>
    <t>BP401</t>
  </si>
  <si>
    <t>Leak-proof box for sandwiches/cheesecakes</t>
  </si>
  <si>
    <t>FPBC101</t>
  </si>
  <si>
    <t>Masala Beans</t>
  </si>
  <si>
    <t>BP402</t>
  </si>
  <si>
    <t>Hot drink cups 8oz</t>
  </si>
  <si>
    <t>FPBC102</t>
  </si>
  <si>
    <t>Daal</t>
  </si>
  <si>
    <t>BP440</t>
  </si>
  <si>
    <t>Sip through lids</t>
  </si>
  <si>
    <t>FPBC105</t>
  </si>
  <si>
    <t>Mogo Sauce</t>
  </si>
  <si>
    <t>BP460</t>
  </si>
  <si>
    <t>Large 12oz Cups</t>
  </si>
  <si>
    <t>FPBC106</t>
  </si>
  <si>
    <t>Paneer Sauce</t>
  </si>
  <si>
    <t>BP461</t>
  </si>
  <si>
    <t>Large 12oz Lids</t>
  </si>
  <si>
    <t>FF709</t>
  </si>
  <si>
    <t>Chilli Chutney</t>
  </si>
  <si>
    <t>BP447</t>
  </si>
  <si>
    <t>4oz Hot Drink Cup</t>
  </si>
  <si>
    <t>FPBC107</t>
  </si>
  <si>
    <t>Pau Bhaji</t>
  </si>
  <si>
    <t>BP404</t>
  </si>
  <si>
    <t>Greaseproof paper Chaiiwala times paper</t>
  </si>
  <si>
    <t>FF715</t>
  </si>
  <si>
    <t>Kunafa Pisatchio Mix</t>
  </si>
  <si>
    <t>DP127</t>
  </si>
  <si>
    <t>Printed Greaseproof Paper Bag</t>
  </si>
  <si>
    <t>FPFC208</t>
  </si>
  <si>
    <t>Gajar Halwa (1 piece)</t>
  </si>
  <si>
    <t>BP405</t>
  </si>
  <si>
    <t>Chaiiwala Napkins</t>
  </si>
  <si>
    <t>FPFC209</t>
  </si>
  <si>
    <t>Gulab Jaman (1 piece)</t>
  </si>
  <si>
    <t>BP442</t>
  </si>
  <si>
    <t>12oz Chaiiwala PET cup</t>
  </si>
  <si>
    <t>FPBC103</t>
  </si>
  <si>
    <t>Butter Chicken</t>
  </si>
  <si>
    <t>BP443</t>
  </si>
  <si>
    <t>12oz Chaiiwala PET dome lids</t>
  </si>
  <si>
    <t>FPFC206</t>
  </si>
  <si>
    <t>Roti (50 per box)</t>
  </si>
  <si>
    <t>DP196</t>
  </si>
  <si>
    <t>16oz Chaiiwala PET cup</t>
  </si>
  <si>
    <t>FF722</t>
  </si>
  <si>
    <t>Orange Juice (12x250ml)</t>
  </si>
  <si>
    <t>DP197</t>
  </si>
  <si>
    <t>16oz Chaiiwala PET dome lids</t>
  </si>
  <si>
    <t>FF686</t>
  </si>
  <si>
    <t>Mini Sugared Doughnuts 13.5g (4x1)</t>
  </si>
  <si>
    <t>BP462</t>
  </si>
  <si>
    <t>Chaiiwala Mugs</t>
  </si>
  <si>
    <t>FF690</t>
  </si>
  <si>
    <t>Triple Belgium Choclate (36 x 80g)</t>
  </si>
  <si>
    <t>DP193</t>
  </si>
  <si>
    <t>6 Cup Chaii Carrier</t>
  </si>
  <si>
    <t>FF691</t>
  </si>
  <si>
    <t>Belgian Choclate Chunk Cookie (36x80g)</t>
  </si>
  <si>
    <t>BP446</t>
  </si>
  <si>
    <t>Printed paper carrier bag EXTRA LARGE</t>
  </si>
  <si>
    <t>FF721</t>
  </si>
  <si>
    <t>Victoria Sponge Swirl (12 per box)</t>
  </si>
  <si>
    <t>BP409</t>
  </si>
  <si>
    <t>Printed paper carrier bag MEDIUM</t>
  </si>
  <si>
    <t>FF720</t>
  </si>
  <si>
    <t>Chocolate Hazelnut Cake (12 per box)</t>
  </si>
  <si>
    <t>DP218</t>
  </si>
  <si>
    <t>Printed No Handle Takeaway Bags</t>
  </si>
  <si>
    <t>FF719</t>
  </si>
  <si>
    <t>Biscoff Cookie Pie (16 per box)</t>
  </si>
  <si>
    <t>BP406</t>
  </si>
  <si>
    <t xml:space="preserve">Printed Dessert Container </t>
  </si>
  <si>
    <t>FF718</t>
  </si>
  <si>
    <t>Rocky Road Cheesecake (16 per box)</t>
  </si>
  <si>
    <t>BP407</t>
  </si>
  <si>
    <t>Dessert Container Lid</t>
  </si>
  <si>
    <t>FF717</t>
  </si>
  <si>
    <t>Chocolate Dream Cake (16 per box)</t>
  </si>
  <si>
    <t>DP237</t>
  </si>
  <si>
    <t>Dome Lids for dessert Container</t>
  </si>
  <si>
    <t>FF716</t>
  </si>
  <si>
    <t>NY Vanilla Cheesecake (16 per box)</t>
  </si>
  <si>
    <t>DP194</t>
  </si>
  <si>
    <t xml:space="preserve">Printed Sleeve Slider box </t>
  </si>
  <si>
    <t>FF711</t>
  </si>
  <si>
    <t>Biscoff Milk Cake 12 pack</t>
  </si>
  <si>
    <t>DP195</t>
  </si>
  <si>
    <t>Slider box Insert</t>
  </si>
  <si>
    <t>FF710</t>
  </si>
  <si>
    <t>Pistachio Milk Cake 12 pack</t>
  </si>
  <si>
    <t>DP215</t>
  </si>
  <si>
    <t>Printed Rice Bowl</t>
  </si>
  <si>
    <t>FF726</t>
  </si>
  <si>
    <t>Date and Banana Milk Cake</t>
  </si>
  <si>
    <t>DP216</t>
  </si>
  <si>
    <t>Printed Rice Bowl Lid</t>
  </si>
  <si>
    <t>FF700</t>
  </si>
  <si>
    <t>Bhaklava Fudge Cake</t>
  </si>
  <si>
    <t>DP247</t>
  </si>
  <si>
    <t>Kids Meal Boxes</t>
  </si>
  <si>
    <t>FF640</t>
  </si>
  <si>
    <t>Chaii Cake</t>
  </si>
  <si>
    <t>DP248</t>
  </si>
  <si>
    <t>Kids Booklets</t>
  </si>
  <si>
    <t>FPFC234</t>
  </si>
  <si>
    <t>Cheesecake Gulab Jamun (16 per box)</t>
  </si>
  <si>
    <t>DP249</t>
  </si>
  <si>
    <t>Crayons</t>
  </si>
  <si>
    <t>FPFC219</t>
  </si>
  <si>
    <t>Rose Ice Cream (5L)</t>
  </si>
  <si>
    <t>BP413</t>
  </si>
  <si>
    <t>Teapot logo STICKER</t>
  </si>
  <si>
    <t>FPFC220</t>
  </si>
  <si>
    <t>Mango Ice Cream (5L)</t>
  </si>
  <si>
    <t>BP459</t>
  </si>
  <si>
    <t>Use by Sticker</t>
  </si>
  <si>
    <t>FPFC224</t>
  </si>
  <si>
    <t>Vanilla Ice Cream (5L)</t>
  </si>
  <si>
    <t>BP420</t>
  </si>
  <si>
    <t>Coffee STICKER</t>
  </si>
  <si>
    <t>FPG303</t>
  </si>
  <si>
    <t>Frozen Paratha (120) per box)</t>
  </si>
  <si>
    <t>BP421</t>
  </si>
  <si>
    <t>Sweet paratha  STICKER</t>
  </si>
  <si>
    <t>FPG305</t>
  </si>
  <si>
    <t>Frozen mogo chips (500g x 20 per box)</t>
  </si>
  <si>
    <t>BP422</t>
  </si>
  <si>
    <t>Paneer  STICKER</t>
  </si>
  <si>
    <t>FPG339</t>
  </si>
  <si>
    <t>Chicken Seekh Kebab</t>
  </si>
  <si>
    <t>BP423</t>
  </si>
  <si>
    <t>Mogo  STICKER</t>
  </si>
  <si>
    <t>FPG340</t>
  </si>
  <si>
    <t>Veg Kebab</t>
  </si>
  <si>
    <t>BP424</t>
  </si>
  <si>
    <t>Samosa  STICKER</t>
  </si>
  <si>
    <t>FF727</t>
  </si>
  <si>
    <t>Chicken Nuggets (6x1kg)</t>
  </si>
  <si>
    <t>BP425</t>
  </si>
  <si>
    <t>Butter chicken  STICKER</t>
  </si>
  <si>
    <t>FF728</t>
  </si>
  <si>
    <t>Hot N Spicy Chicken Fillets (6x900g)</t>
  </si>
  <si>
    <t>BP426</t>
  </si>
  <si>
    <t>Tarelli roti  STICKER</t>
  </si>
  <si>
    <t>FF729</t>
  </si>
  <si>
    <t>Chicken Biryani (40x350g)</t>
  </si>
  <si>
    <t>BP427</t>
  </si>
  <si>
    <t>Omelette wrap STICKER</t>
  </si>
  <si>
    <t>BBF311</t>
  </si>
  <si>
    <t>Hashbrowns 4x2.5kg</t>
  </si>
  <si>
    <t>BP428</t>
  </si>
  <si>
    <t>Nutella wrap STICKER</t>
  </si>
  <si>
    <t>FPG309</t>
  </si>
  <si>
    <t>Mozzarella Cheese (6x 2kg per box)</t>
  </si>
  <si>
    <t>BP429</t>
  </si>
  <si>
    <t>Masala chips STICKER</t>
  </si>
  <si>
    <t>FPG310</t>
  </si>
  <si>
    <t>Frozen Chips (4x2.5kg)</t>
  </si>
  <si>
    <t>BP430</t>
  </si>
  <si>
    <t>Sugar free STICKER</t>
  </si>
  <si>
    <t>FF611</t>
  </si>
  <si>
    <t>Chicken Tikka Boti</t>
  </si>
  <si>
    <t>BP431</t>
  </si>
  <si>
    <t>Mint STICKER</t>
  </si>
  <si>
    <t>FF614</t>
  </si>
  <si>
    <t>Karach Bun Kebab Patty</t>
  </si>
  <si>
    <t>BP432</t>
  </si>
  <si>
    <t>Cinnamon  STICKER</t>
  </si>
  <si>
    <t>FF617</t>
  </si>
  <si>
    <t>Large Samosa (10x6)</t>
  </si>
  <si>
    <t>BP433</t>
  </si>
  <si>
    <t>Saffron  STICKER</t>
  </si>
  <si>
    <t>FF664</t>
  </si>
  <si>
    <t>Breakfast Chicken Sausages (55g)</t>
  </si>
  <si>
    <t>BP451</t>
  </si>
  <si>
    <t>Ginger Choc STICKER</t>
  </si>
  <si>
    <t>FF619</t>
  </si>
  <si>
    <t xml:space="preserve">Aloo Tikki </t>
  </si>
  <si>
    <t>BP449</t>
  </si>
  <si>
    <t>Caramel Chaii STICKER</t>
  </si>
  <si>
    <t>FF724</t>
  </si>
  <si>
    <t>Vada (90x70g)</t>
  </si>
  <si>
    <t>BP434</t>
  </si>
  <si>
    <t>Sweet Stuff  STICKER</t>
  </si>
  <si>
    <t>FF624</t>
  </si>
  <si>
    <t>Aloo Paratha</t>
  </si>
  <si>
    <t>BP435</t>
  </si>
  <si>
    <t>Cheese roti STICKER</t>
  </si>
  <si>
    <t>FF625</t>
  </si>
  <si>
    <t>Poori</t>
  </si>
  <si>
    <t>BP436</t>
  </si>
  <si>
    <t>Garam Chocolate  STICKER</t>
  </si>
  <si>
    <t>DF374</t>
  </si>
  <si>
    <t xml:space="preserve">Mango Chutney (10kg) </t>
  </si>
  <si>
    <t>BP437</t>
  </si>
  <si>
    <t>Bombay Sandwich Sticker</t>
  </si>
  <si>
    <t>FF663</t>
  </si>
  <si>
    <t>Macon Halal (6x200x15pcs)</t>
  </si>
  <si>
    <t>BP438</t>
  </si>
  <si>
    <t>Chaii latte  STICKER</t>
  </si>
  <si>
    <t>FF712</t>
  </si>
  <si>
    <t>Baguettes (40 per box)</t>
  </si>
  <si>
    <t>BP439</t>
  </si>
  <si>
    <t>Roti STICKER</t>
  </si>
  <si>
    <t>FF641</t>
  </si>
  <si>
    <t>Halwa</t>
  </si>
  <si>
    <t>BP450</t>
  </si>
  <si>
    <t>Checklist STICKER</t>
  </si>
  <si>
    <t>FPBC112</t>
  </si>
  <si>
    <t>Channa</t>
  </si>
  <si>
    <t>BP457</t>
  </si>
  <si>
    <t>Lotus STICKER</t>
  </si>
  <si>
    <t>FF696</t>
  </si>
  <si>
    <t>Tomato Sauce (12kg)</t>
  </si>
  <si>
    <t>BP452</t>
  </si>
  <si>
    <t>Kebab Roll STICKER</t>
  </si>
  <si>
    <t>FF698</t>
  </si>
  <si>
    <t>Rice Basmati (8kg)</t>
  </si>
  <si>
    <t>BP453</t>
  </si>
  <si>
    <t>Sugar Wali Roti STICKER</t>
  </si>
  <si>
    <t>FF708</t>
  </si>
  <si>
    <t>Diced Frozen Strawberry 10kg</t>
  </si>
  <si>
    <t>BP454</t>
  </si>
  <si>
    <t>Paratha STICKER</t>
  </si>
  <si>
    <t>FF699</t>
  </si>
  <si>
    <t>Bombay Sandwiches (15 per case)</t>
  </si>
  <si>
    <t>BP458</t>
  </si>
  <si>
    <t>Bun Omelette STICKER</t>
  </si>
  <si>
    <t>FF667</t>
  </si>
  <si>
    <t>Kheema Mix 500g</t>
  </si>
  <si>
    <t>BP464</t>
  </si>
  <si>
    <t>Veg Kebab Roll STICKER</t>
  </si>
  <si>
    <t>FF648</t>
  </si>
  <si>
    <t>Pasty Chicken Sausage Roll (90g)</t>
  </si>
  <si>
    <t>BP465</t>
  </si>
  <si>
    <t>Chilli Chip Butty STICKER</t>
  </si>
  <si>
    <t>FF649</t>
  </si>
  <si>
    <t>Chicken Tikka Pasties (150g)</t>
  </si>
  <si>
    <t>BP469</t>
  </si>
  <si>
    <t>Pink Chaii STICKER</t>
  </si>
  <si>
    <t>FF650</t>
  </si>
  <si>
    <t>Cheese &amp; Jalapeno Pasties (150g)</t>
  </si>
  <si>
    <t>DP168</t>
  </si>
  <si>
    <t>Samosa Chaat Sticker</t>
  </si>
  <si>
    <t>FF677</t>
  </si>
  <si>
    <t>Chicken &amp; Sweetcorn Pasties (150g)</t>
  </si>
  <si>
    <t>DP170</t>
  </si>
  <si>
    <t>Karachi Bun Kebab Sticker</t>
  </si>
  <si>
    <t>Total:</t>
  </si>
  <si>
    <t>DP171</t>
  </si>
  <si>
    <t>Chilli and Lemon Chips Sticker</t>
  </si>
  <si>
    <t xml:space="preserve"> Dry Food </t>
  </si>
  <si>
    <t>DP173</t>
  </si>
  <si>
    <t>Tikka Naan Sticker</t>
  </si>
  <si>
    <t>Portion per pack/box</t>
  </si>
  <si>
    <t>Price</t>
  </si>
  <si>
    <t>DP175</t>
  </si>
  <si>
    <t>Pink Chaii Cake Sticker</t>
  </si>
  <si>
    <t>FPBC109</t>
  </si>
  <si>
    <t>Limbu Pani (5L)</t>
  </si>
  <si>
    <t>DP176</t>
  </si>
  <si>
    <t>Coffee Cake Sticker</t>
  </si>
  <si>
    <t>FPFC210</t>
  </si>
  <si>
    <t>Pink Chaii Mix (50 per box)</t>
  </si>
  <si>
    <t>DP178</t>
  </si>
  <si>
    <t>Halwa Puri Sticker</t>
  </si>
  <si>
    <t>FPFC201</t>
  </si>
  <si>
    <t>Garam Choc (10 x 1 kg)</t>
  </si>
  <si>
    <t>DP169</t>
  </si>
  <si>
    <t>Date Machine Sticker</t>
  </si>
  <si>
    <t>DF409</t>
  </si>
  <si>
    <t>Karak Chaii (25 per box)</t>
  </si>
  <si>
    <t>DP188</t>
  </si>
  <si>
    <t>Delivery Sticker</t>
  </si>
  <si>
    <t>FPFC203</t>
  </si>
  <si>
    <t>Karak Coffee (50 per box)</t>
  </si>
  <si>
    <t>DP190</t>
  </si>
  <si>
    <t>Yogurt and Mint Sticker</t>
  </si>
  <si>
    <t>FPFC204</t>
  </si>
  <si>
    <t>Karak Chaii Sugar free (50 per box)</t>
  </si>
  <si>
    <t>DP191</t>
  </si>
  <si>
    <t>Mogo Sauce Sticker</t>
  </si>
  <si>
    <t>FPFC205</t>
  </si>
  <si>
    <t>Chaii Latte (1kg)</t>
  </si>
  <si>
    <t>DP192</t>
  </si>
  <si>
    <t>Chaiiwala Chutney Sticker</t>
  </si>
  <si>
    <t>DF427</t>
  </si>
  <si>
    <t>Vegan Chaii Powder</t>
  </si>
  <si>
    <t>DP198</t>
  </si>
  <si>
    <t>English-ish Breakfast Sticker</t>
  </si>
  <si>
    <t>FPFC227</t>
  </si>
  <si>
    <t>Monin Gingerbread Syrup (1L)</t>
  </si>
  <si>
    <t>DP199</t>
  </si>
  <si>
    <t>Cream Cheese Paratha Sticker</t>
  </si>
  <si>
    <t>FPFC228</t>
  </si>
  <si>
    <t>Monin Caramel Syrup (1L)</t>
  </si>
  <si>
    <t>DP200</t>
  </si>
  <si>
    <t>Grilled Cheese Naan Sticker</t>
  </si>
  <si>
    <t>FPG306</t>
  </si>
  <si>
    <t>Lemon Tea Syrup (1L)</t>
  </si>
  <si>
    <t>DP201</t>
  </si>
  <si>
    <t>Desi Mac and cheese Sticker</t>
  </si>
  <si>
    <t>DF440</t>
  </si>
  <si>
    <t>French Vanilla syrup (1L)</t>
  </si>
  <si>
    <t>DP202</t>
  </si>
  <si>
    <t>Aloo Tikka Burger Sticker</t>
  </si>
  <si>
    <t>FPFC240</t>
  </si>
  <si>
    <t>Blue Curacao Syrup (70cl)</t>
  </si>
  <si>
    <t>DP203</t>
  </si>
  <si>
    <t>Samosa Burger Sticker</t>
  </si>
  <si>
    <t>FPFC239</t>
  </si>
  <si>
    <t>Strawberry Syrup SF (1L)</t>
  </si>
  <si>
    <t>DP204</t>
  </si>
  <si>
    <t>Loaded Fries Sticker</t>
  </si>
  <si>
    <t>DF479</t>
  </si>
  <si>
    <t>Rooh Afza Syrup (12x800ml)</t>
  </si>
  <si>
    <t>DP205</t>
  </si>
  <si>
    <t>Kheema &amp; Roti Sticker</t>
  </si>
  <si>
    <t>DF480</t>
  </si>
  <si>
    <t>Watermelon &amp; Lime Syrup (1.5L)</t>
  </si>
  <si>
    <t>DP206</t>
  </si>
  <si>
    <t>Pani Puri Sticker</t>
  </si>
  <si>
    <t>DF481</t>
  </si>
  <si>
    <t>Tahitian Lime &amp; Mint (1.5L)</t>
  </si>
  <si>
    <t>DP207</t>
  </si>
  <si>
    <t>Chicken Tikka &amp; Chips Sticker</t>
  </si>
  <si>
    <t>DF421</t>
  </si>
  <si>
    <t>Speculouse Sauce (1kg)</t>
  </si>
  <si>
    <t>DP208</t>
  </si>
  <si>
    <t>Pizza Paratha &amp; Chips Sticker</t>
  </si>
  <si>
    <t>DF444</t>
  </si>
  <si>
    <t>Raspberry Topping Sauce (1kg)</t>
  </si>
  <si>
    <t>DP209</t>
  </si>
  <si>
    <t>Shakshuka Sticker</t>
  </si>
  <si>
    <t>DF442</t>
  </si>
  <si>
    <t>Pistachio Sauce (1L)</t>
  </si>
  <si>
    <t>DP210</t>
  </si>
  <si>
    <t>Cheese Chutney Toastie Sticker</t>
  </si>
  <si>
    <t>DF451</t>
  </si>
  <si>
    <t>Luxury White Chocolate Sauce</t>
  </si>
  <si>
    <t>DP211</t>
  </si>
  <si>
    <t>Butter Chicken Rice Bowl Sticker</t>
  </si>
  <si>
    <t>BBA210</t>
  </si>
  <si>
    <t>Milk Choc Topping Sauce</t>
  </si>
  <si>
    <t xml:space="preserve"> </t>
  </si>
  <si>
    <t>DP212</t>
  </si>
  <si>
    <t>Chana Masala Rice Bowl Sticker</t>
  </si>
  <si>
    <t>DF422</t>
  </si>
  <si>
    <t>Frappe Powder (2kg)</t>
  </si>
  <si>
    <t>DP213</t>
  </si>
  <si>
    <t>Crispy Fried Paratha Sticker</t>
  </si>
  <si>
    <t>DF470</t>
  </si>
  <si>
    <t>Chicken Tikka Crisps x 24</t>
  </si>
  <si>
    <t>DP214</t>
  </si>
  <si>
    <t>Crispy Aloo Pakora Sticker</t>
  </si>
  <si>
    <t>DF456</t>
  </si>
  <si>
    <t>Chilli &amp; Lime Crisps x 24</t>
  </si>
  <si>
    <t>DP219</t>
  </si>
  <si>
    <t>Aloo Tikki Chaat Sticker</t>
  </si>
  <si>
    <t>DF457</t>
  </si>
  <si>
    <t>Decaf Coffee Beans</t>
  </si>
  <si>
    <t>DP220</t>
  </si>
  <si>
    <t>Mixed Kebab Wrap Sticker</t>
  </si>
  <si>
    <t>DF450</t>
  </si>
  <si>
    <t>Coffee Beans</t>
  </si>
  <si>
    <t>DP221</t>
  </si>
  <si>
    <t>Lamb Kheema &amp; Cheese Wrap Sticker</t>
  </si>
  <si>
    <t>FPFC214</t>
  </si>
  <si>
    <t>Cake Rusk (50 per box)</t>
  </si>
  <si>
    <t>DP222</t>
  </si>
  <si>
    <t>Kebab Wala Wrap Sticker</t>
  </si>
  <si>
    <t>FPFC216</t>
  </si>
  <si>
    <t>Bombay Mix (40x50g)</t>
  </si>
  <si>
    <t>DP223</t>
  </si>
  <si>
    <t>Chicken Tikka Bombay Bowl Sticker</t>
  </si>
  <si>
    <t>FPFC218</t>
  </si>
  <si>
    <t>Tandoori Peanuts (40x50g)</t>
  </si>
  <si>
    <t>DP224</t>
  </si>
  <si>
    <t>Lamb Kheema Bombay Bowl Sticker</t>
  </si>
  <si>
    <t>FPFC215</t>
  </si>
  <si>
    <t>Chilli Lemon Corn Nuts (40x50g)</t>
  </si>
  <si>
    <t>DP225</t>
  </si>
  <si>
    <t>Butter Chicken &amp; Slaw Toastie Sticker</t>
  </si>
  <si>
    <t>DF473</t>
  </si>
  <si>
    <t>Madeira Loaf Cake (24)</t>
  </si>
  <si>
    <t>DP226</t>
  </si>
  <si>
    <t>Cheese &amp; Masala Beans Toastie Sticker</t>
  </si>
  <si>
    <t>DF472</t>
  </si>
  <si>
    <t>Blueberry Muffin (20)</t>
  </si>
  <si>
    <t>DP227</t>
  </si>
  <si>
    <t>Lamb Macon &amp; Egg Wrap Sticker</t>
  </si>
  <si>
    <t>DF471</t>
  </si>
  <si>
    <t>Belgian choclate Muffin (20)</t>
  </si>
  <si>
    <t>DP228</t>
  </si>
  <si>
    <t>Spiced Chicken Sausage &amp; Egg Wrap Sticker</t>
  </si>
  <si>
    <t>FPFC235</t>
  </si>
  <si>
    <t>Zesty Fruit Granola Bar (24)</t>
  </si>
  <si>
    <t>DP244</t>
  </si>
  <si>
    <t>Blank Cake Stickers</t>
  </si>
  <si>
    <t>FPFC232</t>
  </si>
  <si>
    <t>Belgian Caramel Shortbread (24)</t>
  </si>
  <si>
    <t>DP250</t>
  </si>
  <si>
    <t>Poppadom Nacho Sticker</t>
  </si>
  <si>
    <t>DF448</t>
  </si>
  <si>
    <t>Chocolate Krispy (24)</t>
  </si>
  <si>
    <t>DP251</t>
  </si>
  <si>
    <t>Nuggets &amp; Chips Sticker</t>
  </si>
  <si>
    <t>FPFC223</t>
  </si>
  <si>
    <t>Parle-G (144 per box)</t>
  </si>
  <si>
    <t>DP252</t>
  </si>
  <si>
    <t>Masala Beans&amp;Cheese Tostie&amp;Chips Sticker</t>
  </si>
  <si>
    <t>FPFC229</t>
  </si>
  <si>
    <t xml:space="preserve">Omelette Mix </t>
  </si>
  <si>
    <t>DP253</t>
  </si>
  <si>
    <t>Tikka Biryaani Sticker</t>
  </si>
  <si>
    <t>DF430</t>
  </si>
  <si>
    <t>Gunpowder Spice Mix (5x1kg)</t>
  </si>
  <si>
    <t>DP254</t>
  </si>
  <si>
    <t>Bombay Twister Sticker</t>
  </si>
  <si>
    <t>DF433</t>
  </si>
  <si>
    <t xml:space="preserve">Chaat Masala (10x500g) </t>
  </si>
  <si>
    <t>DP255</t>
  </si>
  <si>
    <t>Chicken Tikka Melt Sticker</t>
  </si>
  <si>
    <t>FPG307</t>
  </si>
  <si>
    <t>Falooda mix Rose (20 per pack)</t>
  </si>
  <si>
    <t>DP256</t>
  </si>
  <si>
    <t>Vada Pav Sticker</t>
  </si>
  <si>
    <t>FPG308</t>
  </si>
  <si>
    <t>Falooda mix Mango (20 per pack)</t>
  </si>
  <si>
    <t>DP235</t>
  </si>
  <si>
    <t>3 Compartment Container</t>
  </si>
  <si>
    <t>FPG314</t>
  </si>
  <si>
    <t>White Sugar Sachets (1000 per box)</t>
  </si>
  <si>
    <t>DP236</t>
  </si>
  <si>
    <t>3 Compartment Container Lid</t>
  </si>
  <si>
    <t>FPG315</t>
  </si>
  <si>
    <t>Brown Sugar Sachets (1000 per box)</t>
  </si>
  <si>
    <t>PP503</t>
  </si>
  <si>
    <t>Printed Straws</t>
  </si>
  <si>
    <t>FPG316</t>
  </si>
  <si>
    <t>Salt Sachets (2000 per box)</t>
  </si>
  <si>
    <t>PP504</t>
  </si>
  <si>
    <t>Wooden Stirrer</t>
  </si>
  <si>
    <t>FPG317</t>
  </si>
  <si>
    <t>Pepper Sachets (2000 per box)</t>
  </si>
  <si>
    <t>PP539</t>
  </si>
  <si>
    <t>Wooden Knives</t>
  </si>
  <si>
    <t>FPG302</t>
  </si>
  <si>
    <t>Yogurt and Mint Sauce</t>
  </si>
  <si>
    <t>PP538</t>
  </si>
  <si>
    <t>Wooden Spoons</t>
  </si>
  <si>
    <t>FPG311</t>
  </si>
  <si>
    <t>Burger Relish</t>
  </si>
  <si>
    <t>PP537</t>
  </si>
  <si>
    <t>Wooden Forks</t>
  </si>
  <si>
    <t>DF381</t>
  </si>
  <si>
    <t>Tamarind Sauce</t>
  </si>
  <si>
    <t>PP509</t>
  </si>
  <si>
    <t>2oz Sauce Container</t>
  </si>
  <si>
    <t>DF452</t>
  </si>
  <si>
    <t>Onion Chutney</t>
  </si>
  <si>
    <t>PP511</t>
  </si>
  <si>
    <t>Cup Carrier (2cup)</t>
  </si>
  <si>
    <t>DF459</t>
  </si>
  <si>
    <t>Chick Peas</t>
  </si>
  <si>
    <t>PP512</t>
  </si>
  <si>
    <t>Cup Carrier (4cup)</t>
  </si>
  <si>
    <t>DF477</t>
  </si>
  <si>
    <t>Poppadom Pellets (13kg)</t>
  </si>
  <si>
    <t>PP514</t>
  </si>
  <si>
    <t>Black Bin Bags</t>
  </si>
  <si>
    <t>DF478</t>
  </si>
  <si>
    <t>Crispy Fried Onions (12X300G)</t>
  </si>
  <si>
    <t>PP515</t>
  </si>
  <si>
    <t>Blue Roll</t>
  </si>
  <si>
    <t>DF431</t>
  </si>
  <si>
    <t>Sofra Cheese</t>
  </si>
  <si>
    <t>PP516</t>
  </si>
  <si>
    <t>Hair nets</t>
  </si>
  <si>
    <t>FPBC108</t>
  </si>
  <si>
    <t>Masala Sauce for Chips/Sandwiches</t>
  </si>
  <si>
    <t>PP518</t>
  </si>
  <si>
    <t>Beard nets</t>
  </si>
  <si>
    <t>DF388</t>
  </si>
  <si>
    <t>Naan</t>
  </si>
  <si>
    <t>PP520</t>
  </si>
  <si>
    <t>Wheelie bin bags</t>
  </si>
  <si>
    <t>DF429</t>
  </si>
  <si>
    <t>Paani</t>
  </si>
  <si>
    <t>Total</t>
  </si>
  <si>
    <t>DF428</t>
  </si>
  <si>
    <t>Puri</t>
  </si>
  <si>
    <t>Drinks</t>
  </si>
  <si>
    <t>DF395</t>
  </si>
  <si>
    <t>Chaiiwala Honey</t>
  </si>
  <si>
    <t>Quantity per pack</t>
  </si>
  <si>
    <t>DF423</t>
  </si>
  <si>
    <t>Honey Tubs (1.36kg)</t>
  </si>
  <si>
    <t>FPG359</t>
  </si>
  <si>
    <t xml:space="preserve">Zanti Cola 300ml </t>
  </si>
  <si>
    <t>FPG362</t>
  </si>
  <si>
    <t>Zanit Zero 330ml</t>
  </si>
  <si>
    <t>Misc</t>
  </si>
  <si>
    <t>FPG347</t>
  </si>
  <si>
    <t>Karma Cola Sugar Free 300ml</t>
  </si>
  <si>
    <t>FPG349</t>
  </si>
  <si>
    <t>Orangeade 300ml</t>
  </si>
  <si>
    <t>Other027</t>
  </si>
  <si>
    <t>Small Urn (25 cup)</t>
  </si>
  <si>
    <t>FPG351</t>
  </si>
  <si>
    <t xml:space="preserve">Lemoney Lemonade 300ml </t>
  </si>
  <si>
    <t>Other028</t>
  </si>
  <si>
    <t>Medium Urn (50 cup)</t>
  </si>
  <si>
    <t>FPG352</t>
  </si>
  <si>
    <t>Irn Bru 330ml</t>
  </si>
  <si>
    <t>Other029</t>
  </si>
  <si>
    <t>Large Urn (100 cup)</t>
  </si>
  <si>
    <t>FPG353</t>
  </si>
  <si>
    <t>Rubicon Mango 500 ml</t>
  </si>
  <si>
    <t>Other030</t>
  </si>
  <si>
    <t>Extra Large Urn (200 cup)</t>
  </si>
  <si>
    <t>FPG354</t>
  </si>
  <si>
    <t>Rubicon Passion 500ml</t>
  </si>
  <si>
    <t>Other015</t>
  </si>
  <si>
    <t>Faucet Kit (Tap for Urn)</t>
  </si>
  <si>
    <t>FPG355</t>
  </si>
  <si>
    <t>RAW Orange and Mango 500ml</t>
  </si>
  <si>
    <t>Other016</t>
  </si>
  <si>
    <t>Spout Kit (Screw for Urn)</t>
  </si>
  <si>
    <t>FPG356</t>
  </si>
  <si>
    <t>RAW Raspberry &amp; Blueberry 500ml</t>
  </si>
  <si>
    <t>SE888</t>
  </si>
  <si>
    <t>Urn Vent Caps</t>
  </si>
  <si>
    <t>FPG357</t>
  </si>
  <si>
    <t>Simply Fruity Orange 330ml</t>
  </si>
  <si>
    <t>SE900</t>
  </si>
  <si>
    <t>Urn Clip</t>
  </si>
  <si>
    <t>FPG358</t>
  </si>
  <si>
    <t>Simply Fruity Blackcurrent Apple 330ml</t>
  </si>
  <si>
    <t>Other017</t>
  </si>
  <si>
    <t>Small Urn Gasket (Rubber)</t>
  </si>
  <si>
    <t>Other018</t>
  </si>
  <si>
    <t>Medium/Large Urn Gasket (Rubber)</t>
  </si>
  <si>
    <t>Other019</t>
  </si>
  <si>
    <t>Extra Large Urn Gasket (Rubber)</t>
  </si>
  <si>
    <t>Total Order Value:</t>
  </si>
  <si>
    <t>SE898</t>
  </si>
  <si>
    <t>Coffee Machine Cleaner</t>
  </si>
  <si>
    <t>BP441</t>
  </si>
  <si>
    <t>Safet and Cleaning LOG</t>
  </si>
  <si>
    <t>Total Order Weight:</t>
  </si>
  <si>
    <t>BP471</t>
  </si>
  <si>
    <t>Crib Sheets</t>
  </si>
  <si>
    <t>SE896</t>
  </si>
  <si>
    <t>Roband Grill Sheets (10 per box)</t>
  </si>
  <si>
    <t>Total Number of Boxes:</t>
  </si>
  <si>
    <t>SE897</t>
  </si>
  <si>
    <t>Till Rolls (80x76)</t>
  </si>
  <si>
    <t>BP414</t>
  </si>
  <si>
    <t>Large Thali</t>
  </si>
  <si>
    <t>BP418</t>
  </si>
  <si>
    <t>Small Thali</t>
  </si>
  <si>
    <t>BP415</t>
  </si>
  <si>
    <t>Steel bowls</t>
  </si>
  <si>
    <t>SE895</t>
  </si>
  <si>
    <t>Steel Jugs (12 per pack)</t>
  </si>
  <si>
    <t>SE883</t>
  </si>
  <si>
    <t>Large Milk Pans</t>
  </si>
  <si>
    <t>SE901</t>
  </si>
  <si>
    <t>Omelette Pan</t>
  </si>
  <si>
    <t>Other008</t>
  </si>
  <si>
    <t>5ltr Napoli containers</t>
  </si>
  <si>
    <t>Other037</t>
  </si>
  <si>
    <t>Monin 70cl Pump</t>
  </si>
  <si>
    <t>Monin 1ltr Pump</t>
  </si>
  <si>
    <t>SE887</t>
  </si>
  <si>
    <t>Chaiiwala Pumps</t>
  </si>
  <si>
    <t>Other009</t>
  </si>
  <si>
    <t>3000ml Jugs for eggs and faloodas</t>
  </si>
  <si>
    <t>NHSPP8</t>
  </si>
  <si>
    <t>Sanatiser</t>
  </si>
  <si>
    <t>PP524</t>
  </si>
  <si>
    <t>Black Baskets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</si>
</sst>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£-809]#,##0.00"/>
    <numFmt numFmtId="165" formatCode="[$£-809]#,##0;[Red]&quot;-&quot;[$£-809]#,##0"/>
    <numFmt numFmtId="166" formatCode="&quot;£&quot;#,##0.00"/>
  </numFmts>
  <fonts count="21"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8"/>
      <color rgb="FF000000"/>
      <name val="Calibri"/>
      <family val="2"/>
    </font>
    <font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20"/>
      <color rgb="FF000000"/>
      <name val="Calibri"/>
      <family val="2"/>
    </font>
    <font>
      <sz val="8"/>
      <name val="Calibri"/>
      <family val="2"/>
    </font>
    <font>
      <sz val="16"/>
      <name val="Calibri"/>
      <family val="2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EAAAA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</fills>
  <borders count="7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1" fillId="2" borderId="0" applyNumberFormat="0" applyFont="0" applyBorder="0" applyAlignment="0" applyProtection="0"/>
  </cellStyleXfs>
  <cellXfs count="226">
    <xf numFmtId="0" fontId="0" fillId="0" borderId="0" xfId="0"/>
    <xf numFmtId="164" fontId="3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4" fillId="4" borderId="2" xfId="0" applyFont="1" applyFill="1" applyBorder="1" applyAlignment="1">
      <alignment horizontal="center"/>
    </xf>
    <xf numFmtId="0" fontId="10" fillId="3" borderId="3" xfId="1" applyFont="1" applyBorder="1" applyAlignment="1">
      <alignment vertical="center" wrapText="1"/>
    </xf>
    <xf numFmtId="0" fontId="10" fillId="3" borderId="9" xfId="1" applyFont="1" applyBorder="1" applyAlignment="1">
      <alignment vertical="center" wrapText="1"/>
    </xf>
    <xf numFmtId="0" fontId="10" fillId="3" borderId="9" xfId="1" applyFont="1" applyBorder="1" applyAlignment="1">
      <alignment horizontal="center" vertical="center" wrapText="1"/>
    </xf>
    <xf numFmtId="164" fontId="10" fillId="3" borderId="9" xfId="1" applyNumberFormat="1" applyFont="1" applyBorder="1" applyAlignment="1">
      <alignment horizontal="center" vertical="center" wrapText="1"/>
    </xf>
    <xf numFmtId="164" fontId="10" fillId="3" borderId="4" xfId="1" applyNumberFormat="1" applyFont="1" applyBorder="1" applyAlignment="1">
      <alignment horizontal="center" vertical="center" wrapText="1"/>
    </xf>
    <xf numFmtId="0" fontId="4" fillId="4" borderId="10" xfId="0" applyFont="1" applyFill="1" applyBorder="1" applyAlignment="1">
      <alignment vertical="center" wrapText="1"/>
    </xf>
    <xf numFmtId="0" fontId="10" fillId="3" borderId="11" xfId="1" applyFont="1" applyBorder="1" applyAlignment="1">
      <alignment vertical="center" wrapText="1"/>
    </xf>
    <xf numFmtId="0" fontId="10" fillId="3" borderId="12" xfId="1" applyFont="1" applyBorder="1" applyAlignment="1">
      <alignment vertical="center" wrapText="1"/>
    </xf>
    <xf numFmtId="0" fontId="10" fillId="3" borderId="12" xfId="1" applyFont="1" applyBorder="1" applyAlignment="1">
      <alignment horizontal="center" vertical="center" wrapText="1"/>
    </xf>
    <xf numFmtId="164" fontId="6" fillId="3" borderId="12" xfId="1" applyNumberFormat="1" applyFont="1" applyBorder="1" applyAlignment="1">
      <alignment horizontal="center" vertical="center" wrapText="1"/>
    </xf>
    <xf numFmtId="0" fontId="6" fillId="3" borderId="13" xfId="1" applyFont="1" applyBorder="1" applyAlignment="1">
      <alignment horizontal="center" vertical="center" wrapText="1"/>
    </xf>
    <xf numFmtId="0" fontId="6" fillId="3" borderId="14" xfId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4" fontId="6" fillId="0" borderId="6" xfId="0" applyNumberFormat="1" applyFont="1" applyBorder="1" applyAlignment="1">
      <alignment horizontal="center" vertical="center" wrapText="1"/>
    </xf>
    <xf numFmtId="0" fontId="4" fillId="4" borderId="16" xfId="0" applyFont="1" applyFill="1" applyBorder="1" applyAlignment="1">
      <alignment vertical="center" wrapText="1"/>
    </xf>
    <xf numFmtId="1" fontId="6" fillId="0" borderId="15" xfId="0" applyNumberFormat="1" applyFont="1" applyBorder="1" applyAlignment="1">
      <alignment horizontal="center"/>
    </xf>
    <xf numFmtId="0" fontId="4" fillId="0" borderId="15" xfId="0" applyFont="1" applyBorder="1"/>
    <xf numFmtId="0" fontId="6" fillId="4" borderId="16" xfId="0" applyFont="1" applyFill="1" applyBorder="1" applyAlignment="1">
      <alignment vertical="center" wrapText="1"/>
    </xf>
    <xf numFmtId="0" fontId="11" fillId="0" borderId="0" xfId="0" applyFont="1"/>
    <xf numFmtId="0" fontId="4" fillId="5" borderId="15" xfId="0" applyFont="1" applyFill="1" applyBorder="1" applyAlignment="1">
      <alignment horizontal="center" vertical="center" wrapText="1"/>
    </xf>
    <xf numFmtId="165" fontId="0" fillId="0" borderId="0" xfId="0" applyNumberFormat="1"/>
    <xf numFmtId="2" fontId="4" fillId="0" borderId="15" xfId="0" applyNumberFormat="1" applyFont="1" applyBorder="1" applyAlignment="1">
      <alignment horizontal="center" vertical="center" wrapText="1"/>
    </xf>
    <xf numFmtId="0" fontId="4" fillId="5" borderId="15" xfId="0" applyFont="1" applyFill="1" applyBorder="1" applyAlignment="1">
      <alignment vertical="center" wrapText="1"/>
    </xf>
    <xf numFmtId="1" fontId="6" fillId="0" borderId="15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 wrapText="1"/>
    </xf>
    <xf numFmtId="164" fontId="6" fillId="3" borderId="9" xfId="1" applyNumberFormat="1" applyFont="1" applyBorder="1" applyAlignment="1">
      <alignment horizontal="center" vertical="center" wrapText="1"/>
    </xf>
    <xf numFmtId="0" fontId="6" fillId="3" borderId="12" xfId="1" applyFont="1" applyBorder="1" applyAlignment="1">
      <alignment horizontal="center" vertical="center" wrapText="1"/>
    </xf>
    <xf numFmtId="0" fontId="6" fillId="3" borderId="4" xfId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/>
    </xf>
    <xf numFmtId="0" fontId="4" fillId="4" borderId="20" xfId="0" applyFont="1" applyFill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164" fontId="6" fillId="0" borderId="18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164" fontId="11" fillId="0" borderId="0" xfId="0" applyNumberFormat="1" applyFont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 vertical="center" wrapText="1"/>
    </xf>
    <xf numFmtId="0" fontId="6" fillId="4" borderId="20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6" fillId="0" borderId="23" xfId="1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18" xfId="0" applyFont="1" applyFill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 vertical="center" wrapText="1"/>
    </xf>
    <xf numFmtId="0" fontId="6" fillId="0" borderId="24" xfId="1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4" fillId="7" borderId="15" xfId="0" applyFont="1" applyFill="1" applyBorder="1" applyAlignment="1">
      <alignment vertical="center" wrapText="1"/>
    </xf>
    <xf numFmtId="164" fontId="6" fillId="8" borderId="15" xfId="0" applyNumberFormat="1" applyFont="1" applyFill="1" applyBorder="1" applyAlignment="1">
      <alignment horizontal="center" vertical="center" wrapText="1"/>
    </xf>
    <xf numFmtId="164" fontId="6" fillId="8" borderId="18" xfId="0" applyNumberFormat="1" applyFont="1" applyFill="1" applyBorder="1" applyAlignment="1">
      <alignment horizontal="center" vertical="center" wrapText="1"/>
    </xf>
    <xf numFmtId="164" fontId="6" fillId="8" borderId="15" xfId="0" applyNumberFormat="1" applyFont="1" applyFill="1" applyBorder="1" applyAlignment="1">
      <alignment horizontal="center"/>
    </xf>
    <xf numFmtId="164" fontId="6" fillId="8" borderId="18" xfId="0" applyNumberFormat="1" applyFont="1" applyFill="1" applyBorder="1" applyAlignment="1">
      <alignment horizontal="center"/>
    </xf>
    <xf numFmtId="4" fontId="6" fillId="0" borderId="22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wrapText="1"/>
    </xf>
    <xf numFmtId="164" fontId="6" fillId="0" borderId="30" xfId="0" applyNumberFormat="1" applyFont="1" applyBorder="1" applyAlignment="1">
      <alignment horizontal="center"/>
    </xf>
    <xf numFmtId="164" fontId="6" fillId="9" borderId="30" xfId="0" applyNumberFormat="1" applyFont="1" applyFill="1" applyBorder="1" applyAlignment="1">
      <alignment horizontal="center"/>
    </xf>
    <xf numFmtId="4" fontId="6" fillId="0" borderId="31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1" fontId="6" fillId="0" borderId="18" xfId="0" applyNumberFormat="1" applyFont="1" applyBorder="1" applyAlignment="1">
      <alignment horizontal="center"/>
    </xf>
    <xf numFmtId="4" fontId="6" fillId="0" borderId="18" xfId="0" applyNumberFormat="1" applyFont="1" applyBorder="1" applyAlignment="1">
      <alignment horizontal="center" vertical="center" wrapText="1"/>
    </xf>
    <xf numFmtId="0" fontId="6" fillId="0" borderId="32" xfId="0" applyFont="1" applyBorder="1"/>
    <xf numFmtId="164" fontId="6" fillId="0" borderId="33" xfId="0" applyNumberFormat="1" applyFont="1" applyBorder="1" applyAlignment="1">
      <alignment horizontal="center"/>
    </xf>
    <xf numFmtId="0" fontId="0" fillId="9" borderId="33" xfId="0" applyFill="1" applyBorder="1"/>
    <xf numFmtId="2" fontId="6" fillId="0" borderId="34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4" fillId="10" borderId="15" xfId="0" applyFont="1" applyFill="1" applyBorder="1" applyAlignment="1">
      <alignment vertical="center" wrapText="1"/>
    </xf>
    <xf numFmtId="0" fontId="4" fillId="10" borderId="15" xfId="0" applyFont="1" applyFill="1" applyBorder="1" applyAlignment="1">
      <alignment horizontal="center" vertical="center" wrapText="1"/>
    </xf>
    <xf numFmtId="164" fontId="6" fillId="10" borderId="15" xfId="0" applyNumberFormat="1" applyFont="1" applyFill="1" applyBorder="1" applyAlignment="1">
      <alignment horizontal="center"/>
    </xf>
    <xf numFmtId="0" fontId="4" fillId="11" borderId="5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35" xfId="0" applyFont="1" applyFill="1" applyBorder="1" applyAlignment="1">
      <alignment vertical="center" wrapText="1"/>
    </xf>
    <xf numFmtId="164" fontId="6" fillId="8" borderId="35" xfId="0" applyNumberFormat="1" applyFont="1" applyFill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Border="1" applyAlignment="1">
      <alignment horizontal="center" vertical="center" wrapText="1"/>
    </xf>
    <xf numFmtId="1" fontId="6" fillId="0" borderId="35" xfId="0" applyNumberFormat="1" applyFont="1" applyBorder="1" applyAlignment="1">
      <alignment horizontal="center" vertical="center" wrapText="1"/>
    </xf>
    <xf numFmtId="164" fontId="6" fillId="0" borderId="35" xfId="0" applyNumberFormat="1" applyFont="1" applyBorder="1" applyAlignment="1">
      <alignment horizontal="center" vertical="center" wrapText="1"/>
    </xf>
    <xf numFmtId="1" fontId="6" fillId="11" borderId="15" xfId="0" applyNumberFormat="1" applyFont="1" applyFill="1" applyBorder="1" applyAlignment="1">
      <alignment horizontal="center" vertical="center" wrapText="1"/>
    </xf>
    <xf numFmtId="164" fontId="6" fillId="11" borderId="15" xfId="0" applyNumberFormat="1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4" fillId="11" borderId="37" xfId="0" applyFont="1" applyFill="1" applyBorder="1" applyAlignment="1">
      <alignment vertical="center" wrapText="1"/>
    </xf>
    <xf numFmtId="0" fontId="4" fillId="11" borderId="38" xfId="0" applyFont="1" applyFill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11" borderId="41" xfId="0" applyFont="1" applyFill="1" applyBorder="1" applyAlignment="1">
      <alignment vertical="center" wrapText="1"/>
    </xf>
    <xf numFmtId="4" fontId="6" fillId="0" borderId="42" xfId="0" applyNumberFormat="1" applyFont="1" applyBorder="1" applyAlignment="1">
      <alignment horizontal="center" vertical="center" wrapText="1"/>
    </xf>
    <xf numFmtId="0" fontId="4" fillId="11" borderId="43" xfId="0" applyFont="1" applyFill="1" applyBorder="1" applyAlignment="1">
      <alignment vertical="center" wrapText="1"/>
    </xf>
    <xf numFmtId="0" fontId="4" fillId="11" borderId="45" xfId="0" applyFont="1" applyFill="1" applyBorder="1" applyAlignment="1">
      <alignment vertical="center" wrapText="1"/>
    </xf>
    <xf numFmtId="4" fontId="6" fillId="0" borderId="46" xfId="0" applyNumberFormat="1" applyFont="1" applyBorder="1" applyAlignment="1">
      <alignment horizontal="center" vertical="center" wrapText="1"/>
    </xf>
    <xf numFmtId="0" fontId="4" fillId="0" borderId="48" xfId="0" applyFont="1" applyBorder="1" applyAlignment="1">
      <alignment vertical="center" wrapText="1"/>
    </xf>
    <xf numFmtId="0" fontId="4" fillId="0" borderId="48" xfId="0" applyFont="1" applyBorder="1" applyAlignment="1">
      <alignment horizontal="center" vertical="center" wrapText="1"/>
    </xf>
    <xf numFmtId="164" fontId="6" fillId="8" borderId="48" xfId="0" applyNumberFormat="1" applyFont="1" applyFill="1" applyBorder="1" applyAlignment="1">
      <alignment horizontal="center" vertical="center" wrapText="1"/>
    </xf>
    <xf numFmtId="4" fontId="6" fillId="0" borderId="49" xfId="0" applyNumberFormat="1" applyFont="1" applyBorder="1" applyAlignment="1">
      <alignment horizontal="center" vertical="center" wrapText="1"/>
    </xf>
    <xf numFmtId="0" fontId="6" fillId="0" borderId="50" xfId="0" applyFont="1" applyBorder="1"/>
    <xf numFmtId="2" fontId="6" fillId="0" borderId="51" xfId="0" applyNumberFormat="1" applyFont="1" applyBorder="1" applyAlignment="1">
      <alignment horizontal="center"/>
    </xf>
    <xf numFmtId="0" fontId="0" fillId="9" borderId="52" xfId="0" applyFill="1" applyBorder="1"/>
    <xf numFmtId="164" fontId="6" fillId="0" borderId="51" xfId="0" applyNumberFormat="1" applyFont="1" applyBorder="1" applyAlignment="1">
      <alignment horizontal="center"/>
    </xf>
    <xf numFmtId="4" fontId="6" fillId="0" borderId="53" xfId="0" applyNumberFormat="1" applyFont="1" applyBorder="1" applyAlignment="1">
      <alignment horizontal="center"/>
    </xf>
    <xf numFmtId="1" fontId="6" fillId="0" borderId="39" xfId="0" applyNumberFormat="1" applyFont="1" applyBorder="1" applyAlignment="1">
      <alignment horizontal="center"/>
    </xf>
    <xf numFmtId="164" fontId="6" fillId="8" borderId="39" xfId="0" applyNumberFormat="1" applyFont="1" applyFill="1" applyBorder="1" applyAlignment="1">
      <alignment horizontal="center"/>
    </xf>
    <xf numFmtId="164" fontId="6" fillId="0" borderId="39" xfId="0" applyNumberFormat="1" applyFont="1" applyBorder="1" applyAlignment="1">
      <alignment horizontal="center"/>
    </xf>
    <xf numFmtId="2" fontId="6" fillId="0" borderId="40" xfId="0" applyNumberFormat="1" applyFont="1" applyBorder="1" applyAlignment="1">
      <alignment horizontal="center"/>
    </xf>
    <xf numFmtId="2" fontId="6" fillId="0" borderId="42" xfId="0" applyNumberFormat="1" applyFont="1" applyBorder="1" applyAlignment="1">
      <alignment horizontal="center"/>
    </xf>
    <xf numFmtId="0" fontId="4" fillId="10" borderId="41" xfId="0" applyFont="1" applyFill="1" applyBorder="1" applyAlignment="1">
      <alignment vertical="center" wrapText="1"/>
    </xf>
    <xf numFmtId="2" fontId="6" fillId="10" borderId="42" xfId="0" applyNumberFormat="1" applyFont="1" applyFill="1" applyBorder="1" applyAlignment="1">
      <alignment horizontal="center"/>
    </xf>
    <xf numFmtId="0" fontId="4" fillId="0" borderId="41" xfId="0" applyFont="1" applyBorder="1" applyAlignment="1">
      <alignment vertical="center" wrapText="1"/>
    </xf>
    <xf numFmtId="4" fontId="6" fillId="11" borderId="42" xfId="0" applyNumberFormat="1" applyFont="1" applyFill="1" applyBorder="1" applyAlignment="1">
      <alignment horizontal="center" vertical="center" wrapText="1"/>
    </xf>
    <xf numFmtId="2" fontId="6" fillId="0" borderId="44" xfId="0" applyNumberFormat="1" applyFont="1" applyBorder="1" applyAlignment="1">
      <alignment horizontal="center"/>
    </xf>
    <xf numFmtId="0" fontId="4" fillId="0" borderId="47" xfId="0" applyFont="1" applyBorder="1" applyAlignment="1">
      <alignment vertical="center" wrapText="1"/>
    </xf>
    <xf numFmtId="1" fontId="6" fillId="0" borderId="48" xfId="0" applyNumberFormat="1" applyFont="1" applyBorder="1" applyAlignment="1">
      <alignment horizontal="center"/>
    </xf>
    <xf numFmtId="164" fontId="6" fillId="0" borderId="54" xfId="0" applyNumberFormat="1" applyFont="1" applyBorder="1" applyAlignment="1">
      <alignment horizontal="center" vertical="center" wrapText="1"/>
    </xf>
    <xf numFmtId="0" fontId="4" fillId="12" borderId="5" xfId="0" applyFont="1" applyFill="1" applyBorder="1" applyAlignment="1">
      <alignment vertical="center" wrapText="1"/>
    </xf>
    <xf numFmtId="0" fontId="4" fillId="12" borderId="15" xfId="0" applyFont="1" applyFill="1" applyBorder="1" applyAlignment="1">
      <alignment vertical="center" wrapText="1"/>
    </xf>
    <xf numFmtId="0" fontId="4" fillId="12" borderId="15" xfId="0" applyFont="1" applyFill="1" applyBorder="1" applyAlignment="1">
      <alignment horizontal="center" vertical="center" wrapText="1"/>
    </xf>
    <xf numFmtId="2" fontId="4" fillId="12" borderId="15" xfId="0" applyNumberFormat="1" applyFont="1" applyFill="1" applyBorder="1" applyAlignment="1">
      <alignment horizontal="center" vertical="center" wrapText="1"/>
    </xf>
    <xf numFmtId="2" fontId="6" fillId="12" borderId="15" xfId="0" applyNumberFormat="1" applyFont="1" applyFill="1" applyBorder="1" applyAlignment="1">
      <alignment horizontal="center" vertical="center" wrapText="1"/>
    </xf>
    <xf numFmtId="164" fontId="6" fillId="12" borderId="15" xfId="0" applyNumberFormat="1" applyFont="1" applyFill="1" applyBorder="1" applyAlignment="1">
      <alignment horizontal="center" vertical="center" wrapText="1"/>
    </xf>
    <xf numFmtId="4" fontId="6" fillId="12" borderId="6" xfId="0" applyNumberFormat="1" applyFont="1" applyFill="1" applyBorder="1" applyAlignment="1">
      <alignment horizontal="center" vertical="center" wrapText="1"/>
    </xf>
    <xf numFmtId="0" fontId="4" fillId="11" borderId="35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164" fontId="6" fillId="5" borderId="35" xfId="0" applyNumberFormat="1" applyFont="1" applyFill="1" applyBorder="1" applyAlignment="1">
      <alignment horizontal="center" vertical="center" wrapText="1"/>
    </xf>
    <xf numFmtId="0" fontId="4" fillId="11" borderId="55" xfId="0" applyFont="1" applyFill="1" applyBorder="1" applyAlignment="1">
      <alignment vertical="center" wrapText="1"/>
    </xf>
    <xf numFmtId="0" fontId="4" fillId="0" borderId="56" xfId="0" applyFont="1" applyBorder="1" applyAlignment="1">
      <alignment vertical="center" wrapText="1"/>
    </xf>
    <xf numFmtId="0" fontId="4" fillId="0" borderId="56" xfId="0" applyFont="1" applyBorder="1" applyAlignment="1">
      <alignment horizontal="center" vertical="center" wrapText="1"/>
    </xf>
    <xf numFmtId="1" fontId="6" fillId="0" borderId="56" xfId="0" applyNumberFormat="1" applyFont="1" applyBorder="1" applyAlignment="1">
      <alignment horizontal="center" vertical="center" wrapText="1"/>
    </xf>
    <xf numFmtId="164" fontId="6" fillId="8" borderId="56" xfId="0" applyNumberFormat="1" applyFont="1" applyFill="1" applyBorder="1" applyAlignment="1">
      <alignment horizontal="center" vertical="center" wrapText="1"/>
    </xf>
    <xf numFmtId="164" fontId="6" fillId="0" borderId="56" xfId="0" applyNumberFormat="1" applyFont="1" applyBorder="1" applyAlignment="1">
      <alignment horizontal="center" vertical="center" wrapText="1"/>
    </xf>
    <xf numFmtId="4" fontId="6" fillId="0" borderId="57" xfId="0" applyNumberFormat="1" applyFont="1" applyBorder="1" applyAlignment="1">
      <alignment horizontal="center" vertical="center" wrapText="1"/>
    </xf>
    <xf numFmtId="0" fontId="4" fillId="5" borderId="45" xfId="0" applyFont="1" applyFill="1" applyBorder="1" applyAlignment="1">
      <alignment vertical="center" wrapText="1"/>
    </xf>
    <xf numFmtId="0" fontId="4" fillId="8" borderId="45" xfId="0" applyFont="1" applyFill="1" applyBorder="1" applyAlignment="1">
      <alignment vertical="center" wrapText="1"/>
    </xf>
    <xf numFmtId="4" fontId="6" fillId="5" borderId="46" xfId="0" applyNumberFormat="1" applyFont="1" applyFill="1" applyBorder="1" applyAlignment="1">
      <alignment horizontal="center" vertical="center" wrapText="1"/>
    </xf>
    <xf numFmtId="0" fontId="4" fillId="8" borderId="58" xfId="0" applyFont="1" applyFill="1" applyBorder="1" applyAlignment="1">
      <alignment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1" fontId="6" fillId="0" borderId="59" xfId="0" applyNumberFormat="1" applyFont="1" applyBorder="1" applyAlignment="1">
      <alignment horizontal="center" vertical="center" wrapText="1"/>
    </xf>
    <xf numFmtId="164" fontId="6" fillId="8" borderId="59" xfId="0" applyNumberFormat="1" applyFont="1" applyFill="1" applyBorder="1" applyAlignment="1">
      <alignment horizontal="center" vertical="center" wrapText="1"/>
    </xf>
    <xf numFmtId="164" fontId="6" fillId="0" borderId="59" xfId="0" applyNumberFormat="1" applyFont="1" applyBorder="1" applyAlignment="1">
      <alignment horizontal="center" vertical="center" wrapText="1"/>
    </xf>
    <xf numFmtId="4" fontId="6" fillId="0" borderId="60" xfId="0" applyNumberFormat="1" applyFont="1" applyBorder="1" applyAlignment="1">
      <alignment horizontal="center" vertical="center" wrapText="1"/>
    </xf>
    <xf numFmtId="0" fontId="4" fillId="0" borderId="61" xfId="0" applyFont="1" applyBorder="1" applyAlignment="1">
      <alignment vertical="center" wrapText="1"/>
    </xf>
    <xf numFmtId="0" fontId="4" fillId="0" borderId="62" xfId="0" applyFont="1" applyBorder="1" applyAlignment="1">
      <alignment vertical="center" wrapText="1"/>
    </xf>
    <xf numFmtId="0" fontId="4" fillId="0" borderId="62" xfId="0" applyFont="1" applyBorder="1" applyAlignment="1">
      <alignment horizontal="center" vertical="center" wrapText="1"/>
    </xf>
    <xf numFmtId="4" fontId="6" fillId="0" borderId="34" xfId="0" applyNumberFormat="1" applyFont="1" applyBorder="1" applyAlignment="1">
      <alignment horizontal="center"/>
    </xf>
    <xf numFmtId="0" fontId="18" fillId="0" borderId="45" xfId="0" applyFont="1" applyBorder="1" applyAlignment="1">
      <alignment vertical="center" wrapText="1"/>
    </xf>
    <xf numFmtId="0" fontId="18" fillId="0" borderId="35" xfId="0" applyFont="1" applyBorder="1" applyAlignment="1">
      <alignment horizontal="center" vertical="center" wrapText="1"/>
    </xf>
    <xf numFmtId="166" fontId="19" fillId="0" borderId="35" xfId="0" applyNumberFormat="1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166" fontId="19" fillId="0" borderId="35" xfId="0" applyNumberFormat="1" applyFont="1" applyBorder="1" applyAlignment="1">
      <alignment horizontal="center" vertical="center" wrapText="1"/>
    </xf>
    <xf numFmtId="2" fontId="19" fillId="0" borderId="66" xfId="0" applyNumberFormat="1" applyFont="1" applyBorder="1" applyAlignment="1">
      <alignment horizontal="center"/>
    </xf>
    <xf numFmtId="0" fontId="19" fillId="0" borderId="67" xfId="0" applyFont="1" applyBorder="1"/>
    <xf numFmtId="2" fontId="19" fillId="0" borderId="68" xfId="0" applyNumberFormat="1" applyFont="1" applyBorder="1" applyAlignment="1">
      <alignment horizontal="center"/>
    </xf>
    <xf numFmtId="166" fontId="19" fillId="0" borderId="68" xfId="0" applyNumberFormat="1" applyFont="1" applyBorder="1" applyAlignment="1">
      <alignment horizontal="center"/>
    </xf>
    <xf numFmtId="0" fontId="4" fillId="14" borderId="35" xfId="0" applyFont="1" applyFill="1" applyBorder="1" applyAlignment="1">
      <alignment vertical="center" wrapText="1"/>
    </xf>
    <xf numFmtId="0" fontId="16" fillId="3" borderId="69" xfId="1" applyFont="1" applyBorder="1" applyAlignment="1">
      <alignment vertical="center" wrapText="1"/>
    </xf>
    <xf numFmtId="0" fontId="16" fillId="3" borderId="70" xfId="1" applyFont="1" applyBorder="1" applyAlignment="1">
      <alignment vertical="center" wrapText="1"/>
    </xf>
    <xf numFmtId="0" fontId="16" fillId="3" borderId="70" xfId="1" applyFont="1" applyBorder="1" applyAlignment="1">
      <alignment horizontal="center" vertical="center" wrapText="1"/>
    </xf>
    <xf numFmtId="166" fontId="17" fillId="3" borderId="70" xfId="1" applyNumberFormat="1" applyFont="1" applyBorder="1" applyAlignment="1">
      <alignment horizontal="center" vertical="center" wrapText="1"/>
    </xf>
    <xf numFmtId="0" fontId="17" fillId="3" borderId="70" xfId="1" applyFont="1" applyBorder="1" applyAlignment="1">
      <alignment horizontal="center" vertical="center" wrapText="1"/>
    </xf>
    <xf numFmtId="0" fontId="16" fillId="3" borderId="71" xfId="1" applyFont="1" applyBorder="1" applyAlignment="1">
      <alignment horizontal="center" vertical="center" wrapText="1"/>
    </xf>
    <xf numFmtId="0" fontId="18" fillId="0" borderId="55" xfId="0" applyFont="1" applyBorder="1" applyAlignment="1">
      <alignment vertical="center" wrapText="1"/>
    </xf>
    <xf numFmtId="0" fontId="4" fillId="11" borderId="56" xfId="0" applyFont="1" applyFill="1" applyBorder="1" applyAlignment="1">
      <alignment vertical="center" wrapText="1"/>
    </xf>
    <xf numFmtId="0" fontId="18" fillId="0" borderId="56" xfId="0" applyFont="1" applyBorder="1" applyAlignment="1">
      <alignment horizontal="center" vertical="center" wrapText="1"/>
    </xf>
    <xf numFmtId="166" fontId="19" fillId="0" borderId="56" xfId="0" applyNumberFormat="1" applyFont="1" applyBorder="1" applyAlignment="1">
      <alignment horizontal="center" vertical="center" wrapText="1"/>
    </xf>
    <xf numFmtId="166" fontId="19" fillId="0" borderId="56" xfId="0" applyNumberFormat="1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 wrapText="1"/>
    </xf>
    <xf numFmtId="0" fontId="18" fillId="0" borderId="58" xfId="0" applyFont="1" applyBorder="1" applyAlignment="1">
      <alignment vertical="center" wrapText="1"/>
    </xf>
    <xf numFmtId="0" fontId="18" fillId="0" borderId="59" xfId="0" applyFont="1" applyBorder="1" applyAlignment="1">
      <alignment horizontal="center" vertical="center" wrapText="1"/>
    </xf>
    <xf numFmtId="166" fontId="19" fillId="0" borderId="59" xfId="0" applyNumberFormat="1" applyFont="1" applyBorder="1" applyAlignment="1">
      <alignment horizontal="center" vertical="center" wrapText="1"/>
    </xf>
    <xf numFmtId="166" fontId="19" fillId="0" borderId="59" xfId="0" applyNumberFormat="1" applyFont="1" applyBorder="1" applyAlignment="1">
      <alignment horizontal="center" vertical="center"/>
    </xf>
    <xf numFmtId="0" fontId="18" fillId="0" borderId="60" xfId="0" applyFont="1" applyBorder="1" applyAlignment="1">
      <alignment horizontal="center" vertical="center" wrapText="1"/>
    </xf>
    <xf numFmtId="0" fontId="14" fillId="11" borderId="59" xfId="0" applyFont="1" applyFill="1" applyBorder="1" applyAlignment="1">
      <alignment vertical="center" wrapText="1"/>
    </xf>
    <xf numFmtId="0" fontId="4" fillId="15" borderId="15" xfId="0" applyFont="1" applyFill="1" applyBorder="1" applyAlignment="1">
      <alignment vertical="center" wrapText="1"/>
    </xf>
    <xf numFmtId="0" fontId="18" fillId="11" borderId="35" xfId="0" applyFont="1" applyFill="1" applyBorder="1" applyAlignment="1">
      <alignment vertical="center" wrapText="1"/>
    </xf>
    <xf numFmtId="0" fontId="18" fillId="0" borderId="72" xfId="0" applyFont="1" applyBorder="1" applyAlignment="1">
      <alignment vertical="center" wrapText="1"/>
    </xf>
    <xf numFmtId="0" fontId="18" fillId="11" borderId="73" xfId="0" applyFont="1" applyFill="1" applyBorder="1" applyAlignment="1">
      <alignment vertical="center" wrapText="1"/>
    </xf>
    <xf numFmtId="164" fontId="6" fillId="9" borderId="74" xfId="0" applyNumberFormat="1" applyFont="1" applyFill="1" applyBorder="1" applyAlignment="1">
      <alignment horizontal="center"/>
    </xf>
    <xf numFmtId="0" fontId="18" fillId="11" borderId="59" xfId="0" applyFont="1" applyFill="1" applyBorder="1" applyAlignment="1">
      <alignment vertical="center" wrapText="1"/>
    </xf>
    <xf numFmtId="0" fontId="18" fillId="0" borderId="73" xfId="0" applyFont="1" applyBorder="1" applyAlignment="1">
      <alignment horizontal="center" vertical="center" wrapText="1"/>
    </xf>
    <xf numFmtId="166" fontId="19" fillId="0" borderId="73" xfId="0" applyNumberFormat="1" applyFont="1" applyBorder="1" applyAlignment="1">
      <alignment horizontal="center" vertical="center" wrapText="1"/>
    </xf>
    <xf numFmtId="0" fontId="4" fillId="15" borderId="35" xfId="0" applyFont="1" applyFill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4" fillId="11" borderId="73" xfId="0" applyFont="1" applyFill="1" applyBorder="1" applyAlignment="1">
      <alignment vertical="center" wrapText="1"/>
    </xf>
    <xf numFmtId="0" fontId="4" fillId="15" borderId="35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9" fillId="3" borderId="2" xfId="1" applyFont="1" applyBorder="1" applyAlignment="1">
      <alignment horizontal="center" vertical="center"/>
    </xf>
    <xf numFmtId="0" fontId="9" fillId="3" borderId="2" xfId="1" applyFont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wrapText="1"/>
    </xf>
    <xf numFmtId="164" fontId="9" fillId="0" borderId="19" xfId="0" applyNumberFormat="1" applyFont="1" applyBorder="1" applyAlignment="1">
      <alignment horizontal="center" wrapText="1"/>
    </xf>
    <xf numFmtId="164" fontId="9" fillId="0" borderId="25" xfId="0" applyNumberFormat="1" applyFont="1" applyBorder="1" applyAlignment="1">
      <alignment horizontal="center" wrapText="1"/>
    </xf>
    <xf numFmtId="164" fontId="12" fillId="0" borderId="28" xfId="0" applyNumberFormat="1" applyFont="1" applyBorder="1" applyAlignment="1">
      <alignment horizontal="center" vertical="center" wrapText="1"/>
    </xf>
    <xf numFmtId="164" fontId="12" fillId="0" borderId="21" xfId="0" applyNumberFormat="1" applyFont="1" applyBorder="1" applyAlignment="1">
      <alignment horizontal="center" vertical="center" wrapText="1"/>
    </xf>
    <xf numFmtId="0" fontId="15" fillId="13" borderId="63" xfId="0" applyFont="1" applyFill="1" applyBorder="1" applyAlignment="1">
      <alignment horizontal="center" vertical="center" wrapText="1"/>
    </xf>
    <xf numFmtId="0" fontId="15" fillId="13" borderId="64" xfId="0" applyFont="1" applyFill="1" applyBorder="1" applyAlignment="1">
      <alignment horizontal="center" vertical="center" wrapText="1"/>
    </xf>
    <xf numFmtId="0" fontId="15" fillId="13" borderId="6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2" fontId="12" fillId="0" borderId="28" xfId="0" applyNumberFormat="1" applyFont="1" applyBorder="1" applyAlignment="1">
      <alignment horizontal="center" vertical="center" wrapText="1"/>
    </xf>
    <xf numFmtId="2" fontId="12" fillId="0" borderId="21" xfId="0" applyNumberFormat="1" applyFont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75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9" fillId="3" borderId="21" xfId="1" applyFont="1" applyBorder="1" applyAlignment="1">
      <alignment horizontal="center" vertical="center" wrapText="1"/>
    </xf>
    <xf numFmtId="14" fontId="0" fillId="0" borderId="4" xfId="0" applyNumberFormat="1" applyBorder="1" applyAlignment="1"/>
    <xf numFmtId="0" fontId="0" fillId="0" borderId="4" xfId="0" applyBorder="1" applyAlignment="1"/>
    <xf numFmtId="0" fontId="0" fillId="0" borderId="6" xfId="0" applyBorder="1" applyAlignment="1"/>
    <xf numFmtId="0" fontId="0" fillId="0" borderId="8" xfId="0" applyBorder="1" applyAlignment="1"/>
  </cellXfs>
  <cellStyles count="3">
    <cellStyle name="cf1" xfId="2" xr:uid="{00000000-0005-0000-0000-000000000000}"/>
    <cellStyle name="Check Cell" xfId="1" builtinId="23" customBuiltin="1"/>
    <cellStyle name="Normal" xfId="0" builtinId="0" customBuiltin="1"/>
  </cellStyles>
  <dxfs count="4">
    <dxf>
      <fill>
        <patternFill patternType="solid">
          <fgColor rgb="FFC6E0B4"/>
          <bgColor rgb="FFC6E0B4"/>
        </patternFill>
      </fill>
    </dxf>
    <dxf>
      <fill>
        <patternFill patternType="solid">
          <fgColor rgb="FFC6E0B4"/>
          <bgColor rgb="FFC6E0B4"/>
        </patternFill>
      </fill>
    </dxf>
    <dxf>
      <fill>
        <patternFill>
          <bgColor theme="9" tint="0.59996337778862885"/>
        </patternFill>
      </fill>
    </dxf>
    <dxf>
      <fill>
        <patternFill patternType="solid">
          <fgColor rgb="FFC6E0B4"/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08"/>
  <sheetViews>
    <sheetView tabSelected="1" topLeftCell="A139" zoomScale="80" zoomScaleNormal="80" workbookViewId="0">
      <selection activeCell="E149" sqref="E149"/>
    </sheetView>
  </sheetViews>
  <sheetFormatPr defaultColWidth="14.75" defaultRowHeight="21"/>
  <cols>
    <col min="1" max="1" width="16.25" customWidth="1"/>
    <col min="2" max="2" width="50.75" customWidth="1"/>
    <col min="3" max="3" width="16.75" customWidth="1"/>
    <col min="4" max="4" width="20.25" customWidth="1"/>
    <col min="5" max="5" width="18.25" style="48" customWidth="1"/>
    <col min="6" max="7" width="19.25" style="48" customWidth="1"/>
    <col min="8" max="8" width="7" customWidth="1"/>
    <col min="9" max="9" width="15.5" customWidth="1"/>
    <col min="10" max="10" width="52" customWidth="1"/>
    <col min="11" max="11" width="15.75" customWidth="1"/>
    <col min="12" max="12" width="18.25" bestFit="1" customWidth="1"/>
    <col min="13" max="13" width="14.75" customWidth="1"/>
    <col min="14" max="14" width="14" customWidth="1"/>
    <col min="15" max="15" width="19.5" style="4" bestFit="1" customWidth="1"/>
    <col min="16" max="16" width="14.75" style="4" customWidth="1"/>
    <col min="17" max="17" width="14.75" style="5" bestFit="1" customWidth="1"/>
    <col min="18" max="18" width="14.75" customWidth="1"/>
    <col min="19" max="19" width="25" customWidth="1"/>
    <col min="20" max="20" width="14.75" customWidth="1"/>
  </cols>
  <sheetData>
    <row r="1" spans="1:23" ht="31.15" customHeight="1" thickBot="1">
      <c r="A1" s="212" t="s">
        <v>0</v>
      </c>
      <c r="B1" s="212"/>
      <c r="C1" s="212"/>
      <c r="D1" s="212"/>
      <c r="E1" s="212"/>
      <c r="F1" s="1"/>
      <c r="G1" s="1"/>
      <c r="H1" s="2"/>
      <c r="I1" s="3"/>
      <c r="J1" s="3"/>
    </row>
    <row r="2" spans="1:23" ht="31.15" customHeight="1" thickBot="1">
      <c r="A2" s="213" t="s">
        <v>1</v>
      </c>
      <c r="B2" s="213"/>
      <c r="C2" s="222"/>
      <c r="D2" s="223"/>
      <c r="E2" s="223"/>
      <c r="F2" s="6"/>
      <c r="G2" s="6"/>
      <c r="H2" s="6"/>
      <c r="I2" s="214" t="s">
        <v>2</v>
      </c>
      <c r="J2" s="214"/>
      <c r="K2" s="214"/>
      <c r="L2" s="214"/>
      <c r="M2" s="214"/>
      <c r="N2" s="214"/>
      <c r="O2" s="214"/>
      <c r="P2" s="7"/>
    </row>
    <row r="3" spans="1:23" ht="28.9" customHeight="1" thickBot="1">
      <c r="A3" s="215" t="s">
        <v>3</v>
      </c>
      <c r="B3" s="215"/>
      <c r="C3" s="224"/>
      <c r="D3" s="224"/>
      <c r="E3" s="224"/>
      <c r="F3" s="6"/>
      <c r="G3" s="6"/>
      <c r="H3" s="6"/>
      <c r="I3" s="214"/>
      <c r="J3" s="214"/>
      <c r="K3" s="214"/>
      <c r="L3" s="214"/>
      <c r="M3" s="214"/>
      <c r="N3" s="214"/>
      <c r="O3" s="214"/>
      <c r="P3" s="7"/>
      <c r="Q3"/>
      <c r="R3" s="8"/>
      <c r="S3" s="8"/>
      <c r="T3" s="8"/>
      <c r="U3" s="8"/>
      <c r="V3" s="8"/>
      <c r="W3" s="8"/>
    </row>
    <row r="4" spans="1:23" ht="34.9" customHeight="1" thickBot="1">
      <c r="A4" s="200" t="s">
        <v>4</v>
      </c>
      <c r="B4" s="200"/>
      <c r="C4" s="225"/>
      <c r="D4" s="225"/>
      <c r="E4" s="225"/>
      <c r="F4" s="1"/>
      <c r="G4" s="1"/>
      <c r="H4" s="2"/>
      <c r="Q4"/>
      <c r="R4" s="8"/>
      <c r="S4" s="8"/>
      <c r="T4" s="8"/>
      <c r="U4" s="8"/>
      <c r="V4" s="8"/>
      <c r="W4" s="8"/>
    </row>
    <row r="5" spans="1:23" ht="26.45" thickBot="1">
      <c r="A5" s="201" t="s">
        <v>5</v>
      </c>
      <c r="B5" s="201"/>
      <c r="C5" s="201"/>
      <c r="D5" s="201"/>
      <c r="E5" s="201"/>
      <c r="F5" s="201"/>
      <c r="G5" s="201"/>
      <c r="H5" s="9"/>
      <c r="I5" s="202" t="s">
        <v>6</v>
      </c>
      <c r="J5" s="202"/>
      <c r="K5" s="202"/>
      <c r="L5" s="202"/>
      <c r="M5" s="202"/>
      <c r="N5" s="202"/>
      <c r="O5" s="202"/>
      <c r="P5" s="202"/>
      <c r="Q5"/>
    </row>
    <row r="6" spans="1:23" ht="54" customHeight="1" thickBot="1">
      <c r="A6" s="10" t="s">
        <v>7</v>
      </c>
      <c r="B6" s="11" t="s">
        <v>8</v>
      </c>
      <c r="C6" s="12" t="s">
        <v>9</v>
      </c>
      <c r="D6" s="12" t="s">
        <v>10</v>
      </c>
      <c r="E6" s="13" t="s">
        <v>11</v>
      </c>
      <c r="F6" s="13" t="s">
        <v>12</v>
      </c>
      <c r="G6" s="14" t="s">
        <v>13</v>
      </c>
      <c r="H6" s="15"/>
      <c r="I6" s="16" t="s">
        <v>7</v>
      </c>
      <c r="J6" s="17" t="s">
        <v>14</v>
      </c>
      <c r="K6" s="18" t="s">
        <v>15</v>
      </c>
      <c r="L6" s="18" t="s">
        <v>16</v>
      </c>
      <c r="M6" s="18" t="s">
        <v>17</v>
      </c>
      <c r="N6" s="19" t="s">
        <v>18</v>
      </c>
      <c r="O6" s="20" t="s">
        <v>12</v>
      </c>
      <c r="P6" s="21" t="s">
        <v>13</v>
      </c>
      <c r="Q6"/>
    </row>
    <row r="7" spans="1:23" ht="49.15" customHeight="1">
      <c r="A7" s="83" t="s">
        <v>19</v>
      </c>
      <c r="B7" s="23" t="s">
        <v>20</v>
      </c>
      <c r="C7" s="24">
        <v>450</v>
      </c>
      <c r="D7" s="25"/>
      <c r="E7" s="63">
        <v>52.91</v>
      </c>
      <c r="F7" s="26">
        <f t="shared" ref="F7:F43" si="0">SUM(D7*E7)</f>
        <v>0</v>
      </c>
      <c r="G7" s="27">
        <f>D7*11.09</f>
        <v>0</v>
      </c>
      <c r="H7" s="28"/>
      <c r="I7" s="139" t="s">
        <v>21</v>
      </c>
      <c r="J7" s="140" t="s">
        <v>22</v>
      </c>
      <c r="K7" s="141">
        <v>8</v>
      </c>
      <c r="L7" s="141">
        <v>12</v>
      </c>
      <c r="M7" s="142"/>
      <c r="N7" s="143">
        <v>44.43</v>
      </c>
      <c r="O7" s="144">
        <f t="shared" ref="O7:O47" si="1">M7*N7</f>
        <v>0</v>
      </c>
      <c r="P7" s="145">
        <f>M7*13</f>
        <v>0</v>
      </c>
      <c r="Q7"/>
    </row>
    <row r="8" spans="1:23" ht="30" customHeight="1">
      <c r="A8" s="83" t="s">
        <v>23</v>
      </c>
      <c r="B8" s="23" t="s">
        <v>24</v>
      </c>
      <c r="C8" s="24">
        <v>500</v>
      </c>
      <c r="D8" s="25"/>
      <c r="E8" s="63">
        <v>32.39</v>
      </c>
      <c r="F8" s="26">
        <f t="shared" si="0"/>
        <v>0</v>
      </c>
      <c r="G8" s="27">
        <f>D8*7.53</f>
        <v>0</v>
      </c>
      <c r="H8" s="28"/>
      <c r="I8" s="103" t="s">
        <v>25</v>
      </c>
      <c r="J8" s="88" t="s">
        <v>26</v>
      </c>
      <c r="K8" s="89">
        <v>8</v>
      </c>
      <c r="L8" s="89">
        <v>12</v>
      </c>
      <c r="M8" s="90"/>
      <c r="N8" s="87">
        <v>44.57</v>
      </c>
      <c r="O8" s="91">
        <f t="shared" si="1"/>
        <v>0</v>
      </c>
      <c r="P8" s="104">
        <f>M8*13</f>
        <v>0</v>
      </c>
      <c r="Q8"/>
    </row>
    <row r="9" spans="1:23">
      <c r="A9" s="83" t="s">
        <v>27</v>
      </c>
      <c r="B9" s="23" t="s">
        <v>28</v>
      </c>
      <c r="C9" s="24">
        <v>1000</v>
      </c>
      <c r="D9" s="25"/>
      <c r="E9" s="63">
        <v>9</v>
      </c>
      <c r="F9" s="26">
        <f t="shared" si="0"/>
        <v>0</v>
      </c>
      <c r="G9" s="27">
        <f>D9*2.77</f>
        <v>0</v>
      </c>
      <c r="H9" s="28"/>
      <c r="I9" s="103" t="s">
        <v>29</v>
      </c>
      <c r="J9" s="86" t="s">
        <v>30</v>
      </c>
      <c r="K9" s="89">
        <v>12</v>
      </c>
      <c r="L9" s="89">
        <v>8</v>
      </c>
      <c r="M9" s="90"/>
      <c r="N9" s="87">
        <v>36.6</v>
      </c>
      <c r="O9" s="91">
        <f t="shared" si="1"/>
        <v>0</v>
      </c>
      <c r="P9" s="104">
        <f>M9*9</f>
        <v>0</v>
      </c>
      <c r="Q9"/>
    </row>
    <row r="10" spans="1:23" ht="30" customHeight="1">
      <c r="A10" s="83" t="s">
        <v>31</v>
      </c>
      <c r="B10" s="23" t="s">
        <v>32</v>
      </c>
      <c r="C10" s="24">
        <v>500</v>
      </c>
      <c r="D10" s="25"/>
      <c r="E10" s="63">
        <v>43.26</v>
      </c>
      <c r="F10" s="26">
        <f t="shared" si="0"/>
        <v>0</v>
      </c>
      <c r="G10" s="27">
        <f>D10*9.11</f>
        <v>0</v>
      </c>
      <c r="H10" s="28"/>
      <c r="I10" s="103" t="s">
        <v>33</v>
      </c>
      <c r="J10" s="88" t="s">
        <v>34</v>
      </c>
      <c r="K10" s="89">
        <v>6</v>
      </c>
      <c r="L10" s="134">
        <v>24</v>
      </c>
      <c r="M10" s="90"/>
      <c r="N10" s="87">
        <v>56.08</v>
      </c>
      <c r="O10" s="91">
        <f t="shared" si="1"/>
        <v>0</v>
      </c>
      <c r="P10" s="104">
        <f>M10*13</f>
        <v>0</v>
      </c>
      <c r="Q10"/>
    </row>
    <row r="11" spans="1:23" ht="27" customHeight="1">
      <c r="A11" s="83" t="s">
        <v>35</v>
      </c>
      <c r="B11" s="23" t="s">
        <v>36</v>
      </c>
      <c r="C11" s="24">
        <v>1000</v>
      </c>
      <c r="D11" s="25"/>
      <c r="E11" s="63">
        <v>11</v>
      </c>
      <c r="F11" s="26">
        <f t="shared" si="0"/>
        <v>0</v>
      </c>
      <c r="G11" s="27">
        <f>D11*3.62</f>
        <v>0</v>
      </c>
      <c r="H11" s="28"/>
      <c r="I11" s="103" t="s">
        <v>37</v>
      </c>
      <c r="J11" s="88" t="s">
        <v>38</v>
      </c>
      <c r="K11" s="89"/>
      <c r="L11" s="134">
        <v>12</v>
      </c>
      <c r="M11" s="90"/>
      <c r="N11" s="87">
        <v>54.53</v>
      </c>
      <c r="O11" s="91">
        <f t="shared" si="1"/>
        <v>0</v>
      </c>
      <c r="P11" s="104">
        <f>M11*13</f>
        <v>0</v>
      </c>
      <c r="Q11"/>
    </row>
    <row r="12" spans="1:23" ht="27" customHeight="1">
      <c r="A12" s="83" t="s">
        <v>39</v>
      </c>
      <c r="B12" s="23" t="s">
        <v>40</v>
      </c>
      <c r="C12" s="24">
        <v>1000</v>
      </c>
      <c r="D12" s="25"/>
      <c r="E12" s="63">
        <v>25.5</v>
      </c>
      <c r="F12" s="26">
        <f t="shared" si="0"/>
        <v>0</v>
      </c>
      <c r="G12" s="27">
        <f>D12*1.5</f>
        <v>0</v>
      </c>
      <c r="H12" s="28"/>
      <c r="I12" s="103" t="s">
        <v>41</v>
      </c>
      <c r="J12" s="88" t="s">
        <v>42</v>
      </c>
      <c r="K12" s="89">
        <v>8</v>
      </c>
      <c r="L12" s="89">
        <v>8</v>
      </c>
      <c r="M12" s="90"/>
      <c r="N12" s="87">
        <v>40.799999999999997</v>
      </c>
      <c r="O12" s="91">
        <f t="shared" si="1"/>
        <v>0</v>
      </c>
      <c r="P12" s="104">
        <f>M12*9</f>
        <v>0</v>
      </c>
      <c r="Q12"/>
    </row>
    <row r="13" spans="1:23">
      <c r="A13" s="83" t="s">
        <v>43</v>
      </c>
      <c r="B13" s="23" t="s">
        <v>44</v>
      </c>
      <c r="C13" s="24">
        <v>1000</v>
      </c>
      <c r="D13" s="25"/>
      <c r="E13" s="63">
        <v>16.100000000000001</v>
      </c>
      <c r="F13" s="26">
        <f t="shared" si="0"/>
        <v>0</v>
      </c>
      <c r="G13" s="27">
        <f>D13*0.67</f>
        <v>0</v>
      </c>
      <c r="H13" s="28"/>
      <c r="I13" s="103" t="s">
        <v>45</v>
      </c>
      <c r="J13" s="88" t="s">
        <v>46</v>
      </c>
      <c r="K13" s="89">
        <v>16</v>
      </c>
      <c r="L13" s="89">
        <v>8</v>
      </c>
      <c r="M13" s="90"/>
      <c r="N13" s="87">
        <v>48.4</v>
      </c>
      <c r="O13" s="91">
        <f t="shared" si="1"/>
        <v>0</v>
      </c>
      <c r="P13" s="104">
        <f>M13*9</f>
        <v>0</v>
      </c>
      <c r="Q13"/>
    </row>
    <row r="14" spans="1:23">
      <c r="A14" s="83" t="s">
        <v>47</v>
      </c>
      <c r="B14" s="30" t="s">
        <v>48</v>
      </c>
      <c r="C14" s="24">
        <v>1000</v>
      </c>
      <c r="D14" s="25"/>
      <c r="E14" s="63">
        <v>30</v>
      </c>
      <c r="F14" s="26">
        <f t="shared" si="0"/>
        <v>0</v>
      </c>
      <c r="G14" s="27">
        <f>D14*1</f>
        <v>0</v>
      </c>
      <c r="H14" s="28"/>
      <c r="I14" s="103" t="s">
        <v>49</v>
      </c>
      <c r="J14" s="88" t="s">
        <v>50</v>
      </c>
      <c r="K14" s="89">
        <v>1</v>
      </c>
      <c r="L14" s="89">
        <v>1</v>
      </c>
      <c r="M14" s="90"/>
      <c r="N14" s="87">
        <v>1.34</v>
      </c>
      <c r="O14" s="91">
        <f t="shared" si="1"/>
        <v>0</v>
      </c>
      <c r="P14" s="104">
        <f>M14*0.1</f>
        <v>0</v>
      </c>
      <c r="Q14"/>
    </row>
    <row r="15" spans="1:23" ht="25.15" customHeight="1">
      <c r="A15" s="83" t="s">
        <v>51</v>
      </c>
      <c r="B15" s="94" t="s">
        <v>52</v>
      </c>
      <c r="C15" s="24">
        <v>6000</v>
      </c>
      <c r="D15" s="25"/>
      <c r="E15" s="63">
        <v>52.02</v>
      </c>
      <c r="F15" s="26">
        <f t="shared" si="0"/>
        <v>0</v>
      </c>
      <c r="G15" s="27">
        <f>D15*10.44</f>
        <v>0</v>
      </c>
      <c r="H15" s="28"/>
      <c r="I15" s="103" t="s">
        <v>53</v>
      </c>
      <c r="J15" s="88" t="s">
        <v>54</v>
      </c>
      <c r="K15" s="89">
        <v>1</v>
      </c>
      <c r="L15" s="89">
        <v>1</v>
      </c>
      <c r="M15" s="90"/>
      <c r="N15" s="87">
        <v>1.38</v>
      </c>
      <c r="O15" s="91">
        <f t="shared" si="1"/>
        <v>0</v>
      </c>
      <c r="P15" s="104">
        <f>M15*0.1</f>
        <v>0</v>
      </c>
      <c r="Q15"/>
    </row>
    <row r="16" spans="1:23">
      <c r="A16" s="83" t="s">
        <v>55</v>
      </c>
      <c r="B16" s="94" t="s">
        <v>56</v>
      </c>
      <c r="C16" s="24">
        <v>500</v>
      </c>
      <c r="D16" s="25"/>
      <c r="E16" s="63">
        <v>51</v>
      </c>
      <c r="F16" s="26">
        <f t="shared" si="0"/>
        <v>0</v>
      </c>
      <c r="G16" s="27">
        <f>D16*5.39</f>
        <v>0</v>
      </c>
      <c r="H16" s="28"/>
      <c r="I16" s="103" t="s">
        <v>57</v>
      </c>
      <c r="J16" s="88" t="s">
        <v>58</v>
      </c>
      <c r="K16" s="89">
        <v>25</v>
      </c>
      <c r="L16" s="89">
        <v>8</v>
      </c>
      <c r="M16" s="90"/>
      <c r="N16" s="87">
        <v>85</v>
      </c>
      <c r="O16" s="91">
        <f t="shared" si="1"/>
        <v>0</v>
      </c>
      <c r="P16" s="104">
        <f>M16*8</f>
        <v>0</v>
      </c>
      <c r="Q16"/>
    </row>
    <row r="17" spans="1:18" s="32" customFormat="1">
      <c r="A17" s="83" t="s">
        <v>59</v>
      </c>
      <c r="B17" s="94" t="s">
        <v>60</v>
      </c>
      <c r="C17" s="24">
        <v>500</v>
      </c>
      <c r="D17" s="25"/>
      <c r="E17" s="63">
        <v>1</v>
      </c>
      <c r="F17" s="26">
        <f t="shared" si="0"/>
        <v>0</v>
      </c>
      <c r="G17" s="27">
        <f>D17*2</f>
        <v>0</v>
      </c>
      <c r="H17" s="31"/>
      <c r="I17" s="103" t="s">
        <v>61</v>
      </c>
      <c r="J17" s="88" t="s">
        <v>62</v>
      </c>
      <c r="K17" s="89">
        <v>50</v>
      </c>
      <c r="L17" s="89">
        <v>1</v>
      </c>
      <c r="M17" s="90"/>
      <c r="N17" s="87">
        <v>12.85</v>
      </c>
      <c r="O17" s="91">
        <f t="shared" si="1"/>
        <v>0</v>
      </c>
      <c r="P17" s="104">
        <f>M17*3.4</f>
        <v>0</v>
      </c>
      <c r="R17"/>
    </row>
    <row r="18" spans="1:18" ht="40.15" customHeight="1">
      <c r="A18" s="84" t="s">
        <v>63</v>
      </c>
      <c r="B18" s="62" t="s">
        <v>64</v>
      </c>
      <c r="C18" s="33">
        <v>1000</v>
      </c>
      <c r="D18" s="25"/>
      <c r="E18" s="63">
        <v>127.62</v>
      </c>
      <c r="F18" s="26">
        <f t="shared" si="0"/>
        <v>0</v>
      </c>
      <c r="G18" s="27">
        <f>D18*10.5</f>
        <v>0</v>
      </c>
      <c r="H18" s="28"/>
      <c r="I18" s="103" t="s">
        <v>65</v>
      </c>
      <c r="J18" s="88" t="s">
        <v>66</v>
      </c>
      <c r="K18" s="89">
        <v>12</v>
      </c>
      <c r="L18" s="89">
        <v>1</v>
      </c>
      <c r="M18" s="90"/>
      <c r="N18" s="87">
        <v>14.25</v>
      </c>
      <c r="O18" s="91">
        <f t="shared" si="1"/>
        <v>0</v>
      </c>
      <c r="P18" s="104">
        <f>M18*3.4</f>
        <v>0</v>
      </c>
      <c r="Q18"/>
    </row>
    <row r="19" spans="1:18" ht="40.15" customHeight="1">
      <c r="A19" s="83" t="s">
        <v>67</v>
      </c>
      <c r="B19" s="62" t="s">
        <v>68</v>
      </c>
      <c r="C19" s="24">
        <v>1000</v>
      </c>
      <c r="D19" s="25"/>
      <c r="E19" s="63">
        <v>1</v>
      </c>
      <c r="F19" s="26">
        <f t="shared" si="0"/>
        <v>0</v>
      </c>
      <c r="G19" s="27">
        <f>D19*3</f>
        <v>0</v>
      </c>
      <c r="H19" s="28"/>
      <c r="I19" s="103" t="s">
        <v>69</v>
      </c>
      <c r="J19" s="88" t="s">
        <v>70</v>
      </c>
      <c r="K19" s="89">
        <v>5</v>
      </c>
      <c r="L19" s="89">
        <v>4</v>
      </c>
      <c r="M19" s="90"/>
      <c r="N19" s="87">
        <v>14.41</v>
      </c>
      <c r="O19" s="91">
        <f t="shared" si="1"/>
        <v>0</v>
      </c>
      <c r="P19" s="104">
        <f>M19*2</f>
        <v>0</v>
      </c>
      <c r="Q19"/>
      <c r="R19" s="34"/>
    </row>
    <row r="20" spans="1:18">
      <c r="A20" s="127" t="s">
        <v>71</v>
      </c>
      <c r="B20" s="128" t="s">
        <v>72</v>
      </c>
      <c r="C20" s="129">
        <v>60</v>
      </c>
      <c r="D20" s="130"/>
      <c r="E20" s="131">
        <v>120</v>
      </c>
      <c r="F20" s="132">
        <f t="shared" si="0"/>
        <v>0</v>
      </c>
      <c r="G20" s="133">
        <f>D20*20.93</f>
        <v>0</v>
      </c>
      <c r="H20" s="28"/>
      <c r="I20" s="146" t="s">
        <v>73</v>
      </c>
      <c r="J20" s="86" t="s">
        <v>74</v>
      </c>
      <c r="K20" s="136">
        <v>36</v>
      </c>
      <c r="L20" s="134">
        <v>36</v>
      </c>
      <c r="M20" s="90"/>
      <c r="N20" s="87">
        <v>17.93</v>
      </c>
      <c r="O20" s="91">
        <f t="shared" si="1"/>
        <v>0</v>
      </c>
      <c r="P20" s="104">
        <f>M20*8.3</f>
        <v>0</v>
      </c>
      <c r="Q20"/>
    </row>
    <row r="21" spans="1:18">
      <c r="A21" s="83" t="s">
        <v>75</v>
      </c>
      <c r="B21" s="23" t="s">
        <v>76</v>
      </c>
      <c r="C21" s="24">
        <v>100</v>
      </c>
      <c r="D21" s="35"/>
      <c r="E21" s="63">
        <v>120</v>
      </c>
      <c r="F21" s="26">
        <f t="shared" si="0"/>
        <v>0</v>
      </c>
      <c r="G21" s="27">
        <f>D21*11.2</f>
        <v>0</v>
      </c>
      <c r="H21" s="28"/>
      <c r="I21" s="146" t="s">
        <v>77</v>
      </c>
      <c r="J21" s="86" t="s">
        <v>78</v>
      </c>
      <c r="K21" s="136">
        <v>36</v>
      </c>
      <c r="L21" s="134">
        <v>36</v>
      </c>
      <c r="M21" s="90"/>
      <c r="N21" s="87">
        <v>17.93</v>
      </c>
      <c r="O21" s="91">
        <f t="shared" si="1"/>
        <v>0</v>
      </c>
      <c r="P21" s="104">
        <f>M21*8.3</f>
        <v>0</v>
      </c>
      <c r="Q21"/>
    </row>
    <row r="22" spans="1:18">
      <c r="A22" s="84" t="s">
        <v>79</v>
      </c>
      <c r="B22" s="23" t="s">
        <v>80</v>
      </c>
      <c r="C22" s="33">
        <v>250</v>
      </c>
      <c r="D22" s="25"/>
      <c r="E22" s="63">
        <v>36.119999999999997</v>
      </c>
      <c r="F22" s="26">
        <f t="shared" si="0"/>
        <v>0</v>
      </c>
      <c r="G22" s="27">
        <f>D22*3.25</f>
        <v>0</v>
      </c>
      <c r="H22" s="28"/>
      <c r="I22" s="146" t="s">
        <v>81</v>
      </c>
      <c r="J22" s="86" t="s">
        <v>82</v>
      </c>
      <c r="K22" s="136">
        <v>1</v>
      </c>
      <c r="L22" s="134">
        <v>12</v>
      </c>
      <c r="M22" s="90"/>
      <c r="N22" s="87">
        <v>13.56</v>
      </c>
      <c r="O22" s="91">
        <f t="shared" si="1"/>
        <v>0</v>
      </c>
      <c r="P22" s="104">
        <f t="shared" ref="P22:P29" si="2">M22*2</f>
        <v>0</v>
      </c>
      <c r="Q22"/>
    </row>
    <row r="23" spans="1:18">
      <c r="A23" s="83" t="s">
        <v>83</v>
      </c>
      <c r="B23" s="23" t="s">
        <v>84</v>
      </c>
      <c r="C23" s="24">
        <v>250</v>
      </c>
      <c r="D23" s="25"/>
      <c r="E23" s="63">
        <v>17.7</v>
      </c>
      <c r="F23" s="26">
        <f t="shared" si="0"/>
        <v>0</v>
      </c>
      <c r="G23" s="27">
        <f>D23*2.85</f>
        <v>0</v>
      </c>
      <c r="H23" s="28"/>
      <c r="I23" s="146" t="s">
        <v>85</v>
      </c>
      <c r="J23" s="86" t="s">
        <v>86</v>
      </c>
      <c r="K23" s="136">
        <v>1</v>
      </c>
      <c r="L23" s="134">
        <v>12</v>
      </c>
      <c r="M23" s="90"/>
      <c r="N23" s="87">
        <v>15.72</v>
      </c>
      <c r="O23" s="91">
        <f t="shared" si="1"/>
        <v>0</v>
      </c>
      <c r="P23" s="104">
        <f t="shared" si="2"/>
        <v>0</v>
      </c>
      <c r="Q23"/>
    </row>
    <row r="24" spans="1:18">
      <c r="A24" s="83" t="s">
        <v>87</v>
      </c>
      <c r="B24" s="23" t="s">
        <v>88</v>
      </c>
      <c r="C24" s="24">
        <v>400</v>
      </c>
      <c r="D24" s="25"/>
      <c r="E24" s="63">
        <v>39.5</v>
      </c>
      <c r="F24" s="26">
        <f t="shared" ref="F24" si="3">SUM(D24*E24)</f>
        <v>0</v>
      </c>
      <c r="G24" s="27">
        <f>D24*12</f>
        <v>0</v>
      </c>
      <c r="H24" s="28"/>
      <c r="I24" s="146" t="s">
        <v>89</v>
      </c>
      <c r="J24" s="86" t="s">
        <v>90</v>
      </c>
      <c r="K24" s="136">
        <v>1</v>
      </c>
      <c r="L24" s="134">
        <v>16</v>
      </c>
      <c r="M24" s="90"/>
      <c r="N24" s="87">
        <v>22</v>
      </c>
      <c r="O24" s="91">
        <f t="shared" si="1"/>
        <v>0</v>
      </c>
      <c r="P24" s="104">
        <f t="shared" si="2"/>
        <v>0</v>
      </c>
      <c r="Q24"/>
    </row>
    <row r="25" spans="1:18">
      <c r="A25" s="83" t="s">
        <v>91</v>
      </c>
      <c r="B25" s="23" t="s">
        <v>92</v>
      </c>
      <c r="C25" s="24">
        <v>1000</v>
      </c>
      <c r="D25" s="25"/>
      <c r="E25" s="63">
        <v>99</v>
      </c>
      <c r="F25" s="26">
        <f t="shared" si="0"/>
        <v>0</v>
      </c>
      <c r="G25" s="27">
        <f>D25*5.27</f>
        <v>0</v>
      </c>
      <c r="H25" s="28"/>
      <c r="I25" s="146" t="s">
        <v>93</v>
      </c>
      <c r="J25" s="86" t="s">
        <v>94</v>
      </c>
      <c r="K25" s="136">
        <v>1</v>
      </c>
      <c r="L25" s="134">
        <v>16</v>
      </c>
      <c r="M25" s="90"/>
      <c r="N25" s="87">
        <v>19.84</v>
      </c>
      <c r="O25" s="91">
        <f t="shared" si="1"/>
        <v>0</v>
      </c>
      <c r="P25" s="104">
        <f t="shared" si="2"/>
        <v>0</v>
      </c>
      <c r="Q25"/>
    </row>
    <row r="26" spans="1:18">
      <c r="A26" s="83" t="s">
        <v>95</v>
      </c>
      <c r="B26" s="23" t="s">
        <v>96</v>
      </c>
      <c r="C26" s="24">
        <v>1000</v>
      </c>
      <c r="D26" s="25"/>
      <c r="E26" s="63">
        <v>1</v>
      </c>
      <c r="F26" s="26">
        <f t="shared" si="0"/>
        <v>0</v>
      </c>
      <c r="G26" s="27">
        <f t="shared" ref="G26:G34" si="4">D26*1.94</f>
        <v>0</v>
      </c>
      <c r="H26" s="28"/>
      <c r="I26" s="146" t="s">
        <v>97</v>
      </c>
      <c r="J26" s="86" t="s">
        <v>98</v>
      </c>
      <c r="K26" s="136">
        <v>1</v>
      </c>
      <c r="L26" s="134">
        <v>16</v>
      </c>
      <c r="M26" s="90"/>
      <c r="N26" s="87">
        <v>33.200000000000003</v>
      </c>
      <c r="O26" s="91">
        <f t="shared" si="1"/>
        <v>0</v>
      </c>
      <c r="P26" s="104">
        <f t="shared" si="2"/>
        <v>0</v>
      </c>
      <c r="Q26"/>
    </row>
    <row r="27" spans="1:18">
      <c r="A27" s="83" t="s">
        <v>99</v>
      </c>
      <c r="B27" s="23" t="s">
        <v>100</v>
      </c>
      <c r="C27" s="24">
        <v>50</v>
      </c>
      <c r="D27" s="25"/>
      <c r="E27" s="63">
        <v>1.7</v>
      </c>
      <c r="F27" s="26">
        <f t="shared" si="0"/>
        <v>0</v>
      </c>
      <c r="G27" s="27">
        <f t="shared" si="4"/>
        <v>0</v>
      </c>
      <c r="H27" s="28"/>
      <c r="I27" s="146" t="s">
        <v>101</v>
      </c>
      <c r="J27" s="86" t="s">
        <v>102</v>
      </c>
      <c r="K27" s="136">
        <v>1</v>
      </c>
      <c r="L27" s="134">
        <v>16</v>
      </c>
      <c r="M27" s="90"/>
      <c r="N27" s="87">
        <v>20.12</v>
      </c>
      <c r="O27" s="91">
        <f t="shared" si="1"/>
        <v>0</v>
      </c>
      <c r="P27" s="104">
        <f t="shared" si="2"/>
        <v>0</v>
      </c>
      <c r="Q27"/>
    </row>
    <row r="28" spans="1:18">
      <c r="A28" s="83" t="s">
        <v>103</v>
      </c>
      <c r="B28" s="23" t="s">
        <v>104</v>
      </c>
      <c r="C28" s="24">
        <v>500</v>
      </c>
      <c r="D28" s="25"/>
      <c r="E28" s="63">
        <v>79</v>
      </c>
      <c r="F28" s="26">
        <f t="shared" si="0"/>
        <v>0</v>
      </c>
      <c r="G28" s="27">
        <f t="shared" si="4"/>
        <v>0</v>
      </c>
      <c r="H28" s="28"/>
      <c r="I28" s="146" t="s">
        <v>105</v>
      </c>
      <c r="J28" s="86" t="s">
        <v>106</v>
      </c>
      <c r="K28" s="136">
        <v>1</v>
      </c>
      <c r="L28" s="199">
        <v>12</v>
      </c>
      <c r="M28" s="90"/>
      <c r="N28" s="87">
        <v>22.5</v>
      </c>
      <c r="O28" s="91">
        <f t="shared" si="1"/>
        <v>0</v>
      </c>
      <c r="P28" s="104">
        <f t="shared" si="2"/>
        <v>0</v>
      </c>
      <c r="Q28"/>
    </row>
    <row r="29" spans="1:18">
      <c r="A29" s="83" t="s">
        <v>107</v>
      </c>
      <c r="B29" s="23" t="s">
        <v>108</v>
      </c>
      <c r="C29" s="24">
        <v>500</v>
      </c>
      <c r="D29" s="25"/>
      <c r="E29" s="63">
        <v>1</v>
      </c>
      <c r="F29" s="26">
        <f t="shared" si="0"/>
        <v>0</v>
      </c>
      <c r="G29" s="27">
        <f t="shared" si="4"/>
        <v>0</v>
      </c>
      <c r="H29" s="28"/>
      <c r="I29" s="146" t="s">
        <v>109</v>
      </c>
      <c r="J29" s="86" t="s">
        <v>110</v>
      </c>
      <c r="K29" s="136">
        <v>1</v>
      </c>
      <c r="L29" s="199">
        <v>12</v>
      </c>
      <c r="M29" s="90"/>
      <c r="N29" s="87">
        <v>22.5</v>
      </c>
      <c r="O29" s="91">
        <f t="shared" si="1"/>
        <v>0</v>
      </c>
      <c r="P29" s="104">
        <f t="shared" si="2"/>
        <v>0</v>
      </c>
      <c r="Q29"/>
    </row>
    <row r="30" spans="1:18">
      <c r="A30" s="83" t="s">
        <v>111</v>
      </c>
      <c r="B30" s="23" t="s">
        <v>112</v>
      </c>
      <c r="C30" s="24">
        <v>300</v>
      </c>
      <c r="D30" s="25"/>
      <c r="E30" s="63">
        <v>38</v>
      </c>
      <c r="F30" s="26">
        <f t="shared" si="0"/>
        <v>0</v>
      </c>
      <c r="G30" s="27">
        <f t="shared" si="4"/>
        <v>0</v>
      </c>
      <c r="H30" s="28"/>
      <c r="I30" s="146" t="s">
        <v>113</v>
      </c>
      <c r="J30" s="196" t="s">
        <v>114</v>
      </c>
      <c r="K30" s="136">
        <v>1</v>
      </c>
      <c r="L30" s="89">
        <v>30</v>
      </c>
      <c r="M30" s="90"/>
      <c r="N30" s="87">
        <v>83.33</v>
      </c>
      <c r="O30" s="91">
        <f t="shared" si="1"/>
        <v>0</v>
      </c>
      <c r="P30" s="104">
        <f>M30*15</f>
        <v>0</v>
      </c>
      <c r="Q30"/>
    </row>
    <row r="31" spans="1:18" ht="24" customHeight="1">
      <c r="A31" s="83" t="s">
        <v>115</v>
      </c>
      <c r="B31" s="23" t="s">
        <v>116</v>
      </c>
      <c r="C31" s="24">
        <v>300</v>
      </c>
      <c r="D31" s="25"/>
      <c r="E31" s="63">
        <v>1</v>
      </c>
      <c r="F31" s="26">
        <f t="shared" si="0"/>
        <v>0</v>
      </c>
      <c r="G31" s="27">
        <f t="shared" si="4"/>
        <v>0</v>
      </c>
      <c r="H31" s="28"/>
      <c r="I31" s="103" t="s">
        <v>117</v>
      </c>
      <c r="J31" s="86" t="s">
        <v>118</v>
      </c>
      <c r="K31" s="89">
        <v>1</v>
      </c>
      <c r="L31" s="134">
        <v>16</v>
      </c>
      <c r="M31" s="90"/>
      <c r="N31" s="87">
        <v>17.43</v>
      </c>
      <c r="O31" s="91">
        <f t="shared" si="1"/>
        <v>0</v>
      </c>
      <c r="P31" s="104">
        <f>M31*5</f>
        <v>0</v>
      </c>
      <c r="Q31"/>
    </row>
    <row r="32" spans="1:18">
      <c r="A32" s="83" t="s">
        <v>119</v>
      </c>
      <c r="B32" s="188" t="s">
        <v>120</v>
      </c>
      <c r="C32" s="24">
        <v>250</v>
      </c>
      <c r="D32" s="25"/>
      <c r="E32" s="63">
        <v>31.25</v>
      </c>
      <c r="F32" s="26">
        <f t="shared" si="0"/>
        <v>0</v>
      </c>
      <c r="G32" s="27">
        <f t="shared" si="4"/>
        <v>0</v>
      </c>
      <c r="H32" s="28"/>
      <c r="I32" s="103" t="s">
        <v>121</v>
      </c>
      <c r="J32" s="86" t="s">
        <v>122</v>
      </c>
      <c r="K32" s="89">
        <v>12</v>
      </c>
      <c r="L32" s="89">
        <v>1</v>
      </c>
      <c r="M32" s="90"/>
      <c r="N32" s="87">
        <v>13</v>
      </c>
      <c r="O32" s="91">
        <f t="shared" si="1"/>
        <v>0</v>
      </c>
      <c r="P32" s="104">
        <f>M32*2</f>
        <v>0</v>
      </c>
      <c r="Q32"/>
    </row>
    <row r="33" spans="1:16" customFormat="1" ht="42.4" customHeight="1">
      <c r="A33" s="83" t="s">
        <v>123</v>
      </c>
      <c r="B33" s="188" t="s">
        <v>124</v>
      </c>
      <c r="C33" s="24">
        <v>250</v>
      </c>
      <c r="D33" s="25"/>
      <c r="E33" s="63">
        <v>23.43</v>
      </c>
      <c r="F33" s="26">
        <f t="shared" si="0"/>
        <v>0</v>
      </c>
      <c r="G33" s="27">
        <f t="shared" si="4"/>
        <v>0</v>
      </c>
      <c r="H33" s="28"/>
      <c r="I33" s="103" t="s">
        <v>125</v>
      </c>
      <c r="J33" s="86" t="s">
        <v>126</v>
      </c>
      <c r="K33" s="89">
        <v>16</v>
      </c>
      <c r="L33" s="89">
        <v>1</v>
      </c>
      <c r="M33" s="90"/>
      <c r="N33" s="87">
        <v>27</v>
      </c>
      <c r="O33" s="91">
        <f t="shared" si="1"/>
        <v>0</v>
      </c>
      <c r="P33" s="104">
        <f>M33*5</f>
        <v>0</v>
      </c>
    </row>
    <row r="34" spans="1:16" customFormat="1" ht="42.4" customHeight="1">
      <c r="A34" s="83" t="s">
        <v>127</v>
      </c>
      <c r="B34" s="188" t="s">
        <v>128</v>
      </c>
      <c r="C34" s="24">
        <v>100</v>
      </c>
      <c r="D34" s="25"/>
      <c r="E34" s="63">
        <v>8.1300000000000008</v>
      </c>
      <c r="F34" s="26">
        <f t="shared" si="0"/>
        <v>0</v>
      </c>
      <c r="G34" s="27">
        <f t="shared" si="4"/>
        <v>0</v>
      </c>
      <c r="H34" s="28"/>
      <c r="I34" s="103" t="s">
        <v>129</v>
      </c>
      <c r="J34" s="88" t="s">
        <v>130</v>
      </c>
      <c r="K34" s="89">
        <v>60</v>
      </c>
      <c r="L34" s="89">
        <v>1</v>
      </c>
      <c r="M34" s="90"/>
      <c r="N34" s="87">
        <v>10.94</v>
      </c>
      <c r="O34" s="91">
        <f t="shared" si="1"/>
        <v>0</v>
      </c>
      <c r="P34" s="104">
        <f>M34*2.5</f>
        <v>0</v>
      </c>
    </row>
    <row r="35" spans="1:16" customFormat="1" ht="42.4" customHeight="1">
      <c r="A35" s="83" t="s">
        <v>131</v>
      </c>
      <c r="B35" s="23" t="s">
        <v>132</v>
      </c>
      <c r="C35" s="24">
        <v>500</v>
      </c>
      <c r="D35" s="25"/>
      <c r="E35" s="63">
        <v>5</v>
      </c>
      <c r="F35" s="26">
        <f t="shared" si="0"/>
        <v>0</v>
      </c>
      <c r="G35" s="27">
        <f>D35*0.16</f>
        <v>0</v>
      </c>
      <c r="H35" s="28"/>
      <c r="I35" s="103" t="s">
        <v>133</v>
      </c>
      <c r="J35" s="88" t="s">
        <v>134</v>
      </c>
      <c r="K35" s="89">
        <v>60</v>
      </c>
      <c r="L35" s="89">
        <v>1</v>
      </c>
      <c r="M35" s="90"/>
      <c r="N35" s="87">
        <v>10.94</v>
      </c>
      <c r="O35" s="91">
        <f t="shared" si="1"/>
        <v>0</v>
      </c>
      <c r="P35" s="104">
        <f>M35*2.5</f>
        <v>0</v>
      </c>
    </row>
    <row r="36" spans="1:16" customFormat="1" ht="42.4" customHeight="1">
      <c r="A36" s="83" t="s">
        <v>135</v>
      </c>
      <c r="B36" s="23" t="s">
        <v>136</v>
      </c>
      <c r="C36" s="24">
        <v>1000</v>
      </c>
      <c r="D36" s="25"/>
      <c r="E36" s="63">
        <v>5</v>
      </c>
      <c r="F36" s="26">
        <f t="shared" si="0"/>
        <v>0</v>
      </c>
      <c r="G36" s="27">
        <f>D36*0.17</f>
        <v>0</v>
      </c>
      <c r="H36" s="28"/>
      <c r="I36" s="103" t="s">
        <v>137</v>
      </c>
      <c r="J36" s="88" t="s">
        <v>138</v>
      </c>
      <c r="K36" s="89">
        <v>60</v>
      </c>
      <c r="L36" s="89">
        <v>1</v>
      </c>
      <c r="M36" s="90"/>
      <c r="N36" s="87">
        <v>8.0399999999999991</v>
      </c>
      <c r="O36" s="91">
        <f t="shared" si="1"/>
        <v>0</v>
      </c>
      <c r="P36" s="104">
        <f>M36*2.5</f>
        <v>0</v>
      </c>
    </row>
    <row r="37" spans="1:16" customFormat="1" ht="42.4" customHeight="1">
      <c r="A37" s="83" t="s">
        <v>139</v>
      </c>
      <c r="B37" s="94" t="s">
        <v>140</v>
      </c>
      <c r="C37" s="24">
        <v>1000</v>
      </c>
      <c r="D37" s="25"/>
      <c r="E37" s="63">
        <v>3</v>
      </c>
      <c r="F37" s="26">
        <f t="shared" si="0"/>
        <v>0</v>
      </c>
      <c r="G37" s="27">
        <f>D37*0.07</f>
        <v>0</v>
      </c>
      <c r="H37" s="28"/>
      <c r="I37" s="103" t="s">
        <v>141</v>
      </c>
      <c r="J37" s="88" t="s">
        <v>142</v>
      </c>
      <c r="K37" s="89">
        <v>120</v>
      </c>
      <c r="L37" s="89">
        <v>1</v>
      </c>
      <c r="M37" s="90"/>
      <c r="N37" s="87">
        <v>22</v>
      </c>
      <c r="O37" s="91">
        <f t="shared" si="1"/>
        <v>0</v>
      </c>
      <c r="P37" s="104">
        <f>M37*12</f>
        <v>0</v>
      </c>
    </row>
    <row r="38" spans="1:16" customFormat="1" ht="42.4" customHeight="1">
      <c r="A38" s="83" t="s">
        <v>143</v>
      </c>
      <c r="B38" s="94" t="s">
        <v>144</v>
      </c>
      <c r="C38" s="24">
        <v>500</v>
      </c>
      <c r="D38" s="25"/>
      <c r="E38" s="63">
        <v>5</v>
      </c>
      <c r="F38" s="26">
        <f t="shared" si="0"/>
        <v>0</v>
      </c>
      <c r="G38" s="27">
        <f t="shared" ref="G38:G46" si="5">D38*0.16</f>
        <v>0</v>
      </c>
      <c r="H38" s="28"/>
      <c r="I38" s="103" t="s">
        <v>145</v>
      </c>
      <c r="J38" s="88" t="s">
        <v>146</v>
      </c>
      <c r="K38" s="89">
        <v>6</v>
      </c>
      <c r="L38" s="89">
        <v>20</v>
      </c>
      <c r="M38" s="90"/>
      <c r="N38" s="87">
        <v>41.33</v>
      </c>
      <c r="O38" s="91">
        <f t="shared" si="1"/>
        <v>0</v>
      </c>
      <c r="P38" s="104">
        <f>M38*11</f>
        <v>0</v>
      </c>
    </row>
    <row r="39" spans="1:16" customFormat="1" ht="42.4" customHeight="1">
      <c r="A39" s="83" t="s">
        <v>147</v>
      </c>
      <c r="B39" s="94" t="s">
        <v>148</v>
      </c>
      <c r="C39" s="24">
        <v>500</v>
      </c>
      <c r="D39" s="25"/>
      <c r="E39" s="63">
        <v>5</v>
      </c>
      <c r="F39" s="26">
        <f t="shared" si="0"/>
        <v>0</v>
      </c>
      <c r="G39" s="27">
        <f t="shared" si="5"/>
        <v>0</v>
      </c>
      <c r="H39" s="28"/>
      <c r="I39" s="103" t="s">
        <v>149</v>
      </c>
      <c r="J39" s="86" t="s">
        <v>150</v>
      </c>
      <c r="K39" s="89">
        <v>100</v>
      </c>
      <c r="L39" s="89">
        <v>1</v>
      </c>
      <c r="M39" s="90"/>
      <c r="N39" s="87">
        <v>46.44</v>
      </c>
      <c r="O39" s="91">
        <f t="shared" si="1"/>
        <v>0</v>
      </c>
      <c r="P39" s="104">
        <f>M39*7</f>
        <v>0</v>
      </c>
    </row>
    <row r="40" spans="1:16" customFormat="1" ht="42.4" customHeight="1">
      <c r="A40" s="83" t="s">
        <v>151</v>
      </c>
      <c r="B40" s="94" t="s">
        <v>152</v>
      </c>
      <c r="C40" s="24">
        <v>500</v>
      </c>
      <c r="D40" s="25"/>
      <c r="E40" s="63">
        <v>5</v>
      </c>
      <c r="F40" s="26">
        <f t="shared" si="0"/>
        <v>0</v>
      </c>
      <c r="G40" s="27">
        <f t="shared" si="5"/>
        <v>0</v>
      </c>
      <c r="H40" s="28"/>
      <c r="I40" s="103" t="s">
        <v>153</v>
      </c>
      <c r="J40" s="86" t="s">
        <v>154</v>
      </c>
      <c r="K40" s="89">
        <v>100</v>
      </c>
      <c r="L40" s="89">
        <v>1</v>
      </c>
      <c r="M40" s="90"/>
      <c r="N40" s="87">
        <v>46.44</v>
      </c>
      <c r="O40" s="91">
        <f t="shared" si="1"/>
        <v>0</v>
      </c>
      <c r="P40" s="104">
        <f>M40*7</f>
        <v>0</v>
      </c>
    </row>
    <row r="41" spans="1:16" customFormat="1" ht="42.4" customHeight="1">
      <c r="A41" s="83" t="s">
        <v>155</v>
      </c>
      <c r="B41" s="94" t="s">
        <v>156</v>
      </c>
      <c r="C41" s="24">
        <v>500</v>
      </c>
      <c r="D41" s="25"/>
      <c r="E41" s="63">
        <v>5</v>
      </c>
      <c r="F41" s="26">
        <f t="shared" si="0"/>
        <v>0</v>
      </c>
      <c r="G41" s="27">
        <f t="shared" si="5"/>
        <v>0</v>
      </c>
      <c r="H41" s="28"/>
      <c r="I41" s="103" t="s">
        <v>157</v>
      </c>
      <c r="J41" s="196" t="s">
        <v>158</v>
      </c>
      <c r="K41" s="89">
        <v>51</v>
      </c>
      <c r="L41" s="89">
        <v>6</v>
      </c>
      <c r="M41" s="90"/>
      <c r="N41" s="87">
        <v>28.75</v>
      </c>
      <c r="O41" s="91">
        <f t="shared" si="1"/>
        <v>0</v>
      </c>
      <c r="P41" s="104">
        <f>M41*7</f>
        <v>0</v>
      </c>
    </row>
    <row r="42" spans="1:16" customFormat="1" ht="42.4" customHeight="1">
      <c r="A42" s="83" t="s">
        <v>159</v>
      </c>
      <c r="B42" s="94" t="s">
        <v>160</v>
      </c>
      <c r="C42" s="24">
        <v>500</v>
      </c>
      <c r="D42" s="25"/>
      <c r="E42" s="63">
        <v>5</v>
      </c>
      <c r="F42" s="26">
        <f t="shared" si="0"/>
        <v>0</v>
      </c>
      <c r="G42" s="27">
        <f t="shared" si="5"/>
        <v>0</v>
      </c>
      <c r="H42" s="28"/>
      <c r="I42" s="103" t="s">
        <v>161</v>
      </c>
      <c r="J42" s="196" t="s">
        <v>162</v>
      </c>
      <c r="K42" s="89">
        <v>54</v>
      </c>
      <c r="L42" s="89">
        <v>6</v>
      </c>
      <c r="M42" s="90"/>
      <c r="N42" s="87">
        <v>40.5</v>
      </c>
      <c r="O42" s="91">
        <f t="shared" si="1"/>
        <v>0</v>
      </c>
      <c r="P42" s="104">
        <f>M42*7</f>
        <v>0</v>
      </c>
    </row>
    <row r="43" spans="1:16" customFormat="1" ht="42.4" customHeight="1">
      <c r="A43" s="83" t="s">
        <v>163</v>
      </c>
      <c r="B43" s="94" t="s">
        <v>164</v>
      </c>
      <c r="C43" s="24">
        <v>500</v>
      </c>
      <c r="D43" s="25"/>
      <c r="E43" s="63">
        <v>5</v>
      </c>
      <c r="F43" s="26">
        <f t="shared" si="0"/>
        <v>0</v>
      </c>
      <c r="G43" s="27">
        <f t="shared" si="5"/>
        <v>0</v>
      </c>
      <c r="H43" s="28"/>
      <c r="I43" s="103" t="s">
        <v>165</v>
      </c>
      <c r="J43" s="196" t="s">
        <v>166</v>
      </c>
      <c r="K43" s="89">
        <v>40</v>
      </c>
      <c r="L43" s="89">
        <v>40</v>
      </c>
      <c r="M43" s="90"/>
      <c r="N43" s="87">
        <v>93.33</v>
      </c>
      <c r="O43" s="91">
        <f t="shared" si="1"/>
        <v>0</v>
      </c>
      <c r="P43" s="104">
        <f>M43*14</f>
        <v>0</v>
      </c>
    </row>
    <row r="44" spans="1:16" customFormat="1" ht="42.4" customHeight="1">
      <c r="A44" s="83" t="s">
        <v>167</v>
      </c>
      <c r="B44" s="94" t="s">
        <v>168</v>
      </c>
      <c r="C44" s="24">
        <v>500</v>
      </c>
      <c r="D44" s="25"/>
      <c r="E44" s="63">
        <v>5</v>
      </c>
      <c r="F44" s="26">
        <f t="shared" ref="F44:F75" si="6">SUM(D44*E44)</f>
        <v>0</v>
      </c>
      <c r="G44" s="27">
        <f t="shared" si="5"/>
        <v>0</v>
      </c>
      <c r="H44" s="28"/>
      <c r="I44" s="103" t="s">
        <v>169</v>
      </c>
      <c r="J44" s="86" t="s">
        <v>170</v>
      </c>
      <c r="K44" s="89">
        <v>80</v>
      </c>
      <c r="L44" s="89">
        <v>4</v>
      </c>
      <c r="M44" s="90"/>
      <c r="N44" s="87">
        <v>20.98</v>
      </c>
      <c r="O44" s="91">
        <f t="shared" si="1"/>
        <v>0</v>
      </c>
      <c r="P44" s="104">
        <f>M44*7</f>
        <v>0</v>
      </c>
    </row>
    <row r="45" spans="1:16" customFormat="1" ht="42.4" customHeight="1">
      <c r="A45" s="83" t="s">
        <v>171</v>
      </c>
      <c r="B45" s="94" t="s">
        <v>172</v>
      </c>
      <c r="C45" s="24">
        <v>500</v>
      </c>
      <c r="D45" s="25"/>
      <c r="E45" s="63">
        <v>5</v>
      </c>
      <c r="F45" s="26">
        <f t="shared" si="6"/>
        <v>0</v>
      </c>
      <c r="G45" s="27">
        <f t="shared" si="5"/>
        <v>0</v>
      </c>
      <c r="H45" s="28"/>
      <c r="I45" s="103" t="s">
        <v>173</v>
      </c>
      <c r="J45" s="86" t="s">
        <v>174</v>
      </c>
      <c r="K45" s="89">
        <v>66</v>
      </c>
      <c r="L45" s="89">
        <v>6</v>
      </c>
      <c r="M45" s="90"/>
      <c r="N45" s="87">
        <v>69.25</v>
      </c>
      <c r="O45" s="91">
        <f t="shared" si="1"/>
        <v>0</v>
      </c>
      <c r="P45" s="104">
        <f>M45*18</f>
        <v>0</v>
      </c>
    </row>
    <row r="46" spans="1:16" customFormat="1" ht="42.4" customHeight="1">
      <c r="A46" s="83" t="s">
        <v>175</v>
      </c>
      <c r="B46" s="23" t="s">
        <v>176</v>
      </c>
      <c r="C46" s="24">
        <v>500</v>
      </c>
      <c r="D46" s="25"/>
      <c r="E46" s="63">
        <v>5</v>
      </c>
      <c r="F46" s="26">
        <f t="shared" si="6"/>
        <v>0</v>
      </c>
      <c r="G46" s="27">
        <f t="shared" si="5"/>
        <v>0</v>
      </c>
      <c r="H46" s="28"/>
      <c r="I46" s="103" t="s">
        <v>177</v>
      </c>
      <c r="J46" s="86" t="s">
        <v>178</v>
      </c>
      <c r="K46" s="89">
        <v>12.5</v>
      </c>
      <c r="L46" s="89">
        <v>4</v>
      </c>
      <c r="M46" s="90"/>
      <c r="N46" s="87">
        <v>15.72</v>
      </c>
      <c r="O46" s="91">
        <f t="shared" si="1"/>
        <v>0</v>
      </c>
      <c r="P46" s="104">
        <f>M46*11</f>
        <v>0</v>
      </c>
    </row>
    <row r="47" spans="1:16" customFormat="1" ht="42.4" customHeight="1">
      <c r="A47" s="83" t="s">
        <v>179</v>
      </c>
      <c r="B47" s="23" t="s">
        <v>180</v>
      </c>
      <c r="C47" s="24">
        <v>1000</v>
      </c>
      <c r="D47" s="25"/>
      <c r="E47" s="63">
        <v>3</v>
      </c>
      <c r="F47" s="26">
        <f t="shared" si="6"/>
        <v>0</v>
      </c>
      <c r="G47" s="27">
        <f t="shared" ref="G47:G52" si="7">D47*0.07</f>
        <v>0</v>
      </c>
      <c r="H47" s="28"/>
      <c r="I47" s="103" t="s">
        <v>181</v>
      </c>
      <c r="J47" s="86" t="s">
        <v>182</v>
      </c>
      <c r="K47" s="89">
        <v>8.5</v>
      </c>
      <c r="L47" s="89">
        <v>18</v>
      </c>
      <c r="M47" s="90"/>
      <c r="N47" s="87">
        <v>122.63</v>
      </c>
      <c r="O47" s="91">
        <f t="shared" si="1"/>
        <v>0</v>
      </c>
      <c r="P47" s="104">
        <f>M47*11</f>
        <v>0</v>
      </c>
    </row>
    <row r="48" spans="1:16" customFormat="1" ht="42.4" customHeight="1">
      <c r="A48" s="83" t="s">
        <v>183</v>
      </c>
      <c r="B48" s="23" t="s">
        <v>184</v>
      </c>
      <c r="C48" s="24">
        <v>1000</v>
      </c>
      <c r="D48" s="25"/>
      <c r="E48" s="63">
        <v>3</v>
      </c>
      <c r="F48" s="26">
        <f t="shared" si="6"/>
        <v>0</v>
      </c>
      <c r="G48" s="27">
        <f t="shared" si="7"/>
        <v>0</v>
      </c>
      <c r="H48" s="28"/>
      <c r="I48" s="147" t="s">
        <v>185</v>
      </c>
      <c r="J48" s="88" t="s">
        <v>186</v>
      </c>
      <c r="K48" s="89">
        <v>10</v>
      </c>
      <c r="L48" s="89">
        <v>18</v>
      </c>
      <c r="M48" s="90"/>
      <c r="N48" s="87">
        <v>126</v>
      </c>
      <c r="O48" s="91">
        <f t="shared" ref="O48:O67" si="8">M48*N48</f>
        <v>0</v>
      </c>
      <c r="P48" s="104">
        <f>M48*13</f>
        <v>0</v>
      </c>
    </row>
    <row r="49" spans="1:16" customFormat="1" ht="42.4" customHeight="1">
      <c r="A49" s="83" t="s">
        <v>187</v>
      </c>
      <c r="B49" s="23" t="s">
        <v>188</v>
      </c>
      <c r="C49" s="24">
        <v>1000</v>
      </c>
      <c r="D49" s="25"/>
      <c r="E49" s="63">
        <v>3</v>
      </c>
      <c r="F49" s="26">
        <f t="shared" si="6"/>
        <v>0</v>
      </c>
      <c r="G49" s="27">
        <f t="shared" si="7"/>
        <v>0</v>
      </c>
      <c r="H49" s="28"/>
      <c r="I49" s="103" t="s">
        <v>189</v>
      </c>
      <c r="J49" s="88" t="s">
        <v>190</v>
      </c>
      <c r="K49" s="89">
        <v>10</v>
      </c>
      <c r="L49" s="89">
        <v>6</v>
      </c>
      <c r="M49" s="90"/>
      <c r="N49" s="87">
        <v>28</v>
      </c>
      <c r="O49" s="91">
        <f t="shared" si="8"/>
        <v>0</v>
      </c>
      <c r="P49" s="104">
        <f>M49*14</f>
        <v>0</v>
      </c>
    </row>
    <row r="50" spans="1:16" customFormat="1" ht="42.4" customHeight="1">
      <c r="A50" s="83" t="s">
        <v>191</v>
      </c>
      <c r="B50" s="23" t="s">
        <v>192</v>
      </c>
      <c r="C50" s="24">
        <v>1000</v>
      </c>
      <c r="D50" s="25"/>
      <c r="E50" s="63">
        <v>3</v>
      </c>
      <c r="F50" s="26">
        <f t="shared" si="6"/>
        <v>0</v>
      </c>
      <c r="G50" s="27">
        <f t="shared" si="7"/>
        <v>0</v>
      </c>
      <c r="H50" s="28"/>
      <c r="I50" s="103" t="s">
        <v>193</v>
      </c>
      <c r="J50" s="88" t="s">
        <v>194</v>
      </c>
      <c r="K50" s="89">
        <v>100</v>
      </c>
      <c r="L50" s="89">
        <v>1</v>
      </c>
      <c r="M50" s="90"/>
      <c r="N50" s="87">
        <v>39.25</v>
      </c>
      <c r="O50" s="91">
        <f t="shared" si="8"/>
        <v>0</v>
      </c>
      <c r="P50" s="104">
        <f>M55*7</f>
        <v>0</v>
      </c>
    </row>
    <row r="51" spans="1:16" customFormat="1" ht="42.4" customHeight="1">
      <c r="A51" s="83" t="s">
        <v>195</v>
      </c>
      <c r="B51" s="23" t="s">
        <v>196</v>
      </c>
      <c r="C51" s="24">
        <v>1000</v>
      </c>
      <c r="D51" s="25"/>
      <c r="E51" s="63">
        <v>3</v>
      </c>
      <c r="F51" s="26">
        <f t="shared" si="6"/>
        <v>0</v>
      </c>
      <c r="G51" s="27">
        <f t="shared" si="7"/>
        <v>0</v>
      </c>
      <c r="H51" s="28"/>
      <c r="I51" s="103" t="s">
        <v>197</v>
      </c>
      <c r="J51" s="88" t="s">
        <v>198</v>
      </c>
      <c r="K51" s="89">
        <v>30</v>
      </c>
      <c r="L51" s="89">
        <v>4</v>
      </c>
      <c r="M51" s="90"/>
      <c r="N51" s="87">
        <v>40.799999999999997</v>
      </c>
      <c r="O51" s="91">
        <f t="shared" si="8"/>
        <v>0</v>
      </c>
      <c r="P51" s="104">
        <f>M51*11</f>
        <v>0</v>
      </c>
    </row>
    <row r="52" spans="1:16" customFormat="1" ht="42.4" customHeight="1">
      <c r="A52" s="83" t="s">
        <v>199</v>
      </c>
      <c r="B52" s="23" t="s">
        <v>200</v>
      </c>
      <c r="C52" s="24">
        <v>1000</v>
      </c>
      <c r="D52" s="25"/>
      <c r="E52" s="63">
        <v>3</v>
      </c>
      <c r="F52" s="26">
        <f t="shared" si="6"/>
        <v>0</v>
      </c>
      <c r="G52" s="27">
        <f t="shared" si="7"/>
        <v>0</v>
      </c>
      <c r="H52" s="28"/>
      <c r="I52" s="103" t="s">
        <v>201</v>
      </c>
      <c r="J52" s="196" t="s">
        <v>202</v>
      </c>
      <c r="K52" s="89">
        <v>90</v>
      </c>
      <c r="L52" s="89"/>
      <c r="M52" s="90"/>
      <c r="N52" s="87">
        <v>33.75</v>
      </c>
      <c r="O52" s="91">
        <f t="shared" si="8"/>
        <v>0</v>
      </c>
      <c r="P52" s="104">
        <f>M52*11</f>
        <v>0</v>
      </c>
    </row>
    <row r="53" spans="1:16" customFormat="1" ht="42.4" customHeight="1">
      <c r="A53" s="83" t="s">
        <v>203</v>
      </c>
      <c r="B53" s="23" t="s">
        <v>204</v>
      </c>
      <c r="C53" s="24">
        <v>500</v>
      </c>
      <c r="D53" s="25"/>
      <c r="E53" s="63">
        <v>5</v>
      </c>
      <c r="F53" s="26">
        <f t="shared" si="6"/>
        <v>0</v>
      </c>
      <c r="G53" s="27">
        <f>D53*0.16</f>
        <v>0</v>
      </c>
      <c r="H53" s="28"/>
      <c r="I53" s="103" t="s">
        <v>205</v>
      </c>
      <c r="J53" s="88" t="s">
        <v>206</v>
      </c>
      <c r="K53" s="89">
        <v>3</v>
      </c>
      <c r="L53" s="89">
        <v>24</v>
      </c>
      <c r="M53" s="90"/>
      <c r="N53" s="87">
        <v>25.21</v>
      </c>
      <c r="O53" s="91">
        <f t="shared" si="8"/>
        <v>0</v>
      </c>
      <c r="P53" s="104">
        <f>M53*11</f>
        <v>0</v>
      </c>
    </row>
    <row r="54" spans="1:16" customFormat="1" ht="42.4" customHeight="1">
      <c r="A54" s="83" t="s">
        <v>207</v>
      </c>
      <c r="B54" s="23" t="s">
        <v>208</v>
      </c>
      <c r="C54" s="24">
        <v>500</v>
      </c>
      <c r="D54" s="25"/>
      <c r="E54" s="63">
        <v>5</v>
      </c>
      <c r="F54" s="26">
        <f t="shared" si="6"/>
        <v>0</v>
      </c>
      <c r="G54" s="27">
        <f>D54*0.16</f>
        <v>0</v>
      </c>
      <c r="H54" s="28"/>
      <c r="I54" s="103" t="s">
        <v>209</v>
      </c>
      <c r="J54" s="88" t="s">
        <v>210</v>
      </c>
      <c r="K54" s="89">
        <v>10</v>
      </c>
      <c r="L54" s="89">
        <v>24</v>
      </c>
      <c r="M54" s="90"/>
      <c r="N54" s="87">
        <v>38.5</v>
      </c>
      <c r="O54" s="91">
        <f t="shared" si="8"/>
        <v>0</v>
      </c>
      <c r="P54" s="104">
        <f>M54*11</f>
        <v>0</v>
      </c>
    </row>
    <row r="55" spans="1:16" customFormat="1" ht="42.4" customHeight="1">
      <c r="A55" s="83" t="s">
        <v>211</v>
      </c>
      <c r="B55" s="23" t="s">
        <v>212</v>
      </c>
      <c r="C55" s="24">
        <v>1000</v>
      </c>
      <c r="D55" s="25"/>
      <c r="E55" s="63">
        <v>3</v>
      </c>
      <c r="F55" s="26">
        <f t="shared" si="6"/>
        <v>0</v>
      </c>
      <c r="G55" s="27">
        <f>D55*0.07</f>
        <v>0</v>
      </c>
      <c r="H55" s="28"/>
      <c r="I55" s="103" t="s">
        <v>213</v>
      </c>
      <c r="J55" s="88" t="s">
        <v>214</v>
      </c>
      <c r="K55" s="89">
        <v>50</v>
      </c>
      <c r="L55" s="89">
        <v>10</v>
      </c>
      <c r="M55" s="90"/>
      <c r="N55" s="87">
        <v>49.38</v>
      </c>
      <c r="O55" s="91">
        <f t="shared" si="8"/>
        <v>0</v>
      </c>
      <c r="P55" s="104">
        <f>M55*4</f>
        <v>0</v>
      </c>
    </row>
    <row r="56" spans="1:16" customFormat="1" ht="42.4" customHeight="1">
      <c r="A56" s="83" t="s">
        <v>215</v>
      </c>
      <c r="B56" s="94" t="s">
        <v>216</v>
      </c>
      <c r="C56" s="24">
        <v>500</v>
      </c>
      <c r="D56" s="25"/>
      <c r="E56" s="63">
        <v>5</v>
      </c>
      <c r="F56" s="26">
        <f t="shared" si="6"/>
        <v>0</v>
      </c>
      <c r="G56" s="27">
        <f>D56*0.16</f>
        <v>0</v>
      </c>
      <c r="H56" s="28"/>
      <c r="I56" s="103" t="s">
        <v>217</v>
      </c>
      <c r="J56" s="197" t="s">
        <v>218</v>
      </c>
      <c r="K56" s="89">
        <v>90</v>
      </c>
      <c r="L56" s="89">
        <v>6</v>
      </c>
      <c r="M56" s="90"/>
      <c r="N56" s="87">
        <v>22.49</v>
      </c>
      <c r="O56" s="91">
        <f t="shared" si="8"/>
        <v>0</v>
      </c>
      <c r="P56" s="104">
        <f>M56*4</f>
        <v>0</v>
      </c>
    </row>
    <row r="57" spans="1:16" customFormat="1" ht="42.4" customHeight="1">
      <c r="A57" s="83" t="s">
        <v>219</v>
      </c>
      <c r="B57" s="23" t="s">
        <v>220</v>
      </c>
      <c r="C57" s="24">
        <v>1000</v>
      </c>
      <c r="D57" s="25"/>
      <c r="E57" s="63">
        <v>3</v>
      </c>
      <c r="F57" s="26">
        <f t="shared" si="6"/>
        <v>0</v>
      </c>
      <c r="G57" s="27">
        <f>D57*0.07</f>
        <v>0</v>
      </c>
      <c r="H57" s="28"/>
      <c r="I57" s="103" t="s">
        <v>221</v>
      </c>
      <c r="J57" s="197" t="s">
        <v>222</v>
      </c>
      <c r="K57" s="89">
        <v>1</v>
      </c>
      <c r="L57" s="89">
        <v>40</v>
      </c>
      <c r="M57" s="90"/>
      <c r="N57" s="87">
        <v>15</v>
      </c>
      <c r="O57" s="91">
        <f t="shared" si="8"/>
        <v>0</v>
      </c>
      <c r="P57" s="104">
        <f>M57*4</f>
        <v>0</v>
      </c>
    </row>
    <row r="58" spans="1:16" customFormat="1" ht="42.4" customHeight="1">
      <c r="A58" s="83" t="s">
        <v>223</v>
      </c>
      <c r="B58" s="23" t="s">
        <v>224</v>
      </c>
      <c r="C58" s="24">
        <v>500</v>
      </c>
      <c r="D58" s="25"/>
      <c r="E58" s="63">
        <v>5</v>
      </c>
      <c r="F58" s="26">
        <f t="shared" si="6"/>
        <v>0</v>
      </c>
      <c r="G58" s="27">
        <f t="shared" ref="G58:G96" si="9">D58*0.16</f>
        <v>0</v>
      </c>
      <c r="H58" s="28"/>
      <c r="I58" s="147" t="s">
        <v>225</v>
      </c>
      <c r="J58" s="135" t="s">
        <v>226</v>
      </c>
      <c r="K58" s="137">
        <v>25</v>
      </c>
      <c r="L58" s="137">
        <v>8</v>
      </c>
      <c r="M58" s="90"/>
      <c r="N58" s="87">
        <v>23.9</v>
      </c>
      <c r="O58" s="138">
        <f t="shared" si="8"/>
        <v>0</v>
      </c>
      <c r="P58" s="148">
        <f>M58*8</f>
        <v>0</v>
      </c>
    </row>
    <row r="59" spans="1:16" customFormat="1" ht="42.4" customHeight="1">
      <c r="A59" s="83" t="s">
        <v>227</v>
      </c>
      <c r="B59" s="23" t="s">
        <v>228</v>
      </c>
      <c r="C59" s="24">
        <v>1000</v>
      </c>
      <c r="D59" s="25"/>
      <c r="E59" s="63">
        <v>6</v>
      </c>
      <c r="F59" s="26">
        <f t="shared" si="6"/>
        <v>0</v>
      </c>
      <c r="G59" s="27">
        <f t="shared" si="9"/>
        <v>0</v>
      </c>
      <c r="H59" s="28"/>
      <c r="I59" s="147" t="s">
        <v>229</v>
      </c>
      <c r="J59" s="88" t="s">
        <v>230</v>
      </c>
      <c r="K59" s="89">
        <v>1</v>
      </c>
      <c r="L59" s="89">
        <v>20</v>
      </c>
      <c r="M59" s="90"/>
      <c r="N59" s="87">
        <v>70.05</v>
      </c>
      <c r="O59" s="91">
        <f t="shared" si="8"/>
        <v>0</v>
      </c>
      <c r="P59" s="104">
        <f>M59*11.9</f>
        <v>0</v>
      </c>
    </row>
    <row r="60" spans="1:16" customFormat="1" ht="42.4" customHeight="1">
      <c r="A60" s="83" t="s">
        <v>231</v>
      </c>
      <c r="B60" s="23" t="s">
        <v>232</v>
      </c>
      <c r="C60" s="24">
        <v>500</v>
      </c>
      <c r="D60" s="25"/>
      <c r="E60" s="63">
        <v>5</v>
      </c>
      <c r="F60" s="26">
        <f t="shared" si="6"/>
        <v>0</v>
      </c>
      <c r="G60" s="27">
        <f t="shared" si="9"/>
        <v>0</v>
      </c>
      <c r="H60" s="28"/>
      <c r="I60" s="103" t="s">
        <v>233</v>
      </c>
      <c r="J60" s="86" t="s">
        <v>234</v>
      </c>
      <c r="K60" s="89">
        <v>80</v>
      </c>
      <c r="L60" s="89">
        <v>20</v>
      </c>
      <c r="M60" s="90"/>
      <c r="N60" s="87">
        <v>53.5</v>
      </c>
      <c r="O60" s="91">
        <f t="shared" si="8"/>
        <v>0</v>
      </c>
      <c r="P60" s="104">
        <f t="shared" ref="P60:P64" si="10">M60*4</f>
        <v>0</v>
      </c>
    </row>
    <row r="61" spans="1:16" customFormat="1" ht="42.4" customHeight="1">
      <c r="A61" s="83" t="s">
        <v>235</v>
      </c>
      <c r="B61" s="23" t="s">
        <v>236</v>
      </c>
      <c r="C61" s="24">
        <v>500</v>
      </c>
      <c r="D61" s="25"/>
      <c r="E61" s="63">
        <v>5</v>
      </c>
      <c r="F61" s="26">
        <f t="shared" si="6"/>
        <v>0</v>
      </c>
      <c r="G61" s="27">
        <f t="shared" si="9"/>
        <v>0</v>
      </c>
      <c r="H61" s="28"/>
      <c r="I61" s="103" t="s">
        <v>237</v>
      </c>
      <c r="J61" s="86" t="s">
        <v>238</v>
      </c>
      <c r="K61" s="89">
        <v>6</v>
      </c>
      <c r="L61" s="134">
        <v>8</v>
      </c>
      <c r="M61" s="90"/>
      <c r="N61" s="87">
        <v>16.37</v>
      </c>
      <c r="O61" s="91">
        <f t="shared" si="8"/>
        <v>0</v>
      </c>
      <c r="P61" s="104">
        <f t="shared" si="10"/>
        <v>0</v>
      </c>
    </row>
    <row r="62" spans="1:16" customFormat="1" ht="42.4" customHeight="1">
      <c r="A62" s="83" t="s">
        <v>239</v>
      </c>
      <c r="B62" s="23" t="s">
        <v>240</v>
      </c>
      <c r="C62" s="24">
        <v>500</v>
      </c>
      <c r="D62" s="25"/>
      <c r="E62" s="63">
        <v>5</v>
      </c>
      <c r="F62" s="26">
        <f t="shared" si="6"/>
        <v>0</v>
      </c>
      <c r="G62" s="27">
        <f t="shared" si="9"/>
        <v>0</v>
      </c>
      <c r="H62" s="28"/>
      <c r="I62" s="103" t="s">
        <v>241</v>
      </c>
      <c r="J62" s="86" t="s">
        <v>242</v>
      </c>
      <c r="K62" s="89"/>
      <c r="L62" s="134">
        <v>4</v>
      </c>
      <c r="M62" s="90"/>
      <c r="N62" s="87">
        <v>19.37</v>
      </c>
      <c r="O62" s="91">
        <f>M62*N62</f>
        <v>0</v>
      </c>
      <c r="P62" s="104">
        <f t="shared" si="10"/>
        <v>0</v>
      </c>
    </row>
    <row r="63" spans="1:16" customFormat="1" ht="42.4" customHeight="1">
      <c r="A63" s="83" t="s">
        <v>243</v>
      </c>
      <c r="B63" s="23" t="s">
        <v>244</v>
      </c>
      <c r="C63" s="24">
        <v>500</v>
      </c>
      <c r="D63" s="25"/>
      <c r="E63" s="63">
        <v>5</v>
      </c>
      <c r="F63" s="26">
        <f t="shared" si="6"/>
        <v>0</v>
      </c>
      <c r="G63" s="27">
        <f t="shared" si="9"/>
        <v>0</v>
      </c>
      <c r="H63" s="28"/>
      <c r="I63" s="103" t="s">
        <v>245</v>
      </c>
      <c r="J63" s="86" t="s">
        <v>246</v>
      </c>
      <c r="K63" s="89">
        <v>30</v>
      </c>
      <c r="L63" s="89">
        <v>1</v>
      </c>
      <c r="M63" s="90"/>
      <c r="N63" s="87">
        <v>37.74</v>
      </c>
      <c r="O63" s="91">
        <f t="shared" si="8"/>
        <v>0</v>
      </c>
      <c r="P63" s="104">
        <f t="shared" si="10"/>
        <v>0</v>
      </c>
    </row>
    <row r="64" spans="1:16" customFormat="1" ht="42.4" customHeight="1">
      <c r="A64" s="83" t="s">
        <v>247</v>
      </c>
      <c r="B64" s="23" t="s">
        <v>248</v>
      </c>
      <c r="C64" s="24">
        <v>500</v>
      </c>
      <c r="D64" s="25"/>
      <c r="E64" s="63">
        <v>5</v>
      </c>
      <c r="F64" s="26">
        <f t="shared" si="6"/>
        <v>0</v>
      </c>
      <c r="G64" s="27">
        <f t="shared" si="9"/>
        <v>0</v>
      </c>
      <c r="H64" s="28"/>
      <c r="I64" s="103" t="s">
        <v>249</v>
      </c>
      <c r="J64" s="88" t="s">
        <v>250</v>
      </c>
      <c r="K64" s="89">
        <v>20</v>
      </c>
      <c r="L64" s="89">
        <v>20</v>
      </c>
      <c r="M64" s="90"/>
      <c r="N64" s="87">
        <v>158.66999999999999</v>
      </c>
      <c r="O64" s="91">
        <f t="shared" si="8"/>
        <v>0</v>
      </c>
      <c r="P64" s="104">
        <f t="shared" si="10"/>
        <v>0</v>
      </c>
    </row>
    <row r="65" spans="1:16" customFormat="1" ht="42.4" customHeight="1">
      <c r="A65" s="83" t="s">
        <v>251</v>
      </c>
      <c r="B65" s="23" t="s">
        <v>252</v>
      </c>
      <c r="C65" s="24">
        <v>500</v>
      </c>
      <c r="D65" s="25"/>
      <c r="E65" s="63">
        <v>5</v>
      </c>
      <c r="F65" s="26">
        <f t="shared" si="6"/>
        <v>0</v>
      </c>
      <c r="G65" s="27">
        <f t="shared" si="9"/>
        <v>0</v>
      </c>
      <c r="H65" s="28"/>
      <c r="I65" s="147" t="s">
        <v>253</v>
      </c>
      <c r="J65" s="88" t="s">
        <v>254</v>
      </c>
      <c r="K65" s="137">
        <v>60</v>
      </c>
      <c r="L65" s="137">
        <v>1</v>
      </c>
      <c r="M65" s="90"/>
      <c r="N65" s="87">
        <v>34.32</v>
      </c>
      <c r="O65" s="91">
        <f t="shared" si="8"/>
        <v>0</v>
      </c>
      <c r="P65" s="104">
        <f>M65*4.7</f>
        <v>0</v>
      </c>
    </row>
    <row r="66" spans="1:16" customFormat="1" ht="42.4" customHeight="1">
      <c r="A66" s="83" t="s">
        <v>255</v>
      </c>
      <c r="B66" s="23" t="s">
        <v>256</v>
      </c>
      <c r="C66" s="24">
        <v>500</v>
      </c>
      <c r="D66" s="25"/>
      <c r="E66" s="63">
        <v>5</v>
      </c>
      <c r="F66" s="26">
        <f t="shared" si="6"/>
        <v>0</v>
      </c>
      <c r="G66" s="27">
        <f t="shared" si="9"/>
        <v>0</v>
      </c>
      <c r="H66" s="28"/>
      <c r="I66" s="147" t="s">
        <v>257</v>
      </c>
      <c r="J66" s="88" t="s">
        <v>258</v>
      </c>
      <c r="K66" s="137">
        <v>30</v>
      </c>
      <c r="L66" s="89">
        <v>1</v>
      </c>
      <c r="M66" s="90"/>
      <c r="N66" s="87">
        <v>16.05</v>
      </c>
      <c r="O66" s="91">
        <f t="shared" si="8"/>
        <v>0</v>
      </c>
      <c r="P66" s="104">
        <f>M66*7</f>
        <v>0</v>
      </c>
    </row>
    <row r="67" spans="1:16" customFormat="1" ht="42.4" customHeight="1">
      <c r="A67" s="83" t="s">
        <v>259</v>
      </c>
      <c r="B67" s="23" t="s">
        <v>260</v>
      </c>
      <c r="C67" s="24">
        <v>1000</v>
      </c>
      <c r="D67" s="25"/>
      <c r="E67" s="63">
        <v>3</v>
      </c>
      <c r="F67" s="26">
        <f t="shared" si="6"/>
        <v>0</v>
      </c>
      <c r="G67" s="27">
        <f t="shared" si="9"/>
        <v>0</v>
      </c>
      <c r="H67" s="28"/>
      <c r="I67" s="147" t="s">
        <v>261</v>
      </c>
      <c r="J67" s="88" t="s">
        <v>262</v>
      </c>
      <c r="K67" s="137">
        <v>30</v>
      </c>
      <c r="L67" s="89">
        <v>1</v>
      </c>
      <c r="M67" s="90"/>
      <c r="N67" s="87">
        <v>16.05</v>
      </c>
      <c r="O67" s="91">
        <f t="shared" si="8"/>
        <v>0</v>
      </c>
      <c r="P67" s="104">
        <f>M67*7</f>
        <v>0</v>
      </c>
    </row>
    <row r="68" spans="1:16" customFormat="1" ht="42.4" customHeight="1" thickBot="1">
      <c r="A68" s="83" t="s">
        <v>263</v>
      </c>
      <c r="B68" s="23" t="s">
        <v>264</v>
      </c>
      <c r="C68" s="24">
        <v>500</v>
      </c>
      <c r="D68" s="25"/>
      <c r="E68" s="63">
        <v>5</v>
      </c>
      <c r="F68" s="26">
        <f t="shared" si="6"/>
        <v>0</v>
      </c>
      <c r="G68" s="27">
        <f t="shared" si="9"/>
        <v>0</v>
      </c>
      <c r="H68" s="28"/>
      <c r="I68" s="149" t="s">
        <v>265</v>
      </c>
      <c r="J68" s="187" t="s">
        <v>266</v>
      </c>
      <c r="K68" s="150">
        <v>30</v>
      </c>
      <c r="L68" s="151">
        <v>1</v>
      </c>
      <c r="M68" s="152"/>
      <c r="N68" s="153">
        <v>18.72</v>
      </c>
      <c r="O68" s="154">
        <f t="shared" ref="O68" si="11">M68*N68</f>
        <v>0</v>
      </c>
      <c r="P68" s="155">
        <f>M68*7</f>
        <v>0</v>
      </c>
    </row>
    <row r="69" spans="1:16" customFormat="1" ht="42.4" customHeight="1" thickBot="1">
      <c r="A69" s="83" t="s">
        <v>267</v>
      </c>
      <c r="B69" s="23" t="s">
        <v>268</v>
      </c>
      <c r="C69" s="24">
        <v>500</v>
      </c>
      <c r="D69" s="25"/>
      <c r="E69" s="63">
        <v>5</v>
      </c>
      <c r="F69" s="26">
        <f t="shared" si="6"/>
        <v>0</v>
      </c>
      <c r="G69" s="27">
        <f t="shared" si="9"/>
        <v>0</v>
      </c>
      <c r="H69" s="28"/>
      <c r="I69" s="156"/>
      <c r="J69" s="157"/>
      <c r="K69" s="158"/>
      <c r="L69" s="75" t="s">
        <v>269</v>
      </c>
      <c r="M69" s="79">
        <f>SUM(M7:M68)</f>
        <v>0</v>
      </c>
      <c r="N69" s="77"/>
      <c r="O69" s="76">
        <f>SUM(O7:O67)</f>
        <v>0</v>
      </c>
      <c r="P69" s="159">
        <f>SUM(P7:P68)</f>
        <v>0</v>
      </c>
    </row>
    <row r="70" spans="1:16" customFormat="1" ht="34.9" customHeight="1" thickBot="1">
      <c r="A70" s="83" t="s">
        <v>270</v>
      </c>
      <c r="B70" s="23" t="s">
        <v>271</v>
      </c>
      <c r="C70" s="24">
        <v>500</v>
      </c>
      <c r="D70" s="25"/>
      <c r="E70" s="63">
        <v>5</v>
      </c>
      <c r="F70" s="26">
        <f t="shared" si="6"/>
        <v>0</v>
      </c>
      <c r="G70" s="27">
        <f t="shared" si="9"/>
        <v>0</v>
      </c>
      <c r="H70" s="28"/>
      <c r="I70" s="221" t="s">
        <v>272</v>
      </c>
      <c r="J70" s="221"/>
      <c r="K70" s="221"/>
      <c r="L70" s="221"/>
      <c r="M70" s="221"/>
      <c r="N70" s="221"/>
      <c r="O70" s="221"/>
      <c r="P70" s="221"/>
    </row>
    <row r="71" spans="1:16" customFormat="1" ht="28.9" customHeight="1" thickBot="1">
      <c r="A71" s="83" t="s">
        <v>273</v>
      </c>
      <c r="B71" s="36" t="s">
        <v>274</v>
      </c>
      <c r="C71" s="24">
        <v>500</v>
      </c>
      <c r="D71" s="25"/>
      <c r="E71" s="63">
        <v>5</v>
      </c>
      <c r="F71" s="26">
        <f t="shared" si="6"/>
        <v>0</v>
      </c>
      <c r="G71" s="27">
        <f t="shared" si="9"/>
        <v>0</v>
      </c>
      <c r="H71" s="28"/>
      <c r="I71" s="16" t="s">
        <v>7</v>
      </c>
      <c r="J71" s="17" t="s">
        <v>14</v>
      </c>
      <c r="K71" s="18" t="s">
        <v>275</v>
      </c>
      <c r="L71" s="18" t="s">
        <v>16</v>
      </c>
      <c r="M71" s="18" t="s">
        <v>17</v>
      </c>
      <c r="N71" s="19" t="s">
        <v>276</v>
      </c>
      <c r="O71" s="41" t="s">
        <v>12</v>
      </c>
      <c r="P71" s="21" t="s">
        <v>13</v>
      </c>
    </row>
    <row r="72" spans="1:16" customFormat="1" ht="28.15" customHeight="1">
      <c r="A72" s="83" t="s">
        <v>277</v>
      </c>
      <c r="B72" s="23" t="s">
        <v>278</v>
      </c>
      <c r="C72" s="24">
        <v>500</v>
      </c>
      <c r="D72" s="25"/>
      <c r="E72" s="63">
        <v>5</v>
      </c>
      <c r="F72" s="26">
        <f t="shared" si="6"/>
        <v>0</v>
      </c>
      <c r="G72" s="27">
        <f t="shared" si="9"/>
        <v>0</v>
      </c>
      <c r="H72" s="28"/>
      <c r="I72" s="97" t="s">
        <v>279</v>
      </c>
      <c r="J72" s="98" t="s">
        <v>280</v>
      </c>
      <c r="K72" s="99">
        <v>90</v>
      </c>
      <c r="L72" s="99">
        <v>1</v>
      </c>
      <c r="M72" s="114"/>
      <c r="N72" s="115">
        <v>9.5299999999999994</v>
      </c>
      <c r="O72" s="116">
        <f t="shared" ref="O72:O103" si="12">SUM(M72*N72)</f>
        <v>0</v>
      </c>
      <c r="P72" s="117">
        <f>M72*5.24</f>
        <v>0</v>
      </c>
    </row>
    <row r="73" spans="1:16" customFormat="1" ht="28.9" customHeight="1">
      <c r="A73" s="83" t="s">
        <v>281</v>
      </c>
      <c r="B73" s="23" t="s">
        <v>282</v>
      </c>
      <c r="C73" s="24">
        <v>500</v>
      </c>
      <c r="D73" s="25"/>
      <c r="E73" s="63">
        <v>5</v>
      </c>
      <c r="F73" s="26">
        <f t="shared" si="6"/>
        <v>0</v>
      </c>
      <c r="G73" s="27">
        <f t="shared" si="9"/>
        <v>0</v>
      </c>
      <c r="H73" s="28"/>
      <c r="I73" s="100" t="s">
        <v>283</v>
      </c>
      <c r="J73" s="23" t="s">
        <v>284</v>
      </c>
      <c r="K73" s="24">
        <v>8</v>
      </c>
      <c r="L73" s="24">
        <v>50</v>
      </c>
      <c r="M73" s="29"/>
      <c r="N73" s="65">
        <v>70</v>
      </c>
      <c r="O73" s="43">
        <f t="shared" si="12"/>
        <v>0</v>
      </c>
      <c r="P73" s="118">
        <f>M73*11.2</f>
        <v>0</v>
      </c>
    </row>
    <row r="74" spans="1:16" customFormat="1" ht="25.9" customHeight="1">
      <c r="A74" s="83" t="s">
        <v>285</v>
      </c>
      <c r="B74" s="23" t="s">
        <v>286</v>
      </c>
      <c r="C74" s="24">
        <v>500</v>
      </c>
      <c r="D74" s="25"/>
      <c r="E74" s="63">
        <v>5</v>
      </c>
      <c r="F74" s="26">
        <f t="shared" si="6"/>
        <v>0</v>
      </c>
      <c r="G74" s="27">
        <f t="shared" si="9"/>
        <v>0</v>
      </c>
      <c r="H74" s="28"/>
      <c r="I74" s="100" t="s">
        <v>287</v>
      </c>
      <c r="J74" s="23" t="s">
        <v>288</v>
      </c>
      <c r="K74" s="24">
        <v>40</v>
      </c>
      <c r="L74" s="24">
        <v>10</v>
      </c>
      <c r="M74" s="29"/>
      <c r="N74" s="65">
        <v>75</v>
      </c>
      <c r="O74" s="43">
        <f t="shared" si="12"/>
        <v>0</v>
      </c>
      <c r="P74" s="118">
        <f>M74*8.5</f>
        <v>0</v>
      </c>
    </row>
    <row r="75" spans="1:16" customFormat="1">
      <c r="A75" s="83" t="s">
        <v>289</v>
      </c>
      <c r="B75" s="23" t="s">
        <v>290</v>
      </c>
      <c r="C75" s="24">
        <v>2000</v>
      </c>
      <c r="D75" s="25"/>
      <c r="E75" s="63">
        <v>10</v>
      </c>
      <c r="F75" s="26">
        <f t="shared" si="6"/>
        <v>0</v>
      </c>
      <c r="G75" s="27">
        <f t="shared" si="9"/>
        <v>0</v>
      </c>
      <c r="H75" s="28"/>
      <c r="I75" s="100" t="s">
        <v>291</v>
      </c>
      <c r="J75" s="23" t="s">
        <v>292</v>
      </c>
      <c r="K75" s="24">
        <v>18</v>
      </c>
      <c r="L75" s="24">
        <v>25</v>
      </c>
      <c r="M75" s="29"/>
      <c r="N75" s="65">
        <v>68</v>
      </c>
      <c r="O75" s="43">
        <f t="shared" si="12"/>
        <v>0</v>
      </c>
      <c r="P75" s="118">
        <f>M75*11.2</f>
        <v>0</v>
      </c>
    </row>
    <row r="76" spans="1:16" customFormat="1">
      <c r="A76" s="83" t="s">
        <v>293</v>
      </c>
      <c r="B76" s="23" t="s">
        <v>294</v>
      </c>
      <c r="C76" s="24">
        <v>500</v>
      </c>
      <c r="D76" s="25"/>
      <c r="E76" s="63">
        <v>10</v>
      </c>
      <c r="F76" s="26">
        <f t="shared" ref="F76:F123" si="13">SUM(D76*E76)</f>
        <v>0</v>
      </c>
      <c r="G76" s="27">
        <f t="shared" si="9"/>
        <v>0</v>
      </c>
      <c r="H76" s="28"/>
      <c r="I76" s="100" t="s">
        <v>295</v>
      </c>
      <c r="J76" s="23" t="s">
        <v>296</v>
      </c>
      <c r="K76" s="24">
        <v>9</v>
      </c>
      <c r="L76" s="24">
        <v>50</v>
      </c>
      <c r="M76" s="29"/>
      <c r="N76" s="65">
        <v>92</v>
      </c>
      <c r="O76" s="43">
        <f t="shared" si="12"/>
        <v>0</v>
      </c>
      <c r="P76" s="118">
        <f>M76*9.54</f>
        <v>0</v>
      </c>
    </row>
    <row r="77" spans="1:16" customFormat="1">
      <c r="A77" s="83" t="s">
        <v>297</v>
      </c>
      <c r="B77" s="23" t="s">
        <v>298</v>
      </c>
      <c r="C77" s="24">
        <v>500</v>
      </c>
      <c r="D77" s="25"/>
      <c r="E77" s="63">
        <v>5.7</v>
      </c>
      <c r="F77" s="26">
        <f t="shared" si="13"/>
        <v>0</v>
      </c>
      <c r="G77" s="27">
        <f t="shared" si="9"/>
        <v>0</v>
      </c>
      <c r="H77" s="28"/>
      <c r="I77" s="100" t="s">
        <v>299</v>
      </c>
      <c r="J77" s="23" t="s">
        <v>300</v>
      </c>
      <c r="K77" s="24">
        <v>9</v>
      </c>
      <c r="L77" s="24">
        <v>50</v>
      </c>
      <c r="M77" s="29"/>
      <c r="N77" s="65">
        <v>70</v>
      </c>
      <c r="O77" s="43">
        <f t="shared" si="12"/>
        <v>0</v>
      </c>
      <c r="P77" s="118">
        <f>M77*2.91</f>
        <v>0</v>
      </c>
    </row>
    <row r="78" spans="1:16" customFormat="1">
      <c r="A78" s="83" t="s">
        <v>301</v>
      </c>
      <c r="B78" s="23" t="s">
        <v>302</v>
      </c>
      <c r="C78" s="24">
        <v>500</v>
      </c>
      <c r="D78" s="25"/>
      <c r="E78" s="63">
        <v>5.7</v>
      </c>
      <c r="F78" s="26">
        <f t="shared" si="13"/>
        <v>0</v>
      </c>
      <c r="G78" s="27">
        <f t="shared" si="9"/>
        <v>0</v>
      </c>
      <c r="H78" s="28"/>
      <c r="I78" s="100" t="s">
        <v>303</v>
      </c>
      <c r="J78" s="23" t="s">
        <v>304</v>
      </c>
      <c r="K78" s="24">
        <v>40</v>
      </c>
      <c r="L78" s="24">
        <v>1</v>
      </c>
      <c r="M78" s="29"/>
      <c r="N78" s="65">
        <v>10.39</v>
      </c>
      <c r="O78" s="43">
        <f t="shared" si="12"/>
        <v>0</v>
      </c>
      <c r="P78" s="118">
        <f>M78*1.13</f>
        <v>0</v>
      </c>
    </row>
    <row r="79" spans="1:16" customFormat="1">
      <c r="A79" s="83" t="s">
        <v>305</v>
      </c>
      <c r="B79" s="23" t="s">
        <v>306</v>
      </c>
      <c r="C79" s="24">
        <v>500</v>
      </c>
      <c r="D79" s="25"/>
      <c r="E79" s="63">
        <v>5.7</v>
      </c>
      <c r="F79" s="26">
        <f t="shared" si="13"/>
        <v>0</v>
      </c>
      <c r="G79" s="27">
        <f t="shared" si="9"/>
        <v>0</v>
      </c>
      <c r="H79" s="28"/>
      <c r="I79" s="119" t="s">
        <v>307</v>
      </c>
      <c r="J79" s="80" t="s">
        <v>308</v>
      </c>
      <c r="K79" s="81">
        <v>50</v>
      </c>
      <c r="L79" s="81">
        <v>1</v>
      </c>
      <c r="M79" s="29"/>
      <c r="N79" s="82">
        <v>28.75</v>
      </c>
      <c r="O79" s="82">
        <f t="shared" si="12"/>
        <v>0</v>
      </c>
      <c r="P79" s="120">
        <f>M79*1.13</f>
        <v>0</v>
      </c>
    </row>
    <row r="80" spans="1:16" customFormat="1">
      <c r="A80" s="83" t="s">
        <v>309</v>
      </c>
      <c r="B80" s="23" t="s">
        <v>310</v>
      </c>
      <c r="C80" s="24">
        <v>500</v>
      </c>
      <c r="D80" s="25"/>
      <c r="E80" s="63">
        <v>5</v>
      </c>
      <c r="F80" s="26">
        <f t="shared" si="13"/>
        <v>0</v>
      </c>
      <c r="G80" s="27">
        <f t="shared" si="9"/>
        <v>0</v>
      </c>
      <c r="H80" s="28"/>
      <c r="I80" s="100" t="s">
        <v>311</v>
      </c>
      <c r="J80" s="23" t="s">
        <v>312</v>
      </c>
      <c r="K80" s="24">
        <v>100</v>
      </c>
      <c r="L80" s="24">
        <v>1</v>
      </c>
      <c r="M80" s="29"/>
      <c r="N80" s="65">
        <v>8.5</v>
      </c>
      <c r="O80" s="43">
        <f t="shared" si="12"/>
        <v>0</v>
      </c>
      <c r="P80" s="118">
        <f>M80*1.38</f>
        <v>0</v>
      </c>
    </row>
    <row r="81" spans="1:17">
      <c r="A81" s="83" t="s">
        <v>313</v>
      </c>
      <c r="B81" s="23" t="s">
        <v>314</v>
      </c>
      <c r="C81" s="24">
        <v>500</v>
      </c>
      <c r="D81" s="25"/>
      <c r="E81" s="63">
        <v>5</v>
      </c>
      <c r="F81" s="26">
        <f t="shared" si="13"/>
        <v>0</v>
      </c>
      <c r="G81" s="27">
        <f t="shared" si="9"/>
        <v>0</v>
      </c>
      <c r="H81" s="28"/>
      <c r="I81" s="100" t="s">
        <v>315</v>
      </c>
      <c r="J81" s="23" t="s">
        <v>316</v>
      </c>
      <c r="K81" s="24">
        <v>100</v>
      </c>
      <c r="L81" s="24">
        <v>1</v>
      </c>
      <c r="M81" s="29"/>
      <c r="N81" s="65">
        <v>8.52</v>
      </c>
      <c r="O81" s="43">
        <f t="shared" si="12"/>
        <v>0</v>
      </c>
      <c r="P81" s="118">
        <f t="shared" ref="P81:P86" si="14">M81*1.34</f>
        <v>0</v>
      </c>
      <c r="Q81"/>
    </row>
    <row r="82" spans="1:17" ht="25.15" customHeight="1">
      <c r="A82" s="83" t="s">
        <v>317</v>
      </c>
      <c r="B82" s="23" t="s">
        <v>318</v>
      </c>
      <c r="C82" s="24">
        <v>500</v>
      </c>
      <c r="D82" s="25"/>
      <c r="E82" s="63">
        <v>5</v>
      </c>
      <c r="F82" s="26">
        <f t="shared" si="13"/>
        <v>0</v>
      </c>
      <c r="G82" s="27">
        <f t="shared" si="9"/>
        <v>0</v>
      </c>
      <c r="H82" s="28"/>
      <c r="I82" s="100" t="s">
        <v>319</v>
      </c>
      <c r="J82" s="94" t="s">
        <v>320</v>
      </c>
      <c r="K82" s="24">
        <v>100</v>
      </c>
      <c r="L82" s="24">
        <v>1</v>
      </c>
      <c r="M82" s="29"/>
      <c r="N82" s="65">
        <v>11.5</v>
      </c>
      <c r="O82" s="43">
        <f t="shared" si="12"/>
        <v>0</v>
      </c>
      <c r="P82" s="118">
        <f t="shared" si="14"/>
        <v>0</v>
      </c>
      <c r="Q82"/>
    </row>
    <row r="83" spans="1:17">
      <c r="A83" s="83" t="s">
        <v>321</v>
      </c>
      <c r="B83" s="23" t="s">
        <v>322</v>
      </c>
      <c r="C83" s="24">
        <v>500</v>
      </c>
      <c r="D83" s="25"/>
      <c r="E83" s="63">
        <v>5</v>
      </c>
      <c r="F83" s="26">
        <f t="shared" si="13"/>
        <v>0</v>
      </c>
      <c r="G83" s="27">
        <f t="shared" si="9"/>
        <v>0</v>
      </c>
      <c r="H83" s="28"/>
      <c r="I83" s="100" t="s">
        <v>323</v>
      </c>
      <c r="J83" s="23" t="s">
        <v>324</v>
      </c>
      <c r="K83" s="24">
        <v>100</v>
      </c>
      <c r="L83" s="24">
        <v>1</v>
      </c>
      <c r="M83" s="29"/>
      <c r="N83" s="65">
        <v>8.25</v>
      </c>
      <c r="O83" s="43">
        <f t="shared" si="12"/>
        <v>0</v>
      </c>
      <c r="P83" s="118">
        <f t="shared" si="14"/>
        <v>0</v>
      </c>
      <c r="Q83"/>
    </row>
    <row r="84" spans="1:17" ht="25.9" customHeight="1">
      <c r="A84" s="83" t="s">
        <v>325</v>
      </c>
      <c r="B84" s="23" t="s">
        <v>326</v>
      </c>
      <c r="C84" s="24">
        <v>500</v>
      </c>
      <c r="D84" s="25"/>
      <c r="E84" s="63">
        <v>5</v>
      </c>
      <c r="F84" s="26">
        <f t="shared" si="13"/>
        <v>0</v>
      </c>
      <c r="G84" s="27">
        <f t="shared" si="9"/>
        <v>0</v>
      </c>
      <c r="H84" s="28"/>
      <c r="I84" s="100" t="s">
        <v>327</v>
      </c>
      <c r="J84" s="62" t="s">
        <v>328</v>
      </c>
      <c r="K84" s="24">
        <v>70</v>
      </c>
      <c r="L84" s="24">
        <v>1</v>
      </c>
      <c r="M84" s="29"/>
      <c r="N84" s="65">
        <v>6.67</v>
      </c>
      <c r="O84" s="43">
        <f t="shared" si="12"/>
        <v>0</v>
      </c>
      <c r="P84" s="118">
        <f t="shared" si="14"/>
        <v>0</v>
      </c>
      <c r="Q84"/>
    </row>
    <row r="85" spans="1:17" ht="37.9" customHeight="1">
      <c r="A85" s="83" t="s">
        <v>329</v>
      </c>
      <c r="B85" s="23" t="s">
        <v>330</v>
      </c>
      <c r="C85" s="24">
        <v>500</v>
      </c>
      <c r="D85" s="25"/>
      <c r="E85" s="63">
        <v>5</v>
      </c>
      <c r="F85" s="26">
        <f t="shared" si="13"/>
        <v>0</v>
      </c>
      <c r="G85" s="27">
        <f t="shared" si="9"/>
        <v>0</v>
      </c>
      <c r="H85" s="28"/>
      <c r="I85" s="100" t="s">
        <v>331</v>
      </c>
      <c r="J85" s="23" t="s">
        <v>332</v>
      </c>
      <c r="K85" s="24">
        <v>100</v>
      </c>
      <c r="L85" s="24">
        <v>1</v>
      </c>
      <c r="M85" s="29"/>
      <c r="N85" s="65">
        <v>6.18</v>
      </c>
      <c r="O85" s="43">
        <f t="shared" si="12"/>
        <v>0</v>
      </c>
      <c r="P85" s="118">
        <f t="shared" si="14"/>
        <v>0</v>
      </c>
      <c r="Q85"/>
    </row>
    <row r="86" spans="1:17" ht="37.9" customHeight="1">
      <c r="A86" s="83" t="s">
        <v>333</v>
      </c>
      <c r="B86" s="23" t="s">
        <v>334</v>
      </c>
      <c r="C86" s="24">
        <v>500</v>
      </c>
      <c r="D86" s="25"/>
      <c r="E86" s="63">
        <v>5</v>
      </c>
      <c r="F86" s="26">
        <f t="shared" si="13"/>
        <v>0</v>
      </c>
      <c r="G86" s="27">
        <f t="shared" si="9"/>
        <v>0</v>
      </c>
      <c r="H86" s="28"/>
      <c r="I86" s="100" t="s">
        <v>335</v>
      </c>
      <c r="J86" s="188" t="s">
        <v>336</v>
      </c>
      <c r="K86" s="24">
        <v>26</v>
      </c>
      <c r="L86" s="24">
        <v>1</v>
      </c>
      <c r="M86" s="29"/>
      <c r="N86" s="65">
        <v>3.65</v>
      </c>
      <c r="O86" s="43">
        <f t="shared" si="12"/>
        <v>0</v>
      </c>
      <c r="P86" s="118">
        <f t="shared" si="14"/>
        <v>0</v>
      </c>
      <c r="Q86"/>
    </row>
    <row r="87" spans="1:17" ht="37.9" customHeight="1">
      <c r="A87" s="83" t="s">
        <v>337</v>
      </c>
      <c r="B87" s="23" t="s">
        <v>338</v>
      </c>
      <c r="C87" s="24">
        <v>500</v>
      </c>
      <c r="D87" s="25"/>
      <c r="E87" s="63">
        <v>5</v>
      </c>
      <c r="F87" s="26">
        <f t="shared" si="13"/>
        <v>0</v>
      </c>
      <c r="G87" s="27">
        <f t="shared" si="9"/>
        <v>0</v>
      </c>
      <c r="H87" s="28"/>
      <c r="I87" s="100" t="s">
        <v>339</v>
      </c>
      <c r="J87" s="188" t="s">
        <v>340</v>
      </c>
      <c r="K87" s="24">
        <v>33</v>
      </c>
      <c r="L87" s="24">
        <v>1</v>
      </c>
      <c r="M87" s="29"/>
      <c r="N87" s="65">
        <v>12.5</v>
      </c>
      <c r="O87" s="43">
        <f t="shared" si="12"/>
        <v>0</v>
      </c>
      <c r="P87" s="118">
        <f>M87*2.2</f>
        <v>0</v>
      </c>
      <c r="Q87"/>
    </row>
    <row r="88" spans="1:17" ht="37.9" customHeight="1">
      <c r="A88" s="83" t="s">
        <v>341</v>
      </c>
      <c r="B88" s="23" t="s">
        <v>342</v>
      </c>
      <c r="C88" s="24">
        <v>500</v>
      </c>
      <c r="D88" s="25"/>
      <c r="E88" s="63">
        <v>5</v>
      </c>
      <c r="F88" s="26">
        <f t="shared" si="13"/>
        <v>0</v>
      </c>
      <c r="G88" s="27">
        <f t="shared" si="9"/>
        <v>0</v>
      </c>
      <c r="H88" s="28"/>
      <c r="I88" s="100" t="s">
        <v>343</v>
      </c>
      <c r="J88" s="188" t="s">
        <v>344</v>
      </c>
      <c r="K88" s="24">
        <v>33</v>
      </c>
      <c r="L88" s="24">
        <v>1</v>
      </c>
      <c r="M88" s="29"/>
      <c r="N88" s="65">
        <v>12.5</v>
      </c>
      <c r="O88" s="43">
        <f t="shared" si="12"/>
        <v>0</v>
      </c>
      <c r="P88" s="118">
        <f>M88*2.2</f>
        <v>0</v>
      </c>
      <c r="Q88"/>
    </row>
    <row r="89" spans="1:17" ht="37.9" customHeight="1">
      <c r="A89" s="83" t="s">
        <v>345</v>
      </c>
      <c r="B89" s="23" t="s">
        <v>346</v>
      </c>
      <c r="C89" s="24">
        <v>500</v>
      </c>
      <c r="D89" s="25"/>
      <c r="E89" s="63">
        <v>5</v>
      </c>
      <c r="F89" s="26">
        <f t="shared" si="13"/>
        <v>0</v>
      </c>
      <c r="G89" s="27">
        <f t="shared" si="9"/>
        <v>0</v>
      </c>
      <c r="H89" s="28"/>
      <c r="I89" s="100" t="s">
        <v>347</v>
      </c>
      <c r="J89" s="23" t="s">
        <v>348</v>
      </c>
      <c r="K89" s="24">
        <v>100</v>
      </c>
      <c r="L89" s="24">
        <v>1</v>
      </c>
      <c r="M89" s="29"/>
      <c r="N89" s="65">
        <v>7.92</v>
      </c>
      <c r="O89" s="43">
        <f t="shared" si="12"/>
        <v>0</v>
      </c>
      <c r="P89" s="118">
        <f t="shared" ref="P89:P93" si="15">M89*2.2</f>
        <v>0</v>
      </c>
      <c r="Q89"/>
    </row>
    <row r="90" spans="1:17" ht="37.9" customHeight="1">
      <c r="A90" s="83" t="s">
        <v>349</v>
      </c>
      <c r="B90" s="23" t="s">
        <v>350</v>
      </c>
      <c r="C90" s="24">
        <v>500</v>
      </c>
      <c r="D90" s="25"/>
      <c r="E90" s="63">
        <v>5</v>
      </c>
      <c r="F90" s="26">
        <f t="shared" si="13"/>
        <v>0</v>
      </c>
      <c r="G90" s="27">
        <f t="shared" si="9"/>
        <v>0</v>
      </c>
      <c r="H90" s="28"/>
      <c r="I90" s="100" t="s">
        <v>351</v>
      </c>
      <c r="J90" s="23" t="s">
        <v>352</v>
      </c>
      <c r="K90" s="24">
        <v>100</v>
      </c>
      <c r="L90" s="24">
        <v>1</v>
      </c>
      <c r="M90" s="29"/>
      <c r="N90" s="65">
        <v>10</v>
      </c>
      <c r="O90" s="43">
        <f t="shared" si="12"/>
        <v>0</v>
      </c>
      <c r="P90" s="118">
        <f t="shared" si="15"/>
        <v>0</v>
      </c>
      <c r="Q90"/>
    </row>
    <row r="91" spans="1:17" ht="37.9" customHeight="1">
      <c r="A91" s="83" t="s">
        <v>353</v>
      </c>
      <c r="B91" s="94" t="s">
        <v>354</v>
      </c>
      <c r="C91" s="24">
        <v>500</v>
      </c>
      <c r="D91" s="25"/>
      <c r="E91" s="63">
        <v>5</v>
      </c>
      <c r="F91" s="26">
        <f t="shared" si="13"/>
        <v>0</v>
      </c>
      <c r="G91" s="27">
        <f t="shared" si="9"/>
        <v>0</v>
      </c>
      <c r="H91" s="28"/>
      <c r="I91" s="100" t="s">
        <v>355</v>
      </c>
      <c r="J91" s="23" t="s">
        <v>356</v>
      </c>
      <c r="K91" s="24">
        <v>100</v>
      </c>
      <c r="L91" s="24">
        <v>1</v>
      </c>
      <c r="M91" s="29"/>
      <c r="N91" s="65">
        <v>8.9499999999999993</v>
      </c>
      <c r="O91" s="43">
        <f t="shared" si="12"/>
        <v>0</v>
      </c>
      <c r="P91" s="118">
        <f t="shared" si="15"/>
        <v>0</v>
      </c>
      <c r="Q91"/>
    </row>
    <row r="92" spans="1:17" ht="37.9" customHeight="1">
      <c r="A92" s="83" t="s">
        <v>357</v>
      </c>
      <c r="B92" s="94" t="s">
        <v>358</v>
      </c>
      <c r="C92" s="24">
        <v>500</v>
      </c>
      <c r="D92" s="25"/>
      <c r="E92" s="63">
        <v>5</v>
      </c>
      <c r="F92" s="26">
        <f t="shared" si="13"/>
        <v>0</v>
      </c>
      <c r="G92" s="27">
        <f t="shared" si="9"/>
        <v>0</v>
      </c>
      <c r="H92" s="28"/>
      <c r="I92" s="100" t="s">
        <v>359</v>
      </c>
      <c r="J92" s="23" t="s">
        <v>360</v>
      </c>
      <c r="K92" s="24">
        <v>50</v>
      </c>
      <c r="L92" s="24">
        <v>1</v>
      </c>
      <c r="M92" s="29"/>
      <c r="N92" s="65">
        <v>10</v>
      </c>
      <c r="O92" s="43">
        <f t="shared" si="12"/>
        <v>0</v>
      </c>
      <c r="P92" s="118">
        <f t="shared" si="15"/>
        <v>0</v>
      </c>
      <c r="Q92"/>
    </row>
    <row r="93" spans="1:17">
      <c r="A93" s="83" t="s">
        <v>361</v>
      </c>
      <c r="B93" s="94" t="s">
        <v>362</v>
      </c>
      <c r="C93" s="24">
        <v>500</v>
      </c>
      <c r="D93" s="25"/>
      <c r="E93" s="63">
        <v>5</v>
      </c>
      <c r="F93" s="26">
        <f t="shared" si="13"/>
        <v>0</v>
      </c>
      <c r="G93" s="27">
        <f t="shared" si="9"/>
        <v>0</v>
      </c>
      <c r="H93" s="28"/>
      <c r="I93" s="100" t="s">
        <v>363</v>
      </c>
      <c r="J93" s="23" t="s">
        <v>364</v>
      </c>
      <c r="K93" s="24">
        <v>50</v>
      </c>
      <c r="L93" s="24">
        <v>1</v>
      </c>
      <c r="M93" s="29"/>
      <c r="N93" s="65">
        <v>10</v>
      </c>
      <c r="O93" s="43">
        <f t="shared" si="12"/>
        <v>0</v>
      </c>
      <c r="P93" s="118">
        <f t="shared" si="15"/>
        <v>0</v>
      </c>
      <c r="Q93" t="s">
        <v>365</v>
      </c>
    </row>
    <row r="94" spans="1:17">
      <c r="A94" s="83" t="s">
        <v>366</v>
      </c>
      <c r="B94" s="94" t="s">
        <v>367</v>
      </c>
      <c r="C94" s="24">
        <v>500</v>
      </c>
      <c r="D94" s="25"/>
      <c r="E94" s="63">
        <v>5</v>
      </c>
      <c r="F94" s="26">
        <f t="shared" si="13"/>
        <v>0</v>
      </c>
      <c r="G94" s="27">
        <f t="shared" si="9"/>
        <v>0</v>
      </c>
      <c r="H94" s="44"/>
      <c r="I94" s="100" t="s">
        <v>368</v>
      </c>
      <c r="J94" s="23" t="s">
        <v>369</v>
      </c>
      <c r="K94" s="24">
        <v>40</v>
      </c>
      <c r="L94" s="24">
        <v>1</v>
      </c>
      <c r="M94" s="29"/>
      <c r="N94" s="65">
        <v>23.28</v>
      </c>
      <c r="O94" s="43">
        <f t="shared" si="12"/>
        <v>0</v>
      </c>
      <c r="P94" s="118">
        <f t="shared" ref="P94:P96" si="16">M94*2</f>
        <v>0</v>
      </c>
      <c r="Q94"/>
    </row>
    <row r="95" spans="1:17">
      <c r="A95" s="83" t="s">
        <v>370</v>
      </c>
      <c r="B95" s="94" t="s">
        <v>371</v>
      </c>
      <c r="C95" s="24">
        <v>500</v>
      </c>
      <c r="D95" s="25"/>
      <c r="E95" s="63">
        <v>5</v>
      </c>
      <c r="F95" s="26">
        <f t="shared" si="13"/>
        <v>0</v>
      </c>
      <c r="G95" s="27">
        <f t="shared" si="9"/>
        <v>0</v>
      </c>
      <c r="H95" s="44"/>
      <c r="I95" s="100" t="s">
        <v>372</v>
      </c>
      <c r="J95" s="23" t="s">
        <v>373</v>
      </c>
      <c r="K95" s="24">
        <v>24</v>
      </c>
      <c r="L95" s="24">
        <v>1</v>
      </c>
      <c r="M95" s="29"/>
      <c r="N95" s="65">
        <v>12</v>
      </c>
      <c r="O95" s="43">
        <f t="shared" si="12"/>
        <v>0</v>
      </c>
      <c r="P95" s="118">
        <f t="shared" si="16"/>
        <v>0</v>
      </c>
      <c r="Q95"/>
    </row>
    <row r="96" spans="1:17">
      <c r="A96" s="83" t="s">
        <v>374</v>
      </c>
      <c r="B96" s="94" t="s">
        <v>375</v>
      </c>
      <c r="C96" s="24">
        <v>500</v>
      </c>
      <c r="D96" s="25"/>
      <c r="E96" s="63">
        <v>5</v>
      </c>
      <c r="F96" s="26">
        <f t="shared" si="13"/>
        <v>0</v>
      </c>
      <c r="G96" s="27">
        <f t="shared" si="9"/>
        <v>0</v>
      </c>
      <c r="H96" s="44"/>
      <c r="I96" s="121" t="s">
        <v>376</v>
      </c>
      <c r="J96" s="23" t="s">
        <v>377</v>
      </c>
      <c r="K96" s="24">
        <v>24</v>
      </c>
      <c r="L96" s="24">
        <v>1</v>
      </c>
      <c r="M96" s="29"/>
      <c r="N96" s="65">
        <v>12</v>
      </c>
      <c r="O96" s="43">
        <f t="shared" si="12"/>
        <v>0</v>
      </c>
      <c r="P96" s="118">
        <f t="shared" si="16"/>
        <v>0</v>
      </c>
      <c r="Q96"/>
    </row>
    <row r="97" spans="1:17">
      <c r="A97" s="83" t="s">
        <v>378</v>
      </c>
      <c r="B97" s="94" t="s">
        <v>379</v>
      </c>
      <c r="C97" s="24">
        <v>500</v>
      </c>
      <c r="D97" s="25"/>
      <c r="E97" s="63">
        <v>5</v>
      </c>
      <c r="F97" s="26">
        <f t="shared" ref="F97:F114" si="17">SUM(D97*E97)</f>
        <v>0</v>
      </c>
      <c r="G97" s="27">
        <f t="shared" ref="G97:G114" si="18">D97*0.16</f>
        <v>0</v>
      </c>
      <c r="H97" s="44"/>
      <c r="I97" s="121" t="s">
        <v>380</v>
      </c>
      <c r="J97" s="23" t="s">
        <v>381</v>
      </c>
      <c r="K97" s="24">
        <v>75</v>
      </c>
      <c r="L97" s="24">
        <v>1</v>
      </c>
      <c r="M97" s="29"/>
      <c r="N97" s="65">
        <v>19.27</v>
      </c>
      <c r="O97" s="43">
        <f t="shared" si="12"/>
        <v>0</v>
      </c>
      <c r="P97" s="118">
        <f>M97*2</f>
        <v>0</v>
      </c>
      <c r="Q97"/>
    </row>
    <row r="98" spans="1:17" ht="22.9" customHeight="1">
      <c r="A98" s="83" t="s">
        <v>382</v>
      </c>
      <c r="B98" s="94" t="s">
        <v>383</v>
      </c>
      <c r="C98" s="24">
        <v>500</v>
      </c>
      <c r="D98" s="25"/>
      <c r="E98" s="63">
        <v>5</v>
      </c>
      <c r="F98" s="26">
        <f t="shared" si="17"/>
        <v>0</v>
      </c>
      <c r="G98" s="27">
        <f t="shared" si="18"/>
        <v>0</v>
      </c>
      <c r="H98" s="44"/>
      <c r="I98" s="121" t="s">
        <v>384</v>
      </c>
      <c r="J98" s="23" t="s">
        <v>385</v>
      </c>
      <c r="K98" s="24">
        <v>75</v>
      </c>
      <c r="L98" s="24">
        <v>1</v>
      </c>
      <c r="M98" s="29"/>
      <c r="N98" s="65">
        <v>18.100000000000001</v>
      </c>
      <c r="O98" s="43">
        <f t="shared" si="12"/>
        <v>0</v>
      </c>
      <c r="P98" s="118">
        <f>M98*2</f>
        <v>0</v>
      </c>
      <c r="Q98"/>
    </row>
    <row r="99" spans="1:17">
      <c r="A99" s="83" t="s">
        <v>386</v>
      </c>
      <c r="B99" s="94" t="s">
        <v>387</v>
      </c>
      <c r="C99" s="24">
        <v>500</v>
      </c>
      <c r="D99" s="25"/>
      <c r="E99" s="63">
        <v>5</v>
      </c>
      <c r="F99" s="26">
        <f t="shared" si="17"/>
        <v>0</v>
      </c>
      <c r="G99" s="27">
        <f t="shared" si="18"/>
        <v>0</v>
      </c>
      <c r="H99" s="44"/>
      <c r="I99" s="100" t="s">
        <v>388</v>
      </c>
      <c r="J99" s="23" t="s">
        <v>389</v>
      </c>
      <c r="K99" s="24">
        <v>50</v>
      </c>
      <c r="L99" s="24">
        <v>1</v>
      </c>
      <c r="M99" s="29"/>
      <c r="N99" s="65">
        <v>25.5</v>
      </c>
      <c r="O99" s="43">
        <f t="shared" si="12"/>
        <v>0</v>
      </c>
      <c r="P99" s="118">
        <f>M99*2.85</f>
        <v>0</v>
      </c>
      <c r="Q99"/>
    </row>
    <row r="100" spans="1:17">
      <c r="A100" s="83" t="s">
        <v>390</v>
      </c>
      <c r="B100" s="94" t="s">
        <v>391</v>
      </c>
      <c r="C100" s="24">
        <v>500</v>
      </c>
      <c r="D100" s="25"/>
      <c r="E100" s="63">
        <v>5</v>
      </c>
      <c r="F100" s="26">
        <f t="shared" si="17"/>
        <v>0</v>
      </c>
      <c r="G100" s="27">
        <f t="shared" si="18"/>
        <v>0</v>
      </c>
      <c r="H100" s="44"/>
      <c r="I100" s="100" t="s">
        <v>392</v>
      </c>
      <c r="J100" s="188" t="s">
        <v>393</v>
      </c>
      <c r="K100" s="24">
        <v>40</v>
      </c>
      <c r="L100" s="24">
        <v>1</v>
      </c>
      <c r="M100" s="29"/>
      <c r="N100" s="65">
        <v>18.75</v>
      </c>
      <c r="O100" s="43">
        <f t="shared" si="12"/>
        <v>0</v>
      </c>
      <c r="P100" s="118">
        <f t="shared" ref="P100:P102" si="19">M100*2.85</f>
        <v>0</v>
      </c>
      <c r="Q100"/>
    </row>
    <row r="101" spans="1:17" ht="25.15" customHeight="1">
      <c r="A101" s="83" t="s">
        <v>394</v>
      </c>
      <c r="B101" s="94" t="s">
        <v>395</v>
      </c>
      <c r="C101" s="24">
        <v>500</v>
      </c>
      <c r="D101" s="25"/>
      <c r="E101" s="63">
        <v>5</v>
      </c>
      <c r="F101" s="26">
        <f t="shared" si="17"/>
        <v>0</v>
      </c>
      <c r="G101" s="27">
        <f t="shared" si="18"/>
        <v>0</v>
      </c>
      <c r="H101" s="44"/>
      <c r="I101" s="100" t="s">
        <v>396</v>
      </c>
      <c r="J101" s="188" t="s">
        <v>397</v>
      </c>
      <c r="K101" s="24">
        <v>40</v>
      </c>
      <c r="L101" s="24">
        <v>1</v>
      </c>
      <c r="M101" s="29"/>
      <c r="N101" s="65">
        <v>18.75</v>
      </c>
      <c r="O101" s="43">
        <f t="shared" si="12"/>
        <v>0</v>
      </c>
      <c r="P101" s="118">
        <f t="shared" si="19"/>
        <v>0</v>
      </c>
      <c r="Q101"/>
    </row>
    <row r="102" spans="1:17" ht="25.9" customHeight="1">
      <c r="A102" s="83" t="s">
        <v>398</v>
      </c>
      <c r="B102" s="94" t="s">
        <v>399</v>
      </c>
      <c r="C102" s="24">
        <v>500</v>
      </c>
      <c r="D102" s="25"/>
      <c r="E102" s="63">
        <v>5</v>
      </c>
      <c r="F102" s="26">
        <f t="shared" si="17"/>
        <v>0</v>
      </c>
      <c r="G102" s="27">
        <f t="shared" si="18"/>
        <v>0</v>
      </c>
      <c r="H102" s="44"/>
      <c r="I102" s="100" t="s">
        <v>400</v>
      </c>
      <c r="J102" s="188" t="s">
        <v>401</v>
      </c>
      <c r="K102" s="24">
        <v>40</v>
      </c>
      <c r="L102" s="24">
        <v>1</v>
      </c>
      <c r="M102" s="29"/>
      <c r="N102" s="65">
        <v>18.75</v>
      </c>
      <c r="O102" s="43">
        <f t="shared" si="12"/>
        <v>0</v>
      </c>
      <c r="P102" s="118">
        <f t="shared" si="19"/>
        <v>0</v>
      </c>
      <c r="Q102"/>
    </row>
    <row r="103" spans="1:17">
      <c r="A103" s="83" t="s">
        <v>402</v>
      </c>
      <c r="B103" s="94" t="s">
        <v>403</v>
      </c>
      <c r="C103" s="24">
        <v>500</v>
      </c>
      <c r="D103" s="25"/>
      <c r="E103" s="63">
        <v>5</v>
      </c>
      <c r="F103" s="26">
        <f t="shared" si="17"/>
        <v>0</v>
      </c>
      <c r="G103" s="27">
        <f t="shared" si="18"/>
        <v>0</v>
      </c>
      <c r="H103" s="44"/>
      <c r="I103" s="100" t="s">
        <v>404</v>
      </c>
      <c r="J103" s="23" t="s">
        <v>405</v>
      </c>
      <c r="K103" s="24">
        <v>1</v>
      </c>
      <c r="L103" s="24">
        <v>24</v>
      </c>
      <c r="M103" s="29"/>
      <c r="N103" s="65">
        <v>17.16</v>
      </c>
      <c r="O103" s="43">
        <f t="shared" si="12"/>
        <v>0</v>
      </c>
      <c r="P103" s="101">
        <f t="shared" ref="P103:P105" si="20">M103*4</f>
        <v>0</v>
      </c>
      <c r="Q103"/>
    </row>
    <row r="104" spans="1:17" ht="25.9" customHeight="1">
      <c r="A104" s="83" t="s">
        <v>406</v>
      </c>
      <c r="B104" s="94" t="s">
        <v>407</v>
      </c>
      <c r="C104" s="24">
        <v>500</v>
      </c>
      <c r="D104" s="25"/>
      <c r="E104" s="63">
        <v>5</v>
      </c>
      <c r="F104" s="26">
        <f t="shared" si="17"/>
        <v>0</v>
      </c>
      <c r="G104" s="27">
        <f t="shared" si="18"/>
        <v>0</v>
      </c>
      <c r="H104" s="44"/>
      <c r="I104" s="100" t="s">
        <v>408</v>
      </c>
      <c r="J104" s="23" t="s">
        <v>409</v>
      </c>
      <c r="K104" s="24">
        <v>1</v>
      </c>
      <c r="L104" s="24">
        <v>20</v>
      </c>
      <c r="M104" s="29"/>
      <c r="N104" s="65">
        <v>13.75</v>
      </c>
      <c r="O104" s="26">
        <f t="shared" ref="O104:O105" si="21">M104*N104</f>
        <v>0</v>
      </c>
      <c r="P104" s="101">
        <f t="shared" si="20"/>
        <v>0</v>
      </c>
      <c r="Q104"/>
    </row>
    <row r="105" spans="1:17">
      <c r="A105" s="83" t="s">
        <v>410</v>
      </c>
      <c r="B105" s="94" t="s">
        <v>411</v>
      </c>
      <c r="C105" s="24">
        <v>500</v>
      </c>
      <c r="D105" s="25"/>
      <c r="E105" s="63">
        <v>5</v>
      </c>
      <c r="F105" s="26">
        <f t="shared" si="17"/>
        <v>0</v>
      </c>
      <c r="G105" s="27">
        <f t="shared" si="18"/>
        <v>0</v>
      </c>
      <c r="H105" s="44"/>
      <c r="I105" s="100" t="s">
        <v>412</v>
      </c>
      <c r="J105" s="23" t="s">
        <v>413</v>
      </c>
      <c r="K105" s="24">
        <v>1</v>
      </c>
      <c r="L105" s="24">
        <v>20</v>
      </c>
      <c r="M105" s="29"/>
      <c r="N105" s="65">
        <v>18.5</v>
      </c>
      <c r="O105" s="26">
        <f t="shared" si="21"/>
        <v>0</v>
      </c>
      <c r="P105" s="101">
        <f t="shared" si="20"/>
        <v>0</v>
      </c>
      <c r="Q105"/>
    </row>
    <row r="106" spans="1:17">
      <c r="A106" s="83" t="s">
        <v>414</v>
      </c>
      <c r="B106" s="94" t="s">
        <v>415</v>
      </c>
      <c r="C106" s="24">
        <v>500</v>
      </c>
      <c r="D106" s="25"/>
      <c r="E106" s="63">
        <v>5</v>
      </c>
      <c r="F106" s="26">
        <f t="shared" si="17"/>
        <v>0</v>
      </c>
      <c r="G106" s="27">
        <f t="shared" si="18"/>
        <v>0</v>
      </c>
      <c r="H106" s="44"/>
      <c r="I106" s="100" t="s">
        <v>416</v>
      </c>
      <c r="J106" s="23" t="s">
        <v>417</v>
      </c>
      <c r="K106" s="24">
        <v>1</v>
      </c>
      <c r="L106" s="24">
        <v>24</v>
      </c>
      <c r="M106" s="37"/>
      <c r="N106" s="63">
        <v>15.5</v>
      </c>
      <c r="O106" s="26">
        <f>M106*N106</f>
        <v>0</v>
      </c>
      <c r="P106" s="101">
        <f>M106*4</f>
        <v>0</v>
      </c>
      <c r="Q106"/>
    </row>
    <row r="107" spans="1:17">
      <c r="A107" s="83" t="s">
        <v>418</v>
      </c>
      <c r="B107" s="94" t="s">
        <v>419</v>
      </c>
      <c r="C107" s="24">
        <v>500</v>
      </c>
      <c r="D107" s="25"/>
      <c r="E107" s="63">
        <v>4.2</v>
      </c>
      <c r="F107" s="26">
        <f t="shared" si="17"/>
        <v>0</v>
      </c>
      <c r="G107" s="27">
        <f t="shared" si="18"/>
        <v>0</v>
      </c>
      <c r="H107" s="44"/>
      <c r="I107" s="100" t="s">
        <v>420</v>
      </c>
      <c r="J107" s="23" t="s">
        <v>421</v>
      </c>
      <c r="K107" s="24">
        <v>1</v>
      </c>
      <c r="L107" s="24">
        <v>24</v>
      </c>
      <c r="M107" s="37"/>
      <c r="N107" s="63">
        <v>15.5</v>
      </c>
      <c r="O107" s="26">
        <f>M107*N107</f>
        <v>0</v>
      </c>
      <c r="P107" s="101">
        <f>M107*4</f>
        <v>0</v>
      </c>
      <c r="Q107"/>
    </row>
    <row r="108" spans="1:17" ht="27" customHeight="1">
      <c r="A108" s="83" t="s">
        <v>422</v>
      </c>
      <c r="B108" s="188" t="s">
        <v>423</v>
      </c>
      <c r="C108" s="24">
        <v>500</v>
      </c>
      <c r="D108" s="25"/>
      <c r="E108" s="63">
        <v>5</v>
      </c>
      <c r="F108" s="26">
        <f t="shared" si="17"/>
        <v>0</v>
      </c>
      <c r="G108" s="27">
        <f t="shared" si="18"/>
        <v>0</v>
      </c>
      <c r="H108" s="44"/>
      <c r="I108" s="100" t="s">
        <v>424</v>
      </c>
      <c r="J108" s="23" t="s">
        <v>425</v>
      </c>
      <c r="K108" s="85">
        <v>1</v>
      </c>
      <c r="L108" s="85">
        <v>24</v>
      </c>
      <c r="M108" s="92"/>
      <c r="N108" s="63">
        <v>15.5</v>
      </c>
      <c r="O108" s="93">
        <f>M108*N108</f>
        <v>0</v>
      </c>
      <c r="P108" s="122">
        <f>M108*4</f>
        <v>0</v>
      </c>
      <c r="Q108"/>
    </row>
    <row r="109" spans="1:17" ht="27" customHeight="1">
      <c r="A109" s="83" t="s">
        <v>426</v>
      </c>
      <c r="B109" s="188" t="s">
        <v>427</v>
      </c>
      <c r="C109" s="24">
        <v>500</v>
      </c>
      <c r="D109" s="25"/>
      <c r="E109" s="63">
        <v>5</v>
      </c>
      <c r="F109" s="26">
        <f t="shared" si="17"/>
        <v>0</v>
      </c>
      <c r="G109" s="27">
        <f t="shared" si="18"/>
        <v>0</v>
      </c>
      <c r="H109" s="44"/>
      <c r="I109" s="100" t="s">
        <v>428</v>
      </c>
      <c r="J109" s="23" t="s">
        <v>429</v>
      </c>
      <c r="K109" s="24">
        <v>144</v>
      </c>
      <c r="L109" s="24">
        <v>1</v>
      </c>
      <c r="M109" s="29"/>
      <c r="N109" s="65">
        <v>32</v>
      </c>
      <c r="O109" s="43">
        <f t="shared" ref="O109:O126" si="22">SUM(M109*N109)</f>
        <v>0</v>
      </c>
      <c r="P109" s="118">
        <f>M109*12.44</f>
        <v>0</v>
      </c>
      <c r="Q109"/>
    </row>
    <row r="110" spans="1:17" ht="27" customHeight="1">
      <c r="A110" s="83" t="s">
        <v>430</v>
      </c>
      <c r="B110" s="188" t="s">
        <v>431</v>
      </c>
      <c r="C110" s="24">
        <v>500</v>
      </c>
      <c r="D110" s="25"/>
      <c r="E110" s="63">
        <v>5</v>
      </c>
      <c r="F110" s="26">
        <f t="shared" si="17"/>
        <v>0</v>
      </c>
      <c r="G110" s="27">
        <f t="shared" si="18"/>
        <v>0</v>
      </c>
      <c r="H110" s="44"/>
      <c r="I110" s="100" t="s">
        <v>432</v>
      </c>
      <c r="J110" s="23" t="s">
        <v>433</v>
      </c>
      <c r="K110" s="24">
        <v>100</v>
      </c>
      <c r="L110" s="24">
        <v>1</v>
      </c>
      <c r="M110" s="29"/>
      <c r="N110" s="65">
        <v>30</v>
      </c>
      <c r="O110" s="43">
        <f t="shared" si="22"/>
        <v>0</v>
      </c>
      <c r="P110" s="118">
        <f>M110*4.81</f>
        <v>0</v>
      </c>
      <c r="Q110"/>
    </row>
    <row r="111" spans="1:17">
      <c r="A111" s="83" t="s">
        <v>434</v>
      </c>
      <c r="B111" s="188" t="s">
        <v>435</v>
      </c>
      <c r="C111" s="24">
        <v>500</v>
      </c>
      <c r="D111" s="25"/>
      <c r="E111" s="63">
        <v>5</v>
      </c>
      <c r="F111" s="26">
        <f t="shared" si="17"/>
        <v>0</v>
      </c>
      <c r="G111" s="27">
        <f t="shared" si="18"/>
        <v>0</v>
      </c>
      <c r="H111" s="44"/>
      <c r="I111" s="100" t="s">
        <v>436</v>
      </c>
      <c r="J111" s="23" t="s">
        <v>437</v>
      </c>
      <c r="K111" s="24">
        <v>50</v>
      </c>
      <c r="L111" s="24">
        <v>5</v>
      </c>
      <c r="M111" s="29"/>
      <c r="N111" s="65">
        <v>80.930000000000007</v>
      </c>
      <c r="O111" s="43">
        <f t="shared" si="22"/>
        <v>0</v>
      </c>
      <c r="P111" s="118">
        <f>M111*5</f>
        <v>0</v>
      </c>
      <c r="Q111"/>
    </row>
    <row r="112" spans="1:17" ht="25.9" customHeight="1">
      <c r="A112" s="83" t="s">
        <v>438</v>
      </c>
      <c r="B112" s="188" t="s">
        <v>439</v>
      </c>
      <c r="C112" s="24">
        <v>500</v>
      </c>
      <c r="D112" s="25"/>
      <c r="E112" s="63">
        <v>5</v>
      </c>
      <c r="F112" s="26">
        <f t="shared" si="17"/>
        <v>0</v>
      </c>
      <c r="G112" s="27">
        <f t="shared" si="18"/>
        <v>0</v>
      </c>
      <c r="H112" s="31"/>
      <c r="I112" s="100" t="s">
        <v>440</v>
      </c>
      <c r="J112" s="36" t="s">
        <v>441</v>
      </c>
      <c r="K112" s="24">
        <v>160</v>
      </c>
      <c r="L112" s="24">
        <v>10</v>
      </c>
      <c r="M112" s="29"/>
      <c r="N112" s="65">
        <v>94</v>
      </c>
      <c r="O112" s="43">
        <f t="shared" si="22"/>
        <v>0</v>
      </c>
      <c r="P112" s="118">
        <f>M112*5</f>
        <v>0</v>
      </c>
      <c r="Q112"/>
    </row>
    <row r="113" spans="1:17">
      <c r="A113" s="83" t="s">
        <v>442</v>
      </c>
      <c r="B113" s="188" t="s">
        <v>443</v>
      </c>
      <c r="C113" s="24">
        <v>500</v>
      </c>
      <c r="D113" s="25"/>
      <c r="E113" s="63">
        <v>5</v>
      </c>
      <c r="F113" s="26">
        <f t="shared" si="17"/>
        <v>0</v>
      </c>
      <c r="G113" s="27">
        <f t="shared" si="18"/>
        <v>0</v>
      </c>
      <c r="H113" s="31"/>
      <c r="I113" s="100" t="s">
        <v>444</v>
      </c>
      <c r="J113" s="23" t="s">
        <v>445</v>
      </c>
      <c r="K113" s="24">
        <v>10</v>
      </c>
      <c r="L113" s="24">
        <v>20</v>
      </c>
      <c r="M113" s="29"/>
      <c r="N113" s="65">
        <v>24</v>
      </c>
      <c r="O113" s="43">
        <f t="shared" si="22"/>
        <v>0</v>
      </c>
      <c r="P113" s="118">
        <f>M113*3.2</f>
        <v>0</v>
      </c>
      <c r="Q113"/>
    </row>
    <row r="114" spans="1:17" ht="22.9" customHeight="1">
      <c r="A114" s="83" t="s">
        <v>446</v>
      </c>
      <c r="B114" s="188" t="s">
        <v>447</v>
      </c>
      <c r="C114" s="24">
        <v>500</v>
      </c>
      <c r="D114" s="25"/>
      <c r="E114" s="63">
        <v>5</v>
      </c>
      <c r="F114" s="26">
        <f t="shared" si="17"/>
        <v>0</v>
      </c>
      <c r="G114" s="27">
        <f t="shared" si="18"/>
        <v>0</v>
      </c>
      <c r="H114" s="31"/>
      <c r="I114" s="100" t="s">
        <v>448</v>
      </c>
      <c r="J114" s="23" t="s">
        <v>449</v>
      </c>
      <c r="K114" s="24">
        <v>10</v>
      </c>
      <c r="L114" s="24">
        <v>20</v>
      </c>
      <c r="M114" s="29"/>
      <c r="N114" s="65">
        <v>24</v>
      </c>
      <c r="O114" s="43">
        <f t="shared" si="22"/>
        <v>0</v>
      </c>
      <c r="P114" s="118">
        <f>M114*3.2</f>
        <v>0</v>
      </c>
      <c r="Q114"/>
    </row>
    <row r="115" spans="1:17" ht="22.9" customHeight="1">
      <c r="A115" s="83" t="s">
        <v>450</v>
      </c>
      <c r="B115" s="94" t="s">
        <v>451</v>
      </c>
      <c r="C115" s="24">
        <v>200</v>
      </c>
      <c r="D115" s="25"/>
      <c r="E115" s="63">
        <v>19.760000000000002</v>
      </c>
      <c r="F115" s="26">
        <f t="shared" si="13"/>
        <v>0</v>
      </c>
      <c r="G115" s="27">
        <f>D115*7.73</f>
        <v>0</v>
      </c>
      <c r="H115" s="31"/>
      <c r="I115" s="100" t="s">
        <v>452</v>
      </c>
      <c r="J115" s="23" t="s">
        <v>453</v>
      </c>
      <c r="K115" s="24">
        <v>1000</v>
      </c>
      <c r="L115" s="24">
        <v>1</v>
      </c>
      <c r="M115" s="29"/>
      <c r="N115" s="65">
        <v>12</v>
      </c>
      <c r="O115" s="43">
        <f t="shared" si="22"/>
        <v>0</v>
      </c>
      <c r="P115" s="118">
        <f>M115*2.34</f>
        <v>0</v>
      </c>
      <c r="Q115"/>
    </row>
    <row r="116" spans="1:17" ht="22.9" customHeight="1">
      <c r="A116" s="83" t="s">
        <v>454</v>
      </c>
      <c r="B116" s="94" t="s">
        <v>455</v>
      </c>
      <c r="C116" s="24">
        <v>200</v>
      </c>
      <c r="D116" s="25"/>
      <c r="E116" s="63">
        <v>21.5</v>
      </c>
      <c r="F116" s="26">
        <f t="shared" si="13"/>
        <v>0</v>
      </c>
      <c r="G116" s="27">
        <f>D116*6.26</f>
        <v>0</v>
      </c>
      <c r="H116" s="31"/>
      <c r="I116" s="100" t="s">
        <v>456</v>
      </c>
      <c r="J116" s="23" t="s">
        <v>457</v>
      </c>
      <c r="K116" s="24">
        <v>1000</v>
      </c>
      <c r="L116" s="24">
        <v>1</v>
      </c>
      <c r="M116" s="29"/>
      <c r="N116" s="65">
        <v>12</v>
      </c>
      <c r="O116" s="43">
        <f t="shared" si="22"/>
        <v>0</v>
      </c>
      <c r="P116" s="118">
        <f>M116*2.34</f>
        <v>0</v>
      </c>
      <c r="Q116"/>
    </row>
    <row r="117" spans="1:17" ht="22.9" customHeight="1">
      <c r="A117" s="83" t="s">
        <v>458</v>
      </c>
      <c r="B117" s="94" t="s">
        <v>459</v>
      </c>
      <c r="C117" s="24">
        <v>2000</v>
      </c>
      <c r="D117" s="25"/>
      <c r="E117" s="63">
        <v>36</v>
      </c>
      <c r="F117" s="26">
        <f t="shared" si="13"/>
        <v>0</v>
      </c>
      <c r="G117" s="27">
        <f>D117*12.09</f>
        <v>0</v>
      </c>
      <c r="H117" s="31"/>
      <c r="I117" s="100" t="s">
        <v>460</v>
      </c>
      <c r="J117" s="23" t="s">
        <v>461</v>
      </c>
      <c r="K117" s="24">
        <v>2000</v>
      </c>
      <c r="L117" s="24">
        <v>1</v>
      </c>
      <c r="M117" s="29"/>
      <c r="N117" s="65">
        <v>12</v>
      </c>
      <c r="O117" s="43">
        <f t="shared" si="22"/>
        <v>0</v>
      </c>
      <c r="P117" s="118">
        <f>M117*2.21</f>
        <v>0</v>
      </c>
      <c r="Q117"/>
    </row>
    <row r="118" spans="1:17" ht="22.15" customHeight="1">
      <c r="A118" s="83" t="s">
        <v>462</v>
      </c>
      <c r="B118" s="94" t="s">
        <v>463</v>
      </c>
      <c r="C118" s="24">
        <v>10000</v>
      </c>
      <c r="D118" s="25"/>
      <c r="E118" s="63">
        <v>27.87</v>
      </c>
      <c r="F118" s="26">
        <f t="shared" si="13"/>
        <v>0</v>
      </c>
      <c r="G118" s="27">
        <f>D118*7.67</f>
        <v>0</v>
      </c>
      <c r="H118" s="51"/>
      <c r="I118" s="102" t="s">
        <v>464</v>
      </c>
      <c r="J118" s="45" t="s">
        <v>465</v>
      </c>
      <c r="K118" s="39">
        <v>2000</v>
      </c>
      <c r="L118" s="39">
        <v>1</v>
      </c>
      <c r="M118" s="29"/>
      <c r="N118" s="66">
        <v>12</v>
      </c>
      <c r="O118" s="43">
        <f t="shared" si="22"/>
        <v>0</v>
      </c>
      <c r="P118" s="118">
        <f>M118*1.42</f>
        <v>0</v>
      </c>
      <c r="Q118"/>
    </row>
    <row r="119" spans="1:17" ht="22.9" customHeight="1">
      <c r="A119" s="83" t="s">
        <v>466</v>
      </c>
      <c r="B119" s="23" t="s">
        <v>467</v>
      </c>
      <c r="C119" s="24">
        <v>2000</v>
      </c>
      <c r="D119" s="25"/>
      <c r="E119" s="63">
        <v>30.25</v>
      </c>
      <c r="F119" s="26">
        <f t="shared" si="13"/>
        <v>0</v>
      </c>
      <c r="G119" s="27">
        <f>D119*8</f>
        <v>0</v>
      </c>
      <c r="H119" s="51"/>
      <c r="I119" s="100" t="s">
        <v>468</v>
      </c>
      <c r="J119" s="23" t="s">
        <v>469</v>
      </c>
      <c r="K119" s="24">
        <v>42</v>
      </c>
      <c r="L119" s="24">
        <v>6</v>
      </c>
      <c r="M119" s="29"/>
      <c r="N119" s="65">
        <v>19.98</v>
      </c>
      <c r="O119" s="43">
        <f t="shared" si="22"/>
        <v>0</v>
      </c>
      <c r="P119" s="118">
        <f>M119*3.84</f>
        <v>0</v>
      </c>
      <c r="Q119"/>
    </row>
    <row r="120" spans="1:17" ht="28.9" customHeight="1">
      <c r="A120" s="83" t="s">
        <v>470</v>
      </c>
      <c r="B120" s="23" t="s">
        <v>471</v>
      </c>
      <c r="C120" s="24">
        <v>2000</v>
      </c>
      <c r="D120" s="25"/>
      <c r="E120" s="63">
        <v>30.25</v>
      </c>
      <c r="F120" s="26">
        <f t="shared" si="13"/>
        <v>0</v>
      </c>
      <c r="G120" s="27">
        <f>D120*8</f>
        <v>0</v>
      </c>
      <c r="H120" s="51"/>
      <c r="I120" s="100" t="s">
        <v>472</v>
      </c>
      <c r="J120" s="23" t="s">
        <v>473</v>
      </c>
      <c r="K120" s="24">
        <v>42</v>
      </c>
      <c r="L120" s="24">
        <v>6</v>
      </c>
      <c r="M120" s="29"/>
      <c r="N120" s="65">
        <v>18.87</v>
      </c>
      <c r="O120" s="43">
        <f t="shared" si="22"/>
        <v>0</v>
      </c>
      <c r="P120" s="118">
        <f>M120*3.84</f>
        <v>0</v>
      </c>
      <c r="Q120"/>
    </row>
    <row r="121" spans="1:17" ht="25.9" customHeight="1">
      <c r="A121" s="83" t="s">
        <v>474</v>
      </c>
      <c r="B121" s="23" t="s">
        <v>475</v>
      </c>
      <c r="C121" s="24">
        <v>2000</v>
      </c>
      <c r="D121" s="25"/>
      <c r="E121" s="63">
        <v>30.25</v>
      </c>
      <c r="F121" s="26">
        <f t="shared" si="13"/>
        <v>0</v>
      </c>
      <c r="G121" s="27">
        <f>D121*8</f>
        <v>0</v>
      </c>
      <c r="H121" s="51"/>
      <c r="I121" s="100" t="s">
        <v>476</v>
      </c>
      <c r="J121" s="23" t="s">
        <v>477</v>
      </c>
      <c r="K121" s="24">
        <v>1</v>
      </c>
      <c r="L121" s="24">
        <v>5</v>
      </c>
      <c r="M121" s="29"/>
      <c r="N121" s="65">
        <v>17.71</v>
      </c>
      <c r="O121" s="43">
        <f t="shared" si="22"/>
        <v>0</v>
      </c>
      <c r="P121" s="118">
        <f>M121*3.34</f>
        <v>0</v>
      </c>
    </row>
    <row r="122" spans="1:17" ht="25.15" customHeight="1">
      <c r="A122" s="83" t="s">
        <v>478</v>
      </c>
      <c r="B122" s="23" t="s">
        <v>479</v>
      </c>
      <c r="C122" s="24">
        <v>1000</v>
      </c>
      <c r="D122" s="25"/>
      <c r="E122" s="63">
        <v>17.149999999999999</v>
      </c>
      <c r="F122" s="26">
        <f t="shared" si="13"/>
        <v>0</v>
      </c>
      <c r="G122" s="27">
        <f>D122*3</f>
        <v>0</v>
      </c>
      <c r="H122" s="31"/>
      <c r="I122" s="100" t="s">
        <v>480</v>
      </c>
      <c r="J122" s="94" t="s">
        <v>481</v>
      </c>
      <c r="K122" s="24">
        <v>75</v>
      </c>
      <c r="L122" s="24">
        <v>1</v>
      </c>
      <c r="M122" s="29"/>
      <c r="N122" s="65">
        <v>5.62</v>
      </c>
      <c r="O122" s="43">
        <f t="shared" si="22"/>
        <v>0</v>
      </c>
      <c r="P122" s="123">
        <f>M122*2.8</f>
        <v>0</v>
      </c>
      <c r="Q122"/>
    </row>
    <row r="123" spans="1:17" ht="25.9" customHeight="1">
      <c r="A123" s="83" t="s">
        <v>482</v>
      </c>
      <c r="B123" s="23" t="s">
        <v>483</v>
      </c>
      <c r="C123" s="24">
        <v>320</v>
      </c>
      <c r="D123" s="25"/>
      <c r="E123" s="63">
        <v>28.52</v>
      </c>
      <c r="F123" s="26">
        <f t="shared" si="13"/>
        <v>0</v>
      </c>
      <c r="G123" s="27">
        <f>D123*8.21</f>
        <v>0</v>
      </c>
      <c r="H123" s="31"/>
      <c r="I123" s="100" t="s">
        <v>484</v>
      </c>
      <c r="J123" s="23" t="s">
        <v>485</v>
      </c>
      <c r="K123" s="24">
        <v>12</v>
      </c>
      <c r="L123" s="24">
        <v>1</v>
      </c>
      <c r="M123" s="29"/>
      <c r="N123" s="65">
        <v>6</v>
      </c>
      <c r="O123" s="43">
        <f t="shared" si="22"/>
        <v>0</v>
      </c>
      <c r="P123" s="123">
        <f>M123*2.8</f>
        <v>0</v>
      </c>
      <c r="Q123"/>
    </row>
    <row r="124" spans="1:17">
      <c r="A124" s="83" t="s">
        <v>486</v>
      </c>
      <c r="B124" s="23" t="s">
        <v>487</v>
      </c>
      <c r="C124" s="24">
        <v>160</v>
      </c>
      <c r="D124" s="25"/>
      <c r="E124" s="63">
        <v>28.52</v>
      </c>
      <c r="F124" s="26">
        <f t="shared" ref="F124:F129" si="23">SUM(D124*E124)</f>
        <v>0</v>
      </c>
      <c r="G124" s="27">
        <f>D124*8.14</f>
        <v>0</v>
      </c>
      <c r="H124" s="31"/>
      <c r="I124" s="100" t="s">
        <v>488</v>
      </c>
      <c r="J124" s="188" t="s">
        <v>489</v>
      </c>
      <c r="K124" s="24">
        <v>260</v>
      </c>
      <c r="L124" s="24">
        <v>1</v>
      </c>
      <c r="M124" s="29"/>
      <c r="N124" s="65">
        <v>131.25</v>
      </c>
      <c r="O124" s="49">
        <f t="shared" si="22"/>
        <v>0</v>
      </c>
      <c r="P124" s="123">
        <f>M124*13</f>
        <v>0</v>
      </c>
      <c r="Q124"/>
    </row>
    <row r="125" spans="1:17" ht="25.15" customHeight="1">
      <c r="A125" s="83" t="s">
        <v>490</v>
      </c>
      <c r="B125" s="23" t="s">
        <v>491</v>
      </c>
      <c r="C125" s="24">
        <v>200</v>
      </c>
      <c r="D125" s="25"/>
      <c r="E125" s="63">
        <v>13.81</v>
      </c>
      <c r="F125" s="26">
        <f t="shared" si="23"/>
        <v>0</v>
      </c>
      <c r="G125" s="27">
        <f>D125*8.9</f>
        <v>0</v>
      </c>
      <c r="H125" s="31"/>
      <c r="I125" s="100" t="s">
        <v>492</v>
      </c>
      <c r="J125" s="188" t="s">
        <v>493</v>
      </c>
      <c r="K125" s="24">
        <v>360</v>
      </c>
      <c r="L125" s="24">
        <v>12</v>
      </c>
      <c r="M125" s="29"/>
      <c r="N125" s="65">
        <v>22.25</v>
      </c>
      <c r="O125" s="49">
        <f t="shared" ref="O125" si="24">SUM(M125*N125)</f>
        <v>0</v>
      </c>
      <c r="P125" s="123">
        <f>M125*3.6</f>
        <v>0</v>
      </c>
      <c r="Q125"/>
    </row>
    <row r="126" spans="1:17" ht="25.15" customHeight="1">
      <c r="A126" s="83" t="s">
        <v>494</v>
      </c>
      <c r="B126" s="23" t="s">
        <v>495</v>
      </c>
      <c r="C126" s="24">
        <v>6</v>
      </c>
      <c r="D126" s="25"/>
      <c r="E126" s="63">
        <v>5.79</v>
      </c>
      <c r="F126" s="26">
        <f t="shared" si="23"/>
        <v>0</v>
      </c>
      <c r="G126" s="27">
        <f>D126*0.57</f>
        <v>0</v>
      </c>
      <c r="H126" s="31"/>
      <c r="I126" s="100" t="s">
        <v>496</v>
      </c>
      <c r="J126" s="23" t="s">
        <v>497</v>
      </c>
      <c r="K126" s="24">
        <v>6</v>
      </c>
      <c r="L126" s="24">
        <v>1</v>
      </c>
      <c r="M126" s="29"/>
      <c r="N126" s="65">
        <v>15.57</v>
      </c>
      <c r="O126" s="49">
        <f t="shared" si="22"/>
        <v>0</v>
      </c>
      <c r="P126" s="123">
        <f>M126*2.8</f>
        <v>0</v>
      </c>
      <c r="Q126"/>
    </row>
    <row r="127" spans="1:17" ht="31.15" customHeight="1">
      <c r="A127" s="83" t="s">
        <v>498</v>
      </c>
      <c r="B127" s="23" t="s">
        <v>499</v>
      </c>
      <c r="C127" s="24">
        <v>1000</v>
      </c>
      <c r="D127" s="25"/>
      <c r="E127" s="63">
        <v>55</v>
      </c>
      <c r="F127" s="26">
        <f t="shared" si="23"/>
        <v>0</v>
      </c>
      <c r="G127" s="27">
        <f>D127*3.15</f>
        <v>0</v>
      </c>
      <c r="H127" s="31"/>
      <c r="I127" s="100" t="s">
        <v>500</v>
      </c>
      <c r="J127" s="23" t="s">
        <v>501</v>
      </c>
      <c r="K127" s="24">
        <v>12</v>
      </c>
      <c r="L127" s="24">
        <v>12</v>
      </c>
      <c r="M127" s="29"/>
      <c r="N127" s="63">
        <v>39.270000000000003</v>
      </c>
      <c r="O127" s="50">
        <f t="shared" ref="O127:O132" si="25">M127*N127</f>
        <v>0</v>
      </c>
      <c r="P127" s="101">
        <f>M127*13</f>
        <v>0</v>
      </c>
      <c r="Q127"/>
    </row>
    <row r="128" spans="1:17" ht="31.15" customHeight="1">
      <c r="A128" s="83" t="s">
        <v>502</v>
      </c>
      <c r="B128" s="23" t="s">
        <v>503</v>
      </c>
      <c r="C128" s="24">
        <v>1000</v>
      </c>
      <c r="D128" s="25"/>
      <c r="E128" s="64">
        <v>42</v>
      </c>
      <c r="F128" s="46">
        <f t="shared" si="23"/>
        <v>0</v>
      </c>
      <c r="G128" s="27">
        <f>D128*0.37</f>
        <v>0</v>
      </c>
      <c r="H128" s="31"/>
      <c r="I128" s="100" t="s">
        <v>504</v>
      </c>
      <c r="J128" s="23" t="s">
        <v>505</v>
      </c>
      <c r="K128" s="24">
        <v>5</v>
      </c>
      <c r="L128" s="24">
        <v>12</v>
      </c>
      <c r="M128" s="29"/>
      <c r="N128" s="63">
        <v>23.63</v>
      </c>
      <c r="O128" s="50">
        <f t="shared" si="25"/>
        <v>0</v>
      </c>
      <c r="P128" s="101">
        <f>M128*4</f>
        <v>0</v>
      </c>
      <c r="Q128"/>
    </row>
    <row r="129" spans="1:17" ht="21" customHeight="1" thickBot="1">
      <c r="A129" s="96" t="s">
        <v>506</v>
      </c>
      <c r="B129" s="95" t="s">
        <v>507</v>
      </c>
      <c r="C129" s="39">
        <v>100</v>
      </c>
      <c r="D129" s="25"/>
      <c r="E129" s="64">
        <v>10</v>
      </c>
      <c r="F129" s="46">
        <f t="shared" si="23"/>
        <v>0</v>
      </c>
      <c r="G129" s="67">
        <f>D129*6.65</f>
        <v>0</v>
      </c>
      <c r="H129" s="31"/>
      <c r="I129" s="100" t="s">
        <v>508</v>
      </c>
      <c r="J129" s="23" t="s">
        <v>509</v>
      </c>
      <c r="K129" s="24">
        <v>12</v>
      </c>
      <c r="L129" s="24">
        <v>1</v>
      </c>
      <c r="M129" s="29"/>
      <c r="N129" s="63">
        <v>30</v>
      </c>
      <c r="O129" s="50">
        <f t="shared" si="25"/>
        <v>0</v>
      </c>
      <c r="P129" s="101">
        <f>M129*5</f>
        <v>0</v>
      </c>
      <c r="Q129"/>
    </row>
    <row r="130" spans="1:17" ht="22.15" customHeight="1" thickBot="1">
      <c r="C130" s="68" t="s">
        <v>510</v>
      </c>
      <c r="D130" s="72">
        <f>SUM(D7:D129)</f>
        <v>0</v>
      </c>
      <c r="E130" s="70"/>
      <c r="F130" s="69">
        <f>SUM(F7:F129)</f>
        <v>0</v>
      </c>
      <c r="G130" s="71">
        <f>SUM(G7:G129)</f>
        <v>0</v>
      </c>
      <c r="H130" s="31"/>
      <c r="I130" s="100" t="s">
        <v>511</v>
      </c>
      <c r="J130" s="23" t="s">
        <v>512</v>
      </c>
      <c r="K130" s="24">
        <v>12</v>
      </c>
      <c r="L130" s="24">
        <v>1</v>
      </c>
      <c r="M130" s="29"/>
      <c r="N130" s="63">
        <v>30</v>
      </c>
      <c r="O130" s="50">
        <f t="shared" si="25"/>
        <v>0</v>
      </c>
      <c r="P130" s="101">
        <f>M130*1</f>
        <v>0</v>
      </c>
      <c r="Q130"/>
    </row>
    <row r="131" spans="1:17" ht="25.9" customHeight="1" thickBot="1">
      <c r="A131" s="209" t="s">
        <v>513</v>
      </c>
      <c r="B131" s="210"/>
      <c r="C131" s="210"/>
      <c r="D131" s="210"/>
      <c r="E131" s="210"/>
      <c r="F131" s="210"/>
      <c r="G131" s="211"/>
      <c r="H131" s="51"/>
      <c r="I131" s="121" t="s">
        <v>514</v>
      </c>
      <c r="J131" s="23" t="s">
        <v>515</v>
      </c>
      <c r="K131" s="24">
        <v>1</v>
      </c>
      <c r="L131" s="24">
        <v>5</v>
      </c>
      <c r="M131" s="29"/>
      <c r="N131" s="63">
        <v>19.690000000000001</v>
      </c>
      <c r="O131" s="50">
        <f t="shared" si="25"/>
        <v>0</v>
      </c>
      <c r="P131" s="101">
        <f>M131*6</f>
        <v>0</v>
      </c>
      <c r="Q131"/>
    </row>
    <row r="132" spans="1:17" ht="28.15" customHeight="1" thickBot="1">
      <c r="A132" s="170" t="s">
        <v>7</v>
      </c>
      <c r="B132" s="171" t="s">
        <v>14</v>
      </c>
      <c r="C132" s="172" t="s">
        <v>516</v>
      </c>
      <c r="D132" s="172" t="s">
        <v>17</v>
      </c>
      <c r="E132" s="173" t="s">
        <v>276</v>
      </c>
      <c r="F132" s="174" t="s">
        <v>12</v>
      </c>
      <c r="G132" s="175" t="s">
        <v>13</v>
      </c>
      <c r="H132" s="51"/>
      <c r="I132" s="124" t="s">
        <v>517</v>
      </c>
      <c r="J132" s="105" t="s">
        <v>518</v>
      </c>
      <c r="K132" s="106">
        <v>1</v>
      </c>
      <c r="L132" s="106">
        <v>1</v>
      </c>
      <c r="M132" s="125"/>
      <c r="N132" s="107">
        <v>8.15</v>
      </c>
      <c r="O132" s="126">
        <f t="shared" si="25"/>
        <v>0</v>
      </c>
      <c r="P132" s="108">
        <f>M132*1.36</f>
        <v>0</v>
      </c>
      <c r="Q132"/>
    </row>
    <row r="133" spans="1:17" ht="42.4" customHeight="1" thickBot="1">
      <c r="A133" s="176" t="s">
        <v>519</v>
      </c>
      <c r="B133" s="177" t="s">
        <v>520</v>
      </c>
      <c r="C133" s="178">
        <v>24</v>
      </c>
      <c r="D133" s="178"/>
      <c r="E133" s="179">
        <v>17.989999999999998</v>
      </c>
      <c r="F133" s="180">
        <f t="shared" ref="F133:F136" si="26">SUM(E133*D133)</f>
        <v>0</v>
      </c>
      <c r="G133" s="181">
        <f t="shared" ref="G133:G137" si="27">D133*4</f>
        <v>0</v>
      </c>
      <c r="H133" s="51"/>
      <c r="I133" s="52"/>
      <c r="J133" s="52"/>
      <c r="K133" s="53"/>
      <c r="L133" s="109" t="s">
        <v>269</v>
      </c>
      <c r="M133" s="110">
        <f>SUM(M72:M132)</f>
        <v>0</v>
      </c>
      <c r="N133" s="111"/>
      <c r="O133" s="112">
        <f>SUM(O72:O132)</f>
        <v>0</v>
      </c>
      <c r="P133" s="113">
        <f>SUM(P72:P132)</f>
        <v>0</v>
      </c>
      <c r="Q133"/>
    </row>
    <row r="134" spans="1:17" ht="42.4" customHeight="1" thickBot="1">
      <c r="A134" s="190" t="s">
        <v>521</v>
      </c>
      <c r="B134" s="198" t="s">
        <v>522</v>
      </c>
      <c r="C134" s="194">
        <v>24</v>
      </c>
      <c r="D134" s="194"/>
      <c r="E134" s="195">
        <v>17.989999999999998</v>
      </c>
      <c r="F134" s="162">
        <f t="shared" si="26"/>
        <v>0</v>
      </c>
      <c r="G134" s="163">
        <f t="shared" si="27"/>
        <v>0</v>
      </c>
      <c r="H134" s="51"/>
      <c r="I134" s="218" t="s">
        <v>523</v>
      </c>
      <c r="J134" s="219"/>
      <c r="K134" s="219"/>
      <c r="L134" s="219"/>
      <c r="M134" s="219"/>
      <c r="N134" s="219"/>
      <c r="O134" s="219"/>
      <c r="P134" s="220"/>
      <c r="Q134"/>
    </row>
    <row r="135" spans="1:17" ht="42.4" customHeight="1">
      <c r="A135" s="160" t="s">
        <v>524</v>
      </c>
      <c r="B135" s="169" t="s">
        <v>525</v>
      </c>
      <c r="C135" s="161">
        <v>24</v>
      </c>
      <c r="D135" s="161"/>
      <c r="E135" s="164">
        <v>25</v>
      </c>
      <c r="F135" s="162">
        <f t="shared" si="26"/>
        <v>0</v>
      </c>
      <c r="G135" s="163">
        <f t="shared" si="27"/>
        <v>0</v>
      </c>
      <c r="H135" s="51"/>
      <c r="I135" s="10" t="s">
        <v>7</v>
      </c>
      <c r="J135" s="11" t="s">
        <v>14</v>
      </c>
      <c r="K135" s="12" t="s">
        <v>516</v>
      </c>
      <c r="L135" s="12"/>
      <c r="M135" s="12" t="s">
        <v>17</v>
      </c>
      <c r="N135" s="40" t="s">
        <v>276</v>
      </c>
      <c r="O135" s="41" t="s">
        <v>12</v>
      </c>
      <c r="P135" s="42" t="s">
        <v>13</v>
      </c>
      <c r="Q135"/>
    </row>
    <row r="136" spans="1:17" ht="42.4" customHeight="1">
      <c r="A136" s="160" t="s">
        <v>526</v>
      </c>
      <c r="B136" s="169" t="s">
        <v>527</v>
      </c>
      <c r="C136" s="161">
        <v>24</v>
      </c>
      <c r="D136" s="161"/>
      <c r="E136" s="164">
        <v>25</v>
      </c>
      <c r="F136" s="162">
        <f t="shared" si="26"/>
        <v>0</v>
      </c>
      <c r="G136" s="163">
        <f t="shared" si="27"/>
        <v>0</v>
      </c>
      <c r="H136" s="51"/>
      <c r="I136" s="22" t="s">
        <v>528</v>
      </c>
      <c r="J136" s="23" t="s">
        <v>529</v>
      </c>
      <c r="K136" s="24">
        <v>1</v>
      </c>
      <c r="L136" s="54"/>
      <c r="M136" s="37"/>
      <c r="N136" s="26">
        <v>290</v>
      </c>
      <c r="O136" s="43">
        <f t="shared" ref="O136:O146" si="28">SUM(N136*M136)</f>
        <v>0</v>
      </c>
      <c r="P136" s="55">
        <f>M136*5</f>
        <v>0</v>
      </c>
      <c r="Q136"/>
    </row>
    <row r="137" spans="1:17" ht="42.4" customHeight="1">
      <c r="A137" s="160" t="s">
        <v>530</v>
      </c>
      <c r="B137" s="169" t="s">
        <v>531</v>
      </c>
      <c r="C137" s="161">
        <v>24</v>
      </c>
      <c r="D137" s="161"/>
      <c r="E137" s="164">
        <v>25</v>
      </c>
      <c r="F137" s="162">
        <f>SUM(E137*D137)</f>
        <v>0</v>
      </c>
      <c r="G137" s="163">
        <f t="shared" si="27"/>
        <v>0</v>
      </c>
      <c r="H137" s="51"/>
      <c r="I137" s="22" t="s">
        <v>532</v>
      </c>
      <c r="J137" s="23" t="s">
        <v>533</v>
      </c>
      <c r="K137" s="24">
        <v>1</v>
      </c>
      <c r="L137" s="56"/>
      <c r="M137" s="29"/>
      <c r="N137" s="26">
        <v>330</v>
      </c>
      <c r="O137" s="43">
        <f t="shared" si="28"/>
        <v>0</v>
      </c>
      <c r="P137" s="55">
        <f>M137*5</f>
        <v>0</v>
      </c>
      <c r="Q137"/>
    </row>
    <row r="138" spans="1:17" ht="42.4" customHeight="1">
      <c r="A138" s="160" t="s">
        <v>534</v>
      </c>
      <c r="B138" s="189" t="s">
        <v>535</v>
      </c>
      <c r="C138" s="161">
        <v>24</v>
      </c>
      <c r="D138" s="161"/>
      <c r="E138" s="164">
        <v>17.489999999999998</v>
      </c>
      <c r="F138" s="162">
        <v>0</v>
      </c>
      <c r="G138" s="163">
        <f>D138*4</f>
        <v>0</v>
      </c>
      <c r="H138" s="51"/>
      <c r="I138" s="22" t="s">
        <v>536</v>
      </c>
      <c r="J138" s="23" t="s">
        <v>537</v>
      </c>
      <c r="K138" s="24">
        <v>1</v>
      </c>
      <c r="L138" s="54"/>
      <c r="M138" s="29"/>
      <c r="N138" s="26">
        <v>350</v>
      </c>
      <c r="O138" s="43">
        <f t="shared" si="28"/>
        <v>0</v>
      </c>
      <c r="P138" s="55">
        <f>M138*5</f>
        <v>0</v>
      </c>
      <c r="Q138"/>
    </row>
    <row r="139" spans="1:17" ht="42.4" customHeight="1">
      <c r="A139" s="190" t="s">
        <v>538</v>
      </c>
      <c r="B139" s="191" t="s">
        <v>539</v>
      </c>
      <c r="C139" s="161">
        <v>12</v>
      </c>
      <c r="D139" s="161"/>
      <c r="E139" s="164">
        <v>10.69</v>
      </c>
      <c r="F139" s="162">
        <v>0</v>
      </c>
      <c r="G139" s="163">
        <f t="shared" ref="G139:G144" si="29">D139*4</f>
        <v>0</v>
      </c>
      <c r="H139" s="51"/>
      <c r="I139" s="22" t="s">
        <v>540</v>
      </c>
      <c r="J139" s="23" t="s">
        <v>541</v>
      </c>
      <c r="K139" s="24">
        <v>1</v>
      </c>
      <c r="L139" s="54"/>
      <c r="M139" s="29"/>
      <c r="N139" s="26">
        <v>395</v>
      </c>
      <c r="O139" s="43">
        <f t="shared" si="28"/>
        <v>0</v>
      </c>
      <c r="P139" s="55">
        <f>M139*5</f>
        <v>0</v>
      </c>
      <c r="Q139"/>
    </row>
    <row r="140" spans="1:17" ht="39" customHeight="1">
      <c r="A140" s="190" t="s">
        <v>542</v>
      </c>
      <c r="B140" s="191" t="s">
        <v>543</v>
      </c>
      <c r="C140" s="161">
        <v>12</v>
      </c>
      <c r="D140" s="161"/>
      <c r="E140" s="164">
        <v>10.69</v>
      </c>
      <c r="F140" s="162">
        <v>0</v>
      </c>
      <c r="G140" s="163">
        <f t="shared" si="29"/>
        <v>0</v>
      </c>
      <c r="H140" s="51"/>
      <c r="I140" s="22" t="s">
        <v>544</v>
      </c>
      <c r="J140" s="23" t="s">
        <v>545</v>
      </c>
      <c r="K140" s="24">
        <v>1</v>
      </c>
      <c r="L140" s="54"/>
      <c r="M140" s="29"/>
      <c r="N140" s="26">
        <v>30</v>
      </c>
      <c r="O140" s="43">
        <f t="shared" si="28"/>
        <v>0</v>
      </c>
      <c r="P140" s="55">
        <f t="shared" ref="P140:P147" si="30">M140*1</f>
        <v>0</v>
      </c>
      <c r="Q140"/>
    </row>
    <row r="141" spans="1:17" ht="42.4" customHeight="1">
      <c r="A141" s="190" t="s">
        <v>546</v>
      </c>
      <c r="B141" s="191" t="s">
        <v>547</v>
      </c>
      <c r="C141" s="161">
        <v>12</v>
      </c>
      <c r="D141" s="161"/>
      <c r="E141" s="164">
        <v>10.99</v>
      </c>
      <c r="F141" s="162">
        <v>0</v>
      </c>
      <c r="G141" s="163">
        <f t="shared" si="29"/>
        <v>0</v>
      </c>
      <c r="H141" s="51"/>
      <c r="I141" s="22" t="s">
        <v>548</v>
      </c>
      <c r="J141" s="23" t="s">
        <v>549</v>
      </c>
      <c r="K141" s="24">
        <v>1</v>
      </c>
      <c r="L141" s="54"/>
      <c r="M141" s="29"/>
      <c r="N141" s="26">
        <v>15</v>
      </c>
      <c r="O141" s="43">
        <f t="shared" si="28"/>
        <v>0</v>
      </c>
      <c r="P141" s="55">
        <f t="shared" si="30"/>
        <v>0</v>
      </c>
      <c r="Q141"/>
    </row>
    <row r="142" spans="1:17" ht="42.4" customHeight="1">
      <c r="A142" s="190" t="s">
        <v>550</v>
      </c>
      <c r="B142" s="191" t="s">
        <v>551</v>
      </c>
      <c r="C142" s="161">
        <v>12</v>
      </c>
      <c r="D142" s="161"/>
      <c r="E142" s="164">
        <v>10.99</v>
      </c>
      <c r="F142" s="162">
        <v>0</v>
      </c>
      <c r="G142" s="163">
        <f t="shared" si="29"/>
        <v>0</v>
      </c>
      <c r="H142" s="51"/>
      <c r="I142" s="22" t="s">
        <v>552</v>
      </c>
      <c r="J142" s="23" t="s">
        <v>553</v>
      </c>
      <c r="K142" s="24">
        <v>1</v>
      </c>
      <c r="L142" s="54"/>
      <c r="M142" s="29"/>
      <c r="N142" s="26">
        <v>6</v>
      </c>
      <c r="O142" s="43">
        <f t="shared" si="28"/>
        <v>0</v>
      </c>
      <c r="P142" s="55">
        <f t="shared" si="30"/>
        <v>0</v>
      </c>
      <c r="Q142"/>
    </row>
    <row r="143" spans="1:17">
      <c r="A143" s="160" t="s">
        <v>554</v>
      </c>
      <c r="B143" s="189" t="s">
        <v>555</v>
      </c>
      <c r="C143" s="161">
        <v>12</v>
      </c>
      <c r="D143" s="161"/>
      <c r="E143" s="164">
        <v>4.49</v>
      </c>
      <c r="F143" s="162">
        <f>SUM(E143*D143)</f>
        <v>0</v>
      </c>
      <c r="G143" s="163">
        <f t="shared" si="29"/>
        <v>0</v>
      </c>
      <c r="H143" s="51"/>
      <c r="I143" s="22" t="s">
        <v>556</v>
      </c>
      <c r="J143" s="23" t="s">
        <v>557</v>
      </c>
      <c r="K143" s="24">
        <v>1</v>
      </c>
      <c r="L143" s="54"/>
      <c r="M143" s="29"/>
      <c r="N143" s="26">
        <v>16</v>
      </c>
      <c r="O143" s="43">
        <f t="shared" si="28"/>
        <v>0</v>
      </c>
      <c r="P143" s="55">
        <f t="shared" si="30"/>
        <v>0</v>
      </c>
      <c r="Q143"/>
    </row>
    <row r="144" spans="1:17" ht="21.6" thickBot="1">
      <c r="A144" s="182" t="s">
        <v>558</v>
      </c>
      <c r="B144" s="193" t="s">
        <v>559</v>
      </c>
      <c r="C144" s="183">
        <v>12</v>
      </c>
      <c r="D144" s="183"/>
      <c r="E144" s="184">
        <v>4.49</v>
      </c>
      <c r="F144" s="185">
        <f>SUM(E144*D144)</f>
        <v>0</v>
      </c>
      <c r="G144" s="186">
        <f t="shared" si="29"/>
        <v>0</v>
      </c>
      <c r="H144" s="51"/>
      <c r="I144" s="22" t="s">
        <v>560</v>
      </c>
      <c r="J144" s="23" t="s">
        <v>561</v>
      </c>
      <c r="K144" s="24">
        <v>1</v>
      </c>
      <c r="L144" s="54"/>
      <c r="M144" s="29"/>
      <c r="N144" s="26">
        <v>7.7</v>
      </c>
      <c r="O144" s="43">
        <f t="shared" si="28"/>
        <v>0</v>
      </c>
      <c r="P144" s="55">
        <f t="shared" si="30"/>
        <v>0</v>
      </c>
      <c r="Q144"/>
    </row>
    <row r="145" spans="1:17" ht="21.6" thickBot="1">
      <c r="C145" s="166" t="s">
        <v>269</v>
      </c>
      <c r="D145" s="167">
        <f>SUM(D133:D144)</f>
        <v>0</v>
      </c>
      <c r="E145" s="192"/>
      <c r="F145" s="168">
        <f>SUM(F133:F144)</f>
        <v>0</v>
      </c>
      <c r="G145" s="165">
        <f>SUM(G133:G144)</f>
        <v>0</v>
      </c>
      <c r="H145" s="51"/>
      <c r="I145" s="22" t="s">
        <v>562</v>
      </c>
      <c r="J145" s="23" t="s">
        <v>563</v>
      </c>
      <c r="K145" s="24">
        <v>1</v>
      </c>
      <c r="L145" s="54"/>
      <c r="M145" s="29"/>
      <c r="N145" s="26">
        <v>10.4</v>
      </c>
      <c r="O145" s="43">
        <f t="shared" si="28"/>
        <v>0</v>
      </c>
      <c r="P145" s="55">
        <f t="shared" si="30"/>
        <v>0</v>
      </c>
      <c r="Q145"/>
    </row>
    <row r="146" spans="1:17" ht="21.6" thickBot="1">
      <c r="H146" s="51"/>
      <c r="I146" s="22" t="s">
        <v>564</v>
      </c>
      <c r="J146" s="23" t="s">
        <v>565</v>
      </c>
      <c r="K146" s="24">
        <v>1</v>
      </c>
      <c r="L146" s="54"/>
      <c r="M146" s="29"/>
      <c r="N146" s="26">
        <v>15.05</v>
      </c>
      <c r="O146" s="43">
        <f t="shared" si="28"/>
        <v>0</v>
      </c>
      <c r="P146" s="55">
        <f t="shared" si="30"/>
        <v>0</v>
      </c>
      <c r="Q146"/>
    </row>
    <row r="147" spans="1:17">
      <c r="A147" s="203" t="s">
        <v>566</v>
      </c>
      <c r="B147" s="204"/>
      <c r="C147" s="207">
        <f>SUM(F130,O69,O133,F145,O165)</f>
        <v>0</v>
      </c>
      <c r="H147" s="51"/>
      <c r="I147" s="121" t="s">
        <v>567</v>
      </c>
      <c r="J147" s="23" t="s">
        <v>568</v>
      </c>
      <c r="K147" s="24">
        <v>1</v>
      </c>
      <c r="L147" s="54"/>
      <c r="M147" s="29"/>
      <c r="N147" s="65">
        <v>108</v>
      </c>
      <c r="O147" s="43">
        <f>SUM(M147*N147)</f>
        <v>0</v>
      </c>
      <c r="P147" s="55">
        <f t="shared" si="30"/>
        <v>0</v>
      </c>
      <c r="Q147"/>
    </row>
    <row r="148" spans="1:17" ht="39" customHeight="1" thickBot="1">
      <c r="A148" s="205"/>
      <c r="B148" s="206"/>
      <c r="C148" s="208"/>
      <c r="H148" s="51"/>
      <c r="I148" s="22" t="s">
        <v>569</v>
      </c>
      <c r="J148" s="94" t="s">
        <v>570</v>
      </c>
      <c r="K148" s="24">
        <v>1</v>
      </c>
      <c r="L148" s="54"/>
      <c r="M148" s="29"/>
      <c r="N148" s="43">
        <v>25</v>
      </c>
      <c r="O148" s="43">
        <f t="shared" ref="O148:O163" si="31">SUM(N148*M148)</f>
        <v>0</v>
      </c>
      <c r="P148" s="55">
        <f t="shared" ref="P148:P153" si="32">M148*2</f>
        <v>0</v>
      </c>
      <c r="Q148"/>
    </row>
    <row r="149" spans="1:17" ht="39" customHeight="1">
      <c r="A149" s="203" t="s">
        <v>571</v>
      </c>
      <c r="B149" s="204"/>
      <c r="C149" s="216">
        <f>G130+P133+P69+P165+G145</f>
        <v>0</v>
      </c>
      <c r="H149" s="51"/>
      <c r="I149" s="22" t="s">
        <v>572</v>
      </c>
      <c r="J149" s="94" t="s">
        <v>573</v>
      </c>
      <c r="K149" s="24">
        <v>1</v>
      </c>
      <c r="L149" s="54"/>
      <c r="M149" s="29"/>
      <c r="N149" s="43">
        <v>35</v>
      </c>
      <c r="O149" s="43">
        <f t="shared" si="31"/>
        <v>0</v>
      </c>
      <c r="P149" s="55">
        <f t="shared" si="32"/>
        <v>0</v>
      </c>
      <c r="Q149"/>
    </row>
    <row r="150" spans="1:17" ht="39" customHeight="1" thickBot="1">
      <c r="A150" s="205"/>
      <c r="B150" s="206"/>
      <c r="C150" s="217"/>
      <c r="H150" s="51"/>
      <c r="I150" s="22" t="s">
        <v>574</v>
      </c>
      <c r="J150" s="94" t="s">
        <v>575</v>
      </c>
      <c r="K150" s="24">
        <v>10</v>
      </c>
      <c r="L150" s="54"/>
      <c r="M150" s="29"/>
      <c r="N150" s="43">
        <v>80</v>
      </c>
      <c r="O150" s="43">
        <f>SUM(N150*M150)</f>
        <v>0</v>
      </c>
      <c r="P150" s="55">
        <f>M150*2</f>
        <v>0</v>
      </c>
      <c r="Q150"/>
    </row>
    <row r="151" spans="1:17" ht="27" customHeight="1">
      <c r="A151" s="203" t="s">
        <v>576</v>
      </c>
      <c r="B151" s="204"/>
      <c r="C151" s="216">
        <f>D130+M165+M69+D145</f>
        <v>0</v>
      </c>
      <c r="H151" s="51"/>
      <c r="I151" s="22" t="s">
        <v>577</v>
      </c>
      <c r="J151" s="94" t="s">
        <v>578</v>
      </c>
      <c r="K151" s="24">
        <v>1</v>
      </c>
      <c r="L151" s="54"/>
      <c r="M151" s="29"/>
      <c r="N151" s="43">
        <v>16</v>
      </c>
      <c r="O151" s="43">
        <f t="shared" si="31"/>
        <v>0</v>
      </c>
      <c r="P151" s="55">
        <f t="shared" si="32"/>
        <v>0</v>
      </c>
      <c r="Q151"/>
    </row>
    <row r="152" spans="1:17" ht="21.6" thickBot="1">
      <c r="A152" s="205"/>
      <c r="B152" s="206"/>
      <c r="C152" s="217"/>
      <c r="H152" s="51"/>
      <c r="I152" s="22" t="s">
        <v>579</v>
      </c>
      <c r="J152" s="94" t="s">
        <v>580</v>
      </c>
      <c r="K152" s="24">
        <v>1</v>
      </c>
      <c r="L152" s="54"/>
      <c r="M152" s="29"/>
      <c r="N152" s="26">
        <v>6</v>
      </c>
      <c r="O152" s="43">
        <f t="shared" si="31"/>
        <v>0</v>
      </c>
      <c r="P152" s="55">
        <f t="shared" si="32"/>
        <v>0</v>
      </c>
      <c r="Q152"/>
    </row>
    <row r="153" spans="1:17">
      <c r="H153" s="51"/>
      <c r="I153" s="22" t="s">
        <v>581</v>
      </c>
      <c r="J153" s="94" t="s">
        <v>582</v>
      </c>
      <c r="K153" s="24">
        <v>1</v>
      </c>
      <c r="L153" s="54"/>
      <c r="M153" s="29"/>
      <c r="N153" s="26">
        <v>5</v>
      </c>
      <c r="O153" s="43">
        <f t="shared" si="31"/>
        <v>0</v>
      </c>
      <c r="P153" s="55">
        <f t="shared" si="32"/>
        <v>0</v>
      </c>
      <c r="Q153"/>
    </row>
    <row r="154" spans="1:17">
      <c r="H154" s="51"/>
      <c r="I154" s="22" t="s">
        <v>583</v>
      </c>
      <c r="J154" s="94" t="s">
        <v>584</v>
      </c>
      <c r="K154" s="24">
        <v>1</v>
      </c>
      <c r="L154" s="54"/>
      <c r="M154" s="29"/>
      <c r="N154" s="26">
        <v>1.4</v>
      </c>
      <c r="O154" s="43">
        <f t="shared" si="31"/>
        <v>0</v>
      </c>
      <c r="P154" s="55">
        <f>M154*3</f>
        <v>0</v>
      </c>
      <c r="Q154"/>
    </row>
    <row r="155" spans="1:17">
      <c r="H155" s="51"/>
      <c r="I155" s="22" t="s">
        <v>585</v>
      </c>
      <c r="J155" s="94" t="s">
        <v>586</v>
      </c>
      <c r="K155" s="24">
        <v>24</v>
      </c>
      <c r="L155" s="54"/>
      <c r="M155" s="29"/>
      <c r="N155" s="26">
        <v>39</v>
      </c>
      <c r="O155" s="43">
        <f t="shared" si="31"/>
        <v>0</v>
      </c>
      <c r="P155" s="55">
        <f>M155*3</f>
        <v>0</v>
      </c>
      <c r="Q155"/>
    </row>
    <row r="156" spans="1:17" ht="30" customHeight="1">
      <c r="H156" s="51"/>
      <c r="I156" s="22" t="s">
        <v>587</v>
      </c>
      <c r="J156" s="23" t="s">
        <v>588</v>
      </c>
      <c r="K156" s="24">
        <v>1</v>
      </c>
      <c r="L156" s="54"/>
      <c r="M156" s="29"/>
      <c r="N156" s="26">
        <v>32.950000000000003</v>
      </c>
      <c r="O156" s="43">
        <f t="shared" si="31"/>
        <v>0</v>
      </c>
      <c r="P156" s="55">
        <f>M156*5</f>
        <v>0</v>
      </c>
      <c r="Q156"/>
    </row>
    <row r="157" spans="1:17" ht="18" customHeight="1">
      <c r="H157" s="51"/>
      <c r="I157" s="22" t="s">
        <v>589</v>
      </c>
      <c r="J157" s="23" t="s">
        <v>590</v>
      </c>
      <c r="K157" s="24">
        <v>1</v>
      </c>
      <c r="L157" s="54"/>
      <c r="M157" s="29"/>
      <c r="N157" s="26">
        <v>12.5</v>
      </c>
      <c r="O157" s="43">
        <f t="shared" si="31"/>
        <v>0</v>
      </c>
      <c r="P157" s="55">
        <f>M157*5</f>
        <v>0</v>
      </c>
      <c r="Q157"/>
    </row>
    <row r="158" spans="1:17" ht="37.9" customHeight="1">
      <c r="H158" s="51"/>
      <c r="I158" s="22" t="s">
        <v>591</v>
      </c>
      <c r="J158" s="23" t="s">
        <v>592</v>
      </c>
      <c r="K158" s="24">
        <v>1</v>
      </c>
      <c r="L158" s="54"/>
      <c r="M158" s="29"/>
      <c r="N158" s="26">
        <v>1</v>
      </c>
      <c r="O158" s="43">
        <f t="shared" si="31"/>
        <v>0</v>
      </c>
      <c r="P158" s="55">
        <f t="shared" ref="P158:P164" si="33">M158*1</f>
        <v>0</v>
      </c>
      <c r="Q158"/>
    </row>
    <row r="159" spans="1:17" ht="34.9" customHeight="1">
      <c r="H159" s="51"/>
      <c r="I159" s="22" t="s">
        <v>593</v>
      </c>
      <c r="J159" s="23" t="s">
        <v>594</v>
      </c>
      <c r="K159" s="24">
        <v>1</v>
      </c>
      <c r="L159" s="54"/>
      <c r="M159" s="29"/>
      <c r="N159" s="26">
        <v>5</v>
      </c>
      <c r="O159" s="43">
        <f t="shared" si="31"/>
        <v>0</v>
      </c>
      <c r="P159" s="55">
        <f t="shared" si="33"/>
        <v>0</v>
      </c>
      <c r="Q159"/>
    </row>
    <row r="160" spans="1:17">
      <c r="H160" s="51"/>
      <c r="I160" s="22" t="s">
        <v>593</v>
      </c>
      <c r="J160" s="23" t="s">
        <v>595</v>
      </c>
      <c r="K160" s="24">
        <v>1</v>
      </c>
      <c r="L160" s="54"/>
      <c r="M160" s="29"/>
      <c r="N160" s="26">
        <v>5</v>
      </c>
      <c r="O160" s="43">
        <f t="shared" si="31"/>
        <v>0</v>
      </c>
      <c r="P160" s="55">
        <f t="shared" si="33"/>
        <v>0</v>
      </c>
      <c r="Q160"/>
    </row>
    <row r="161" spans="8:17">
      <c r="H161" s="51"/>
      <c r="I161" s="22" t="s">
        <v>596</v>
      </c>
      <c r="J161" s="23" t="s">
        <v>597</v>
      </c>
      <c r="K161" s="24">
        <v>1</v>
      </c>
      <c r="L161" s="54"/>
      <c r="M161" s="29"/>
      <c r="N161" s="26">
        <v>3.5</v>
      </c>
      <c r="O161" s="43">
        <f t="shared" si="31"/>
        <v>0</v>
      </c>
      <c r="P161" s="55">
        <f t="shared" si="33"/>
        <v>0</v>
      </c>
      <c r="Q161"/>
    </row>
    <row r="162" spans="8:17">
      <c r="H162" s="51"/>
      <c r="I162" s="22" t="s">
        <v>598</v>
      </c>
      <c r="J162" s="23" t="s">
        <v>599</v>
      </c>
      <c r="K162" s="24">
        <v>1</v>
      </c>
      <c r="L162" s="54"/>
      <c r="M162" s="29"/>
      <c r="N162" s="26">
        <v>3.75</v>
      </c>
      <c r="O162" s="43">
        <f t="shared" si="31"/>
        <v>0</v>
      </c>
      <c r="P162" s="55">
        <f t="shared" si="33"/>
        <v>0</v>
      </c>
      <c r="Q162"/>
    </row>
    <row r="163" spans="8:17">
      <c r="H163" s="51"/>
      <c r="I163" s="22" t="s">
        <v>600</v>
      </c>
      <c r="J163" s="23" t="s">
        <v>601</v>
      </c>
      <c r="K163" s="24">
        <v>1</v>
      </c>
      <c r="L163" s="57"/>
      <c r="M163" s="29"/>
      <c r="N163" s="46">
        <v>20</v>
      </c>
      <c r="O163" s="58">
        <f t="shared" si="31"/>
        <v>0</v>
      </c>
      <c r="P163" s="55">
        <f t="shared" si="33"/>
        <v>0</v>
      </c>
      <c r="Q163"/>
    </row>
    <row r="164" spans="8:17" ht="42" customHeight="1" thickBot="1">
      <c r="H164" s="51"/>
      <c r="I164" s="47" t="s">
        <v>602</v>
      </c>
      <c r="J164" s="38" t="s">
        <v>603</v>
      </c>
      <c r="K164" s="59">
        <v>1</v>
      </c>
      <c r="L164" s="57"/>
      <c r="M164" s="73"/>
      <c r="N164" s="46">
        <v>12</v>
      </c>
      <c r="O164" s="74">
        <f>L164*0.41</f>
        <v>0</v>
      </c>
      <c r="P164" s="60">
        <f t="shared" si="33"/>
        <v>0</v>
      </c>
      <c r="Q164"/>
    </row>
    <row r="165" spans="8:17" ht="21.6" thickBot="1">
      <c r="K165" s="52"/>
      <c r="L165" s="75" t="s">
        <v>269</v>
      </c>
      <c r="M165" s="79">
        <f>SUM(M136:M164)</f>
        <v>0</v>
      </c>
      <c r="N165" s="77"/>
      <c r="O165" s="76">
        <f>SUM(O136:O164)</f>
        <v>0</v>
      </c>
      <c r="P165" s="78">
        <f>SUM(P136:P164)</f>
        <v>0</v>
      </c>
      <c r="Q165"/>
    </row>
    <row r="166" spans="8:17" ht="49.9" customHeight="1">
      <c r="K166" s="52"/>
      <c r="L166" s="5"/>
      <c r="N166" s="5"/>
    </row>
    <row r="170" spans="8:17" ht="21" customHeight="1"/>
    <row r="171" spans="8:17" ht="25.9">
      <c r="I171" s="61"/>
      <c r="J171" s="61"/>
    </row>
    <row r="172" spans="8:17" ht="22.15" customHeight="1"/>
    <row r="173" spans="8:17" ht="22.15" customHeight="1"/>
    <row r="174" spans="8:17" ht="21" customHeight="1"/>
    <row r="175" spans="8:17" ht="22.15" customHeight="1"/>
    <row r="181" spans="17:17">
      <c r="Q181"/>
    </row>
    <row r="186" spans="17:17" ht="42" customHeight="1"/>
    <row r="188" spans="17:17" ht="40.9" customHeight="1"/>
    <row r="190" spans="17:17" ht="21" customHeight="1"/>
    <row r="191" spans="17:17" ht="22.15" customHeight="1"/>
    <row r="192" spans="17:17" ht="21" customHeight="1"/>
    <row r="193" ht="21" customHeight="1"/>
    <row r="194" ht="21" customHeight="1"/>
    <row r="195" ht="22.5" customHeight="1"/>
    <row r="196" ht="42.75" customHeight="1"/>
    <row r="197" ht="21" customHeight="1"/>
    <row r="206" ht="18" customHeight="1"/>
    <row r="208" ht="34.5" customHeight="1"/>
  </sheetData>
  <mergeCells count="19">
    <mergeCell ref="C149:C150"/>
    <mergeCell ref="I134:P134"/>
    <mergeCell ref="A151:B152"/>
    <mergeCell ref="C151:C152"/>
    <mergeCell ref="I70:P70"/>
    <mergeCell ref="A149:B150"/>
    <mergeCell ref="A1:E1"/>
    <mergeCell ref="A2:B2"/>
    <mergeCell ref="C2:E2"/>
    <mergeCell ref="I2:O3"/>
    <mergeCell ref="A3:B3"/>
    <mergeCell ref="C3:E3"/>
    <mergeCell ref="A4:B4"/>
    <mergeCell ref="C4:E4"/>
    <mergeCell ref="A5:G5"/>
    <mergeCell ref="I5:P5"/>
    <mergeCell ref="A147:B148"/>
    <mergeCell ref="C147:C148"/>
    <mergeCell ref="A131:G131"/>
  </mergeCells>
  <phoneticPr fontId="13" type="noConversion"/>
  <conditionalFormatting sqref="A7:G129">
    <cfRule type="expression" dxfId="3" priority="13" stopIfTrue="1">
      <formula>$D7&gt;0</formula>
    </cfRule>
  </conditionalFormatting>
  <conditionalFormatting sqref="A133:G144">
    <cfRule type="expression" dxfId="2" priority="4">
      <formula>$D133&gt;0</formula>
    </cfRule>
  </conditionalFormatting>
  <conditionalFormatting sqref="I7:P21 I22:N27 O22:P29 L28:N29 I28:J30 L30:P30 I31:P68 I72:P132 I136:P164">
    <cfRule type="expression" dxfId="1" priority="12" stopIfTrue="1">
      <formula>$M7&gt;0</formula>
    </cfRule>
  </conditionalFormatting>
  <conditionalFormatting sqref="K28:K30">
    <cfRule type="expression" dxfId="0" priority="15" stopIfTrue="1">
      <formula>$M27&gt;0</formula>
    </cfRule>
  </conditionalFormatting>
  <pageMargins left="0.98425196850393704" right="0.98425196850393704" top="0.98425196850393704" bottom="0.98425196850393704" header="0.51181102362204722" footer="0.51181102362204722"/>
  <pageSetup paperSize="9" scale="21" fitToHeight="2" orientation="portrait" r:id="rId1"/>
  <ignoredErrors>
    <ignoredError sqref="P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Saf</dc:creator>
  <cp:keywords/>
  <dc:description/>
  <cp:lastModifiedBy/>
  <cp:revision/>
  <dcterms:created xsi:type="dcterms:W3CDTF">2017-05-29T17:11:30Z</dcterms:created>
  <dcterms:modified xsi:type="dcterms:W3CDTF">2025-03-24T14:43:49Z</dcterms:modified>
  <cp:category/>
  <cp:contentStatus/>
</cp:coreProperties>
</file>