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Esther\Desktop\My Projects\Data Analytics\"/>
    </mc:Choice>
  </mc:AlternateContent>
  <xr:revisionPtr revIDLastSave="0" documentId="8_{40D2A88F-3FD0-45E8-BF29-5F6D3895F1D8}" xr6:coauthVersionLast="47" xr6:coauthVersionMax="47" xr10:uidLastSave="{00000000-0000-0000-0000-000000000000}"/>
  <bookViews>
    <workbookView xWindow="-108" yWindow="-108" windowWidth="23256" windowHeight="12456" activeTab="2" xr2:uid="{BCE64C4F-A7B2-411A-A9BF-D7BB2C6F11BB}"/>
  </bookViews>
  <sheets>
    <sheet name="Dataset" sheetId="1" r:id="rId1"/>
    <sheet name="Calculations" sheetId="2" r:id="rId2"/>
    <sheet name="Dashboard" sheetId="4" r:id="rId3"/>
  </sheets>
  <definedNames>
    <definedName name="_xlchart.v5.0" hidden="1">Calculations!$K$21</definedName>
    <definedName name="_xlchart.v5.1" hidden="1">Calculations!$K$22:$K$27</definedName>
    <definedName name="_xlchart.v5.2" hidden="1">Calculations!$L$21</definedName>
    <definedName name="_xlchart.v5.3" hidden="1">Calculations!$L$22:$L$27</definedName>
    <definedName name="_xlchart.v5.4" hidden="1">Calculations!$K$21</definedName>
    <definedName name="_xlchart.v5.5" hidden="1">Calculations!$K$22:$K$27</definedName>
    <definedName name="_xlchart.v5.6" hidden="1">Calculations!$L$21</definedName>
    <definedName name="_xlchart.v5.7" hidden="1">Calculations!$L$22:$L$27</definedName>
    <definedName name="_xlcn.WorksheetConnection_businessdata.xlsxTable11" hidden="1">Table1[]</definedName>
    <definedName name="Customers">Calculations!$H$6</definedName>
    <definedName name="Profits">Calculations!$H$7</definedName>
    <definedName name="Sales">Calculations!$H$5</definedName>
    <definedName name="Slicer_Quarter">#N/A</definedName>
    <definedName name="Target">Calculations!$H$8</definedName>
  </definedNames>
  <calcPr calcId="191029" concurrentCalc="0"/>
  <pivotCaches>
    <pivotCache cacheId="516" r:id="rId4"/>
    <pivotCache cacheId="519" r:id="rId5"/>
    <pivotCache cacheId="522" r:id="rId6"/>
    <pivotCache cacheId="525" r:id="rId7"/>
    <pivotCache cacheId="528" r:id="rId8"/>
    <pivotCache cacheId="531" r:id="rId9"/>
    <pivotCache cacheId="534" r:id="rId10"/>
    <pivotCache cacheId="537" r:id="rId11"/>
  </pivotCaches>
  <extLst>
    <ext xmlns:x14="http://schemas.microsoft.com/office/spreadsheetml/2009/9/main" uri="{876F7934-8845-4945-9796-88D515C7AA90}">
      <x14:pivotCaches>
        <pivotCache cacheId="297"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usiness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2" l="1"/>
  <c r="I89" i="2"/>
  <c r="H89" i="2"/>
  <c r="I87" i="2"/>
  <c r="H87" i="2"/>
  <c r="I86" i="2"/>
  <c r="H86" i="2"/>
  <c r="I85" i="2"/>
  <c r="H85" i="2"/>
  <c r="I84" i="2"/>
  <c r="H84" i="2"/>
  <c r="I83" i="2"/>
  <c r="H83" i="2"/>
  <c r="I82" i="2"/>
  <c r="H82" i="2"/>
  <c r="I81" i="2"/>
  <c r="H81" i="2"/>
  <c r="I80" i="2"/>
  <c r="H80" i="2"/>
  <c r="I79" i="2"/>
  <c r="H79" i="2"/>
  <c r="I78" i="2"/>
  <c r="H78" i="2"/>
  <c r="I77" i="2"/>
  <c r="H77" i="2"/>
  <c r="I76" i="2"/>
  <c r="H76" i="2"/>
  <c r="H69" i="2"/>
  <c r="H68" i="2"/>
  <c r="H67" i="2"/>
  <c r="H66" i="2"/>
  <c r="I59" i="2"/>
  <c r="H59" i="2"/>
  <c r="I58" i="2"/>
  <c r="H58" i="2"/>
  <c r="I57" i="2"/>
  <c r="H57" i="2"/>
  <c r="I56" i="2"/>
  <c r="H56" i="2"/>
  <c r="I55" i="2"/>
  <c r="H55" i="2"/>
  <c r="H49" i="2"/>
  <c r="H47" i="2"/>
  <c r="H46" i="2"/>
  <c r="H45" i="2"/>
  <c r="H44" i="2"/>
  <c r="H43" i="2"/>
  <c r="H42" i="2"/>
  <c r="H41" i="2"/>
  <c r="H40" i="2"/>
  <c r="H39" i="2"/>
  <c r="H38" i="2"/>
  <c r="H37" i="2"/>
  <c r="H36" i="2"/>
  <c r="H28" i="2"/>
  <c r="H27" i="2"/>
  <c r="H26" i="2"/>
  <c r="H25" i="2"/>
  <c r="H19" i="2"/>
  <c r="H20" i="2"/>
  <c r="H16" i="2"/>
  <c r="H17" i="2"/>
  <c r="H13" i="2"/>
  <c r="H14" i="2"/>
  <c r="H8" i="2"/>
  <c r="H7" i="2"/>
  <c r="H6" i="2"/>
  <c r="H5" i="2"/>
  <c r="D64" i="1"/>
  <c r="C64" i="1"/>
  <c r="B64" i="1"/>
  <c r="D63" i="1"/>
  <c r="C63" i="1"/>
  <c r="B63" i="1"/>
  <c r="D62" i="1"/>
  <c r="C62" i="1"/>
  <c r="B62" i="1"/>
  <c r="D61" i="1"/>
  <c r="C61" i="1"/>
  <c r="B61" i="1"/>
  <c r="D60" i="1"/>
  <c r="C60" i="1"/>
  <c r="B60" i="1"/>
  <c r="D59" i="1"/>
  <c r="C59" i="1"/>
  <c r="B59" i="1"/>
  <c r="D58" i="1"/>
  <c r="C58" i="1"/>
  <c r="B58" i="1"/>
  <c r="D57" i="1"/>
  <c r="C57" i="1"/>
  <c r="B57" i="1"/>
  <c r="D56" i="1"/>
  <c r="C56" i="1"/>
  <c r="B56" i="1"/>
  <c r="D55" i="1"/>
  <c r="C55" i="1"/>
  <c r="B55" i="1"/>
  <c r="D54" i="1"/>
  <c r="C54" i="1"/>
  <c r="B54" i="1"/>
  <c r="D53" i="1"/>
  <c r="C53" i="1"/>
  <c r="B53" i="1"/>
  <c r="D52" i="1"/>
  <c r="C52" i="1"/>
  <c r="B52" i="1"/>
  <c r="D51" i="1"/>
  <c r="C51" i="1"/>
  <c r="B51" i="1"/>
  <c r="D50" i="1"/>
  <c r="C50" i="1"/>
  <c r="B50" i="1"/>
  <c r="D49" i="1"/>
  <c r="C49" i="1"/>
  <c r="B49" i="1"/>
  <c r="D48" i="1"/>
  <c r="C48" i="1"/>
  <c r="B48" i="1"/>
  <c r="D47" i="1"/>
  <c r="C47" i="1"/>
  <c r="B47" i="1"/>
  <c r="D46" i="1"/>
  <c r="C46" i="1"/>
  <c r="B46" i="1"/>
  <c r="D45" i="1"/>
  <c r="C45" i="1"/>
  <c r="B45" i="1"/>
  <c r="D44" i="1"/>
  <c r="C44" i="1"/>
  <c r="B44" i="1"/>
  <c r="D43" i="1"/>
  <c r="C43" i="1"/>
  <c r="B43" i="1"/>
  <c r="D42" i="1"/>
  <c r="C42" i="1"/>
  <c r="B42" i="1"/>
  <c r="D41" i="1"/>
  <c r="C41" i="1"/>
  <c r="B41" i="1"/>
  <c r="D40" i="1"/>
  <c r="C40" i="1"/>
  <c r="B40" i="1"/>
  <c r="D39" i="1"/>
  <c r="C39" i="1"/>
  <c r="B39" i="1"/>
  <c r="D38" i="1"/>
  <c r="C38" i="1"/>
  <c r="B38" i="1"/>
  <c r="D37" i="1"/>
  <c r="C37" i="1"/>
  <c r="B37" i="1"/>
  <c r="D36" i="1"/>
  <c r="C36" i="1"/>
  <c r="B36" i="1"/>
  <c r="D35" i="1"/>
  <c r="C35" i="1"/>
  <c r="B35" i="1"/>
  <c r="D34" i="1"/>
  <c r="C34" i="1"/>
  <c r="B34" i="1"/>
  <c r="D33" i="1"/>
  <c r="C33" i="1"/>
  <c r="B33" i="1"/>
  <c r="D32" i="1"/>
  <c r="C32" i="1"/>
  <c r="B32" i="1"/>
  <c r="D31" i="1"/>
  <c r="C31" i="1"/>
  <c r="B31" i="1"/>
  <c r="D30" i="1"/>
  <c r="C30" i="1"/>
  <c r="B30" i="1"/>
  <c r="D29" i="1"/>
  <c r="C29" i="1"/>
  <c r="B29" i="1"/>
  <c r="D28" i="1"/>
  <c r="C28" i="1"/>
  <c r="B28" i="1"/>
  <c r="D27" i="1"/>
  <c r="C27" i="1"/>
  <c r="B27" i="1"/>
  <c r="D26" i="1"/>
  <c r="C26" i="1"/>
  <c r="B26" i="1"/>
  <c r="D25" i="1"/>
  <c r="C25" i="1"/>
  <c r="B25" i="1"/>
  <c r="D24" i="1"/>
  <c r="C24" i="1"/>
  <c r="B24" i="1"/>
  <c r="D23" i="1"/>
  <c r="C23" i="1"/>
  <c r="B23" i="1"/>
  <c r="D22" i="1"/>
  <c r="C22" i="1"/>
  <c r="B22" i="1"/>
  <c r="D21" i="1"/>
  <c r="C21" i="1"/>
  <c r="B21" i="1"/>
  <c r="D20" i="1"/>
  <c r="C20" i="1"/>
  <c r="B20" i="1"/>
  <c r="D19" i="1"/>
  <c r="C19" i="1"/>
  <c r="B19" i="1"/>
  <c r="D18" i="1"/>
  <c r="C18" i="1"/>
  <c r="B18" i="1"/>
  <c r="D17" i="1"/>
  <c r="C17" i="1"/>
  <c r="B17" i="1"/>
  <c r="D16" i="1"/>
  <c r="C16" i="1"/>
  <c r="B16" i="1"/>
  <c r="D15" i="1"/>
  <c r="C15" i="1"/>
  <c r="B15" i="1"/>
  <c r="D14" i="1"/>
  <c r="C14" i="1"/>
  <c r="B14" i="1"/>
  <c r="D13" i="1"/>
  <c r="C13" i="1"/>
  <c r="B13" i="1"/>
  <c r="D12" i="1"/>
  <c r="C12" i="1"/>
  <c r="B12" i="1"/>
  <c r="D11" i="1"/>
  <c r="C11" i="1"/>
  <c r="B11" i="1"/>
  <c r="D10" i="1"/>
  <c r="C10" i="1"/>
  <c r="B10" i="1"/>
  <c r="D9" i="1"/>
  <c r="C9" i="1"/>
  <c r="B9" i="1"/>
  <c r="D8" i="1"/>
  <c r="C8" i="1"/>
  <c r="B8" i="1"/>
  <c r="D7" i="1"/>
  <c r="C7" i="1"/>
  <c r="B7" i="1"/>
  <c r="D6" i="1"/>
  <c r="C6" i="1"/>
  <c r="B6" i="1"/>
  <c r="D5" i="1"/>
  <c r="C5" i="1"/>
  <c r="B5" i="1"/>
  <c r="D4" i="1"/>
  <c r="C4" i="1"/>
  <c r="B4" i="1"/>
  <c r="D3" i="1"/>
  <c r="C3" i="1"/>
  <c r="B3" i="1"/>
  <c r="D2" i="1"/>
  <c r="C2"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6AA95B-BB42-4546-8CB5-5791492260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93C26E9-6922-4A6A-891C-935D0FE8A074}" name="WorksheetConnection_business data.xlsx!Table1" type="102" refreshedVersion="8" minRefreshableVersion="5">
    <extLst>
      <ext xmlns:x15="http://schemas.microsoft.com/office/spreadsheetml/2010/11/main" uri="{DE250136-89BD-433C-8126-D09CA5730AF9}">
        <x15:connection id="Table1" autoDelete="1">
          <x15:rangePr sourceName="_xlcn.WorksheetConnection_businessdata.xlsxTable11"/>
        </x15:connection>
      </ext>
    </extLst>
  </connection>
</connections>
</file>

<file path=xl/sharedStrings.xml><?xml version="1.0" encoding="utf-8"?>
<sst xmlns="http://schemas.openxmlformats.org/spreadsheetml/2006/main" count="354" uniqueCount="74">
  <si>
    <t>Date</t>
  </si>
  <si>
    <t>Region</t>
  </si>
  <si>
    <t>Sales</t>
  </si>
  <si>
    <t>Profit</t>
  </si>
  <si>
    <t>Target Sales</t>
  </si>
  <si>
    <t>No of Customers</t>
  </si>
  <si>
    <t>Sales Completion Rate</t>
  </si>
  <si>
    <t>Profit Completion Rate</t>
  </si>
  <si>
    <t>Customer Completion Rate</t>
  </si>
  <si>
    <t>Country</t>
  </si>
  <si>
    <t>Customer Satisfaction</t>
  </si>
  <si>
    <t>East</t>
  </si>
  <si>
    <t>Argentina</t>
  </si>
  <si>
    <t>Speed</t>
  </si>
  <si>
    <t>West</t>
  </si>
  <si>
    <t>Colombia</t>
  </si>
  <si>
    <t>Quality</t>
  </si>
  <si>
    <t>South</t>
  </si>
  <si>
    <t>Brazil</t>
  </si>
  <si>
    <t>Hygiene</t>
  </si>
  <si>
    <t>Ecuador</t>
  </si>
  <si>
    <t>Peru</t>
  </si>
  <si>
    <t>Service</t>
  </si>
  <si>
    <t>North</t>
  </si>
  <si>
    <t>Availability</t>
  </si>
  <si>
    <t>Month</t>
  </si>
  <si>
    <t>Year</t>
  </si>
  <si>
    <t>Quarter</t>
  </si>
  <si>
    <t>Number</t>
  </si>
  <si>
    <t>Grand Total</t>
  </si>
  <si>
    <t>Sum of Profit</t>
  </si>
  <si>
    <t>Row Labels</t>
  </si>
  <si>
    <t>Sum of Target Sales</t>
  </si>
  <si>
    <t>Sum of Sales</t>
  </si>
  <si>
    <t>Sum of No of Customers</t>
  </si>
  <si>
    <t>Key Performance Indicators</t>
  </si>
  <si>
    <t>Customers</t>
  </si>
  <si>
    <t>Profits</t>
  </si>
  <si>
    <t>Values</t>
  </si>
  <si>
    <t>Average of Sales Completion Rate</t>
  </si>
  <si>
    <t>Average of Profit Completion Rate</t>
  </si>
  <si>
    <t>Average of Customer Completion Rate</t>
  </si>
  <si>
    <t>Completion Rate</t>
  </si>
  <si>
    <t>Sales CR</t>
  </si>
  <si>
    <t>Balance</t>
  </si>
  <si>
    <t>Profit CR</t>
  </si>
  <si>
    <t>Customer CR</t>
  </si>
  <si>
    <t xml:space="preserve">Balance </t>
  </si>
  <si>
    <t>Sum of Score</t>
  </si>
  <si>
    <t>Rating</t>
  </si>
  <si>
    <t>May</t>
  </si>
  <si>
    <t>Oct</t>
  </si>
  <si>
    <t>Mar</t>
  </si>
  <si>
    <t>Jul</t>
  </si>
  <si>
    <t>Apr</t>
  </si>
  <si>
    <t>Nov</t>
  </si>
  <si>
    <t>Jan</t>
  </si>
  <si>
    <t>Jun</t>
  </si>
  <si>
    <t>Aug</t>
  </si>
  <si>
    <t>Dec</t>
  </si>
  <si>
    <t>Feb</t>
  </si>
  <si>
    <t>Sep</t>
  </si>
  <si>
    <t>No. of Customers by Month</t>
  </si>
  <si>
    <t>Sales By Country</t>
  </si>
  <si>
    <t>No. of Customers</t>
  </si>
  <si>
    <t>Profit Vs. Sales By Region</t>
  </si>
  <si>
    <t>Sales by Region</t>
  </si>
  <si>
    <t>Sales Vs. Target by Month</t>
  </si>
  <si>
    <t>Percentage</t>
  </si>
  <si>
    <t xml:space="preserve">East </t>
  </si>
  <si>
    <t>Product Quality</t>
  </si>
  <si>
    <t>Service Quality</t>
  </si>
  <si>
    <t>Total Sales</t>
  </si>
  <si>
    <t>Actual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</si>
</sst>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0,&quot;k&quot;"/>
    <numFmt numFmtId="166" formatCode="0,&quot;K&quot;"/>
  </numFmts>
  <fonts count="4" x14ac:knownFonts="1">
    <font>
      <sz val="11"/>
      <color theme="1"/>
      <name val="Aptos Narrow"/>
      <family val="2"/>
      <scheme val="minor"/>
    </font>
    <font>
      <b/>
      <sz val="11"/>
      <color theme="0"/>
      <name val="Aptos Narrow"/>
      <family val="2"/>
      <scheme val="minor"/>
    </font>
    <font>
      <sz val="11"/>
      <color theme="0"/>
      <name val="Aptos Narrow"/>
      <family val="2"/>
      <scheme val="minor"/>
    </font>
    <font>
      <b/>
      <sz val="12"/>
      <color theme="1"/>
      <name val="Bahnschrift"/>
      <family val="2"/>
    </font>
  </fonts>
  <fills count="6">
    <fill>
      <patternFill patternType="none"/>
    </fill>
    <fill>
      <patternFill patternType="gray125"/>
    </fill>
    <fill>
      <patternFill patternType="solid">
        <fgColor theme="1"/>
        <bgColor theme="1"/>
      </patternFill>
    </fill>
    <fill>
      <patternFill patternType="solid">
        <fgColor theme="9" tint="-0.249977111117893"/>
        <bgColor indexed="64"/>
      </patternFill>
    </fill>
    <fill>
      <patternFill patternType="solid">
        <fgColor theme="1"/>
        <bgColor indexed="64"/>
      </patternFill>
    </fill>
    <fill>
      <patternFill patternType="solid">
        <fgColor rgb="FF00B05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14" fontId="0" fillId="0" borderId="0" xfId="0" applyNumberFormat="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0" fontId="0" fillId="4" borderId="0" xfId="0" applyFill="1"/>
    <xf numFmtId="10" fontId="0" fillId="0" borderId="0" xfId="0" applyNumberFormat="1"/>
    <xf numFmtId="0" fontId="2" fillId="3" borderId="1" xfId="0" applyFont="1" applyFill="1" applyBorder="1"/>
    <xf numFmtId="0" fontId="2" fillId="4" borderId="2" xfId="0" applyFont="1" applyFill="1" applyBorder="1"/>
    <xf numFmtId="0" fontId="0" fillId="0" borderId="3" xfId="0" applyBorder="1"/>
    <xf numFmtId="0" fontId="0" fillId="0" borderId="4" xfId="0" applyBorder="1"/>
    <xf numFmtId="10" fontId="0" fillId="0" borderId="4" xfId="0" applyNumberFormat="1" applyBorder="1"/>
    <xf numFmtId="0" fontId="0" fillId="0" borderId="5" xfId="0" applyBorder="1"/>
    <xf numFmtId="10" fontId="0" fillId="0" borderId="6" xfId="0" applyNumberFormat="1" applyBorder="1"/>
    <xf numFmtId="164" fontId="0" fillId="0" borderId="4" xfId="0" applyNumberFormat="1" applyBorder="1"/>
    <xf numFmtId="164" fontId="0" fillId="0" borderId="6" xfId="0" applyNumberFormat="1" applyBorder="1"/>
    <xf numFmtId="0" fontId="3" fillId="0" borderId="0" xfId="0" applyFont="1"/>
    <xf numFmtId="3" fontId="0" fillId="0" borderId="0" xfId="0" applyNumberFormat="1"/>
    <xf numFmtId="165" fontId="0" fillId="0" borderId="0" xfId="0" applyNumberFormat="1"/>
    <xf numFmtId="0" fontId="1" fillId="2" borderId="0" xfId="0" applyFont="1" applyFill="1" applyAlignment="1">
      <alignment horizontal="left"/>
    </xf>
    <xf numFmtId="44" fontId="0" fillId="0" borderId="0" xfId="0" pivotButton="1" applyNumberFormat="1"/>
    <xf numFmtId="44" fontId="0" fillId="0" borderId="0" xfId="0" applyNumberFormat="1" applyAlignment="1">
      <alignment horizontal="left"/>
    </xf>
    <xf numFmtId="0" fontId="2" fillId="5" borderId="2" xfId="0" applyFont="1" applyFill="1" applyBorder="1"/>
    <xf numFmtId="44" fontId="1" fillId="2" borderId="0" xfId="0" applyNumberFormat="1" applyFont="1" applyFill="1" applyAlignment="1">
      <alignment horizontal="left"/>
    </xf>
    <xf numFmtId="3" fontId="0" fillId="0" borderId="4" xfId="0" applyNumberFormat="1" applyBorder="1"/>
    <xf numFmtId="166" fontId="0" fillId="0" borderId="0" xfId="0" applyNumberFormat="1"/>
    <xf numFmtId="0" fontId="0" fillId="0" borderId="0" xfId="0" applyNumberFormat="1"/>
  </cellXfs>
  <cellStyles count="1">
    <cellStyle name="Normal" xfId="0" builtinId="0"/>
  </cellStyles>
  <dxfs count="6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0,&quot;K&quot;"/>
    </dxf>
    <dxf>
      <numFmt numFmtId="165" formatCode="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0,&quot;K&quot;"/>
    </dxf>
    <dxf>
      <numFmt numFmtId="165" formatCode="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0,&quot;K&quot;"/>
    </dxf>
    <dxf>
      <numFmt numFmtId="165" formatCode="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0,&quot;K&quot;"/>
    </dxf>
    <dxf>
      <numFmt numFmtId="165" formatCode="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 formatCode="#,##0"/>
    </dxf>
    <dxf>
      <numFmt numFmtId="166" formatCode="0,&quot;K&quo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0,&quot;k&quot;"/>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9" formatCode="m/d/yyyy"/>
    </dxf>
    <dxf>
      <numFmt numFmtId="19" formatCode="m/d/yyyy"/>
    </dxf>
    <dxf>
      <numFmt numFmtId="19" formatCode="m/d/yyyy"/>
    </dxf>
    <dxf>
      <numFmt numFmtId="19" formatCode="m/d/yyyy"/>
    </dxf>
  </dxfs>
  <tableStyles count="0" defaultTableStyle="TableStyleMedium2" defaultPivotStyle="PivotStyleLight16"/>
  <colors>
    <mruColors>
      <color rgb="FF235B01"/>
      <color rgb="FF497C1E"/>
      <color rgb="FFB8DC8C"/>
      <color rgb="FF73A942"/>
      <color rgb="FF538D22"/>
      <color rgb="FF65AC2A"/>
      <color rgb="FFAAD576"/>
      <color rgb="FF1A4301"/>
      <color rgb="FF496C2A"/>
      <color rgb="FF3D94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335875097487685E-2"/>
          <c:y val="0.45656849571032149"/>
          <c:w val="0.8830210545354672"/>
          <c:h val="0.47635344081144598"/>
        </c:manualLayout>
      </c:layout>
      <c:barChart>
        <c:barDir val="bar"/>
        <c:grouping val="stacked"/>
        <c:varyColors val="0"/>
        <c:ser>
          <c:idx val="0"/>
          <c:order val="0"/>
          <c:tx>
            <c:strRef>
              <c:f>Calculations!$G$13</c:f>
              <c:strCache>
                <c:ptCount val="1"/>
                <c:pt idx="0">
                  <c:v>Sales CR</c:v>
                </c:pt>
              </c:strCache>
            </c:strRef>
          </c:tx>
          <c:spPr>
            <a:solidFill>
              <a:srgbClr val="245501"/>
            </a:solidFill>
            <a:ln>
              <a:noFill/>
            </a:ln>
            <a:effectLst/>
          </c:spPr>
          <c:invertIfNegative val="0"/>
          <c:dLbls>
            <c:dLbl>
              <c:idx val="0"/>
              <c:layout>
                <c:manualLayout>
                  <c:x val="0.37118913375031221"/>
                  <c:y val="-0.26317834477399299"/>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lumMod val="75000"/>
                          <a:lumOff val="25000"/>
                        </a:sys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25-4E51-B82D-09333A52A0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Calculations!$H$13</c:f>
              <c:numCache>
                <c:formatCode>0.00%</c:formatCode>
                <c:ptCount val="1"/>
                <c:pt idx="0">
                  <c:v>0.85555555555555551</c:v>
                </c:pt>
              </c:numCache>
            </c:numRef>
          </c:val>
          <c:extLst>
            <c:ext xmlns:c16="http://schemas.microsoft.com/office/drawing/2014/chart" uri="{C3380CC4-5D6E-409C-BE32-E72D297353CC}">
              <c16:uniqueId val="{00000001-C025-4E51-B82D-09333A52A05F}"/>
            </c:ext>
          </c:extLst>
        </c:ser>
        <c:ser>
          <c:idx val="1"/>
          <c:order val="1"/>
          <c:tx>
            <c:strRef>
              <c:f>Calculations!$G$14</c:f>
              <c:strCache>
                <c:ptCount val="1"/>
                <c:pt idx="0">
                  <c:v>Balance</c:v>
                </c:pt>
              </c:strCache>
            </c:strRef>
          </c:tx>
          <c:spPr>
            <a:solidFill>
              <a:srgbClr val="73A942"/>
            </a:solidFill>
            <a:ln>
              <a:noFill/>
            </a:ln>
            <a:effectLst/>
          </c:spPr>
          <c:invertIfNegative val="0"/>
          <c:val>
            <c:numRef>
              <c:f>Calculations!$H$14</c:f>
              <c:numCache>
                <c:formatCode>0.00%</c:formatCode>
                <c:ptCount val="1"/>
                <c:pt idx="0">
                  <c:v>0.14444444444444449</c:v>
                </c:pt>
              </c:numCache>
            </c:numRef>
          </c:val>
          <c:extLst>
            <c:ext xmlns:c16="http://schemas.microsoft.com/office/drawing/2014/chart" uri="{C3380CC4-5D6E-409C-BE32-E72D297353CC}">
              <c16:uniqueId val="{00000002-C025-4E51-B82D-09333A52A05F}"/>
            </c:ext>
          </c:extLst>
        </c:ser>
        <c:dLbls>
          <c:showLegendKey val="0"/>
          <c:showVal val="0"/>
          <c:showCatName val="0"/>
          <c:showSerName val="0"/>
          <c:showPercent val="0"/>
          <c:showBubbleSize val="0"/>
        </c:dLbls>
        <c:gapWidth val="150"/>
        <c:overlap val="100"/>
        <c:axId val="805607168"/>
        <c:axId val="805613888"/>
      </c:barChart>
      <c:catAx>
        <c:axId val="805607168"/>
        <c:scaling>
          <c:orientation val="minMax"/>
        </c:scaling>
        <c:delete val="1"/>
        <c:axPos val="l"/>
        <c:numFmt formatCode="General" sourceLinked="1"/>
        <c:majorTickMark val="none"/>
        <c:minorTickMark val="none"/>
        <c:tickLblPos val="nextTo"/>
        <c:crossAx val="805613888"/>
        <c:crosses val="autoZero"/>
        <c:auto val="1"/>
        <c:lblAlgn val="ctr"/>
        <c:lblOffset val="100"/>
        <c:noMultiLvlLbl val="0"/>
      </c:catAx>
      <c:valAx>
        <c:axId val="805613888"/>
        <c:scaling>
          <c:orientation val="minMax"/>
          <c:max val="1"/>
          <c:min val="0"/>
        </c:scaling>
        <c:delete val="1"/>
        <c:axPos val="b"/>
        <c:numFmt formatCode="0.00%" sourceLinked="1"/>
        <c:majorTickMark val="none"/>
        <c:minorTickMark val="none"/>
        <c:tickLblPos val="nextTo"/>
        <c:crossAx val="805607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71098049161464E-2"/>
          <c:y val="0.46929005184901246"/>
          <c:w val="0.86857825567502989"/>
          <c:h val="0.51219512195121952"/>
        </c:manualLayout>
      </c:layout>
      <c:barChart>
        <c:barDir val="bar"/>
        <c:grouping val="percentStacked"/>
        <c:varyColors val="0"/>
        <c:ser>
          <c:idx val="0"/>
          <c:order val="0"/>
          <c:tx>
            <c:strRef>
              <c:f>Calculations!$G$16</c:f>
              <c:strCache>
                <c:ptCount val="1"/>
                <c:pt idx="0">
                  <c:v>Profit CR</c:v>
                </c:pt>
              </c:strCache>
            </c:strRef>
          </c:tx>
          <c:spPr>
            <a:solidFill>
              <a:schemeClr val="accent1"/>
            </a:solidFill>
            <a:ln>
              <a:noFill/>
            </a:ln>
            <a:effectLst/>
          </c:spPr>
          <c:invertIfNegative val="0"/>
          <c:dPt>
            <c:idx val="0"/>
            <c:invertIfNegative val="0"/>
            <c:bubble3D val="0"/>
            <c:spPr>
              <a:solidFill>
                <a:srgbClr val="245501"/>
              </a:solidFill>
              <a:ln>
                <a:noFill/>
              </a:ln>
              <a:effectLst/>
            </c:spPr>
            <c:extLst>
              <c:ext xmlns:c16="http://schemas.microsoft.com/office/drawing/2014/chart" uri="{C3380CC4-5D6E-409C-BE32-E72D297353CC}">
                <c16:uniqueId val="{00000001-F3C2-4A55-B9B1-06FE4A22DFB4}"/>
              </c:ext>
            </c:extLst>
          </c:dPt>
          <c:dLbls>
            <c:dLbl>
              <c:idx val="0"/>
              <c:layout>
                <c:manualLayout>
                  <c:x val="0.39241171685793091"/>
                  <c:y val="-0.262662658623681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7316684022385834"/>
                      <c:h val="0.33038589770873233"/>
                    </c:manualLayout>
                  </c15:layout>
                </c:ext>
                <c:ext xmlns:c16="http://schemas.microsoft.com/office/drawing/2014/chart" uri="{C3380CC4-5D6E-409C-BE32-E72D297353CC}">
                  <c16:uniqueId val="{00000001-F3C2-4A55-B9B1-06FE4A22DF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Calculations!$H$16</c:f>
              <c:numCache>
                <c:formatCode>0.00%</c:formatCode>
                <c:ptCount val="1"/>
                <c:pt idx="0">
                  <c:v>0.85492063492063486</c:v>
                </c:pt>
              </c:numCache>
            </c:numRef>
          </c:val>
          <c:extLst>
            <c:ext xmlns:c16="http://schemas.microsoft.com/office/drawing/2014/chart" uri="{C3380CC4-5D6E-409C-BE32-E72D297353CC}">
              <c16:uniqueId val="{00000002-F3C2-4A55-B9B1-06FE4A22DFB4}"/>
            </c:ext>
          </c:extLst>
        </c:ser>
        <c:ser>
          <c:idx val="1"/>
          <c:order val="1"/>
          <c:tx>
            <c:strRef>
              <c:f>Calculations!$G$17</c:f>
              <c:strCache>
                <c:ptCount val="1"/>
                <c:pt idx="0">
                  <c:v>Balance</c:v>
                </c:pt>
              </c:strCache>
            </c:strRef>
          </c:tx>
          <c:spPr>
            <a:solidFill>
              <a:srgbClr val="73A942"/>
            </a:solidFill>
            <a:ln>
              <a:noFill/>
            </a:ln>
            <a:effectLst/>
          </c:spPr>
          <c:invertIfNegative val="0"/>
          <c:dLbls>
            <c:delete val="1"/>
          </c:dLbls>
          <c:val>
            <c:numRef>
              <c:f>Calculations!$H$17</c:f>
              <c:numCache>
                <c:formatCode>0.00%</c:formatCode>
                <c:ptCount val="1"/>
                <c:pt idx="0">
                  <c:v>0.14507936507936514</c:v>
                </c:pt>
              </c:numCache>
            </c:numRef>
          </c:val>
          <c:extLst>
            <c:ext xmlns:c16="http://schemas.microsoft.com/office/drawing/2014/chart" uri="{C3380CC4-5D6E-409C-BE32-E72D297353CC}">
              <c16:uniqueId val="{00000003-F3C2-4A55-B9B1-06FE4A22DFB4}"/>
            </c:ext>
          </c:extLst>
        </c:ser>
        <c:dLbls>
          <c:dLblPos val="ctr"/>
          <c:showLegendKey val="0"/>
          <c:showVal val="1"/>
          <c:showCatName val="0"/>
          <c:showSerName val="0"/>
          <c:showPercent val="0"/>
          <c:showBubbleSize val="0"/>
        </c:dLbls>
        <c:gapWidth val="150"/>
        <c:overlap val="100"/>
        <c:axId val="805578368"/>
        <c:axId val="805579328"/>
      </c:barChart>
      <c:catAx>
        <c:axId val="805578368"/>
        <c:scaling>
          <c:orientation val="minMax"/>
        </c:scaling>
        <c:delete val="1"/>
        <c:axPos val="l"/>
        <c:numFmt formatCode="General" sourceLinked="1"/>
        <c:majorTickMark val="none"/>
        <c:minorTickMark val="none"/>
        <c:tickLblPos val="nextTo"/>
        <c:crossAx val="805579328"/>
        <c:crosses val="autoZero"/>
        <c:auto val="1"/>
        <c:lblAlgn val="ctr"/>
        <c:lblOffset val="100"/>
        <c:noMultiLvlLbl val="0"/>
      </c:catAx>
      <c:valAx>
        <c:axId val="805579328"/>
        <c:scaling>
          <c:orientation val="minMax"/>
          <c:min val="0"/>
        </c:scaling>
        <c:delete val="1"/>
        <c:axPos val="b"/>
        <c:numFmt formatCode="0%" sourceLinked="1"/>
        <c:majorTickMark val="none"/>
        <c:minorTickMark val="none"/>
        <c:tickLblPos val="nextTo"/>
        <c:crossAx val="805578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714419270358874E-3"/>
          <c:y val="2.1290693637175621E-2"/>
          <c:w val="0.86095139636322426"/>
          <c:h val="0.78602289539781878"/>
        </c:manualLayout>
      </c:layout>
      <c:barChart>
        <c:barDir val="bar"/>
        <c:grouping val="stacked"/>
        <c:varyColors val="0"/>
        <c:ser>
          <c:idx val="0"/>
          <c:order val="0"/>
          <c:tx>
            <c:strRef>
              <c:f>Calculations!$G$19</c:f>
              <c:strCache>
                <c:ptCount val="1"/>
                <c:pt idx="0">
                  <c:v>Customer CR</c:v>
                </c:pt>
              </c:strCache>
            </c:strRef>
          </c:tx>
          <c:spPr>
            <a:solidFill>
              <a:srgbClr val="245501"/>
            </a:solidFill>
            <a:ln>
              <a:noFill/>
            </a:ln>
            <a:effectLst/>
          </c:spPr>
          <c:invertIfNegative val="0"/>
          <c:dLbls>
            <c:dLbl>
              <c:idx val="0"/>
              <c:layout>
                <c:manualLayout>
                  <c:x val="0.48826776529248012"/>
                  <c:y val="-0.3692495331417377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4E4730F-624A-45C1-984C-96B42F0F87C3}" type="VALUE">
                      <a:rPr lang="en-US" sz="900" b="1"/>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4598262757871877"/>
                      <c:h val="0.23769968568743721"/>
                    </c:manualLayout>
                  </c15:layout>
                  <c15:dlblFieldTable/>
                  <c15:showDataLabelsRange val="0"/>
                </c:ext>
                <c:ext xmlns:c16="http://schemas.microsoft.com/office/drawing/2014/chart" uri="{C3380CC4-5D6E-409C-BE32-E72D297353CC}">
                  <c16:uniqueId val="{00000000-D706-459F-B187-89AEC579F68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Calculations!$H$19</c:f>
              <c:numCache>
                <c:formatCode>0.00%</c:formatCode>
                <c:ptCount val="1"/>
                <c:pt idx="0">
                  <c:v>0.84476190476190471</c:v>
                </c:pt>
              </c:numCache>
            </c:numRef>
          </c:val>
          <c:extLst>
            <c:ext xmlns:c16="http://schemas.microsoft.com/office/drawing/2014/chart" uri="{C3380CC4-5D6E-409C-BE32-E72D297353CC}">
              <c16:uniqueId val="{00000001-D706-459F-B187-89AEC579F682}"/>
            </c:ext>
          </c:extLst>
        </c:ser>
        <c:ser>
          <c:idx val="1"/>
          <c:order val="1"/>
          <c:tx>
            <c:strRef>
              <c:f>Calculations!$G$20</c:f>
              <c:strCache>
                <c:ptCount val="1"/>
                <c:pt idx="0">
                  <c:v>Balance </c:v>
                </c:pt>
              </c:strCache>
            </c:strRef>
          </c:tx>
          <c:spPr>
            <a:solidFill>
              <a:srgbClr val="73A942"/>
            </a:solidFill>
            <a:ln>
              <a:noFill/>
            </a:ln>
            <a:effectLst/>
          </c:spPr>
          <c:invertIfNegative val="0"/>
          <c:dLbls>
            <c:delete val="1"/>
          </c:dLbls>
          <c:val>
            <c:numRef>
              <c:f>Calculations!$H$20</c:f>
              <c:numCache>
                <c:formatCode>0.00%</c:formatCode>
                <c:ptCount val="1"/>
                <c:pt idx="0">
                  <c:v>0.15523809523809529</c:v>
                </c:pt>
              </c:numCache>
            </c:numRef>
          </c:val>
          <c:extLst>
            <c:ext xmlns:c16="http://schemas.microsoft.com/office/drawing/2014/chart" uri="{C3380CC4-5D6E-409C-BE32-E72D297353CC}">
              <c16:uniqueId val="{00000002-D706-459F-B187-89AEC579F682}"/>
            </c:ext>
          </c:extLst>
        </c:ser>
        <c:dLbls>
          <c:dLblPos val="ctr"/>
          <c:showLegendKey val="0"/>
          <c:showVal val="1"/>
          <c:showCatName val="0"/>
          <c:showSerName val="0"/>
          <c:showPercent val="0"/>
          <c:showBubbleSize val="0"/>
        </c:dLbls>
        <c:gapWidth val="150"/>
        <c:overlap val="100"/>
        <c:axId val="805574528"/>
        <c:axId val="805575488"/>
      </c:barChart>
      <c:catAx>
        <c:axId val="805574528"/>
        <c:scaling>
          <c:orientation val="minMax"/>
        </c:scaling>
        <c:delete val="1"/>
        <c:axPos val="l"/>
        <c:numFmt formatCode="General" sourceLinked="1"/>
        <c:majorTickMark val="none"/>
        <c:minorTickMark val="none"/>
        <c:tickLblPos val="nextTo"/>
        <c:crossAx val="805575488"/>
        <c:crosses val="autoZero"/>
        <c:auto val="1"/>
        <c:lblAlgn val="ctr"/>
        <c:lblOffset val="100"/>
        <c:noMultiLvlLbl val="0"/>
      </c:catAx>
      <c:valAx>
        <c:axId val="805575488"/>
        <c:scaling>
          <c:orientation val="minMax"/>
          <c:max val="1"/>
          <c:min val="0"/>
        </c:scaling>
        <c:delete val="1"/>
        <c:axPos val="b"/>
        <c:numFmt formatCode="0.00%" sourceLinked="1"/>
        <c:majorTickMark val="none"/>
        <c:minorTickMark val="none"/>
        <c:tickLblPos val="nextTo"/>
        <c:crossAx val="805574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Customer Performance Tracker dashboard.xlsx]Calculations!PivotTable9</c:name>
    <c:fmtId val="22"/>
  </c:pivotSource>
  <c:chart>
    <c:title>
      <c:tx>
        <c:rich>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Bahnschrift" panose="020B0502040204020203" pitchFamily="34" charset="0"/>
                <a:ea typeface="+mn-ea"/>
                <a:cs typeface="+mn-cs"/>
              </a:defRPr>
            </a:pPr>
            <a:r>
              <a:rPr lang="en-US" sz="1200" b="1" i="0" u="none" strike="noStrike" baseline="0"/>
              <a:t>Sales vs. Target Performance (Monthly)</a:t>
            </a:r>
            <a:endParaRPr lang="en-US" sz="1200" b="1" i="0" u="none" strike="noStrike" kern="1200" spc="0" baseline="0">
              <a:solidFill>
                <a:sysClr val="windowText" lastClr="000000">
                  <a:lumMod val="65000"/>
                  <a:lumOff val="35000"/>
                </a:sysClr>
              </a:solidFill>
              <a:latin typeface="Bahnschrift" panose="020B0502040204020203" pitchFamily="34" charset="0"/>
              <a:ea typeface="+mn-ea"/>
              <a:cs typeface="+mn-cs"/>
            </a:endParaRPr>
          </a:p>
        </c:rich>
      </c:tx>
      <c:layout>
        <c:manualLayout>
          <c:xMode val="edge"/>
          <c:yMode val="edge"/>
          <c:x val="0.17246004566210046"/>
          <c:y val="2.3791113948594265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rgbClr val="AAD5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38D22"/>
            </a:solidFill>
            <a:round/>
            <a:head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AD5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38D22"/>
            </a:solidFill>
            <a:round/>
            <a:head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AAD5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538D22"/>
            </a:solidFill>
            <a:round/>
            <a:head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34742746197818E-2"/>
          <c:y val="8.4910600963611943E-2"/>
          <c:w val="0.93256525725380213"/>
          <c:h val="0.56085665348169511"/>
        </c:manualLayout>
      </c:layout>
      <c:lineChart>
        <c:grouping val="standard"/>
        <c:varyColors val="0"/>
        <c:ser>
          <c:idx val="0"/>
          <c:order val="0"/>
          <c:tx>
            <c:strRef>
              <c:f>Calculations!$B$76</c:f>
              <c:strCache>
                <c:ptCount val="1"/>
                <c:pt idx="0">
                  <c:v>Target Sales</c:v>
                </c:pt>
              </c:strCache>
            </c:strRef>
          </c:tx>
          <c:spPr>
            <a:ln w="28575" cap="rnd">
              <a:solidFill>
                <a:srgbClr val="AAD576"/>
              </a:solidFill>
              <a:round/>
            </a:ln>
            <a:effectLst/>
          </c:spPr>
          <c:marker>
            <c:symbol val="none"/>
          </c:marker>
          <c:cat>
            <c:strRef>
              <c:f>Calculations!$A$77:$A$89</c:f>
              <c:strCache>
                <c:ptCount val="12"/>
                <c:pt idx="0">
                  <c:v>Apr</c:v>
                </c:pt>
                <c:pt idx="1">
                  <c:v>Jun</c:v>
                </c:pt>
                <c:pt idx="2">
                  <c:v>May</c:v>
                </c:pt>
                <c:pt idx="3">
                  <c:v>Aug</c:v>
                </c:pt>
                <c:pt idx="4">
                  <c:v>Jul</c:v>
                </c:pt>
                <c:pt idx="5">
                  <c:v>Sep</c:v>
                </c:pt>
                <c:pt idx="6">
                  <c:v>Dec</c:v>
                </c:pt>
                <c:pt idx="7">
                  <c:v>Feb</c:v>
                </c:pt>
                <c:pt idx="8">
                  <c:v>Jan</c:v>
                </c:pt>
                <c:pt idx="9">
                  <c:v>Mar</c:v>
                </c:pt>
                <c:pt idx="10">
                  <c:v>Nov</c:v>
                </c:pt>
                <c:pt idx="11">
                  <c:v>Oct</c:v>
                </c:pt>
              </c:strCache>
            </c:strRef>
          </c:cat>
          <c:val>
            <c:numRef>
              <c:f>Calculations!$B$77:$B$89</c:f>
              <c:numCache>
                <c:formatCode>0,"K"</c:formatCode>
                <c:ptCount val="12"/>
                <c:pt idx="0">
                  <c:v>13571.428571428569</c:v>
                </c:pt>
                <c:pt idx="1">
                  <c:v>12999.999999999998</c:v>
                </c:pt>
                <c:pt idx="2">
                  <c:v>12571.285714285716</c:v>
                </c:pt>
                <c:pt idx="3">
                  <c:v>3428.5714285714316</c:v>
                </c:pt>
                <c:pt idx="4">
                  <c:v>20142.85714285713</c:v>
                </c:pt>
                <c:pt idx="5">
                  <c:v>9571.428571428567</c:v>
                </c:pt>
                <c:pt idx="6">
                  <c:v>3714.2857142857147</c:v>
                </c:pt>
                <c:pt idx="7">
                  <c:v>24285.28571428571</c:v>
                </c:pt>
                <c:pt idx="8">
                  <c:v>6000.0000000000009</c:v>
                </c:pt>
                <c:pt idx="9">
                  <c:v>9714.2857142857156</c:v>
                </c:pt>
                <c:pt idx="10">
                  <c:v>20857.142857142862</c:v>
                </c:pt>
                <c:pt idx="11">
                  <c:v>30142.428571428576</c:v>
                </c:pt>
              </c:numCache>
            </c:numRef>
          </c:val>
          <c:smooth val="1"/>
          <c:extLst>
            <c:ext xmlns:c16="http://schemas.microsoft.com/office/drawing/2014/chart" uri="{C3380CC4-5D6E-409C-BE32-E72D297353CC}">
              <c16:uniqueId val="{00000000-3CCF-41EF-802B-DAAF7577A6BA}"/>
            </c:ext>
          </c:extLst>
        </c:ser>
        <c:ser>
          <c:idx val="1"/>
          <c:order val="1"/>
          <c:tx>
            <c:strRef>
              <c:f>Calculations!$C$76</c:f>
              <c:strCache>
                <c:ptCount val="1"/>
                <c:pt idx="0">
                  <c:v>Actual Sales</c:v>
                </c:pt>
              </c:strCache>
            </c:strRef>
          </c:tx>
          <c:spPr>
            <a:ln w="28575" cap="rnd">
              <a:solidFill>
                <a:srgbClr val="538D22"/>
              </a:solidFill>
              <a:round/>
              <a:headEnd type="none"/>
            </a:ln>
            <a:effectLst/>
          </c:spPr>
          <c:marker>
            <c:symbol val="none"/>
          </c:marker>
          <c:cat>
            <c:strRef>
              <c:f>Calculations!$A$77:$A$89</c:f>
              <c:strCache>
                <c:ptCount val="12"/>
                <c:pt idx="0">
                  <c:v>Apr</c:v>
                </c:pt>
                <c:pt idx="1">
                  <c:v>Jun</c:v>
                </c:pt>
                <c:pt idx="2">
                  <c:v>May</c:v>
                </c:pt>
                <c:pt idx="3">
                  <c:v>Aug</c:v>
                </c:pt>
                <c:pt idx="4">
                  <c:v>Jul</c:v>
                </c:pt>
                <c:pt idx="5">
                  <c:v>Sep</c:v>
                </c:pt>
                <c:pt idx="6">
                  <c:v>Dec</c:v>
                </c:pt>
                <c:pt idx="7">
                  <c:v>Feb</c:v>
                </c:pt>
                <c:pt idx="8">
                  <c:v>Jan</c:v>
                </c:pt>
                <c:pt idx="9">
                  <c:v>Mar</c:v>
                </c:pt>
                <c:pt idx="10">
                  <c:v>Nov</c:v>
                </c:pt>
                <c:pt idx="11">
                  <c:v>Oct</c:v>
                </c:pt>
              </c:strCache>
            </c:strRef>
          </c:cat>
          <c:val>
            <c:numRef>
              <c:f>Calculations!$C$77:$C$89</c:f>
              <c:numCache>
                <c:formatCode>0,"K"</c:formatCode>
                <c:ptCount val="12"/>
                <c:pt idx="0">
                  <c:v>10400</c:v>
                </c:pt>
                <c:pt idx="1">
                  <c:v>13450</c:v>
                </c:pt>
                <c:pt idx="2">
                  <c:v>12995</c:v>
                </c:pt>
                <c:pt idx="3">
                  <c:v>17050</c:v>
                </c:pt>
                <c:pt idx="4">
                  <c:v>11000</c:v>
                </c:pt>
                <c:pt idx="5">
                  <c:v>3600</c:v>
                </c:pt>
                <c:pt idx="6">
                  <c:v>3800</c:v>
                </c:pt>
                <c:pt idx="7">
                  <c:v>11256</c:v>
                </c:pt>
                <c:pt idx="8">
                  <c:v>12900</c:v>
                </c:pt>
                <c:pt idx="9">
                  <c:v>11700</c:v>
                </c:pt>
                <c:pt idx="10">
                  <c:v>22481</c:v>
                </c:pt>
                <c:pt idx="11">
                  <c:v>26729</c:v>
                </c:pt>
              </c:numCache>
            </c:numRef>
          </c:val>
          <c:smooth val="1"/>
          <c:extLst>
            <c:ext xmlns:c16="http://schemas.microsoft.com/office/drawing/2014/chart" uri="{C3380CC4-5D6E-409C-BE32-E72D297353CC}">
              <c16:uniqueId val="{00000001-3CCF-41EF-802B-DAAF7577A6BA}"/>
            </c:ext>
          </c:extLst>
        </c:ser>
        <c:dLbls>
          <c:showLegendKey val="0"/>
          <c:showVal val="0"/>
          <c:showCatName val="0"/>
          <c:showSerName val="0"/>
          <c:showPercent val="0"/>
          <c:showBubbleSize val="0"/>
        </c:dLbls>
        <c:smooth val="0"/>
        <c:axId val="1037045552"/>
        <c:axId val="1037052272"/>
      </c:lineChart>
      <c:catAx>
        <c:axId val="103704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52272"/>
        <c:crosses val="autoZero"/>
        <c:auto val="1"/>
        <c:lblAlgn val="ctr"/>
        <c:lblOffset val="100"/>
        <c:noMultiLvlLbl val="0"/>
      </c:catAx>
      <c:valAx>
        <c:axId val="1037052272"/>
        <c:scaling>
          <c:orientation val="minMax"/>
          <c:max val="40000"/>
          <c:min val="0"/>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45552"/>
        <c:crosses val="autoZero"/>
        <c:crossBetween val="between"/>
      </c:valAx>
      <c:spPr>
        <a:noFill/>
        <a:ln>
          <a:noFill/>
        </a:ln>
        <a:effectLst/>
      </c:spPr>
    </c:plotArea>
    <c:legend>
      <c:legendPos val="b"/>
      <c:layout>
        <c:manualLayout>
          <c:xMode val="edge"/>
          <c:yMode val="edge"/>
          <c:x val="0.1746337144500773"/>
          <c:y val="0.82244156100205779"/>
          <c:w val="0.64217070254916764"/>
          <c:h val="0.107135903786674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Customer Performance Tracker dashboard.xlsx]Calculations!PivotTable6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latin typeface="Bahnschrift" panose="020B0502040204020203" pitchFamily="34" charset="0"/>
              </a:rPr>
              <a:t>Monthly Customer Count Trend</a:t>
            </a:r>
            <a:endParaRPr lang="en-US" sz="1200">
              <a:latin typeface="Bahnschrift" panose="020B0502040204020203" pitchFamily="34" charset="0"/>
            </a:endParaRPr>
          </a:p>
        </c:rich>
      </c:tx>
      <c:layout>
        <c:manualLayout>
          <c:xMode val="edge"/>
          <c:yMode val="edge"/>
          <c:x val="0.23945340526205849"/>
          <c:y val="6.81818181818181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3A9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3A942"/>
          </a:solidFill>
          <a:ln>
            <a:noFill/>
          </a:ln>
          <a:effectLst/>
        </c:spPr>
      </c:pivotFmt>
      <c:pivotFmt>
        <c:idx val="3"/>
        <c:spPr>
          <a:solidFill>
            <a:srgbClr val="73A9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3A9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3A942"/>
          </a:solidFill>
          <a:ln>
            <a:noFill/>
          </a:ln>
          <a:effectLst/>
        </c:spPr>
        <c:dLbl>
          <c:idx val="0"/>
          <c:layout>
            <c:manualLayout>
              <c:x val="-2.8835063437139563E-3"/>
              <c:y val="-0.310606060606060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3A942"/>
          </a:solidFill>
          <a:ln>
            <a:noFill/>
          </a:ln>
          <a:effectLst/>
        </c:spPr>
        <c:dLbl>
          <c:idx val="0"/>
          <c:layout>
            <c:manualLayout>
              <c:x val="-2.6431836141217977E-17"/>
              <c:y val="-9.8484848484848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3A942"/>
          </a:solidFill>
          <a:ln>
            <a:noFill/>
          </a:ln>
          <a:effectLst/>
        </c:spPr>
        <c:dLbl>
          <c:idx val="0"/>
          <c:layout>
            <c:manualLayout>
              <c:x val="2.8835063437139563E-3"/>
              <c:y val="-0.181818181818181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3A942"/>
          </a:solidFill>
          <a:ln>
            <a:noFill/>
          </a:ln>
          <a:effectLst/>
        </c:spPr>
        <c:dLbl>
          <c:idx val="0"/>
          <c:layout>
            <c:manualLayout>
              <c:x val="-2.8835063437139563E-3"/>
              <c:y val="-0.189393939393939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3A942"/>
          </a:solidFill>
          <a:ln>
            <a:noFill/>
          </a:ln>
          <a:effectLst/>
        </c:spPr>
        <c:dLbl>
          <c:idx val="0"/>
          <c:layout>
            <c:manualLayout>
              <c:x val="0"/>
              <c:y val="-0.196969696969697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3A942"/>
          </a:solidFill>
          <a:ln>
            <a:noFill/>
          </a:ln>
          <a:effectLst/>
        </c:spPr>
        <c:dLbl>
          <c:idx val="0"/>
          <c:layout>
            <c:manualLayout>
              <c:x val="5.2863672282435955E-17"/>
              <c:y val="-0.2272727272727272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3A942"/>
          </a:solidFill>
          <a:ln>
            <a:noFill/>
          </a:ln>
          <a:effectLst/>
        </c:spPr>
        <c:dLbl>
          <c:idx val="0"/>
          <c:layout>
            <c:manualLayout>
              <c:x val="2.8835063437139563E-3"/>
              <c:y val="-0.113636363636363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3A942"/>
          </a:solidFill>
          <a:ln>
            <a:noFill/>
          </a:ln>
          <a:effectLst/>
        </c:spPr>
        <c:dLbl>
          <c:idx val="0"/>
          <c:layout>
            <c:manualLayout>
              <c:x val="-2.8835063437139563E-3"/>
              <c:y val="-0.181818181818181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3A942"/>
          </a:solidFill>
          <a:ln>
            <a:noFill/>
          </a:ln>
          <a:effectLst/>
        </c:spPr>
        <c:dLbl>
          <c:idx val="0"/>
          <c:layout>
            <c:manualLayout>
              <c:x val="2.8835063437139563E-3"/>
              <c:y val="-9.09090909090909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3A942"/>
          </a:solidFill>
          <a:ln>
            <a:noFill/>
          </a:ln>
          <a:effectLst/>
        </c:spPr>
        <c:dLbl>
          <c:idx val="0"/>
          <c:layout>
            <c:manualLayout>
              <c:x val="0"/>
              <c:y val="-0.303030303030303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3A942"/>
          </a:solidFill>
          <a:ln>
            <a:noFill/>
          </a:ln>
          <a:effectLst/>
        </c:spPr>
        <c:dLbl>
          <c:idx val="0"/>
          <c:layout>
            <c:manualLayout>
              <c:x val="0"/>
              <c:y val="-0.318181818181818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73A942"/>
          </a:solidFill>
          <a:ln>
            <a:noFill/>
          </a:ln>
          <a:effectLst/>
        </c:spPr>
        <c:dLbl>
          <c:idx val="0"/>
          <c:layout>
            <c:manualLayout>
              <c:x val="5.7670126874279125E-3"/>
              <c:y val="-0.143939393939393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413880790852707E-2"/>
          <c:y val="0.14246241947029351"/>
          <c:w val="0.87298404308457977"/>
          <c:h val="0.64546647578143646"/>
        </c:manualLayout>
      </c:layout>
      <c:barChart>
        <c:barDir val="col"/>
        <c:grouping val="stacked"/>
        <c:varyColors val="0"/>
        <c:ser>
          <c:idx val="0"/>
          <c:order val="0"/>
          <c:tx>
            <c:strRef>
              <c:f>Calculations!$B$37</c:f>
              <c:strCache>
                <c:ptCount val="1"/>
                <c:pt idx="0">
                  <c:v>Total</c:v>
                </c:pt>
              </c:strCache>
            </c:strRef>
          </c:tx>
          <c:spPr>
            <a:solidFill>
              <a:srgbClr val="73A942"/>
            </a:solidFill>
            <a:ln>
              <a:noFill/>
            </a:ln>
            <a:effectLst/>
          </c:spPr>
          <c:invertIfNegative val="0"/>
          <c:dPt>
            <c:idx val="0"/>
            <c:invertIfNegative val="0"/>
            <c:bubble3D val="0"/>
            <c:extLst>
              <c:ext xmlns:c16="http://schemas.microsoft.com/office/drawing/2014/chart" uri="{C3380CC4-5D6E-409C-BE32-E72D297353CC}">
                <c16:uniqueId val="{00000002-B394-472C-895B-D179F6BEAD42}"/>
              </c:ext>
            </c:extLst>
          </c:dPt>
          <c:dPt>
            <c:idx val="1"/>
            <c:invertIfNegative val="0"/>
            <c:bubble3D val="0"/>
            <c:extLst>
              <c:ext xmlns:c16="http://schemas.microsoft.com/office/drawing/2014/chart" uri="{C3380CC4-5D6E-409C-BE32-E72D297353CC}">
                <c16:uniqueId val="{00000003-B394-472C-895B-D179F6BEAD42}"/>
              </c:ext>
            </c:extLst>
          </c:dPt>
          <c:dPt>
            <c:idx val="2"/>
            <c:invertIfNegative val="0"/>
            <c:bubble3D val="0"/>
            <c:extLst>
              <c:ext xmlns:c16="http://schemas.microsoft.com/office/drawing/2014/chart" uri="{C3380CC4-5D6E-409C-BE32-E72D297353CC}">
                <c16:uniqueId val="{00000004-B394-472C-895B-D179F6BEAD42}"/>
              </c:ext>
            </c:extLst>
          </c:dPt>
          <c:dPt>
            <c:idx val="3"/>
            <c:invertIfNegative val="0"/>
            <c:bubble3D val="0"/>
            <c:extLst>
              <c:ext xmlns:c16="http://schemas.microsoft.com/office/drawing/2014/chart" uri="{C3380CC4-5D6E-409C-BE32-E72D297353CC}">
                <c16:uniqueId val="{00000005-B394-472C-895B-D179F6BEAD42}"/>
              </c:ext>
            </c:extLst>
          </c:dPt>
          <c:dPt>
            <c:idx val="4"/>
            <c:invertIfNegative val="0"/>
            <c:bubble3D val="0"/>
            <c:extLst>
              <c:ext xmlns:c16="http://schemas.microsoft.com/office/drawing/2014/chart" uri="{C3380CC4-5D6E-409C-BE32-E72D297353CC}">
                <c16:uniqueId val="{00000006-B394-472C-895B-D179F6BEAD42}"/>
              </c:ext>
            </c:extLst>
          </c:dPt>
          <c:dPt>
            <c:idx val="5"/>
            <c:invertIfNegative val="0"/>
            <c:bubble3D val="0"/>
            <c:extLst>
              <c:ext xmlns:c16="http://schemas.microsoft.com/office/drawing/2014/chart" uri="{C3380CC4-5D6E-409C-BE32-E72D297353CC}">
                <c16:uniqueId val="{00000007-B394-472C-895B-D179F6BEAD42}"/>
              </c:ext>
            </c:extLst>
          </c:dPt>
          <c:dPt>
            <c:idx val="6"/>
            <c:invertIfNegative val="0"/>
            <c:bubble3D val="0"/>
            <c:extLst>
              <c:ext xmlns:c16="http://schemas.microsoft.com/office/drawing/2014/chart" uri="{C3380CC4-5D6E-409C-BE32-E72D297353CC}">
                <c16:uniqueId val="{00000008-B394-472C-895B-D179F6BEAD42}"/>
              </c:ext>
            </c:extLst>
          </c:dPt>
          <c:dPt>
            <c:idx val="7"/>
            <c:invertIfNegative val="0"/>
            <c:bubble3D val="0"/>
            <c:extLst>
              <c:ext xmlns:c16="http://schemas.microsoft.com/office/drawing/2014/chart" uri="{C3380CC4-5D6E-409C-BE32-E72D297353CC}">
                <c16:uniqueId val="{00000009-B394-472C-895B-D179F6BEAD42}"/>
              </c:ext>
            </c:extLst>
          </c:dPt>
          <c:dPt>
            <c:idx val="8"/>
            <c:invertIfNegative val="0"/>
            <c:bubble3D val="0"/>
            <c:extLst>
              <c:ext xmlns:c16="http://schemas.microsoft.com/office/drawing/2014/chart" uri="{C3380CC4-5D6E-409C-BE32-E72D297353CC}">
                <c16:uniqueId val="{0000000A-B394-472C-895B-D179F6BEAD42}"/>
              </c:ext>
            </c:extLst>
          </c:dPt>
          <c:dPt>
            <c:idx val="9"/>
            <c:invertIfNegative val="0"/>
            <c:bubble3D val="0"/>
            <c:extLst>
              <c:ext xmlns:c16="http://schemas.microsoft.com/office/drawing/2014/chart" uri="{C3380CC4-5D6E-409C-BE32-E72D297353CC}">
                <c16:uniqueId val="{0000000B-B394-472C-895B-D179F6BEAD42}"/>
              </c:ext>
            </c:extLst>
          </c:dPt>
          <c:dPt>
            <c:idx val="10"/>
            <c:invertIfNegative val="0"/>
            <c:bubble3D val="0"/>
            <c:extLst>
              <c:ext xmlns:c16="http://schemas.microsoft.com/office/drawing/2014/chart" uri="{C3380CC4-5D6E-409C-BE32-E72D297353CC}">
                <c16:uniqueId val="{0000000C-B394-472C-895B-D179F6BEAD42}"/>
              </c:ext>
            </c:extLst>
          </c:dPt>
          <c:dPt>
            <c:idx val="11"/>
            <c:invertIfNegative val="0"/>
            <c:bubble3D val="0"/>
            <c:extLst>
              <c:ext xmlns:c16="http://schemas.microsoft.com/office/drawing/2014/chart" uri="{C3380CC4-5D6E-409C-BE32-E72D297353CC}">
                <c16:uniqueId val="{0000000D-B394-472C-895B-D179F6BEAD42}"/>
              </c:ext>
            </c:extLst>
          </c:dPt>
          <c:dLbls>
            <c:dLbl>
              <c:idx val="0"/>
              <c:layout>
                <c:manualLayout>
                  <c:x val="-2.8835063437139563E-3"/>
                  <c:y val="-0.3106060606060606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94-472C-895B-D179F6BEAD42}"/>
                </c:ext>
              </c:extLst>
            </c:dLbl>
            <c:dLbl>
              <c:idx val="1"/>
              <c:layout>
                <c:manualLayout>
                  <c:x val="-2.6431836141217977E-17"/>
                  <c:y val="-9.8484848484848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94-472C-895B-D179F6BEAD42}"/>
                </c:ext>
              </c:extLst>
            </c:dLbl>
            <c:dLbl>
              <c:idx val="2"/>
              <c:layout>
                <c:manualLayout>
                  <c:x val="2.8835063437139563E-3"/>
                  <c:y val="-0.1818181818181818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94-472C-895B-D179F6BEAD42}"/>
                </c:ext>
              </c:extLst>
            </c:dLbl>
            <c:dLbl>
              <c:idx val="3"/>
              <c:layout>
                <c:manualLayout>
                  <c:x val="-2.8835063437139563E-3"/>
                  <c:y val="-0.189393939393939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94-472C-895B-D179F6BEAD42}"/>
                </c:ext>
              </c:extLst>
            </c:dLbl>
            <c:dLbl>
              <c:idx val="4"/>
              <c:layout>
                <c:manualLayout>
                  <c:x val="0"/>
                  <c:y val="-0.196969696969697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94-472C-895B-D179F6BEAD42}"/>
                </c:ext>
              </c:extLst>
            </c:dLbl>
            <c:dLbl>
              <c:idx val="5"/>
              <c:layout>
                <c:manualLayout>
                  <c:x val="5.2863672282435955E-17"/>
                  <c:y val="-0.227272727272727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94-472C-895B-D179F6BEAD42}"/>
                </c:ext>
              </c:extLst>
            </c:dLbl>
            <c:dLbl>
              <c:idx val="6"/>
              <c:layout>
                <c:manualLayout>
                  <c:x val="2.8835063437139563E-3"/>
                  <c:y val="-0.113636363636363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94-472C-895B-D179F6BEAD42}"/>
                </c:ext>
              </c:extLst>
            </c:dLbl>
            <c:dLbl>
              <c:idx val="7"/>
              <c:layout>
                <c:manualLayout>
                  <c:x val="-2.8835063437139563E-3"/>
                  <c:y val="-0.181818181818181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394-472C-895B-D179F6BEAD42}"/>
                </c:ext>
              </c:extLst>
            </c:dLbl>
            <c:dLbl>
              <c:idx val="8"/>
              <c:layout>
                <c:manualLayout>
                  <c:x val="2.8835063437139563E-3"/>
                  <c:y val="-9.09090909090909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394-472C-895B-D179F6BEAD42}"/>
                </c:ext>
              </c:extLst>
            </c:dLbl>
            <c:dLbl>
              <c:idx val="9"/>
              <c:layout>
                <c:manualLayout>
                  <c:x val="0"/>
                  <c:y val="-0.303030303030303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394-472C-895B-D179F6BEAD42}"/>
                </c:ext>
              </c:extLst>
            </c:dLbl>
            <c:dLbl>
              <c:idx val="10"/>
              <c:layout>
                <c:manualLayout>
                  <c:x val="0"/>
                  <c:y val="-0.318181818181818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394-472C-895B-D179F6BEAD42}"/>
                </c:ext>
              </c:extLst>
            </c:dLbl>
            <c:dLbl>
              <c:idx val="11"/>
              <c:layout>
                <c:manualLayout>
                  <c:x val="5.7670126874279125E-3"/>
                  <c:y val="-0.1439393939393939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394-472C-895B-D179F6BEAD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Calculations!$A$38:$A$50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Calculations!$B$38:$B$50</c:f>
              <c:numCache>
                <c:formatCode>General</c:formatCode>
                <c:ptCount val="12"/>
                <c:pt idx="0">
                  <c:v>1435</c:v>
                </c:pt>
                <c:pt idx="1">
                  <c:v>185</c:v>
                </c:pt>
                <c:pt idx="2">
                  <c:v>688</c:v>
                </c:pt>
                <c:pt idx="3">
                  <c:v>810</c:v>
                </c:pt>
                <c:pt idx="4">
                  <c:v>850</c:v>
                </c:pt>
                <c:pt idx="5">
                  <c:v>991</c:v>
                </c:pt>
                <c:pt idx="6">
                  <c:v>300</c:v>
                </c:pt>
                <c:pt idx="7">
                  <c:v>646</c:v>
                </c:pt>
                <c:pt idx="8">
                  <c:v>190</c:v>
                </c:pt>
                <c:pt idx="9">
                  <c:v>1450</c:v>
                </c:pt>
                <c:pt idx="10">
                  <c:v>1497</c:v>
                </c:pt>
                <c:pt idx="11">
                  <c:v>318</c:v>
                </c:pt>
              </c:numCache>
            </c:numRef>
          </c:val>
          <c:extLst>
            <c:ext xmlns:c16="http://schemas.microsoft.com/office/drawing/2014/chart" uri="{C3380CC4-5D6E-409C-BE32-E72D297353CC}">
              <c16:uniqueId val="{00000000-B394-472C-895B-D179F6BEAD42}"/>
            </c:ext>
          </c:extLst>
        </c:ser>
        <c:dLbls>
          <c:dLblPos val="ctr"/>
          <c:showLegendKey val="0"/>
          <c:showVal val="1"/>
          <c:showCatName val="0"/>
          <c:showSerName val="0"/>
          <c:showPercent val="0"/>
          <c:showBubbleSize val="0"/>
        </c:dLbls>
        <c:gapWidth val="150"/>
        <c:overlap val="100"/>
        <c:axId val="805587008"/>
        <c:axId val="805580768"/>
      </c:barChart>
      <c:catAx>
        <c:axId val="8055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80768"/>
        <c:crosses val="autoZero"/>
        <c:auto val="1"/>
        <c:lblAlgn val="ctr"/>
        <c:lblOffset val="100"/>
        <c:noMultiLvlLbl val="0"/>
      </c:catAx>
      <c:valAx>
        <c:axId val="805580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87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Customer Performance Tracker dashboard.xlsx]Calculations!PivotTable8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latin typeface="Bahnschrift" panose="020B0502040204020203" pitchFamily="34" charset="0"/>
              </a:rPr>
              <a:t>Sales Distribution by Region</a:t>
            </a:r>
          </a:p>
        </c:rich>
      </c:tx>
      <c:layout>
        <c:manualLayout>
          <c:xMode val="edge"/>
          <c:yMode val="edge"/>
          <c:x val="0.31793236671291081"/>
          <c:y val="0.122424253331542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layout>
            <c:manualLayout>
              <c:x val="-2.5000000000000001E-2"/>
              <c:y val="-0.1250000000000000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539654-DA89-4493-9ECA-5B65BAAAA0D0}" type="VALUE">
                  <a:rPr lang="en-US" b="1">
                    <a:latin typeface="Bahnschrift" panose="020B0502040204020203"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538D22"/>
          </a:solidFill>
          <a:ln w="19050">
            <a:solidFill>
              <a:schemeClr val="lt1"/>
            </a:solidFill>
          </a:ln>
          <a:effectLst/>
        </c:spPr>
        <c:dLbl>
          <c:idx val="0"/>
          <c:layout>
            <c:manualLayout>
              <c:x val="6.1111111111111109E-2"/>
              <c:y val="-8.79629629629629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2A8867-CCBA-4DBF-974E-CE98452CADD5}" type="VALUE">
                  <a:rPr lang="en-US" b="1">
                    <a:latin typeface="Bahnschrift" panose="020B0502040204020203"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B8DC8C"/>
          </a:solidFill>
          <a:ln w="19050">
            <a:solidFill>
              <a:schemeClr val="lt1"/>
            </a:solidFill>
          </a:ln>
          <a:effectLst/>
        </c:spPr>
        <c:dLbl>
          <c:idx val="0"/>
          <c:layout>
            <c:manualLayout>
              <c:x val="0.13333333333333322"/>
              <c:y val="5.555555555555555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5D8903-FEB9-4459-A56C-9CFAEA2C1436}" type="VALUE">
                  <a:rPr lang="en-US" b="1">
                    <a:latin typeface="Bahnschrift" panose="020B0502040204020203"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layout>
            <c:manualLayout>
              <c:x val="-6.6666666666666721E-2"/>
              <c:y val="7.4074074074073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B9D959-7997-4D69-A1E9-987B2FEA4CB1}" type="VALUE">
                  <a:rPr lang="en-US" b="1">
                    <a:latin typeface="Bahnschrift" panose="020B0502040204020203"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38D22"/>
          </a:solidFill>
          <a:ln w="19050">
            <a:solidFill>
              <a:schemeClr val="lt1"/>
            </a:solidFill>
          </a:ln>
          <a:effectLst/>
        </c:spPr>
        <c:dLbl>
          <c:idx val="0"/>
          <c:layout>
            <c:manualLayout>
              <c:x val="6.1111111111111109E-2"/>
              <c:y val="-8.79629629629629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2A8867-CCBA-4DBF-974E-CE98452CADD5}" type="VALUE">
                  <a:rPr lang="en-US" b="1">
                    <a:latin typeface="Bahnschrift" panose="020B0502040204020203"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B8DC8C"/>
          </a:solidFill>
          <a:ln w="19050">
            <a:solidFill>
              <a:schemeClr val="lt1"/>
            </a:solidFill>
          </a:ln>
          <a:effectLst/>
        </c:spPr>
        <c:dLbl>
          <c:idx val="0"/>
          <c:layout>
            <c:manualLayout>
              <c:x val="0.13333333333333322"/>
              <c:y val="5.555555555555555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5D8903-FEB9-4459-A56C-9CFAEA2C1436}" type="VALUE">
                  <a:rPr lang="en-US" b="1">
                    <a:latin typeface="Bahnschrift" panose="020B0502040204020203"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6.6666666666666721E-2"/>
              <c:y val="7.407407407407390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B9D959-7997-4D69-A1E9-987B2FEA4CB1}" type="VALUE">
                  <a:rPr lang="en-US" b="1">
                    <a:latin typeface="Bahnschrift" panose="020B0502040204020203"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92D050"/>
          </a:solidFill>
          <a:ln w="19050">
            <a:solidFill>
              <a:schemeClr val="lt1"/>
            </a:solidFill>
          </a:ln>
          <a:effectLst/>
        </c:spPr>
        <c:dLbl>
          <c:idx val="0"/>
          <c:layout>
            <c:manualLayout>
              <c:x val="-2.5000000000000001E-2"/>
              <c:y val="-0.1250000000000000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539654-DA89-4493-9ECA-5B65BAAAA0D0}" type="VALUE">
                  <a:rPr lang="en-US" b="1">
                    <a:latin typeface="Bahnschrift" panose="020B0502040204020203"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38D22"/>
          </a:solidFill>
          <a:ln w="19050">
            <a:solidFill>
              <a:schemeClr val="lt1"/>
            </a:solidFill>
          </a:ln>
          <a:effectLst/>
        </c:spPr>
        <c:dLbl>
          <c:idx val="0"/>
          <c:layout>
            <c:manualLayout>
              <c:x val="6.1111111111111109E-2"/>
              <c:y val="-8.79629629629629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2A8867-CCBA-4DBF-974E-CE98452CADD5}" type="VALUE">
                  <a:rPr lang="en-US" b="1">
                    <a:latin typeface="Bahnschrift" panose="020B0502040204020203" pitchFamily="34" charset="0"/>
                  </a:rPr>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rgbClr val="B8DC8C"/>
          </a:solidFill>
          <a:ln w="19050">
            <a:solidFill>
              <a:schemeClr val="lt1"/>
            </a:solidFill>
          </a:ln>
          <a:effectLst/>
        </c:spPr>
        <c:dLbl>
          <c:idx val="0"/>
          <c:layout>
            <c:manualLayout>
              <c:x val="0.11876456876456877"/>
              <c:y val="-6.820703723915713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5D8903-FEB9-4459-A56C-9CFAEA2C1436}" type="VALUE">
                  <a:rPr lang="en-US" b="1">
                    <a:latin typeface="Bahnschrift" panose="020B0502040204020203" pitchFamily="34" charset="0"/>
                  </a:rPr>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w="19050">
            <a:solidFill>
              <a:schemeClr val="lt1"/>
            </a:solidFill>
          </a:ln>
          <a:effectLst/>
        </c:spPr>
        <c:dLbl>
          <c:idx val="0"/>
          <c:layout>
            <c:manualLayout>
              <c:x val="-6.9580419580419633E-2"/>
              <c:y val="2.45692679504170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B9D959-7997-4D69-A1E9-987B2FEA4CB1}" type="VALUE">
                  <a:rPr lang="en-US" b="1">
                    <a:latin typeface="Bahnschrift" panose="020B0502040204020203" pitchFamily="34" charset="0"/>
                  </a:rPr>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rgbClr val="92D050"/>
          </a:solidFill>
          <a:ln w="19050">
            <a:solidFill>
              <a:schemeClr val="lt1"/>
            </a:solidFill>
          </a:ln>
          <a:effectLst/>
        </c:spPr>
        <c:dLbl>
          <c:idx val="0"/>
          <c:layout>
            <c:manualLayout>
              <c:x val="-7.1620046620046673E-2"/>
              <c:y val="-7.549504950495053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539654-DA89-4493-9ECA-5B65BAAAA0D0}" type="VALUE">
                  <a:rPr lang="en-US" b="1">
                    <a:latin typeface="Bahnschrift" panose="020B0502040204020203" pitchFamily="34" charset="0"/>
                  </a:rPr>
                  <a:pPr>
                    <a:defRPr/>
                  </a:pPr>
                  <a:t>[VALUE]</a:t>
                </a:fld>
                <a:endParaRPr lang="en-U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41323577996806343"/>
          <c:y val="0.26474818741716694"/>
          <c:w val="0.20849347502890808"/>
          <c:h val="0.59038746394324459"/>
        </c:manualLayout>
      </c:layout>
      <c:doughnutChart>
        <c:varyColors val="1"/>
        <c:ser>
          <c:idx val="0"/>
          <c:order val="0"/>
          <c:tx>
            <c:strRef>
              <c:f>Calculations!$B$66</c:f>
              <c:strCache>
                <c:ptCount val="1"/>
                <c:pt idx="0">
                  <c:v>Total</c:v>
                </c:pt>
              </c:strCache>
            </c:strRef>
          </c:tx>
          <c:dPt>
            <c:idx val="0"/>
            <c:bubble3D val="0"/>
            <c:spPr>
              <a:solidFill>
                <a:srgbClr val="538D22"/>
              </a:solidFill>
              <a:ln w="19050">
                <a:solidFill>
                  <a:schemeClr val="lt1"/>
                </a:solidFill>
              </a:ln>
              <a:effectLst/>
            </c:spPr>
            <c:extLst>
              <c:ext xmlns:c16="http://schemas.microsoft.com/office/drawing/2014/chart" uri="{C3380CC4-5D6E-409C-BE32-E72D297353CC}">
                <c16:uniqueId val="{00000001-3B17-436B-953F-AB187C6C7F6E}"/>
              </c:ext>
            </c:extLst>
          </c:dPt>
          <c:dPt>
            <c:idx val="1"/>
            <c:bubble3D val="0"/>
            <c:spPr>
              <a:solidFill>
                <a:srgbClr val="B8DC8C"/>
              </a:solidFill>
              <a:ln w="19050">
                <a:solidFill>
                  <a:schemeClr val="lt1"/>
                </a:solidFill>
              </a:ln>
              <a:effectLst/>
            </c:spPr>
            <c:extLst>
              <c:ext xmlns:c16="http://schemas.microsoft.com/office/drawing/2014/chart" uri="{C3380CC4-5D6E-409C-BE32-E72D297353CC}">
                <c16:uniqueId val="{00000003-3B17-436B-953F-AB187C6C7F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17-436B-953F-AB187C6C7F6E}"/>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3B17-436B-953F-AB187C6C7F6E}"/>
              </c:ext>
            </c:extLst>
          </c:dPt>
          <c:dLbls>
            <c:dLbl>
              <c:idx val="0"/>
              <c:layout>
                <c:manualLayout>
                  <c:x val="6.1111111111111109E-2"/>
                  <c:y val="-8.7962962962962965E-2"/>
                </c:manualLayout>
              </c:layout>
              <c:tx>
                <c:rich>
                  <a:bodyPr/>
                  <a:lstStyle/>
                  <a:p>
                    <a:fld id="{342A8867-CCBA-4DBF-974E-CE98452CADD5}" type="VALUE">
                      <a:rPr lang="en-US" b="1">
                        <a:latin typeface="Bahnschrift" panose="020B05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B17-436B-953F-AB187C6C7F6E}"/>
                </c:ext>
              </c:extLst>
            </c:dLbl>
            <c:dLbl>
              <c:idx val="1"/>
              <c:layout>
                <c:manualLayout>
                  <c:x val="0.11876456876456877"/>
                  <c:y val="-6.8207037239157137E-2"/>
                </c:manualLayout>
              </c:layout>
              <c:tx>
                <c:rich>
                  <a:bodyPr/>
                  <a:lstStyle/>
                  <a:p>
                    <a:fld id="{7D5D8903-FEB9-4459-A56C-9CFAEA2C1436}" type="VALUE">
                      <a:rPr lang="en-US" b="1">
                        <a:latin typeface="Bahnschrift" panose="020B05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B17-436B-953F-AB187C6C7F6E}"/>
                </c:ext>
              </c:extLst>
            </c:dLbl>
            <c:dLbl>
              <c:idx val="2"/>
              <c:layout>
                <c:manualLayout>
                  <c:x val="-6.9580419580419633E-2"/>
                  <c:y val="2.4569267950417088E-2"/>
                </c:manualLayout>
              </c:layout>
              <c:tx>
                <c:rich>
                  <a:bodyPr/>
                  <a:lstStyle/>
                  <a:p>
                    <a:fld id="{09B9D959-7997-4D69-A1E9-987B2FEA4CB1}" type="VALUE">
                      <a:rPr lang="en-US" b="1">
                        <a:latin typeface="Bahnschrift" panose="020B05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B17-436B-953F-AB187C6C7F6E}"/>
                </c:ext>
              </c:extLst>
            </c:dLbl>
            <c:dLbl>
              <c:idx val="3"/>
              <c:layout>
                <c:manualLayout>
                  <c:x val="-7.1620046620046673E-2"/>
                  <c:y val="-7.5495049504950534E-2"/>
                </c:manualLayout>
              </c:layout>
              <c:tx>
                <c:rich>
                  <a:bodyPr/>
                  <a:lstStyle/>
                  <a:p>
                    <a:fld id="{3F539654-DA89-4493-9ECA-5B65BAAAA0D0}" type="VALUE">
                      <a:rPr lang="en-US" b="1">
                        <a:latin typeface="Bahnschrift" panose="020B0502040204020203" pitchFamily="34" charset="0"/>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B17-436B-953F-AB187C6C7F6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Calculations!$A$67:$A$71</c:f>
              <c:strCache>
                <c:ptCount val="4"/>
                <c:pt idx="0">
                  <c:v>East</c:v>
                </c:pt>
                <c:pt idx="1">
                  <c:v>North</c:v>
                </c:pt>
                <c:pt idx="2">
                  <c:v>South</c:v>
                </c:pt>
                <c:pt idx="3">
                  <c:v>West</c:v>
                </c:pt>
              </c:strCache>
            </c:strRef>
          </c:cat>
          <c:val>
            <c:numRef>
              <c:f>Calculations!$B$67:$B$71</c:f>
              <c:numCache>
                <c:formatCode>0.00%</c:formatCode>
                <c:ptCount val="4"/>
                <c:pt idx="0">
                  <c:v>0.31802670293147606</c:v>
                </c:pt>
                <c:pt idx="1">
                  <c:v>0.14565870832035893</c:v>
                </c:pt>
                <c:pt idx="2">
                  <c:v>0.29303321661656956</c:v>
                </c:pt>
                <c:pt idx="3">
                  <c:v>0.24328137213159551</c:v>
                </c:pt>
              </c:numCache>
            </c:numRef>
          </c:val>
          <c:extLst>
            <c:ext xmlns:c16="http://schemas.microsoft.com/office/drawing/2014/chart" uri="{C3380CC4-5D6E-409C-BE32-E72D297353CC}">
              <c16:uniqueId val="{00000008-3B17-436B-953F-AB187C6C7F6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35451929959803974"/>
          <c:y val="0.85251552714326551"/>
          <c:w val="0.40387744678966342"/>
          <c:h val="0.137750665087211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Customer Performance Tracker dashboard.xlsx]Calculations!PivotTable3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Bahnschrift" panose="020B0502040204020203" pitchFamily="34" charset="0"/>
              </a:rPr>
              <a:t>Customer Experience Ratings</a:t>
            </a:r>
          </a:p>
        </c:rich>
      </c:tx>
      <c:layout>
        <c:manualLayout>
          <c:xMode val="edge"/>
          <c:yMode val="edge"/>
          <c:x val="0.20863428158664588"/>
          <c:y val="3.52111095970549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9402"/>
          </a:solidFill>
          <a:ln>
            <a:noFill/>
          </a:ln>
          <a:effectLst/>
        </c:spPr>
        <c:dLbl>
          <c:idx val="0"/>
          <c:layout>
            <c:manualLayout>
              <c:x val="0.32777777777777778"/>
              <c:y val="-6.018518518518521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5B01"/>
          </a:solidFill>
          <a:ln>
            <a:noFill/>
          </a:ln>
          <a:effectLst/>
        </c:spPr>
        <c:dLbl>
          <c:idx val="0"/>
          <c:layout>
            <c:manualLayout>
              <c:x val="0.31666666666666665"/>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3A942"/>
          </a:solidFill>
          <a:ln>
            <a:noFill/>
          </a:ln>
          <a:effectLst/>
        </c:spPr>
        <c:dLbl>
          <c:idx val="0"/>
          <c:layout>
            <c:manualLayout>
              <c:x val="0.3472222222222221"/>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8DC8C"/>
          </a:solidFill>
          <a:ln>
            <a:noFill/>
          </a:ln>
          <a:effectLst/>
        </c:spPr>
        <c:dLbl>
          <c:idx val="0"/>
          <c:layout>
            <c:manualLayout>
              <c:x val="0.28611111111111109"/>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8D22"/>
          </a:solidFill>
          <a:ln>
            <a:noFill/>
          </a:ln>
          <a:effectLst/>
        </c:spPr>
        <c:dLbl>
          <c:idx val="0"/>
          <c:layout>
            <c:manualLayout>
              <c:x val="0.2055555555555555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38D22"/>
          </a:solidFill>
          <a:ln>
            <a:noFill/>
          </a:ln>
          <a:effectLst/>
        </c:spPr>
        <c:dLbl>
          <c:idx val="0"/>
          <c:layout>
            <c:manualLayout>
              <c:x val="0.2055555555555555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8DC8C"/>
          </a:solidFill>
          <a:ln>
            <a:noFill/>
          </a:ln>
          <a:effectLst/>
        </c:spPr>
        <c:dLbl>
          <c:idx val="0"/>
          <c:layout>
            <c:manualLayout>
              <c:x val="0.28611111111111109"/>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3A942"/>
          </a:solidFill>
          <a:ln>
            <a:noFill/>
          </a:ln>
          <a:effectLst/>
        </c:spPr>
        <c:dLbl>
          <c:idx val="0"/>
          <c:layout>
            <c:manualLayout>
              <c:x val="0.3472222222222221"/>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35B01"/>
          </a:solidFill>
          <a:ln>
            <a:noFill/>
          </a:ln>
          <a:effectLst/>
        </c:spPr>
        <c:dLbl>
          <c:idx val="0"/>
          <c:layout>
            <c:manualLayout>
              <c:x val="0.31666666666666665"/>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D9402"/>
          </a:solidFill>
          <a:ln>
            <a:noFill/>
          </a:ln>
          <a:effectLst/>
        </c:spPr>
        <c:dLbl>
          <c:idx val="0"/>
          <c:layout>
            <c:manualLayout>
              <c:x val="0.32777777777777778"/>
              <c:y val="-6.018518518518521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50000"/>
            </a:schemeClr>
          </a:solidFill>
          <a:ln>
            <a:noFill/>
          </a:ln>
          <a:effectLst/>
        </c:spPr>
        <c:dLbl>
          <c:idx val="0"/>
          <c:layout>
            <c:manualLayout>
              <c:x val="0.2055555555555555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8DC8C"/>
          </a:solidFill>
          <a:ln>
            <a:noFill/>
          </a:ln>
          <a:effectLst/>
        </c:spPr>
        <c:dLbl>
          <c:idx val="0"/>
          <c:layout>
            <c:manualLayout>
              <c:x val="0.28611111111111109"/>
              <c:y val="0"/>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3A942"/>
          </a:solidFill>
          <a:ln>
            <a:noFill/>
          </a:ln>
          <a:effectLst/>
        </c:spPr>
        <c:dLbl>
          <c:idx val="0"/>
          <c:layout>
            <c:manualLayout>
              <c:x val="0.3472222222222221"/>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lumMod val="10000"/>
            </a:schemeClr>
          </a:solidFill>
          <a:ln>
            <a:noFill/>
          </a:ln>
          <a:effectLst/>
        </c:spPr>
        <c:dLbl>
          <c:idx val="0"/>
          <c:layout>
            <c:manualLayout>
              <c:x val="0.31666666666666665"/>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D9402"/>
          </a:solidFill>
          <a:ln>
            <a:noFill/>
          </a:ln>
          <a:effectLst/>
        </c:spPr>
        <c:dLbl>
          <c:idx val="0"/>
          <c:layout>
            <c:manualLayout>
              <c:x val="0.32777777777777778"/>
              <c:y val="-6.018518518518521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72658903430092"/>
          <c:y val="0.19172438777861142"/>
          <c:w val="0.72448685634179444"/>
          <c:h val="0.55858603934393569"/>
        </c:manualLayout>
      </c:layout>
      <c:barChart>
        <c:barDir val="bar"/>
        <c:grouping val="stacked"/>
        <c:varyColors val="0"/>
        <c:ser>
          <c:idx val="0"/>
          <c:order val="0"/>
          <c:tx>
            <c:strRef>
              <c:f>Calculations!$B$14</c:f>
              <c:strCache>
                <c:ptCount val="1"/>
                <c:pt idx="0">
                  <c:v>Total</c:v>
                </c:pt>
              </c:strCache>
            </c:strRef>
          </c:tx>
          <c:spPr>
            <a:solidFill>
              <a:schemeClr val="accent1"/>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CE81-48BC-9FD6-862E85E7BD72}"/>
              </c:ext>
            </c:extLst>
          </c:dPt>
          <c:dPt>
            <c:idx val="1"/>
            <c:invertIfNegative val="0"/>
            <c:bubble3D val="0"/>
            <c:spPr>
              <a:solidFill>
                <a:srgbClr val="B8DC8C"/>
              </a:solidFill>
              <a:ln>
                <a:noFill/>
              </a:ln>
              <a:effectLst/>
            </c:spPr>
            <c:extLst>
              <c:ext xmlns:c16="http://schemas.microsoft.com/office/drawing/2014/chart" uri="{C3380CC4-5D6E-409C-BE32-E72D297353CC}">
                <c16:uniqueId val="{00000003-CE81-48BC-9FD6-862E85E7BD72}"/>
              </c:ext>
            </c:extLst>
          </c:dPt>
          <c:dPt>
            <c:idx val="2"/>
            <c:invertIfNegative val="0"/>
            <c:bubble3D val="0"/>
            <c:spPr>
              <a:solidFill>
                <a:srgbClr val="73A942"/>
              </a:solidFill>
              <a:ln>
                <a:noFill/>
              </a:ln>
              <a:effectLst/>
            </c:spPr>
            <c:extLst>
              <c:ext xmlns:c16="http://schemas.microsoft.com/office/drawing/2014/chart" uri="{C3380CC4-5D6E-409C-BE32-E72D297353CC}">
                <c16:uniqueId val="{00000005-CE81-48BC-9FD6-862E85E7BD72}"/>
              </c:ext>
            </c:extLst>
          </c:dPt>
          <c:dPt>
            <c:idx val="3"/>
            <c:invertIfNegative val="0"/>
            <c:bubble3D val="0"/>
            <c:spPr>
              <a:solidFill>
                <a:schemeClr val="bg2">
                  <a:lumMod val="10000"/>
                </a:schemeClr>
              </a:solidFill>
              <a:ln>
                <a:noFill/>
              </a:ln>
              <a:effectLst/>
            </c:spPr>
            <c:extLst>
              <c:ext xmlns:c16="http://schemas.microsoft.com/office/drawing/2014/chart" uri="{C3380CC4-5D6E-409C-BE32-E72D297353CC}">
                <c16:uniqueId val="{00000007-CE81-48BC-9FD6-862E85E7BD72}"/>
              </c:ext>
            </c:extLst>
          </c:dPt>
          <c:dPt>
            <c:idx val="4"/>
            <c:invertIfNegative val="0"/>
            <c:bubble3D val="0"/>
            <c:spPr>
              <a:solidFill>
                <a:srgbClr val="3D9402"/>
              </a:solidFill>
              <a:ln>
                <a:noFill/>
              </a:ln>
              <a:effectLst/>
            </c:spPr>
            <c:extLst>
              <c:ext xmlns:c16="http://schemas.microsoft.com/office/drawing/2014/chart" uri="{C3380CC4-5D6E-409C-BE32-E72D297353CC}">
                <c16:uniqueId val="{00000009-CE81-48BC-9FD6-862E85E7BD72}"/>
              </c:ext>
            </c:extLst>
          </c:dPt>
          <c:dLbls>
            <c:dLbl>
              <c:idx val="0"/>
              <c:layout>
                <c:manualLayout>
                  <c:x val="0.2055555555555555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81-48BC-9FD6-862E85E7BD72}"/>
                </c:ext>
              </c:extLst>
            </c:dLbl>
            <c:dLbl>
              <c:idx val="1"/>
              <c:layout>
                <c:manualLayout>
                  <c:x val="0.2861111111111110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81-48BC-9FD6-862E85E7BD72}"/>
                </c:ext>
              </c:extLst>
            </c:dLbl>
            <c:dLbl>
              <c:idx val="2"/>
              <c:layout>
                <c:manualLayout>
                  <c:x val="0.3472222222222221"/>
                  <c:y val="-4.62962962962971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81-48BC-9FD6-862E85E7BD72}"/>
                </c:ext>
              </c:extLst>
            </c:dLbl>
            <c:dLbl>
              <c:idx val="3"/>
              <c:layout>
                <c:manualLayout>
                  <c:x val="0.31666666666666665"/>
                  <c:y val="4.629629629629586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81-48BC-9FD6-862E85E7BD72}"/>
                </c:ext>
              </c:extLst>
            </c:dLbl>
            <c:dLbl>
              <c:idx val="4"/>
              <c:layout>
                <c:manualLayout>
                  <c:x val="0.32777777777777778"/>
                  <c:y val="-6.0185185185185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E81-48BC-9FD6-862E85E7BD72}"/>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Calculations!$A$15:$A$20</c:f>
              <c:strCache>
                <c:ptCount val="5"/>
                <c:pt idx="0">
                  <c:v>Availability</c:v>
                </c:pt>
                <c:pt idx="1">
                  <c:v>Hygiene</c:v>
                </c:pt>
                <c:pt idx="2">
                  <c:v>Quality</c:v>
                </c:pt>
                <c:pt idx="3">
                  <c:v>Service</c:v>
                </c:pt>
                <c:pt idx="4">
                  <c:v>Speed</c:v>
                </c:pt>
              </c:strCache>
            </c:strRef>
          </c:cat>
          <c:val>
            <c:numRef>
              <c:f>Calculations!$B$15:$B$20</c:f>
              <c:numCache>
                <c:formatCode>0.00%</c:formatCode>
                <c:ptCount val="5"/>
                <c:pt idx="0">
                  <c:v>0.12202380952380952</c:v>
                </c:pt>
                <c:pt idx="1">
                  <c:v>0.17559523809523808</c:v>
                </c:pt>
                <c:pt idx="2">
                  <c:v>0.22023809523809523</c:v>
                </c:pt>
                <c:pt idx="3">
                  <c:v>0.19642857142857142</c:v>
                </c:pt>
                <c:pt idx="4">
                  <c:v>0.2857142857142857</c:v>
                </c:pt>
              </c:numCache>
            </c:numRef>
          </c:val>
          <c:extLst>
            <c:ext xmlns:c16="http://schemas.microsoft.com/office/drawing/2014/chart" uri="{C3380CC4-5D6E-409C-BE32-E72D297353CC}">
              <c16:uniqueId val="{0000000A-CE81-48BC-9FD6-862E85E7BD72}"/>
            </c:ext>
          </c:extLst>
        </c:ser>
        <c:dLbls>
          <c:dLblPos val="ctr"/>
          <c:showLegendKey val="0"/>
          <c:showVal val="1"/>
          <c:showCatName val="0"/>
          <c:showSerName val="0"/>
          <c:showPercent val="0"/>
          <c:showBubbleSize val="0"/>
        </c:dLbls>
        <c:gapWidth val="150"/>
        <c:overlap val="100"/>
        <c:axId val="976963983"/>
        <c:axId val="976964463"/>
      </c:barChart>
      <c:catAx>
        <c:axId val="976963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64463"/>
        <c:crosses val="autoZero"/>
        <c:auto val="1"/>
        <c:lblAlgn val="ctr"/>
        <c:lblOffset val="100"/>
        <c:noMultiLvlLbl val="0"/>
      </c:catAx>
      <c:valAx>
        <c:axId val="976964463"/>
        <c:scaling>
          <c:orientation val="minMax"/>
        </c:scaling>
        <c:delete val="1"/>
        <c:axPos val="b"/>
        <c:numFmt formatCode="0.00%" sourceLinked="1"/>
        <c:majorTickMark val="none"/>
        <c:minorTickMark val="none"/>
        <c:tickLblPos val="nextTo"/>
        <c:crossAx val="976963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Customer Performance Tracker dashboard.xlsx]Calculations!PivotTable7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baseline="0">
                <a:effectLst/>
                <a:latin typeface="Bahnschrift" panose="020B0502040204020203" pitchFamily="34" charset="0"/>
              </a:rPr>
              <a:t>Regional Performance: Sales vs. Profits</a:t>
            </a:r>
            <a:endParaRPr lang="en-US" sz="1100" b="1">
              <a:latin typeface="Bahnschrift" panose="020B0502040204020203" pitchFamily="34" charset="0"/>
            </a:endParaRPr>
          </a:p>
        </c:rich>
      </c:tx>
      <c:layout>
        <c:manualLayout>
          <c:xMode val="edge"/>
          <c:yMode val="edge"/>
          <c:x val="0.10100930975985017"/>
          <c:y val="0.102825728226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35B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AD5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5B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AD5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5B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AD5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5B01"/>
          </a:solidFill>
          <a:ln>
            <a:noFill/>
          </a:ln>
          <a:effectLst/>
        </c:spPr>
        <c:dLbl>
          <c:idx val="0"/>
          <c:layout>
            <c:manualLayout>
              <c:x val="-9.0722097919382366E-18"/>
              <c:y val="4.40917107583774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AD576"/>
          </a:solidFill>
          <a:ln>
            <a:noFill/>
          </a:ln>
          <a:effectLst/>
        </c:spPr>
        <c:dLbl>
          <c:idx val="0"/>
          <c:layout>
            <c:manualLayout>
              <c:x val="-1.8144419583876473E-17"/>
              <c:y val="2.64550264550264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35B01"/>
          </a:solidFill>
          <a:ln>
            <a:noFill/>
          </a:ln>
          <a:effectLst/>
        </c:spPr>
        <c:dLbl>
          <c:idx val="0"/>
          <c:layout>
            <c:manualLayout>
              <c:x val="0"/>
              <c:y val="3.52733686067019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AD576"/>
          </a:solidFill>
          <a:ln>
            <a:noFill/>
          </a:ln>
          <a:effectLst/>
        </c:spPr>
        <c:dLbl>
          <c:idx val="0"/>
          <c:layout>
            <c:manualLayout>
              <c:x val="0"/>
              <c:y val="5.29100529100529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35B01"/>
          </a:solidFill>
          <a:ln>
            <a:noFill/>
          </a:ln>
          <a:effectLst/>
        </c:spPr>
        <c:dLbl>
          <c:idx val="0"/>
          <c:layout>
            <c:manualLayout>
              <c:x val="-7.91765637371338E-3"/>
              <c:y val="5.29100529100529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AD576"/>
          </a:solidFill>
          <a:ln>
            <a:noFill/>
          </a:ln>
          <a:effectLst/>
        </c:spPr>
        <c:dLbl>
          <c:idx val="0"/>
          <c:layout>
            <c:manualLayout>
              <c:x val="0"/>
              <c:y val="2.64550264550264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823262260880173E-2"/>
          <c:y val="0.18502734483466338"/>
          <c:w val="0.82771527991867888"/>
          <c:h val="0.61896362116746584"/>
        </c:manualLayout>
      </c:layout>
      <c:barChart>
        <c:barDir val="col"/>
        <c:grouping val="clustered"/>
        <c:varyColors val="0"/>
        <c:ser>
          <c:idx val="0"/>
          <c:order val="0"/>
          <c:tx>
            <c:strRef>
              <c:f>Calculations!$B$55</c:f>
              <c:strCache>
                <c:ptCount val="1"/>
                <c:pt idx="0">
                  <c:v>Total Sales</c:v>
                </c:pt>
              </c:strCache>
            </c:strRef>
          </c:tx>
          <c:spPr>
            <a:solidFill>
              <a:srgbClr val="235B01"/>
            </a:solidFill>
            <a:ln>
              <a:noFill/>
            </a:ln>
            <a:effectLst/>
          </c:spPr>
          <c:invertIfNegative val="0"/>
          <c:dPt>
            <c:idx val="0"/>
            <c:invertIfNegative val="0"/>
            <c:bubble3D val="0"/>
            <c:extLst>
              <c:ext xmlns:c16="http://schemas.microsoft.com/office/drawing/2014/chart" uri="{C3380CC4-5D6E-409C-BE32-E72D297353CC}">
                <c16:uniqueId val="{00000002-1548-4968-A382-4E821A9F33A7}"/>
              </c:ext>
            </c:extLst>
          </c:dPt>
          <c:dPt>
            <c:idx val="1"/>
            <c:invertIfNegative val="0"/>
            <c:bubble3D val="0"/>
            <c:extLst>
              <c:ext xmlns:c16="http://schemas.microsoft.com/office/drawing/2014/chart" uri="{C3380CC4-5D6E-409C-BE32-E72D297353CC}">
                <c16:uniqueId val="{00000004-1548-4968-A382-4E821A9F33A7}"/>
              </c:ext>
            </c:extLst>
          </c:dPt>
          <c:dPt>
            <c:idx val="2"/>
            <c:invertIfNegative val="0"/>
            <c:bubble3D val="0"/>
            <c:extLst>
              <c:ext xmlns:c16="http://schemas.microsoft.com/office/drawing/2014/chart" uri="{C3380CC4-5D6E-409C-BE32-E72D297353CC}">
                <c16:uniqueId val="{00000006-1548-4968-A382-4E821A9F33A7}"/>
              </c:ext>
            </c:extLst>
          </c:dPt>
          <c:dLbls>
            <c:dLbl>
              <c:idx val="0"/>
              <c:layout>
                <c:manualLayout>
                  <c:x val="-9.0722097919382366E-18"/>
                  <c:y val="4.40917107583774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48-4968-A382-4E821A9F33A7}"/>
                </c:ext>
              </c:extLst>
            </c:dLbl>
            <c:dLbl>
              <c:idx val="1"/>
              <c:layout>
                <c:manualLayout>
                  <c:x val="0"/>
                  <c:y val="3.52733686067019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48-4968-A382-4E821A9F33A7}"/>
                </c:ext>
              </c:extLst>
            </c:dLbl>
            <c:dLbl>
              <c:idx val="2"/>
              <c:layout>
                <c:manualLayout>
                  <c:x val="-7.91765637371338E-3"/>
                  <c:y val="5.29100529100529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48-4968-A382-4E821A9F33A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Calculations!$A$56:$A$60</c:f>
              <c:strCache>
                <c:ptCount val="4"/>
                <c:pt idx="0">
                  <c:v>East</c:v>
                </c:pt>
                <c:pt idx="1">
                  <c:v>North</c:v>
                </c:pt>
                <c:pt idx="2">
                  <c:v>South</c:v>
                </c:pt>
                <c:pt idx="3">
                  <c:v>West</c:v>
                </c:pt>
              </c:strCache>
            </c:strRef>
          </c:cat>
          <c:val>
            <c:numRef>
              <c:f>Calculations!$B$56:$B$60</c:f>
              <c:numCache>
                <c:formatCode>0,"k"</c:formatCode>
                <c:ptCount val="4"/>
                <c:pt idx="0">
                  <c:v>50045</c:v>
                </c:pt>
                <c:pt idx="1">
                  <c:v>22921</c:v>
                </c:pt>
                <c:pt idx="2">
                  <c:v>46112</c:v>
                </c:pt>
                <c:pt idx="3">
                  <c:v>38283</c:v>
                </c:pt>
              </c:numCache>
            </c:numRef>
          </c:val>
          <c:extLst>
            <c:ext xmlns:c16="http://schemas.microsoft.com/office/drawing/2014/chart" uri="{C3380CC4-5D6E-409C-BE32-E72D297353CC}">
              <c16:uniqueId val="{00000000-1548-4968-A382-4E821A9F33A7}"/>
            </c:ext>
          </c:extLst>
        </c:ser>
        <c:ser>
          <c:idx val="1"/>
          <c:order val="1"/>
          <c:tx>
            <c:strRef>
              <c:f>Calculations!$C$55</c:f>
              <c:strCache>
                <c:ptCount val="1"/>
                <c:pt idx="0">
                  <c:v>Profits</c:v>
                </c:pt>
              </c:strCache>
            </c:strRef>
          </c:tx>
          <c:spPr>
            <a:solidFill>
              <a:srgbClr val="AAD576"/>
            </a:solidFill>
            <a:ln>
              <a:noFill/>
            </a:ln>
            <a:effectLst/>
          </c:spPr>
          <c:invertIfNegative val="0"/>
          <c:dPt>
            <c:idx val="0"/>
            <c:invertIfNegative val="0"/>
            <c:bubble3D val="0"/>
            <c:extLst>
              <c:ext xmlns:c16="http://schemas.microsoft.com/office/drawing/2014/chart" uri="{C3380CC4-5D6E-409C-BE32-E72D297353CC}">
                <c16:uniqueId val="{00000003-1548-4968-A382-4E821A9F33A7}"/>
              </c:ext>
            </c:extLst>
          </c:dPt>
          <c:dPt>
            <c:idx val="1"/>
            <c:invertIfNegative val="0"/>
            <c:bubble3D val="0"/>
            <c:extLst>
              <c:ext xmlns:c16="http://schemas.microsoft.com/office/drawing/2014/chart" uri="{C3380CC4-5D6E-409C-BE32-E72D297353CC}">
                <c16:uniqueId val="{00000005-1548-4968-A382-4E821A9F33A7}"/>
              </c:ext>
            </c:extLst>
          </c:dPt>
          <c:dPt>
            <c:idx val="2"/>
            <c:invertIfNegative val="0"/>
            <c:bubble3D val="0"/>
            <c:extLst>
              <c:ext xmlns:c16="http://schemas.microsoft.com/office/drawing/2014/chart" uri="{C3380CC4-5D6E-409C-BE32-E72D297353CC}">
                <c16:uniqueId val="{00000007-1548-4968-A382-4E821A9F33A7}"/>
              </c:ext>
            </c:extLst>
          </c:dPt>
          <c:dLbls>
            <c:dLbl>
              <c:idx val="0"/>
              <c:layout>
                <c:manualLayout>
                  <c:x val="-1.8144419583876473E-17"/>
                  <c:y val="2.64550264550264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48-4968-A382-4E821A9F33A7}"/>
                </c:ext>
              </c:extLst>
            </c:dLbl>
            <c:dLbl>
              <c:idx val="1"/>
              <c:layout>
                <c:manualLayout>
                  <c:x val="0"/>
                  <c:y val="5.29100529100529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48-4968-A382-4E821A9F33A7}"/>
                </c:ext>
              </c:extLst>
            </c:dLbl>
            <c:dLbl>
              <c:idx val="2"/>
              <c:layout>
                <c:manualLayout>
                  <c:x val="0"/>
                  <c:y val="2.64550264550264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48-4968-A382-4E821A9F33A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Calculations!$A$56:$A$60</c:f>
              <c:strCache>
                <c:ptCount val="4"/>
                <c:pt idx="0">
                  <c:v>East</c:v>
                </c:pt>
                <c:pt idx="1">
                  <c:v>North</c:v>
                </c:pt>
                <c:pt idx="2">
                  <c:v>South</c:v>
                </c:pt>
                <c:pt idx="3">
                  <c:v>West</c:v>
                </c:pt>
              </c:strCache>
            </c:strRef>
          </c:cat>
          <c:val>
            <c:numRef>
              <c:f>Calculations!$C$56:$C$60</c:f>
              <c:numCache>
                <c:formatCode>0,"k"</c:formatCode>
                <c:ptCount val="4"/>
                <c:pt idx="0">
                  <c:v>45042.857142857159</c:v>
                </c:pt>
                <c:pt idx="1">
                  <c:v>13214.285714285725</c:v>
                </c:pt>
                <c:pt idx="2">
                  <c:v>29742.857142857156</c:v>
                </c:pt>
                <c:pt idx="3">
                  <c:v>25300.857142857149</c:v>
                </c:pt>
              </c:numCache>
            </c:numRef>
          </c:val>
          <c:extLst>
            <c:ext xmlns:c16="http://schemas.microsoft.com/office/drawing/2014/chart" uri="{C3380CC4-5D6E-409C-BE32-E72D297353CC}">
              <c16:uniqueId val="{00000001-1548-4968-A382-4E821A9F33A7}"/>
            </c:ext>
          </c:extLst>
        </c:ser>
        <c:dLbls>
          <c:dLblPos val="outEnd"/>
          <c:showLegendKey val="0"/>
          <c:showVal val="1"/>
          <c:showCatName val="0"/>
          <c:showSerName val="0"/>
          <c:showPercent val="0"/>
          <c:showBubbleSize val="0"/>
        </c:dLbls>
        <c:gapWidth val="219"/>
        <c:overlap val="-27"/>
        <c:axId val="976969743"/>
        <c:axId val="976970223"/>
      </c:barChart>
      <c:catAx>
        <c:axId val="97696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70223"/>
        <c:crosses val="autoZero"/>
        <c:auto val="1"/>
        <c:lblAlgn val="ctr"/>
        <c:lblOffset val="100"/>
        <c:noMultiLvlLbl val="0"/>
      </c:catAx>
      <c:valAx>
        <c:axId val="976970223"/>
        <c:scaling>
          <c:orientation val="minMax"/>
          <c:max val="60000"/>
          <c:min val="0"/>
        </c:scaling>
        <c:delete val="1"/>
        <c:axPos val="l"/>
        <c:numFmt formatCode="0,&quot;k&quot;" sourceLinked="1"/>
        <c:majorTickMark val="none"/>
        <c:minorTickMark val="none"/>
        <c:tickLblPos val="nextTo"/>
        <c:crossAx val="976969743"/>
        <c:crosses val="autoZero"/>
        <c:crossBetween val="between"/>
      </c:valAx>
      <c:spPr>
        <a:noFill/>
        <a:ln>
          <a:noFill/>
        </a:ln>
        <a:effectLst/>
      </c:spPr>
    </c:plotArea>
    <c:legend>
      <c:legendPos val="b"/>
      <c:layout>
        <c:manualLayout>
          <c:xMode val="edge"/>
          <c:yMode val="edge"/>
          <c:x val="0.23331587708306054"/>
          <c:y val="0.92055159771695205"/>
          <c:w val="0.61843037138172452"/>
          <c:h val="7.94484022830479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Geographical Sales Distribution</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Bahnschrift" panose="020B0502040204020203" pitchFamily="34" charset="0"/>
            </a:rPr>
            <a:t>Geographical Sales Distribution</a:t>
          </a:r>
        </a:p>
      </cx:txPr>
    </cx:title>
    <cx:plotArea>
      <cx:plotAreaRegion>
        <cx:series layoutId="regionMap" uniqueId="{2DB02802-4E48-4F30-885A-8547007AA46A}">
          <cx:tx>
            <cx:txData>
              <cx:f>_xlchart.v5.2</cx:f>
              <cx:v/>
            </cx:txData>
          </cx:tx>
          <cx:spPr>
            <a:solidFill>
              <a:schemeClr val="tx1">
                <a:lumMod val="75000"/>
                <a:lumOff val="25000"/>
              </a:schemeClr>
            </a:solidFill>
          </cx:spPr>
          <cx:dataPt idx="1">
            <cx:spPr>
              <a:solidFill>
                <a:srgbClr val="B8DC8C"/>
              </a:solidFill>
            </cx:spPr>
          </cx:dataPt>
          <cx:dataPt idx="2">
            <cx:spPr>
              <a:solidFill>
                <a:srgbClr val="73A942"/>
              </a:solidFill>
            </cx:spPr>
          </cx:dataPt>
          <cx:dataPt idx="3">
            <cx:spPr>
              <a:solidFill>
                <a:srgbClr val="00B050"/>
              </a:solidFill>
            </cx:spPr>
          </cx:dataPt>
          <cx:dataPt idx="4">
            <cx:spPr>
              <a:solidFill>
                <a:sysClr val="windowText" lastClr="000000">
                  <a:lumMod val="75000"/>
                  <a:lumOff val="25000"/>
                </a:sysClr>
              </a:solidFill>
            </cx:spPr>
          </cx:dataPt>
          <cx:dataPt idx="5">
            <cx:spPr>
              <a:solidFill>
                <a:srgbClr val="497C1E"/>
              </a:solidFill>
            </cx:spPr>
          </cx:dataPt>
          <cx:dataLabels>
            <cx:visibility seriesName="0" categoryName="0" value="1"/>
            <cx:dataLabel idx="1">
              <cx:visibility seriesName="0" categoryName="1" value="0"/>
              <cx:separator>, </cx:separator>
            </cx:dataLabel>
            <cx:dataLabel idx="2">
              <cx:visibility seriesName="0" categoryName="1" value="0"/>
              <cx:separator>, </cx:separator>
            </cx:dataLabel>
            <cx:dataLabel idx="3">
              <cx:txPr>
                <a:bodyPr spcFirstLastPara="1" vertOverflow="ellipsis" horzOverflow="overflow" wrap="square" lIns="0" tIns="0" rIns="0" bIns="0" anchor="ctr" anchorCtr="1"/>
                <a:lstStyle/>
                <a:p>
                  <a:pPr algn="ctr" rtl="0">
                    <a:defRPr/>
                  </a:pPr>
                  <a:r>
                    <a:rPr lang="en-US" sz="850" b="0" i="0" u="none" strike="noStrike" baseline="0">
                      <a:solidFill>
                        <a:sysClr val="windowText" lastClr="000000">
                          <a:lumMod val="65000"/>
                          <a:lumOff val="35000"/>
                        </a:sysClr>
                      </a:solidFill>
                      <a:latin typeface="Aptos Narrow" panose="02110004020202020204"/>
                    </a:rPr>
                    <a:t>Colombia</a:t>
                  </a:r>
                </a:p>
              </cx:txPr>
              <cx:visibility seriesName="0" categoryName="1" value="0"/>
              <cx:separator>, </cx:separator>
            </cx:dataLabel>
            <cx:dataLabel idx="5">
              <cx:visibility seriesName="0" categoryName="1" value="0"/>
              <cx:separator>, </cx:separator>
            </cx:dataLabel>
          </cx:dataLabels>
          <cx:dataId val="0"/>
          <cx:layoutPr>
            <cx:geography cultureLanguage="en-US" cultureRegion="US" attribution="Powered by Bing">
              <cx:geoCache provider="{E9337A44-BEBE-4D9F-B70C-5C5E7DAFC167}">
                <cx:binary>zHxrj924se1fGcznKw/Ft4LkAEfaj364bbffni9Cu90WRZGiHqRE6dff6nFm0FYmcY6Qi3ONAMHs
3apdKtaqKrIW66/38S/35uFu+Cla045/uY9/+1l53/3ll1/Ge/Vg78Zntr4f3Oi++mf3zv7ivn6t
7x9++TLczXVb/YJRSn+5V3eDf4g//9dfQVr14J67+ztfu/Y2PAzL64cxGD/+i+/+9Kuf7l1o/ePj
FUj628+FM85+ru9+/umh9bVf3i7dw99+/u6Pfv7pl62of/jZnwxo5sMXeJY+Q1mWpTwjP/9kXFv9
/eNE4GcZkjIlVKLf/vHff/PFnYXn/h1NftPj7suX4WEcf/r7/z998ju9n35Rj6749uKFe1SyePnb
W/3yvWH/66+bD+A9N588sf3WKD/66h9N/9tK/G6Ff2b5/3cK/PdQPS56+x9c/ITQZ1nGaSbTRy+A
f+J7L+DwPRdYspR/8wLwkm+e980L/i2d/twNnjy68YMn32wd4b9f/+87wquHIfxuhX/mBd876r/C
X8KfSQ5rkEn6zcKIfr8Egj1DlEmGOfu2RPD90yX4kTp/bv1vT20M/+3Drc1fHf/3bZ4Pd2ttfn/x
/4DVU/SM/PYP4e/Nzcgz/NtCiL97PHz/1Nw/1uTPDf77cxuT//7x1uj5/weOfrwPd1/c8Pv7/yes
DkbPBOdi6+PZM8I5wAB/sz1Kf//Rb2Hm39Dkz63+x4Mbs//x+dbux+I/4ez/PAn8EQoOd/7u+FsO
f5KI/vW3v70iFBabR//unn+6PN889/LL335OwaR/FAaPEr7z6ich9/tHHu5G/7efE0AFp5AjJMKY
cpQR+fNP88NvXwnyjDFJIYgRSQVnHADTusEreAynz4TMILClCAkEhQQ8Nrrw23cM4hoTgmdCMJIh
jtkfldMrZ5bKtX9Y4+///VMb7CtXt36EsuXnn7pvf/X4cvBDVFCBMoHg8/u711CUwR+l/4f2wZWu
VOZYmfBhzZbPZXj/xBD/vmSefS/ZsAp5GkByykWu65ivg8z3iQarPFW6XhdP+0ia45KJV4gkr0xK
kp2yIaE/ld0FgduyKZsjmsl64xiORbkYftinORSFT6WXaSpGU8vmmE4n5FhR1cO37PEtIf4PzM2+
l+w00nGRaXNcYztdrS0KB9Ms2Zt9ej+6zxM3weWwzq1w5tjNgyhqqtcDT+iHfcKhRnoqXCxKzJTH
5hhswy+q1t/NqJE77QLoeip8lWNNe4HMkYx9Xlbr83qoLvbpDRHiqWjWxig98uZosnM23pl6J3I2
mIRl67qMsuY4ViN+MbI23BNdo/gt9P5PPYVtgFnKSUhdB3MMC7mEvdPbhomdojfAFP3cz9y05qhl
iNdOh/SmlMmLXeZmG2QyL2gYFjCLwvd9VxW8Yvswz7ao5LyMQmNYSN3mvJMmp4k1O4VvgFlPYzNS
J5pj3fUvSzxVF6yL6LTLJnTjKrD16LWqvT6OgY45C/QLKaedim8wj4h03Zh25jgsi7lfB1tdjhpn
l7s0ZxvQU0Ob6KbRHNnHtStIt1Np/D0mS9gHLLUGsfPYtfmQ9rqga7ovlrAN4FsieS9a8MAq6vNQ
zTi3U9yr+WYppyb1XV8P5jiJasxNrMtilqHfZ266Ab1qTblWMyQemRkIVrIuoMgc9hmdbmC/WrvO
1biao6hqe6CMt/kivN+p+gb3HIdgVwfSO/18DG9dd7XLA+kG9RTTVq/JYo41nm5saXQ+tN23g5T/
aYylG9BzsiqUrVQfJSWXrrH2TjlGft2n+AaYPZfjGGeij5rz5teBo7HJs3Fod8aUDTJXi+q+plwf
y7E+rbOjF0uaxPM+3Tf4NG4JaYXAMNgYdyhZ21xM3O/MP3QDUJ1S5Ftty8MwdDmic4GnL7v0Jhv8
tH7ViVGyPsoOHWzsflWpnvfB53Fv8LSOSEsm+pX0+phiTvN6GC+ssN1hn+Ib9PhJ+GUYQPFmrq4s
YTo3urndJ3uDoEmq1mIGimsQi0j7brT21T7RGwC1kYhMtiB6EF5ceiKu0BDFPg8nGwA1ZlF0GEG4
VTpn7DDQnVpvoBNHOg4Wcs5xMXOhMARYLnS600020Bm1GxbEFbhJn9BiVIgeeba822fvDXJMmXRt
E6w+cm2oOZdptrBPws2u21e9kU16E8L5Tnmjj2r1hUw+qIHsW028geYikhBLApJdslz5qktzO65v
d5kFb6DZMaXDJFZ11Hb+nCThecm6fl+xjDfIdEiEGBVRx4lE/lqj+I6yCj/fp/gGmmXb1zXJQn2s
UnXTJh72PWge92VOOHn4LmBl2CeI1lbBbvBhqC5le7FP6Q0uR6JMP1Ugt5xRgbLkEEOzz/3wBpmt
N7ClTBt1nNvjrE2eyZ3FD97AElc01Utv1BHVMh5I236CDa3ah3m8gWXZNaC2Z+pY+6Y9ymTMcmeH
fUUK3kCyTeCcqk5BeFd/ylR3VArtK9nSDSQT1GldEarA+6LMhy7N4Lggdft8O92AEmnEulmC9LLq
ngOAbrF3eJ/B0w0o/TBXSUgAlLG6g6Tc5GVodi5musGkkXU6B/voKQa7o6z8+7HK5D7spBtMzlNt
Ma5AuPAs1+yM3c59YLpBZWAY6vsF3GTWvmAZmvPAG70vCKYbXKZwMOnVBPa2ske5tg4XVZbMO/1w
g02tY6KXBKsjXiabo7nSRRfraV8t+3hC/LRuY9MUpihBukPzC9PMD/2a8J1+uMGmLodywgpC4ZBI
mmeUHpt1LPcZHW3gSSs5T73i6sh7rA/Q2/RFanu1D56PZ9ZPzYKHKlRoAdVl0hVr94p3H3elB7TB
5mDl6qtKqCOpE53rOZtup1nKndI36Exm3OlGOYgqy5orU+aV3Fcmow00Kze3c9ODZN3rwzJcmHXd
5yWPrc+nph6WMpv7DCTbxKlckc8xwAnWPmtvkCkEWkzymNeaeUgPamFtEaK92Sd8A8yul8Q4NwJ0
QhbzaZ0OUyZ3xvDHZthTq6jRcKuSHoT75/VyttO+sgdtMCkwdGamNaijd8vzzpibdTruMYfMNoBE
g1yjzDxobPK0ysddCV5mGyS2dA6jGgeoHmS85Km/JqU67NN4g8Ws961UagIsrvzKzjdkqa/3Sd7g
0CwEzZFCuumV1q8VGd+1oW12xSaZbaAY7VA1IsISOkPfDPKm68td4QOadt87XaRE+IFCIqPL2yoc
W7XL6eQjzeipM6eGJsMwAgxTmt4v6ZqvK9lXuspsg0Kf8cp7C24XuzKcy2bpCzJn1a4AIrMNDG1l
mhHFR6d2yXBcsSsPMiS7UpjMNlgkVpDF9S0Ir9ruTsgufa7Ymoz7dJcbQJqMD5POQHzoV5lPKp59
lZB9ussNLLvKI9k7qF9ZM/Qf1tIFfiIisLgPQXKDzQqhJtFVB7WD0bdNGnMtl4td4JQbcLpJKDON
gB9r0wtllraobbPvBFzKDThdzycxzI/gtGdBl5dL7HalGyk34Fw0YTXFAE7SyoumXfszIlGf9tlk
g9DGNnrkBKLs4nG3nES1LmMudIh7nXED0wHZBXZp8ANDQtfrxoQvusf09T7tNygN3doRPCOIW+lb
JsY8jft63VJuIBpKg2f6GBGxygpFyrHgmUX7ACo2ABW9q5MYQbiZ3YWqb9ak3lXVS7FBp5HYw1Em
hK1Gjq+MTNITV4vYlzbFBppiWVNctkEcp8xPzwNC7fMe+j37ygixQSdHXdVYv/JTrYfqMEy0vVzm
nu2UvoFn06YaUpHnp2rq7Dkb/HpZ+mrZafYNRIXofEx9DZGwnKeCiGo5Kq7jTt23GE3kuszZwE9N
NoaLoVrTU4Rt/r6ALjYARaVNsqHt+UmGzr7IWLUezKL9Tt03CG1ZWS9lWfGTaiaUMzKac6LSH7n7
o2/8IwFIbglALSS6liWan6x2+l6scX2lR7Lmru/1Ke1qvi8Eb+lAvFHRd0iwkyiH9BqyN8rLuir3
4YpvQOsWheO8OHiLjLe3Pe3JZWOyZl+w4RvUIqgZ+7h2/ORDDLcs6eOFUSK+2hWB+Qa1NdR8gtGW
n+YgeaEnLz9aGsJOu29QO9hVxSYYfmoXrC+SRpFXU+/97T7dt6i1NvPYg/e4Bru8RY29mTFL9hUy
fIPapE1IjwRYxuogXd7xfr1BniU7ld/CdixpsiQgXuLUnfpEpgcrq30kNck3sBXpIiWvwWnmXt32
SbTPu0nO+3Z2fJNbDYGTQ13Bqja1ra/IyOJFifjOgmPLEGIotVlbQTxjNPZvmWvxV+VqsQ9NbIPV
eqrqPlZgmOiDPZRIuIsAVd8+n9myhDI0EuEeo6WViz/F2fF84Cvfl6W2TCFLlsaquWSnKgR1jtLQ
4yRRc7kLTWyDVQp8PT1QyLBeN/g0TsQfR2p3OiTbYLWe4UA+qAR0Z308eDTb68DZPtKa3PJ5eNP3
oxYWfIZN+ALKMVmseGn21dhsA9W49nyUAQGY6jG8VKyqDitJ3b4Mu+X1WEokkJFmfhrm9nWfMHoV
Wsr3bZnYBqqhadoOzxM/Ie++NGOXXRKv3T7hW1pPZaVRaJXsFAzjh4o04aySZB8XFjjK3589kNDX
a8MjPy0tUr/21JCzFl29qyUH3OfvpTdUD8RYwk+pl8nZllRcJQsJ+7otckvvaVWSdZqOkJr6sBSl
JEtuRLT7oLol+JTcLyZtM3bC2qLCtgsv5KrLfWGGbqA6lV2nCQao0sYmb0ogmh7STmZ2XwSmm7wq
RaBxIuCSA7S2r3VbxwLZOO2rhukGq9hk3sYG0NTXmOfINvUpkYr+wOMfY+Gf1Ktbio/UuHYWLvuc
ghrHPI79eN2wOF02rpf7isktqTIKZdeyg1BGU7x87FI03GY2W+ofWP+fvMGWSlRTKqAzD28wZK59
MZSmLeAQC5y/F138wW88OsqfWGlLKVIdl+A0nJ1IF/llppLqI6Tx+X5XniIb5LZT3abwP3biMtQX
XVqL8+jTnUfLZFMPW6FrnEyUndZV6nMcqD1lEy/3ZRKyybG4AsUh7bGTrGoBm8BSnIEXYPadL2+Z
RYY1ATaY4DqKJvxIR1wfgcyN9yGLbHDLFEp6T1d2Wriaj227zAVp+myn9A1uGZKKjyvswJOxsheu
Hsp8Zd26r9gmm3JYPd5jEbURp4VBrARGobwQUu5rhMktuyj15VxXGqo+5G33JXYjv56rdnm7y9+3
DCPPmnJKO6j6PMH4iJM5uxh8LfZVrFuO0YR6gHQC1bb202IOiRbDQ1c5vI8BKLc8oyj4MLMF5I/L
gmkuVyHO5USTnbEGb/Aak65pWwl4BTqG/yDRWD9fjZt+EO8fY8qfRLIt1wiYrlPNH71yJM1UFQY6
cEWWueylJTU5lM245gFaldU+EOBt5oUOhcaiEScC7eDDSIfuhZtTvW+rv2UhwaZtlW0JB3SV6fsc
a6qKNIXe/j433QCYx5lH1EGRvAAh4R1k9SEH5gZ9s0/6BsAMHGahEeqpEc3TNXQV/Wkd/D56oNxy
kaB7NDSxYvzEgSGTFi3MEugLiEGk3NdH21KSUmi6mwpCz6m3eH0fZEm/DpnceYazpSQ1LZmniQnY
n0wxvplamr6kY2V+gIF/ks23pCSLHW5EIsH0OPWvpmRJC2GN25cRt7QkiViiknYUp8zPrrwsZere
eHDUZJ9bbplJCdzu6hC22YkNIctLuAB3Shaod3a55ZadpHsaJO1cdhpHTV5YY9HzbGzEx33SNxmX
Nky2SsnsJEe4UJcEkb2rhm7edzaXbgA7IrgSmQaSnQTt9WW3KJtXXZz2BZstPakt3RpkwrNTuTZA
fmLE3quKuId9ltlsaxe4F5BNAYPdebK8B0KYt7kG8ubrXeK3FCUuVJPVYslOSYN7f2Cr4U2Rldmy
7wBtS1JiqB2jkq48LdCSuXGNz3KEBrLP5bdMJUbC7HHblifD0nju0VweHNP+sM82m4TrapY5CveG
T6TxSR4sSi46b7Kdlmffb8vrkdQGbiuXj8fR5nr2ilwBOcXvg+uWsWQNXCurmqE8qQ5qY44oeeHb
QHdyDtAGr7UqMyvVVJ56h9AxIYm+s631n/cZfoPXgYxLFXCbnOoZ6IR80vjEJug/7pO+SbAiZq6E
A4vkpDKbvuPEmUM3q/HLPukbvK5dQxAUx8mptEs8BpmW59kn6a5lFVsCk22TQY+ZKU/VaEyRDEvz
SpCG3O/RHS5+fO+SS3RNfGyynQwx+EalSf8Wtuim2Cd9s5tdkbKehyU5Tf0UP+JYNVelQOuugyKR
bcBKhe5wE7ry1K4rPs2dflGX1u06JxJbOlNp57Qf3VyeBEu6Y7rEMo+rUruimNhSmsqJt13STMmJ
Tqw7Audfn2c87CMfiS2xCZckVGxlycm3plove9P1b0jJu30xWGzJTZX10CmtSHJKRUOA8DHPXVrg
UKNdgBJbepMWRKY9Bf0t8vwAR8jlB0LreiegNnBtWGjjqCDUhGXor9Wy6EtaxR9tqv68oIRU8T2g
IE9jsUgGUXgJ5hLD5eH3DZ/tj3aEj779j3s22MZ/L77rYKe2uDk5SRVYVZQhojPccgunpldNnXPH
xboPvFuuE1DYpLE0JqdlFHPuKoLhgpEbd0rfgLd2HJm6WiEkk0iuEK1oPsAefVf5J7Z8pxq4VFli
q+o8zmymV4gw/s7Bwchw2hXYtqwnlbnFR4n6sw9peWKEzRe6G3dGB0m+X2SfYOqscOPZNZU5hGVq
2nx19fp1n/KbXEsDU3UKF9DPIovDwSs2Hqxq9L7QJje5Vqsl4TW2yZkGqC6VM/O512zfzS6xZT6V
KkvKhLDyzJZ2UrDPT/gDnYZq14GR2HKfEFw6UGPjq4sGJ6g9dC20xXkzxJ1ev2VATWPvXClhTIbo
KMonPIXnvmuqfV65pUCtMOCopggPF2PwNDl0pupgmIiy+64vw4Cc7/2yCS2xTZD9xdywoegkrGoL
80r2OY7YVMc9kxyVTcUuOg1TP4A/0N02xM+7jo/F45inp2Rf14QZ/DImF3XffVhm1j4YMY+fdiFK
bAA7yEnPtrbd5USo+ZWluvvS+fZH5E3+W9/uT6L+lgXVBIQXikN3qRZPqmsGp0VlehaeENY+X7AK
SQYXfEaNrjvpBL1p5jmRZ5ySpXyYMUGPDbpWD7XK0ei6oHOVrIm/Sahop7ZImoWIk+CJ0p/7dl5s
LjCKC8mTxXJ8pVxoOluQtczQSdcTaT4nkXRwL2ylfE4/icdHIhSQdb++5nEZzFVbZrW9EUro9opV
sqs+hTb0oc47N8bhDer7YLqiWbynOoeXKKvPCZ7TqswbhJ3+ksyJn9ciZiFW78pFzf2UU5oocDq3
DOVLl1Idn1sfVz4UYzpJf0ipbcrX3QSDJG4c9G3X5KCBM6pfiz406ZTPsUJRHJZuYcN7MwxGneHO
QdtdZjJIlld+spM7TMgYC++vwtpfrgPN4NIASlT/EXeGtC+kS7O+LuaBcv/cZRPubTHPUcovlnZp
/0Io1qOP1psJo8OU2hp2Xw5G2YihaLGqKnhZL5slXE4gs+8PYy9p+nk1iKk+n2Wv665YSCyRzYGz
jIXLMwyl4gBHO+XUHatyLt0LvbSe3Q4VG0GCZEmCWW4YzthyrIA8wF7qsW30iwyvk7nIYG/SwQuV
1C0nP6aw71ylrM2tjrab8QESvFvPii1svBkDMb3J6wR4Bm/WjGFvCg8z06o+Z3GtuguFUpZ8ssQv
Y5vXwCoUKp+ibaODM5DI5jn3spvHcAA+IxnmAq7kLYRcL9pMcKyG0sWveRlbwfQZpkqZaiz6dUwY
NENaWfK6SElGu7uJjPP8LtRYqnd9yfppgMkAMO+mLijHEQYaJKQi6pIHx/iv9YiN/uqRSFZ9AiL5
itt84gk8VnA16XihI7xVel5sOZok1zDBIEV52gr43WObAU0OMDG7IL+isVJE57XuS7ib2MvQJh+T
1Qemi0GtZL1PYf5J8oUiYewBblH4vlC6y+yRdHMf2+t2aR4BJnqv+iPcJ3dZPKjWTVm8prUj6XDS
SHDfHpNMeYIKFogq24OQtZ0fMJw3hNfSVks9HrzzJS+aUH3icXDiqEcv+xwNCNx86EXt79MRbPSl
1yPuKjCeTZerFrVWPIdL7CN+LXvod6Y57BvNreW8vprTBr3KcGboFzdPrilgxNd6j9dRHwhdBIz9
Sav1LW3SufpScU7ouRKZEmtekaj68iYa55vns28WOoci0jJrqo9BgVM1N3RVGa6vYOJMrE0xN9mg
PowQHag7DjqKWh1wyWd3ZXS1TP0BqJCV7g/ULHz+wBM0rg8xGabuHR+zROjcKzhERnkg1K+3Ki0h
HR8MZIa0LcwsGr3mED2S2OcOQZuxO03Qxx/whUATTLg6w1VHPpa5halD/Ve4HNYtc17B1BTfAYUc
hqfI3NNF4ikXQev+Ewx0A/bCKUIxZ7ICJgg1k8vHNgtVlq8J7RGYfYERVx8ZhNLs9YDbmX8iS+Ir
nGeTHSjoNk8z/Wr8QNxtrUbZf4zOutTmNNIuvCiRxvFuriZtYFTbgrr6bEo2DTCBqu9gUlSOgrJ1
eporLoAm0CwDafDzZkrRlOaGtj2ZDoMsCfAIDE7G9GMM84KOgjacfg0JbMLM5eiqzJmTaOCg/5Qi
PA4v+kmH1uVNHaf1xKARIt4omMyAPsOyhrnMZZSstjmkhjl7FVqPBbCtHHBS4BnRxvmzJm6owJt1
ROmQJ1UbcTg3feeTHqb+dLx6yRVJ+gP2bEWXqKYe8oXgk6zypJ/LL0tjJnXbCDOHl67sGT6DbSp6
byS1KdwwlExW7yDRB93kRja2mnI12na+lD1d+wh8djmjKof+EPTAC0+nFs+FCCZU72iWOn+BBjzO
H0cz0zYpelarZj4aH3s/F90c0XQbeogzN6NW5nF4DqrTIoVysjlUZs2kzUfn0luhqA95a5Ya67yj
czQfkjLw1d1Cba/NchhYxnV3vYhuFcc5Hbt4DZ2+hKEc43YMZ6Brp3TJSzgbMzK3yC32MzOR1ixv
MzXD4aTqB9rpPCiY2tPAdIZKvdQiDBCyyzLSOxg+Zlp7WCft0zmHuzdDx/MWg4wPoxTZ+NI2jXbt
WSGtGnlu02mQ6JhWaVJfY9eicXk5y6nBbZGNC67WG7KusFZ5n3ozAIHAL6hEB4cTq+2h5bC4bdF3
j5vr3K8k6W47L0eAHdzMXHB/XGc45GtzP7CqlS9NP1efysQxKAni4HF8SOHd1zIXBOvpC53nDEhp
cUzbOTdJbP0FxXImRZWgcu5zmCU4y9copEBdrbKxnrKcmQW29F/rcp2W/tRB5yh7BxEQ4TqfaJ0l
J4R5CPw88G5qdN62Ci+fl37thusSNwu60r1Y57etWcfphqLFeVT4vqkZgdpihSDQ5B3gcVXv4jyC
gxR49CIdCsIIzMMulohtfA9RXSe/BrEIXOUaW+ApVDoj6kFnph3eDjIQV52pI0qmRW94nz1nqJcV
L0JwzTQWddq5+mJpY42yQzalbTflfQLR6fWciAlCMqU9bV8RPvNwWWbR89sVNWiqYGZJzVZdYO+r
diwGsInMk7QiwPKAkjTMRaMqB9eKRIqJeZO1DlJ57phi/tckzlP10OmSjh3Qge0clnyCbrz+lDUd
TIrJk9lo8iGdMk1U3g8ONjB5KcOauDwqmPOUHse17RrA2wIFIcsnQxd9zfg08NcTvHP2pl5Zbzys
BE57OITlfd3C8ZfkII+vVdNdSVoy/d6sgbX3AtcdXnLakpj2ucmGlN/XrII0kOOam/pDtVTlUMFd
3wRqnzx2rOwv7ah0WeeUAKv8/Wj6GjV5PSGVgAG59+Ba5VKL6sxqqGNxUcPYTg1xcGJJCvc6YAZM
gApqgG1xXlvTlZdKhREs2CwxfQ41B5XviYHYeOrW9HHUV7vCiLiPiyNNc4o9nocmp6Ml5Se7Zm68
BVUYBLkyGDtez8iN+BW3VCZ5Bsy8NBe2Da5IssanptAwe6987Uoah8s0GoNPK4X1gYJ7ctk7L1Qc
4MrjWC2fylUMTcgXlRDr81QhR2+SFTBxixYN5LO867O1cXldcWZqCLHGZ/D6i6s0g6wxtbaFkoTW
tDmSbKzEw9jABLMu7xDL4O+thgbrBbOQpT6sSynEVdTSsY9VCvHkfnVgsNtm8Gx6qZwl04sIxBZ1
BVQoAdftYPs8yyvfjoP/mnZrOx0RTC5lIZ9CqtxFOREdPjYdjN14Q4CUqF5Pc0KCyx1cVF7eN/XY
9BfQj1VzmkvEhXs/IOiZflmtTNv0SIYp8jnH0CSc3zZZj6Ggn6q5Y5dLr+daXNhKG7h4Wqsk2Dwt
u8Ae0tBoBvm1qez7GYII2AdO5GoGNohJCasAeO7767has96h/8vZeW03biVr+FXOC2AWcrg5FwAY
JUqt0Ek3WLbbRs4ZT38+yJ5xE+QQR7ZXdyuQLOxQtWtX/fUX4L2nkauWdm+0QkV5c9OKn4a8pehE
CavQ+hyGYdSlDjekSjsJsRXH32XYpaLHmCCEvK0i9PAXvy7RSSfWPEujKkuyFGooJfX3zssF62mE
IWDg8tQLorbPRIh6DiShzeY1T+Qm+HW0KpPhY+rj8dHosyRF25KxyU6+MEatLftBn31TBtxIuyh0
QzxEhV+U95UYDMqua8M4ftW0Ikhju4tHOd0nhZqXWIFa+dKCxioeW6/r4l0dNYJQ2p2YmcJrUJS+
/HucNH274+QrBzsDQCfZHIsGu1KK5NoVmy4S7yu19awvWZElKjbb1ApXCluz+DxkKvFIZnlCCerJ
aCgqaHVcsieh7htCz23sZdGm00ohdjuza4xnwa8H+Vh1vmrso6lPEkoRBit5UJIpnnw7nbA+r4M1
DpqTZ1Wbc9r4Xm1PelS3d6LYB/ozXHtpFzteZiSNvzEls1WfCcNp9TYauhhL2KuwrW3VydDEXVGn
prERi7rza5cSZbXfQNQQZPc4n0Z3NExf0jdp3fr+NlLQ0GM6Zbq30dQp4rJrhFJ573WxOJORtnkY
34Wp2idgQaQ+bg7i2LSmK3PfTR46wFf1oQ0mcqx6QFsD3255Qn1v0IRAfxg001TuU5GUiKvpQlTw
sJR/Gbbim5N451V6nP/m66lZf2sNqZQepQQvmgscJUr6o1/UcbWp6qbq7vVe1ouD6pUNNl9qO/EQ
qpU03FNBCgOFrUeNar3FeVgMWzOcuuw1RouhdYgmqdxVCpeaR72r1QLXyoyMoCNiJFvpKYkzeXro
dCY6S5xWGEQ5OmijrwqTC5wvzELHE0bDgnVT1gXF/mdBjkVgT0tLScgj1T8MnIiwt6R5CQqGvPHb
P/v8RVy+lD30qquCQzKI5R3pdfEhzvJ/VgAAt/N5/EdOm9bAT5oOWh7Udl9L5etoFt7TP3r2ZZGU
oU1VmSl5fyj1UDrKQRJ9nT3mlUTXOyLrSvxnWSXl91Llj2MYH5I8CYpoo+oTnIqSWnkHDSwSpWsQ
Lvpuo8sC235MwTGKEHz/Hloxd60o97WHkI3UEDDF9ZoGRy2sarQFtRoVDiKT8kNXbVOTF9SF6ns7
ucytwo7iQjbsJAHjehIsI6uPfhdKAdu6JicmTmOyxuQ6RxCvDXARWQQsPTZ+NPQHy+D6sO0qqxn2
tSf1f+RiI8VuDInKWi74v2Ro9EWccShjRejqsT508N4JxyTMLUFzlVASc9fKJ8IwtuZNquYSTRDM
1glUi/gZEDlJ0AiJTeJoc2L09UbSGqHaDolXV3srVWTtXu88IXaKjIq5dqM2sWC1BAQq+ro8hHKi
45DR2aU1G9iS67qoHgEM9u0DFAEBl4c6MMvjjC/LBdfwYm7VmzAS2ljbJEMeGa5cBWOPxcTuyLtY
9+Vh1/mV1L+mNIeRBDvRuzQYbC/xIOTiNsv9fdyViiYRiCknvw4c0RvL3JV7WIc2qS8MdXdUzcHq
HlJT9+EDi/u6z0L3XSX+4pH/9Ofq/cmH/ltejFXoB381k/nPt/97+neHmvcmKH//fG5H8/d3j93v
VdNWv//P6Zei/p9tm/14b1KzfM8s+T9vQvBfTzITx599c0Fh/19I6v/sf/Nffvn/Y7BXSKH8dwb7
fzdS+Ju+fn79X/T1svmvmZse2Ics6qKmzobpb/p6C7ytrGqWAZM7jTj+Q1+v/UvWLY10vQmgXZSU
2SL8m71eUf5lcKWfee11S1RlGqf8e3BnqwVd/1/f/8xeP2vD3xqp6WxlSFMMIgSyIpncrc/tpsLV
P5J9jEWpNYniTPQmqnYtRTz50Z8A3qykLi7FqeRzJUTJiipJS0RtIRiwgjXqYEtxPWo/hiSWpsTO
vFBQX3zVqqbfflqJK8M7NwLz8FRNnBE9hkSnAG1pWcUwi6sxwZ8quS49N4aiv5ahHq2BCN7BNz9N
oyGzvIaiqYrEMuvSMi3MjyRBCqSnu8Pj9nHvbre2vb07bbeuuz05fH9y+dt1HXvPV+7pbnuwD7zm
dOLbo+vyu7175HebI1/y6u3h8Oju+e2JNx94qeMc+LTtzuYj+fj5Jduc9x9et4+HA59m83H2Zv71
9rB13ngJj2A780/4mm82tu3snT1yeS2f+Gn3yMffuS4f9cZPDht7s+ETv7kn+3B4tQ8bh/dsNhtn
4zjO/LIN7+fz5g9z7vnixEh4oudZ/G7vHL9sjvNLN8eDvXEeHJevGfV+lzN4h6fbbvb3jrM9nLbz
g/JsO9757PzCp+556fHhZb9/maeJiZrf7Z5OqT2LfXH48e2N8Q5HvrFiSxqUNKpqVeQuddo+vh22
rwxq4/zi7I/Oy4qkdxToLUkLFWvqar5YSE9b9+nbr4++/Whvvj84or0i5x2pf0vOIu9LPU8RGLMc
lujb4fmZdXaYb5Zkf3dy7xxnJYn6DoO8JXCRFvOkpowmBJ7ct1d2C+t0e42wc+fWaalWSxwN8W8S
IyESnu62d/OG3p7e/+ffx7ctuvHIXj29nbZvp8fSRnFOb2+spX2/Y2MdnneH3W632e3u7Qd22NG5
27Odv9/fv2/He9t52LPeaB5q4TpPd46Nfm6OT87dHbvvuF/xSFY3wsIzUcWu8yLmy/3mvqI3zNja
rn6vc721JAtHa8KSZxoi7rZvj/4GtUTdH2eFZ9qe+e9g7/hq1mrfZoTHP/aF09t/uPv9/o/efnpZ
2yLvRcO3HmgBEUsbU4nSeVM+Hl4ft84f+0Nob3fbedJPW2yc+3KazSQLw0JsbGygM3/rPm5f3dfD
88n9lmPbdva3u1+3fABDedzZu9dPHdPnYkWeDzv23ebIPi/szcMvkX18YaldV7bdJzbEm2V/3jxg
SbauvXc3T9ih42k2MLe36nuR7q1xLoA7cU7OVGKnYrBP9jdsbmfz3N93W/v5T8vM8DCid457t+Uh
Ntjd20+gvOPwbz3C4go0GWM/9vNUf8O8n5iF02zXTi/uo+vcHQ5Y6/0b2oKxxuJzSuw2mxLzut0y
5xw9+/kUcL+xONs39/D4iMFm3zw++7b9lV20ZU04JTZHtPAbVvtov9uyw+7weHj+/eDbvz/PH/rr
6+NbaL9O9q++fcDYYYcen/n299/Zjdj8vfPwgo3l36f9y+Zl/4eDyd+/2K+cIoNt+/YOVf16//Dw
9eG433w+HPc/Xp44KZwnjgNns3lx7V/uOYj2T3fuCypqb47He2z2cc/Uu8zq+zQz8j+Ybg5XJHK2
7E+cy6c7Z795QNXfX/jlhR/PRuHFvXv69o2N6PxYWZHb1ov+Uue+lekTb4LEmgfb3vGHvbs7uRx5
qL7tuMc/DzlnZR9I74jR/74PaBB5LjbuDKPLEYtMpuP0iP6jarPU+fQubbTI/nU+6zGX6MXB5oVY
h+3zfCqz0Cw8Xz3zhoP9gEOw5av5vYfD7oF/9y9Mmnt0nt4dG6Z1O5+aaNQDmnt4dxf2xyMKOW/1
7bwHH7ezOQ3sPVuI6cdab13s8d28jO7+2wlPx90/urzn9gKoZ6eHrsBWBfWhRNcvWYd0cYkJ6cg+
+GKb1bZJVaQ7NkXnGOQdN7elnK/yX1IU3D8Vt0+Wl0VouVcXJBnT2ia+Zm28lltklQ3Jm0/pvRvG
1seauMzyYJGgT5xJ508Ky5dglEQimGYNkDC3laVuQ7MftjCLfYwq/U8pCk2yDIJ2ukwF4/kmkloT
JiTRq2wqreSv9DVID00xTCub9XLuNFGxNA3EJ10ItaXbXJWJGDSGVdlDrAaGE1jEeu240ohY59aY
w6lV9sHr7fU6v4K8j0wSNU02RZN7lDx34fsZKWRlSlmk3VjB05PJR+pCNZcsQnQS4ZBZGd4VUdz8
uOdYmjL7MotJlAsyhmkbIyrpCruzsmlLUrhw6ihNVtCuV2aSZpqqSiZXM+feZuej0gqS30KWVnYX
1tGhDSN9r3N9uyfNZT32wAxWnJlL3dJ+lrckPxqbfMoJSFTsdWkq9ilxTWETdXq4IufaFGqyZIG+
YHikhc/H5cFcO4a5VtpWUgadE0VTNLpN2E5vit+txYyuTSKlZnAici8nRT3//qdeXVZZ6WYNJbnt
j3Lstl0lPwR0OHI01RxdfTDVFQN1dXCmYugyeqYBvDiX1xHLN5tQLm0paVVbsyJCQuTqbT8k/v7h
Xa/PNSEG2ixpxpIOndiWFhNILu2xEhO3IVr1UEcTMIfUr1YUbHbp/j5/3hXsTNRCwbrJKKpaYlTa
lD8GAek+MFHlF4OGv/e9GpdfyMB+uz26a7vx59FdTCSUdn1MnpJ0XOoQN9W2Yd34K+p8VYqk6qbO
RZ9s3GIv1lYRVBMoNbsIrfZTnBeRI5iZ8qG6qr+mj82OMuuqdgmB1Ty1DCyjtPM6DW1lgJor7PI1
Gp5rW103FZWglGRRdbLwTSqgpFVY6iSmKkuBgcNK4iPkv94fKTjnVwt71fwDTWbqMIcWn6guuSEi
IQCxoCslEB1D3yVd+11T1V/lUjY2H98MhggQdj65KNqete4nLdY1MfB7DZMReIJBPLU2gSNJzYpC
LW6/8zoR1LFUU7HoKspBsrC4gWCC79EA75VKpYAqUnpHm+gxUhSFv8v6nPSgru08L453itb0gl12
WWtPIpXLHx2vjuro9MekV/Ls9JyPFygmF8uOU0aiV4P+lNVqUB8CpU3rlRV8p5Q/12wk6fg6smJq
mrR0PYbaNwNpyCubFG98hIu/25ZlobzmXXXydWE4ViDDNlWcS6A+29QZxjhwWINGaqwDdULlCv/N
paWxOFzRSIsoKmWYC7XvR/wjoQMsVojgUuzet1LdlpveV1zQRXJBR6BOfwYtvVqfcWkKkCybnO5w
zF26R6OsDGkrcVIMSm46VR7FzqS02crKXh3fT1IWW2zsCmvyZ5Qa17rObf1EJtTvwfgD7nS0vudR
X37YxDEuFnjuqmrQdXVhu00S3goeZWkro1mBjRhUp1ObNWL0S+ODFJ2qObAltPdecoFluQz7gNGU
duxb+nNujuVGietoJ7ZJ9GsTVtP2toZcm0e27NxWWUNPlhbBi3NaPGucSHrUq4XblaZwJ3ui75hm
Wp/kbrQad/DxAldsxJrchT+ht/5QQlcMfCbNqruoz/NDAfT4FAFuuAOWrDpiHK212Ls2ubO3KYL7
1gx1SdMyFGZaJnBqgg6UtG8NLX7ajWx1VKBllljYVEY1X29P76UbY80JCUXhCsSxuPQFW8XvM60G
Rtx5debqZVm5Shp1tpANH3c7caXxYHRFE0VdW/Lrxeo0wY+kFvbY04ZTjKcWLjzt4860pakSDgmO
oDwnbc4tajaCHlTlsbAFo+h3SqymdhwZT2IZg+urPtaBcrbY59LmXfTTedX7sl4POtZKDBNPcpTQ
iHXAqtU0rhyMs39ybr7njseGOO8OlbTSwn9Bj8MkCKYCwJVYHwNTSHd5lopHWKHMTQG683XoBSG2
U8JI/cdVwRLnbBX+NRfyJfGREQ/mFDec/hQmWC8JiNFHoKytU9AF7ZDDMwhAM/DWCHev7EyLuAsn
hGzo7JvFAcGdRG8UCayiJnmtXSjg/QE/BXYIrOnjttp6vytLOPIWx+P5KpoFKWcVIJAtBHl3p1MO
cQBJrx1D1ZL3jWeQe09K8G23Ve/KkhLiIO6AI0KDziXpShWU8kTOGXvd6rJvJ2Foun2Y10ctV8g8
qzkgS9MCiB92ayRcF0fgfOjqqgJyikoTeUkXqXnAr8sSi+JHZmHLYqZsicV0KxV+FyuIFKIP1nwn
w91a2pbKG6g0mNizU9hIgLdb+idzxU32SmFkH6odQhFnWbim3AANYjnSwieOweSFWtEUdmxlNCct
W2F66wQ5WeuxeHVMqgJc0SQyoC+NWDhFBejntmBXxqNbF6N6JyZteiiHtl45+a6JovJCFRV9PmiX
BW9N72V5nqaIKsFLEvagbGwavwe5+DFe+z8nD18IFZA00QJrfb7/S8gDwkEuCrtSxRC+dXzdoKdU
4vZ+v7Lp5mOGo5HJEw1jEdsELhlQoRNiwrRpsOFtBZyXp+aKLl+ZNRzqOZ6HDFNeJsVHyS/kqPZy
u9c6nEsM1SYfzOjJK/3p++0BXRWFuVA5A8ghL8k/DZnuQQLYW5t+8t62iZvaiZVuhpNZK7mYa1NH
PPQ/kubf/3TMZPlYehMIVdCv3RfTyJRNJnvFyn67cD4snA5ulNg/7C4p/nMhEgh9qiOAJEt6Lt6X
0VC+pAoIS8sHxgfMdFjrhvrO9HJ2qM0SJXBxiqpKSF34yFOZRElfIlH1LSawhExvyDIwiZRvJXag
ecE+Gzp/M8L9scvEUv4D5uIjrcELSpP7+Pn2cl6bZBZS10A4iIC4F+P3gYtCkMTOMaxucoVCiDaE
CH7/uBBD02UVcDbR0yUJpV72U1gXGrjvsJJDB9SQ3ri1aBX6ih5cW03ICwgbyRb244IkQY0zoORs
zizKBicKFEgpe2gBtG6fNcK4Iu3a3JkgJSzTUHUDNT/fO3R90AeK9AqbPmzeXUwFwaHAirofnzwq
KywVHwg/chnYNhKjUkYfixjVaXWfU56zGSgvWAnHXhkL08YlCovIQi1nDmAj4OQwmP1UI3hIekt1
pFALPhoqAv8jEoHAbHC3MZd8j+bUCRTssPfjUElPsJPIbuFl5orNvYx0zGLAB2kGuRRubvNgf7Ic
KQUzmkjBuh21XngvjJRUSWVyzHvNsnWxezB77bmgJoS+Q4Z3R7z7qFtFsb+9bhd3KR5Cog6LNAHR
lgu2/akUW6vxExwBvZOlTTMEdfZJHTSxu9fanqqUoQc+f6g6S14L015RA24DYLFkRQcbvHTtaBCm
iW1q5faYRkrsBKI+un0R3iuwGjht7fH37bFe2z0zQoolpaZbWp7arQzb7iRiRdQgCAGzKtXWSKc1
Tbg8eiSWlAgZO0jTreV1gJizP1R0l7X1IIQe0DTyw5hNBnhma43p4HIGEWUquIncP2RxeaHCVuoi
tVYUGsRaKLhjnpSmLYId+WzVivYj6FNKqW7P4Wz3z88FQlWyOkcaMV8qKLmzTRvEpTb4JfDXIktB
v1ql9qVs++nXsjUSV5Iy+VfCIMNdESj5ngrDegXlfLldJYUAisxNB08Sq3YuPs1K0e96SivEhIYi
iW78SCrjTcsIUJVWRv2vuuZVXm6aWSKXVrJpRFmXBKp1H8L+KpX0EqDWeqeUbbtHVbIVY3Bx4bBg
VSR+iyLI89mzcPPkqAEFlzc51adCNTlmFobfymlMVbcqPPVTGXdTaMdmQMzISJJ67Yy4smc1Uced
xQckerTED1ZTYcQZ6W1bSLxyq/nUmMNtJgWveV0pa501rxg+UiVclQ1dIo7CneB8EeGRjtW+EVF8
vf6EXYxfJUpj3U6tEslV60B7iRVI7e3B6+tmK3ueZ9hCXZefg0pdpQe4MvPkY8FomrjXM2j0/GHk
hJKDqewx9mWAunZt82uv489n4mBR8+XFp9r8IpX+x9qnzY49k0AancgZeE2yfudyxdRKtLJgJ1N0
k+QONSDKtKMqLlwjzbi2tly8wKAqXCelJTF4mmWRB/I0t/269T53tJ4yNqNkeXdNqLbG7rZ5uCbM
ImxFBNIS+bOYzUaV5UBoKNOaiKwfCylvH/rMEKivyPvX26KuGD99FiGSUDRI9innEyh5qjZSl4lP
GBnej6iRxs9mY3S7OEuSPQnN4OtteVeGRowe1LFGRIAWpItrLG3vwrQdc+x6bpiuEJDArOgsaue8
Z+WguiLKJOXMkcjQiBYv9kaop4Vfw8lvWxRkURc5tK1H2i9TDhL1s5l7e2BXbKqJT6XOVk6cA47n
ExkNmZ74rZDZUppGjkehB1WRJYk/OOpr+UczVp24KzlrVm5O1+QSbkSk8g4mWeyVtumlRFYM5PYU
BdtDG6oP8kiiscrC4DN0jvm92QXCinN3bW4piyI9jPPFF/Pvf/K6OqNT00bwMXXU5bsw2Vt2QS9U
xzDqtVa5V3aoiZ3TAGYTNQaUfi5qUnqKZ/o0t716mpykneTdSK33vq28yO0zX1gJtFwbGtfqOX1C
vJjL4rm8sjf8kq6dGSlOVT/IsDq4qa/lzxPMFSs7dN6BCzeAai6FXANsP8zl4hxW6dNLpy2PckM/
TB7UivBRRIvM7e2deVUK564mUzCOK7WQIqZFnOoa1oSq8nJTeqJ5FwjBGtnp1WnTiUiYBHE12ZDP
p60OSL3pY4GURBsMByR6Mu5V2jSX7qiZsFXdHtS1XUGEar7H4FSoS6YnUYR9pQ2xW0LTvHTQNVAR
1ts6/pRtlNEa49M1acT4ZggVYWLudeeDK7I60pUC5a7G0j9m8Bdv69g3DuIwFHdTP7Uro7uyZFhk
ItGWCMMdMcZzebEhwyMw11D3XVGQlw1EuXMpzvbWvIgrq4aIOTBGjFYVlxjmoVCloAnR46HrjNRN
wQ64RpyboR2GXvXy4TVjEklNkmm3LNLT56PyBokyfZ8Sf90KtMzlccrfskqFg8UTCOQS+VfX2gVd
sY6c2ERL8UlwuZfHNhXJ6RAM8LJEXeg5seC7qkwNeN1qwkal1NYeBql3bw/z2pziVNMyXVbnONO8
mX6yjQEF/kUqqPiYdXKUySZuaIfi2zEkSisB9jVJ8+h/kqQXwMJABWV20TZhd8BUN8kGLpiucMK4
YClvD+zaZBpzYnT2TThTFgNLm4q2NBAu2HAfNTt6xwufJt2z3BI2oI1AMe7RKEPv6z8Qqs9mZeZ+
4cp0PsYqtXopNJXMrnsmMQQK8jkd9c8BzERbUS+VbV8H6orMK9czDD9eNfhUYAvLFja1CdVgpFSZ
zU1Jsv0gO1oF9ByjF0S/UdeevmmpWLmaIFYHuR/SlVPh0pees0KYUDxq6q6Wyi+quTEoSZhBgD9I
TxDTQqAVVP4vgle2J/i7vU3tlfVJKOqVk+/S6szbFU3BjyagsDyOMgqCw4b4pO3JAIdIafibSInk
p9sLemlLuXXS+Q7UK2cf7tn5gnZG1oahHBCw8drgzZ/oNg3rUJ1nW9Ub8jdIj/xfbku8nND5nktI
zdA5A7Wl3Qmgxw3ECg8ibeA7smGW0D5Z7QSRQ0VaBQbFTLOpvhY72ys8alY/Lv3di5c01Zj97MV4
hRz+FxU3VCyKIHENAcUkdp8HvWP1SSjZIa0DereA4z/eEyyWfr8t/9JIKJwh1OmRllBkIqXn8iHS
CHGTMRLyECsH/vwSwzazkwPT3H5YEiFSIkOkct4D7OeSuDvI1pRwSkLBZmRuNpn9aFsxOf2t3mnj
WiOZSy1V2Ecmdh0/DcOwmNg6EuJoaGAD0+Wk/MEB4sZ9FLtS7BGBa7J856dj+b3ojWIXjYr65fZg
L5UF6YTSATyLhkRAbDHYVtfjtkY6yLHoTip0CqGjTP6wSs5STBL9ZHuAmC4cATTEBKXdz6QcgnWM
RvWhMwfh8A+GYsqz1oP2tJa4mhqsnwAqjYnsp+IToHRvJAktdmtYsCuaT3BbJlRpWEAHl+kk8qda
2tP13fZFKpytklJHS0r9A3i/4WiajfDh9CzwBXFOdhhUkl4gwmpfppf4vESCECmbpDOTB424F+XH
g/rp9hRe24sgL8U/A5bg0s93QwqVEvetkTMfYseDSPsCh2BC6spjnxyKuhKPJfn2J62Kiu/Uwa31
gLli4XDjmFKiTgDil9hgLYk7oB84397gCxAwEVH8pJqJQRxzMKpXGeakjjr9sHxVQ3+sVgZ/6Rfg
YVHCSrKHCLi+REzlwlTIGuEXW5py8TuLEc40Uiij0wZ+UgN1jONnSr61f2BwEAy+gEXG7Cxj/00Y
1qXfcQkYpbJ2BJ7w0JlT8E0y2njFd12oO5pngeiRDC4A2HA8u/MF9rogSy11DF2xrzUXKsN6J+Xd
Wq/xZVDvLzEm9gzCfIz2Yh/Bm5CKoaKEbkSOorGS1u3gKd7kYgTRmF6LD+QTsyMkAp+8wRu2JdnO
Jw/C1ZUVXWzni8dYGDe1EGl0oMqhG1YV9FuaUe1wDPtdbqSKG1vTJteVxkabCbwBZtzcVqbFifUu
HYAfiBWJSCoRnPO5rvIwD+EpC13T99ujVurjRvTbbpvD/7lyOF9b1p9FzRPxswc9KcaopV3otpYV
bholgaZlqNdasCwM3/uArDkwDJiK+Kg1//4nKUIXxNAeR4HrhZXRH2lSoXpOPRZxdVDGyBJf6JLt
fdCbm4WCpEcbqTEXcWdnrf1JqDKqZaXllu/2XuCfNOBN7hy5WnFWrwwNwjUOD+Az/Ld0lVuKRTyB
AJNrDaNJ51HoaOJ9A5cczULhaqAGyCiw+Lc3yMLgvA+N1OWM1EI2l5HzoeUwkgbhqIZuOoiRRwK4
aMPJMaYarhI7HozBchraRfQ7vy3Jtt8WfrFlyOez90ErALbH1i6O5Ap2IlXwMtXRSriaxcobHR3g
64qUhUVXdaLooowbRZpWIRe8kNImIQUsuSw5fjj6nTMqSf4YlYO1EfRB2NQjp3UK0dJWkSd/Rfkv
1A/RJsln8HAy6ZRll0oryqFCjlLFgZQkkD7JWtGVX8KmkQXVBuNSNyvZqGvy0AvOfHw54OoLHQwm
NZE9gW56Y6x2dtJPpgvtQwJJ6VStqPsVUcTuLUL4AJzQw3ltf9KJgoquKgZSA0FJF2y8MpvcgXMZ
k1ZWKwt4YUIlHCqIMnC5ITHjcDoXFcV6KcGXyahqMb+DbbXYCd6UOrJg+M8Q/ha217eRE6WDct/D
4b6yiBd6OYsnNYJTB3KHnXouXhYsCx84kB02qbmDdVC2Vb0iMC3CyVSqufj0Ua1Q8LCYVjYP/uKy
D1fhD7EHPaDnyEms7uMEdrcyDJqVSb0c1ZmUZTux2FIsAQodzyGjbzi+qedOMoC8kwLrqesUbcXO
XBNHdHYGZ1NIwfjOJ1GD6bAIoadxMWJiFm0LOIvCwAk02Lla28zUUc7gdk1Cdfvx2QQ4RBgA15/A
91IlCDWC4ZcFRzFz/TvNFb6Vef1BOBCLBNsJoGgiOmSA0Pjz0SX5mAS6KarOyHC+W2KeuWQxipX8
xKW5pABC1InAcZPBF1/MYQStgN9HVuTKMlkfzQzzjRCG0uGjE4aUOUZESpTA1DI0VedKHxSmELmF
KuOZUfK6DcV6bT9cmg8dk8gVlxJNMq5L9iZC9d6olGbkCt2Y20EgcrzBEruHNHtYmbaLI25GNOFT
KVxeKBZaHnFVPlfZhmHslpSK/TbFbQpxn19uYRIc3NrMhaNPEHVlv18bH0gIhfwtsABKX893REXH
aQi3mcUoDEpSxkDZazkz7EGAx+n2gl0ThUZxvnBfIS6y2BZaEnQhpV9kcCaleSygi3TyzpS+qwAM
P6xMc/UeGCQi6nNYb7HPxakMx6I1Y9ouTfnOqpM/KkVfgx5crhf7gXQEuP/52Fza21qRYA6ispUN
aIyf23yaXEicg3vqXuuTGBTJKZuEai03dqlc51IXdsLToexSAy90Famb9l0RNru8pk/77bW69EVI
ahJB49ikBJ385vm20AbY30qBSwmMZOEnujBM9mgMmQPvvHwnQaqa2mHvKXs1aLxfbou+NkAOMW62
Mj4QQOtz0cNUF4IwDNyHdH1w9VaO7+NGXIskXZVCUJvsPtFeysjOpWhRC9zW00LXkLtuqxQ5VNal
tBbXvdzy3GkwhMrMnEUubnGpyg0xzaQmiFyxnbx2l/dFDZFrVMXpnuaVTbNiEudt/VNykWEgjoIU
CLS4RXGbPB9U52dqWU5q5HpTCad6XE5PmRYmblTNsSqr7ayVbXJFBYj6AcGZ4+a4x4u1Chq6JHRG
H7kmBJ+QzUnkrAwhN/dcVJptB678vjPqOt3c3iJXphV7DOgGqTpn5mLxGmF2vuAcd30On62WRdPB
C1tCupD4ymtF81cmFedfJyWH4nGrWkyqlYlQW/olLWRhUc4pP8P1c0AfmLoT6lYd7GM1h9v8wyPk
GkcYiwMOmrBl3yXV6Pu6bls4tEmGOsSWvFe9b5T9pOTdb7dFXdEEEleoOYFiakiXCKqmNcgCBF3q
gqM3nE7qNAfK8h//RAiRaOIclIItr8OiVPjg+ZrUBQDdb4JMFN2st6aVE/RiXxA+4Rgj70fMZga6
nu//gcsbycUod6ktL58Swu6uWFf9Lhgl/evtAV0YSPa7NifE8BIp51mi27Iqq2Zw9cx2qSmvHsgs
7xBOI0Wubu5V8HRzcvdm4Kh9UcZvUd9aa7yopFAvlo77E1BJHOQZCUIx/fl4uc7FFH3G5WbUxJg6
cGGiq17yqYOu3I8duKXrdLL1kAZ7lk39ZB3B/2+mIv03JVJ3XrmxQlFKpZcphSD7lzAGi6Ee+sQs
hC+BkRGh+OqNcZRFewMGS+FHlkaCZzpCKHoCnSvijr4fG7H3RU9xAvojlaLbdKR7o11jRZXy2g2F
JeQ0xgj6+fXBVCrfS4MefX9IjVj0Xyd50pWHChL69EcZq03ryO0YSptIyEMIxiOpidJjW0ThUTQi
HVJ7I+rGb0OQQWppZ61fRcZWVsOspQl53PWWTYbNrE5iMrMlwEqemF8I78jqnU4tpfgDSnjV+hxz
IaTvRk5ZFD0emJnUcLtEoH8BD58P3rGoorRxyNxm/YtEcynKJfMm8jw3JUkeO9HYWNXnQVWq6LHK
NUHZJ5blESBkLLn2HWrmVplcpewHQ9tXEGFOygam5EFonERMLLiNq6AW+l2TArWya3z+IdhIY2hS
TJtapZXCR13MHPqBp4zPM9V09iMpMl0Odw1MgV/Lmuts5yZVXggP4GVz76EJrQmwcyvVIReVruZR
dZAl36TWFylqVaYsm14KvQDTavlQR2yGWiwbpzW0JHqqZx6a1KXBZmt91bzRqN+KlnY1rUOQKWtf
6jwi6Arzc5RUAVdZz5L2gSI3wzPtjZqYW4Q/tSX5ykgU6K6TyFU7fdUHI/E/h5rZlbSp/D+OzmM7
bl2Jol+EtRjANCU7KFrBsoInXJKuTDCTYAL49W/3m93BtWV1k0BVnVNn88qvzXWzrIsCgbAMKzwM
RdX2tG0RvK50borNVtlFlaXGLm1o+jcdsbFP39UNyfy6W3/LDcntwS6e4skvmm9AwbVXZK0QMenN
+6YrL0bxd4Lldx8qJ/jx9l0WNUPpaVROpoo1qlRWxqt2p8wuY6/nAxiLreDH8yInL1VuWzzryxDG
+9kWQdd9xEHtwIvAL6Esd0uzRNtfzsrVc9J5kfX+OC4xNsizmBI7+cDBOjgGWV3M/qJJud29/GfS
wBV4lPNwYm1BWOs677G0+8TOujS7XrOiEqP9GFSyuzebN8j9jyTcuvjtJ/ncvbDdakiFTnKxZaxF
7BE56DMYl7UvrXPfEunEwj/D+P2VLHPhzId+CfnhehujO3LNQ/k6V2Tyn+K85wTKsN1NyjmwSuQW
4mq0Dcpr2o3S2o9OtryoIBAtMQ1pVDs7FpGuEp12bn3ttUOSXSTwxDmoWaiJJHcVMwZMd69GC7hd
BJucSeau7bL/FxC4ruIDMBVcQKnbWzLpATdEXczGnCt266aVs3fbBw5LURUpW+V5d+d5hcClSs4P
tuTU9tBlP4NRm6HMAGrsznOoBsIT2NqxeVKl+4xFZkk5YIPlu61spVQqvCLRS3bxQ0zTTeQ2o5x/
1b0TNPpaz2QZL2dtWA2eMtL9myg8DH6YB3edX4XtQnZRqTp1PXNak27cuMk8pD4ZNkHmSSGGOiuX
LR68691vOb7+5E1gl+W5g0lZJ0cwLtHm/tF5T+9DdQcaqbpokiK6N/NuzG2MaWjyjkOxyy3dErsA
SIChETsHQvIr/dhWox2vRvI8SrKW27kHSAEUaUv+i1sPzeM0Vzb8Nw/lFt26Tj05f6PSm/qXNmIj
H9cfZiWMhyyS9v95Pmdy6q1UC9lmynW9dUKSC18sDfLy6sy9bs5NU4Te7QR3aMo4vkC1zAT7puVi
h2ud7815C3JSfsdtLNw0LLbiPsw99ZCweXDymqR+QFcb0HtaqCHBS1wGbX1k3KSBgSB69+ohJEmf
5d2BYH/x7vnMvr/5nUr/fSZHnLHAIkRy5p+F5OCqerEZPoTGP2O3dprbyXZ5cAg3yvSsrhJvfPcX
LxZOKtp2HO5EUCfNs1eXzQiHoQ/yx1GWxt5x3g3vu3Stei26ZMy/o72M26eqFnH0NI/OnrzjBRr7
09SLMjood1jtmVrVQqEwHabR4yja/KdPJlc/Ylst25MpSpN88cj2PHO5i93lSYcQof9LclmFLBZq
Podjv6/a/ynlynQ6Fb32eKp5RhzzFPgt8pTo7Bz+7uw+7jdKVJLVfphqTf2aF/HsdFdym0K47U6g
C+NeGRqF3GRkQ1f63xrbzflZawkrLVWzKxeRTbOQ3penDbQpNug7E+4HNjTWqclIQioKkyaJKgN2
NXp1caVq5Y9ABUPbjd1PtLSO06R9PE5sy6rCm5PPUVbO8ArOry2pGHoedJXiDNtDL6t7C/YtXdyl
nTsO0tjocxyvDTvo6B7jPfyuDYhCrogMinvDeY71YFo+WnyhOmWHqgRSULm1m0GDQRfo3V4gJJm+
xFbk1CUQDVMgnL7mm2j/K7qhiplWNsT4B8vgvrqCiVnm8yz6WTQWuv2elj1+xuDFjZ20UA6ewm4z
V2Tlb/ldrXwFYW4BoRa7CL9csGv9AelnfG4spLewDOb2auiN/zRsW/jE4mkx//9a+ChiVxv2HKfw
pttGtfymUogZSasgac/jTrjFmUCTfD460M1M5veJDq72ycHWgt23fe3diC/L7uJaa+u4B2ajykkV
CKMlw4hHHAG0k6Y6VWGQ39HdALkZLpCJUnB/Xw+zN8rjoCbIntU8t0c9uvUpjK0rT9LpijPNB6kh
g60HB1NbPqrD0Ha9k62Yxg8a9WI5b1xvHz5ezCYbAexMWVCvfCmlbUgGWnG1zpnV21Jfw4GJQKnA
sWuOpMUlBQlC4F4OpRWTuSmIvbCgy7roCtbVbIis2WL34AiuodS9/Khs6T0YoZ275DLTbh+Kg288
42KyK9Qzx533Nvl9t6aeTaY/soqKP0Fh8n8KZefJ1cSf8IkI4ZxU2aMjOZGGy8JueLKlSTxRrBIc
M4R3Q96a+qnv9246e3Kqhmvgcco9LT5soD+E68+AvcZIlGkVTBsyUM+jCderlcfcxk6fVfyZh8v3
wCTc1v2azXnueRk1Sh8dgECoBV+ibblEqqhd07BbvM9kC9rbwu93c8DZXPI7OGb2z6XYR7bK97L6
2/PVlFkJPQQIyNSAXiLI4MT4cOiw/bW1l9HstKdKNvwnY1hq8KKOO5X6lVu86rqq8itC7zcPgJXC
8BlWcdJnidsMD3UTxuoUeRWZNsm0hPPJ7ycHSR+CS5L2+9TbTK04e1MRuEry6rdOcNyXdnjeoqkN
frd1UbnZBkViTlsTDVNaq9GY+yAqBlatCz8psq7YIvfQ830Ov8bd8a4gwbTBde83QKdbIyTVZbS4
e+qzGbSmczRzmE17KZtT167iwcNa1X+5fU2if8yZCUrHLMVBFSN/rV9HSX1ck5WK70IfKnCKd9Ft
0lSRPFPjxmIB3tPVP/Xum+0nJHjlHbQO90mlytI/dFOS6NO8Fw6/izt1GdWSJJF7w+5xkxsdvHqB
nWKQj+wBZMpfi+c9KjonHXDe35oVlkm6bqCzsnUfEu8Q9sCWM4KnEmIXlSkf7eh5fyeZqLsSEodM
Z8cvZg7DpCqzLgfImG67K/9oz7F/RV/nSSpARbnP3jITWRBgcWjfaz2uzMbqaV66X7yWFs5gZ7j5
gGE44hEQV/SyL4JoF6f3ytveDZYk60n+puCvoQkdikLF/hVfVbCe9kVtE49qlzyvrJtUx9yUc54W
aNTqqtzEGJ6gNG0XfEusolM+54yDd5HDgVG9cd/lJi6GKLY5qxNDyOmY+Ctu0Nyo/Lx7q0MOUVAU
7VlQTw9vqvK3dIijusymYuHsQtmI6jbdWJFsrzT7ro/M3rzmgH60utdjNLtsiAl6Ft6vsBTrmYBz
U111MtbDLbUKXVvN11IR75fw9zjVAt93MpJ1eBZY1BuyfvvjuXvxnxr67T/iXxR8urq56wK8eSef
Lv1xr5b6pctFYw4OD9T74kMaOzu1373oGlj5qWrd3T9FJmwoCpw8EYeAgsI/h65x62sfntILOntQ
7Bn9Pt3bPnf+s2bHzh7ZQBoOKq9C7gLBrZVh4yUfK29kXFIMdjSoa+OHj6jyhFPsLDMlJzz6jj6J
SEfmT9UlcX09y5pyeF6d6Lg3K/dQOpWdPx8BMhZgsIVQH1XB5nyKac1pX6rFbtNhbYHynDmK+3tM
FDkrvv4esnazJGEKRIasAIwUyT8AO+afM4vk3yQDOtu1ykebLc4SIFrGoMMzDHaQmKTbesc8oD3H
93IJjDRQKj63bWPTBZYkgJ8p2f1vxBJ6oDlxa0pkof/EedR/tZ0V/o3PdvrZdcL4wraM9UgWB1Pg
E5sr9ZBVQY73RKnRfV37fOV16ffiL+D47Ve4y/wzma14WnxveUpEstXngYoH++QcsFUctYhO4COq
8bTJdiqPiWviPFVLae+3EcDKqZGb+YqIJK3TQNj5u/LJSSDppfPDQw569Nw4enUY3BT75+TIlVX5
Ie7M1VpP/te2ySVip8f2nwOHx36Mlri69yrP+ect7fZrFczBT/44hZ9r0VQvKiAlg5XGZrqBOUSJ
FCCmrKnF47NeNZhw7WHcyvafGR3x1U2m8jjfrP1dQsJcQPXtDdS8cpTIpu3a/bjNpG22WehORytk
0+DcbJZb0ZpB0yDY8V8Ryvyv9YfiaeEKfwwbNX+oOYD7t/KpfQPp1LcGoA21fsd3npLBYtysqQV1
ILyTy9quBL1Gi2cbWARgxn4lmjY8rUw901VZdWkTYCg+ul5rutPgwHXDAkWi0Qm2yLqk1VgG0Rnl
0v0I5zoIySeZxIPUAa+7x9plxKCKHv5gWGvXqYwMEL4KJ0GM2iRsctx8wwpHbUx/s6P5ytPm0dgf
vXFG9pzlPJ+jis86TeYWlFW/eAsQoyniIctXKR/yMVavOC+al81bmAPR+C1T6g/J6FzIPZwhbRib
57opgh8AZs39NpVTcWOAlsljAv6pPmkDEAYM6UVRcXK3uHZHKE4nY5LkhTu9Lw9rUHa3FRve87Xu
m/Bvv/ri3lQC/IwbK/VWULAuN1Ghk2eV5Naw+1izY8CMJcgzq8YRIpSJ6qvRBV+TFXKQ/8WjbzAB
dXlzK3e9v0qgSnOmgynsiDyyYkst38y5RYoEE7Oq/T0vjDV3nBZBe0q82jtCcAMCOWKZoJwdCpq7
nF+eT8cm9p2m238Jar/4XWsWfdNyHgMvLQQ1wOECGPzXlFV7y7rf5QhnehWe9FoOUcYWzfwYzXYl
vJdsBz6AfQuznbWsB3LdfJOpYQ9Bz4ItGo8FZXuQiUY618GFXnZMLli2TLRbFKW8z/IbhS//4wxy
eoN62PxFJrC3BTBMk82Q699iIK3/MQlsHjVMqa8q2P3rnl9TZ6jktL8GlYi0DDz/+OC2JL/2u6mJ
+bmL5YkS+bwdc8dfvdSFPcUny5nBHMQLpueGcA+afQ9XBKdnND6udKlbSpBv5d4OVgR/VzsF91FY
6c+mrOUbECoJFUg281c9kTyVmob5Zza1fdhy7FWNl2oYfJ8ozBTJi0qKuz0YjU4tH+I9MA+nZLXK
LHfDUlCkOO7iHqDWNT1rXaMIU0vf8SGwZn3EZQjxK/cGVkIwbvRnuJl5ndpVG1og1kpp/veyH895
K7b7PL6AQUKk2DkdlRcV2aT6eDlSNdkuk9NevWPTzx+9JdzWtKU/2rO2uFRto1z7qy4kkzBd4bP1
WeGzsH8Ta6s/vdXKl3BPJGe32Lunvpvjt6DwXXsN8rZ+Geaq/56xWN8THwFRuQzLxKRwOP13xzBI
TT1uYJb/y9F9btaOKwC0D6FSgQijJ9M50dviD7RyuIjlq1pXro6tt2z9hLo2zc3sVP5tM9EkU/v6
/XLwO1e8w0Ikmo6eIachjSVhThNVyx30s3lKB9mMa8orHn4JCJDFUY0b4UcVHXHWFHX90Pn0E8yB
0JTPzZhXd3onKOGci8S9jiH1/RSt7G7wr1PFNCslhjvH5oXJcjQesCHnW2ZiEStI0wMGemB1HFGS
vfn7ErHpewNeGJ7mufdOQbhS0XdztZeZp/X04YzAZUPMfXjtOyJJ0jpoG50l5D/eImX2QYrwVv4u
2noeMnjpXkMo60rtFRMc5aeQztvfC1DgLWu3wd+zWYJOk3FhE67CuXyOSeKN0naYy+jkx4t74jse
dio3Vp1bbxIfmItYd2fpHTpe0ATTXcN23HZVoxK9RGLT6obkSC5HRVmtUs4icZUox6xnpxii6KCD
mC11CJH7u2RYdpO7zf4wzc2YHHej6lvbWTiurg5A3ybCTg/lFnKrdVGBjNksursqI4Si447z8D3I
h/1zTIwzHvgO67vFzJ57SLaJh7up8/ZtFvXwBUZWFllIhfKNyGDvq2ib1YGeufs1GyuaR4cohrl4
TgaGwAfT+zNknnwp9YfrWzB2nABy+SVzrwgPcReP9qveYSynXT3zFoh45ltwKNXpDCe/BkeIAYAV
51In32FQ6u446mnfPrZ8cX/HCIdXFjgnL86+Lu99uyXf7QKB7ATtsXslPF2+Lb2odLb5ov1wAFrK
1KHj/rOLKiF4KUz6k6tDntIkXLbmKKYliY9myYfySjPrnlKvk+5+VzQJNQs4seF3KCfGi67xSAbw
GWA3h3KoY5MSV9qbYxxXfc2Yw29/14bgBOLT907AOVTmA5Q8ZagXwfY+tg3/mEO/jvxoE48RcMTd
mnuK55Fe1jZ2zFomeuWR7Xxw7yOa0KewaxgX381+GSlYZxyf4krE8dEjrodiYxvtlu1wKZlMRQvY
WWENtGSmc3rIejTtf56NHKJ/+R5K7ypItuHvCIfQhd2+jH7GjJm2xkY+zOdehP1wM0nIlMR0+j7T
IcL1mBJrsJBZt+/B41Jt9d3qiK07mHmjFSp2bHuZMpogeaXnYTt5HjUGDpgCG3A7tGAdK5b7niu9
eA7/+9r/cv2Kus1Wu9Oedqa+Mgu7MnxqG1wDqbHLwMStbqNfxNL5UToP4fIfC/FmSRmGOMMh5Gse
Dq0WioHVkBSPqyUYJ2VQUjvnFdfudggMCZ3MoZNY8+h48h6q8fSMqNLS29u+cy/Hd/NZGrlwTJOv
xh8vqaZTkbvriwdC9WFozWzO2PWrx6krXO8QkBHxNCcEOJLpPZP63oUbeGbAcwuVgDN5rjgtCSOj
11ZVBR6PqgAv3/ddud/XsqZVC7gG2zSel8Ach10Q3ika+JW3pY7dKz0M85oO6P8viqdqxlnTxIpZ
hewLDuOSF6rEK1OkBrsXjWgYFOel8OP9QDjxgJSZV3ORxgSP51m45OZTds3snBVd6jUzVf+hj7bw
nwJlv3BuFbPNJh6gCPRxszsnwJn1ftCgxl+2QLQidd3STmRjSPjgkSqjNhvaAcM3xFRjYkwX/r4x
5sUPW/8C/aaCDJ12G6n2t/gekUj/ybHIOQj+jELIs912pn7ujBBQQn0Tmc0n/KNuyd3UuLL5Eqrc
GUrKpH7JUeiHYxuJxGaC/uAxMRWVE9tFWqWOM+3MmW1TX+e+x17vbJBl0oBkBqD1VK46W9D4Wr7J
vacBMDLQWVAN8jckYPpql6XLZyQflxHG6C4UQstSp3Mdo0nZaB4el5KSF7DfWF+3taLGWAsBH37d
1Prl5dZpqPe24a6q28a99uZcvOhd+k94f/c2DeY8YcLqdFofW9S++70PGICpIpj//F9kAM+eDD/e
os2D6PL5VeT92BwTPVY/AYR1QttWs39tVugH33bqZ+yJ8KA58POHwXYhR1Dee68gksnsXZk+XUVe
733nC0cevyrPGLrovhwW0+m/UScYzO/7SuLWEquGlWSiXMhrq4Ij95x8QEGbnmlV9yHzi8C+Y5IW
fzuUCS6yRJkpbRZXVPcklqInFfO4/h5srCx+/x30AQxG/aMdMluo1sMfQZCjk9GMxr88b7vgcrWZ
/ggDiJxp9OLcN9XlpDFK5U8d1+ecbbO73iKOsH2LkTkSaV5Obnhvgl2GSDNt82RcS73Lj+wePCNC
og1X7rs4WjmsdBQ6z2PcVePtlEeeQWBqV+CIUcOYkhjt2LtaRklUVkDCSnCY3c7+4xO6HFaUmtAQ
Gae+uptiWFovdFtpIBl7FESTBFdcgi5z7TZHCPf2tn+qL0kDp6Tz7B3Hnt/RflDep2Es+n+5aKXM
OqNGWuHV758rk0D4Ri8vp1MiO0JfPFO6T5oSxMlCXD6PE+W/5jiIFeIT6yMLm/HG0RTZhSEBPm+H
Na0561hPWsvIXks2An/ioKpk2rqLbDMeEvu+LpV4KdxKl0jBWn92dc60dgUmV6eLWYfHkHjSb83N
88Ck2X0ks7f3HgGVTzkju7YGv3FRiE3VufotZ/LnnCvfLo+t407tbR7O+56OvF7hiWVE9L9KXEKP
L3nDx3aaqOX9uExK3DyTKDMstuqrq5nNskSpaWiFrmtkoqFWjx7bsMtRz6s+AuJF4jdY+fh8rUdR
oRsnfKrduoaIuxfUCj1u0C+nRpg+dhNHcWYrwxMb9070b/Yd+yztsk63Qxxy5Vh2btwsWgPzyRw8
ktmECfkcEn2rYNpij79cc2RiDkPvU/71BXM7Ymi8PGOsu79D+3U/bN3EIIu9Wtyy9N7/hNHG4Jmg
ZwJXKyTgt6WJVnijTouGHxTRBRcu+JtbvY6UtDJqgmys4+AfukeA2oGL4CIWt+xcdXKizSI43vlm
dsJYvONQW6GpY7++s7p1/jRCjt5RwCwss61s4sscOUeMjxTz3wNZcv1zvfn2y+Dk+uAXgtJCs9F0
x4jtkDCTI/jU80Z++g0DH2dLex6h31RLXXMo/Fw4WR/vwj9bd/Y/nKArX3Gpqr8Ls9kP4jxddUan
bl9HyNY/eu/hdFL0QBKVaHNfQz/Ke5PE46aPwZq43xjHhz318ooQAGgUsr526mZ768B3BdBlu1wf
ZtwgPMgsdv7jfTQj08MRnbhcG0uJh/NmPIa1UMNx0qW8nUibQG4CAv2T+y2TALeP84PSW7idonLH
TVgugSPoGHoxFfdFULX8zigDIjM8r/bUL4vfZC3f3U3n9g5aMguZP/WwzU9Dt1PUinzKg8wyrvaP
QReYKhsAKDu3e97oPCWYKPgQYFHzu66IvflU0cA+R7VwhywJhLDXpVbeC3ZYkgEcV1EbRD0ZLv3s
Mp0pLnVAWuT58NB0/tBwuG/db6GRx7ilIX6kuztET84UrsVpE3P7NxqojrKyY1idNqIIuM+8ZniZ
RxP8x84F85muXvoo1XPH8sW7zGXt3vvWevtdrWUpwL3mTJvWIoge8OoO9SHmHt6R2uORQ0kEC+t1
K+kQpwKAS3POmzGqbj2ODybPapzdI6zK8qWqC8u4J9hEeezxJUnGeR5j5WEO98yzC+5ht97rV/a6
whYCbF0U/HG9H0IAz3PKFYnGsXDT/EyE6MoDio97E25tXpNhmYQ3YR0Lw0B/M78VH+XrsO8sGZsq
KeHW15x92Qpomsjhrh+HEyOh4nFSl3yOZgvdV+Go5Y19D16/boFRzbc3mOmgZDzJrBADVgyZx971
VPH+feIT4ICUUYfQ5fkctjVlFi9n5+khdUtGDISbYI4kN3GiiS3DcYYN1Lr+uZnJfeM2iPKjNDQR
qaxtcurWWVR3gd3yMI2NY8q0WEkmypqOgepVbMPgZwhG9dZxpCg+hGi57l1KokOMB0o+73Wz3Fnp
9OUd1Vl4tw1O1J2DtVvLLAhaTDVUDkxrXHd19aFdPcEAZi94eFQQ9B+rXfhFRr8snlqarjdDT8CK
j+gJONjhQv+p42IA9LvvUZQx+EcGQOrVt8NAmXJqmanXWQMNd2F91te/3GXrv0UjgvLWeCHY+DxZ
vsO1CY6Op5bxF6N7NK+ZpUjLoTSG/5K1Lf+zaKs/DdPXVzmEWCfygUSfzK8Lqrd5pDQ/lOsgH2bs
HjjE0GDJUVqtQXJYZZ1ZjxhyQjc3/RlVPYcgQHMO93GeI51VdTnxVWwRj/4cD51MOzXJ1wTr0adq
XPPqjFG8pK3Xmc+OkGj3UKlVPFFP7DhURv7xUdz+kXLRr7XpnSTlrHYrdqDwneAck5qixRZDSeRR
2O30bvs0pyUBMIwaSJBnzDVEOk7dxcjPwJ3lH9+JlicpaFDTKV6nb88pOuoRmqDhkCNrXrf8gpR0
+eLflpSkYdaU69TjWSG3mrBPn2DadcBkwavfDmfuQvUVyS2YiZe2u0/O01iGBymCqDzkfIBuhi03
4l3NeQ6y0vNLbMtkhqGfDxi20suZzNIKX7BMNVipuy5m3IkiVw+vBEw1/9Vm1T0u/L156Boqz6Nd
iwFZC3m3PSTVKs3JVMjaownbMbNRLfnNcrZEj3vOBYM2Hpu/Q+3UnzQE7HGXrdhfPNc6bK3AuH6R
ha2ePbu6DI3cDRWO66MfMvwaKNNNPPcP65yPv1rp+X90R6f/xNjJl9mI8+qvZbPuo+ht+3sKa0ps
HOAVnrAy919VYHs28G3p/xLI3Oqq74rxU639xYFID1KnGzFu83lxulqk65JwXwi7VMhJiIkvYYip
pVLEXKbb2M0/KwsXf0Na0IJ6w+f99CkSqCbQuJJjH27lnI3TXvxxZxcz0YCic6FqKOSKoN/4nMuW
+Ol0WTz3yfibeWqBkw2MLmX1iaOOJsTO638GZ3GbqunyFE+TLPurfai79x5BmAc6aUyZCQYDTop2
oJKUoROjqD2s1b2ahy7KtPQ09/DGHzqNSi4KvIdiON44wjZXss0xDk2FmZ+KKcdiUV2M9qmUm7L4
0RbxTm/ePPgBo24++Uo8DHouHlmnITw3dzt57bkzM2B9sSjxwgUBAZF1v8SHiKHaK0PF4cMpNi84
Rk7DXHbVpfsLz2QXZuyVMLiiXwtRpSs3shnnLOYNSq/uyS4gYg5i9PnC1YyUfOAVYMujwLH3LpQ/
mIOvrHO1CeR3zvDCfMZDkL8EVDF8TqFYvlx/R+UnwbMEM+MGlkZdbOrVzcsgvyGSdXvoRhJjTrwK
HGxY87gr+wAWMgrsOhZU7r5m3tQOIVeF7fWdkJwtaTQXc32YGznuqQht/sC+xfq8evH8tcpZ6iuX
zJDbrkGKp3Lrc2RJGXwyx9s4/iJdXPU+G/bMYsv+7Gwjzh4jxXDLrzphbYg8pTLLytVPyfPDTyDD
/TQ5bfhvkKoJj0Kv3efleKBLQ/Mgy5tK4jrKTUusIXrpxxhvLvsOyi86bigRM55hRvGr0SwXYI8J
81971ED02xnE4UVQe78ekrwvBkoiWd7sQccEe8jxqTPAwP1xGoWFfp70XJ7t2G4ej4/2b+oAzYnM
G6dv6KHC+tmZTfW99Xv0V+EHx5CpfOdt2keaoqAhdUcahdum8Bx2DIvFySnLw9V/4yms7rDif5t8
asbM7waqvaikPo/22CMRsmucq8ob8DOZHZGTA7sa1bGKKdnTVdCJphVyHWajZPOuMeWo+EjSHWym
sBP+Z4cZjtPK5xquutW5UtPIK8HgP3mcvMF/HJhAd4d887eP0ePW5OGT25fXgRtKq7oKb9cJ71fa
JX35ulnkMmZSW3DPDvbGE465Uh0XjH2abKhB0s1HNSpGqF3nhi9O49WojXipE1NgZLsYEPsA4tB5
HdeSAzfvPjRLpO+bP/W/Oqc0/lXVDM6pE2aWZw7Xsc6iuZ+VxDXBSBAcEPOEZr2pO/RP96Ik4qmL
04iN0vXKJEGL3tCW4cQJ5DHsBZTCogNZ+cjbq1/zPvEl5Bof0xyECB9rfF9vJUSzyWc8fs9SGdOD
ztRhBFtG489lLMG0gntDzcd1iBr/BCmIkXa1+Pq9r7ztZ+u4g0jkQnE+VLMdf0eJK5o7jL7lbcVp
0WbRdumq0Jj5R2CXKYs0ovZ6J4dU3LK1iIwd7Vv1KZXcftD4+Km6nurkwNyqiR+0bBkIQzjc6QfI
v0V17eJAv7EHNwS3KujLP5gO5pmCax0WLDOlwDNiWGWpMz3gwLoqGKlNd6zTTvcrRvMlixl37VcQ
EodSPaC1Gu8Fh8X+ReG14oc3kcyn17moWQU5aiK4omuBlP9Jyvf2bgrfLGc0+bg/JHTFeCwWQTok
/TXD7SLaxUdCJBqxXXGY/FJLnSjcYCqmuO773xMyPsYqp3S+BPaI7rCXdZAfMYf8j7MzW45budb0
qzj2PdxIzOg4PhcAqoqkRHHUeIOgJArzPOPp+wO3uw8LrCg0HXY4vENbTGYic+XKtf7BBhrF0zTz
tAaMEJ3u5QBo3YRYoZJbfeVa3CkGGbYJ0oxOn/3YFpV1N3fqINOsnJkmDOXqANJ2uJ77Zqb8NhMZ
PBoj3X0AaLqjPySSipqmlXyJkEdQva4oalR/QAGSZCbZRK240Qk5tUh49FsAQwSQsbZtwaVIYUKL
QWLb0L9FxjEpZ9O/qKgtR4gUkeC6hazQMqQFlxt7ZMdKtJmQUrP2VO4T7iZVoTWnASNHM66eeS7n
da/QtFKl4IHkceh3IQqqV4jJCCosci5JPI4btu8wyqgqVHE2+U4yEd7pI1LwuUQVnMc0gBMTbNcc
iyc9URL4wzkymqit9snoZWqv/Q7nnBgoRbjROJKaUaO1YzDATkewvq/TKv0MMFEtd7zqxy99EGbh
pUTiTW8jKtU7M1BQ2BpFyY5sjbwVdA2FuB5Ibp6quLcekAu2AR/hVuTvUnuG0jmrSvuptiLlR1go
pu7F8ShfznpQlDe1XdR3w5TrMtgNCwR7saT2ma8mtavJHagwMnIJ5nVuNF/zMOWdGyMLSpAHxOl7
VMa1O8IBPSQ4ZkBy1TyVJMBvUndLmJp7V40TMI5ljKLRUL3cA1pr904hF+01oZE+MTgi/xtMjPRi
Qll19AA80B4E5lN9n+DHNV4F4K26wjdF/hOMuaUeZIkan0uZQHCVyAYOkgQXydqJQeX5ifB4+zsL
lGYgoU6CL2js9ndTWPfcMKURPFXtNP0JTGB2+6S2k582l3S9MzhYdCKq2KqQoIlNcKETKafLjqfZ
rYUS5wYWA4kfT+/kFzX6/KkozWhwBNLwX+jiUqMZmna6LorBfkL7BTQPHWO9ogswx0CWVcn6ncbZ
/DPibcWsRAqmrcvMXnPjKNbbpZ2n964cmemPCG1XjHvEDN1eo1JH1zNaOB1NbwMWzYs5A3wiy3z8
gLbdVTNMSuvIpjLonANNCkEZxUG9s0ob2DV3C5ZKVqDNgUtDtvqE85g8eaZsyB/1IMdsIBJDWhzI
H5OvVUFUJokDetQpJaEfwGP2C7hpfAuvtQVnGCmZtAMR7t+2xKfQJc0XPNOiontQwIp/LundPOoG
fQSN2/FjVqTqfZyqWn5XxUOH1I4d9dOFYvXjQxM2DTKoc60iA1SmrX+YCjW+70q1ofI0TJBWJnmm
2kjugmjqrFiJteOVJBm7SCt4Lo5NZdSe0nJqdkEbjcRHe6jzy1wblQ467qBZNrVVnfigqy1/HELn
+VVGcym5aK0VKBrEYop/WgXAiQMSGb1/3fPGAdCFU/39CG7uWeNpwKcWi5hLHlBr97UQONkEAgZ4
QyunP4d69B99Mv3fiEItZdZpHDQCATngDiqO+h0+CEiPDHrQ9yoaucjrVtiHKh0SuqwwhLKLEXzn
PW+VEmPjWGmAz+uQgwYxV8JtUpiITqIoaQrChCKJ5/vQZMgjTfOW2jTZpg4r4ENcA7/zIiwmLZoH
HdcT4Br1izJV0c/RAtnrpqlJlgv7r67cSrb82zzWwBmR+ZPk0nYNk32hZsaDlCkAeTpEQ24bSbSz
W1l+NzjQ30AzlaZcPCZmNP2wOkM8GDS05J3wZ1nyQtumOYE3VBC5SZ2RmqaSmt8Jq7XucW8svstS
owNYKopAcYmHlA9xh8s/QkmTcnjNtfqEnjyAT+C42WUN8arfCXTfW5ffR3704TxfzfNQgBGhgPq7
SaLgu0I1DURtNWYRnVi2mKOomTSBFOwX3CUAN8ABQOC/+vkUah6IpJk2vGmVBxD2/E0VbF3BvUf3
jeQYSL7Tqeik7YK6NT+1sS6NhOpU6NT+4vhbXSbRo+0n9i1tQyoug+/P0lLgGgvHMiSoLWOkke5P
RLYnkgaeGgooS6ctIDs4EKv8n0ZIqWLf2FWseRNYCBucVztdabORoXUhLzdMLFdptNP6kLJsCqJD
3YnMMm+Wd6dOUOnmy6Zogtr1u57aHvpNysemn7XPQUIUcxC4jHAg4lmyt+qSdAbx5vrPAOHvY1Rl
reL1tUy/PLJgFbDSbEhXb6sgdfp5kr5BQOQbjxOS6FY0i0d1NJFqqcBdKpTGSNGcISkUiDdJbt+1
iT/rDo/1kKTBF4IDISvS5yFS589+1HcCQPhSZ0YMrnvS4kat3HmgDuPOOFD4i67gRMONmtFtNpWB
BHyWZ7Uzqaa4hi5Wf7LsAMCxKTIy+0AzW8yi7HIYifS055VmotU7j8ng7wGKasFFKhr7TspDVDRs
m479B7Uf6GbQDm88n7DfQLHgrr9UYs2WnKbFS7nNa4m3aEvbfcdjNY+hIcZFcadMAlgAmLEGEo0v
0++CI9ftqjGcSq+WR6G51gwF2h3lrnvq1UEadkNXi3hvh3bCmQptg0wLAOoMfC4IYk9QEox+jwGF
mV03S6J3swICPInZlAC5sCslukJ/zM6uhz6ybvUoSStP7ecUmlYBxu4Gyg9N7Q6eAotRqdlvkeSi
2U/h7I/eNFKy2gchibEnWMXamwni5BYxXSoWNi0lQVVI8e+jyiSXqLC+kAB69iQhE2f1Oc1HDNUj
eB/3RTuh8FJhA3CNIUL7DcysRhOyaIzrSqfv7KrzVAIttsoYLUbNFyBviVyORCPlk/AFkJeRSipI
vAFYtpfCH/pd+OX0uUhFfKOBSpcXwCC1Y6qxJg/Rovxj+T2PP+q61AqpHpJxxToNm9ZM5R9kfEPr
8kTJSUH72roRpVqJg69Z849AGuRrKKa9/AEymfp70IW6FGdS4Jl4CQWXFIbDmf6onN9ALlAFGH61
C2mzY3DgAgLiRJljLN+FmB4kbqHJfLBelvXHrqlpK1edQXs3kRv7cpKCdjgMfO+HmRt8vNCoZlzG
VE/uWrWnhoTGWfcRQAS3ZAH65BPZAddFKjdF78wNRYyDFVU1BSwFNsEDNcmUFKToFfBSeWLdGVkB
GJbrJripUpDETs8qfwWh3t8sDz2gOHIKH0ySiuYWnqT/KympILu9OvLC0EYrBSaCpcp3O5w4zEEZ
Tib4rJRyRRYjrLtDDU/7lVJsQxlWKcPHUMtbXr6yXX1HZ8hIKbLl6a9AVDUoCD+hpASbOy3BpOfl
oyhAABBkwV9oOprHTtRgSu5xiqcf9mTMPXm8ChZkoFSrg8IhbQQnraX3WgSXwaULZfzUrdq84w5q
1H3hB/S52br1Tm6DmhS/LtXSXaLztFdiiju7eGwpY+vWDDAytLKbBYM6eeFYjddkLnljXAR0tKdd
qAmrQlqukq6bnlvzIikK9dKiJqI4FgLzPOGLsRQ3DWTA37UvzzcGbNHWGQBWdBftTP3tFu6Zj7ap
ZBasTajpxQ4Xr9b8OLdGWn7hXSB9kWwKo7SBShl8vhGT5bZDKb6n+azJ5IA8j37ZQdxLDs8vMIq+
gDR1KCtQ419NXENtWi52rhMkVEpj4GwDivAAgKLpM+jSHr8NG+rSXi3h8jhFN+FFe55xvWgJvBY3
wDwA6U/kGmREzqhCrsjdqZh0uwL4Q0NYU35IXeE7XVJ1BzMZxltJShF7lfyAT9d2Xpp04nB++DXh
exker1bo+BYytnTBjrnWcFjrFthK5kC94jmUAmXuLmRQgirszvKGHoXtzLoWfKjHFFjw+cHXrmIY
zDG6Ist0HVVj0U85Hh2fMEOndZc7ic+Vu6uFz0HKsAXcJbwqImBNVNECmNn0zyNeVHBEd0kO2oQk
hoJ3ZbTfNn6jNfd8/RutJFYAPPtVnfE5gkIjDtPC9OLAVlxSpS8VqTCBh154DRttl7aDjr6XNR3y
nAqAMgRAwydKDuBJ7I2VWksAvPxamBguqrdCfaMsVo1E6E7jSZxnAeVWuHMBwI6UamTSFEbhnV+F
tTbEMtqi8GEu6qZgYlYyKeWg5di8gwQBDmz91CJTBR4HXYq0cNTHnxj9KhsiOqe2IZJ7wtCXPSj0
lfQFAMmmSBr68NABlVsDmAlprgCL28rjJeg5+1DmcLcL1Xif/cNicWiANDaWHcj4YrUDrQIGIvgX
2n0I4UG5ovwblZ8zjbvgkkoQre3zS/t2osfjrfbXZEgQU8oS4mEuD7xoh+l6YtwP4DFUsOJV61VW
Vd3behrsz4/8dmczMuIzOqLGJn5Uy2/2SjGumfRCRBo7G4ck+SoA28rFWxbv1Gp5WU9MAtk2MDIo
4hyPwtCRalecaHUQ7ZW+QN+sTFzRlB8eTPDWG/vm7blAfZvwQfeYhiBf83g4S7N9O5PYqXXLbdZS
GnapOH6FXCMuzi/f2zOhobNh4kZOuwd932V5Xy0fVK66HiPuBr9SqksyGLhY0IcjF4AnrOSacu6G
7frJEVWEmGDAQ01YqxcKXthV1nHmy1AafvkThS67jZdKYh0mt6g1Whs6I6d2CNYJFkQIC/mntbr4
gCOERueWaFx3vFfsuWxKrzSbPv8PtiIWRGjCC03jq63WMgJMTkbBWs6VWYF1bm0wR2O1Mcqp9UOu
XACewgUFTPzxFxtMcLpJyCgtCAEDaqE9X8ShUu9Gaqx08KmFnd8ipzajLdugB0jLiGarE2YUtR5M
1rJFRG/fDTnCIO4YBKa061KSmo1IshYpWk6arZoyq6ihGrG2KSnsLiUHhnlciyB7imjogQ9NgK7M
5UeryRdLYqntv5yf4onwxcWACJkgVmL8phyv6exbs6oDEnXQFIDRKUz/0EzUW9Us3lepb1GFULWD
pgJ43Jjuia+JCCzdZjSZCC7aKlHplagIrYqT3vid9V2BeB1zF4v+ArOybh/Aj96dn+qJ07AkZFiz
qIIraR1amsFuwdil9LKAh3o6ypb7TlK3XMlPfEVTQdHNEKgUIf28mhZyNUGcL2fOVxIxgnpPmvig
No2Q9yKXQSNHsTzdCPC/4UZAOzkyFwEUNswC0Us//pQ+uP+xxQ3Mia2OdzRkGN/zG84GRZJG/CS2
A3YdoHL6GwOfOCaMJ5NdIHYNvm35xV5F0hrKuwnDlIVNyvGqyeV+hxKsdGdTQdmIaCfmiPyfioEJ
R2WxCz8eqkplZR70DHY+3D9PqoGWjXoN8TaigXRXAlP+lgh7S6/4xATtRRse/yCdCoq8+qYQptFg
7jkkkUBAR66BI0Ft8Q+BDEvh3ZvUBvNh47KB7Q0imMcTjCGdU09igj6CQJ7dgmMaKn1L7+3tUVgc
F2RMVnUU34y1JKDcW7h4VPjASAgI3CRDAp4vjPuNVOzEKIs2Hv8heiKhvwqfHXyVLNdtmtEmGNFS
5DpondB497Emi+bIKWgoKjLqZ8crNsphP5K+A7IANJLd1IjrFF5RS+3W+ToxHQKzQM1e5pJjJxwP
REdJC3Lqp848oEwaZUrtAljcUBx+GxVfLEXRy8IinvRnNRuFhGUYc4qcTDe5InhG0y5qwH+UI6z/
HQzrcvr+3i2HGC9mjUDU9cVaZRU3ImDd1A/ImFW15MkWWuW+nMbROz/KiYmZFnFRk7ncDN55x6s3
oN8a1EnFU9yuaBmmofkRM5lmb5ld6JZjsGXOc3o8ngAYmZLfrVXxe0XuTJO6DhAEqaH/h50o3VU/
gGkTy3Fx1421+uv8FE9sEKaIjRm3DJr/b57e6OPDWmEhpzCPYO4WdBeKdn7/fkeTh8KYri5R117J
b9uNAccd0oHTpbJ/a40Qnpo4mTaMmN/mBZSidK4Sk7sSSvzq7PpGiNzUIp+pYm0HUhtVFlgzwwOQ
fftgDxYc3CQYaeE1bXY4v4wnvhzpFnqBOl6FglrK8U7pIzmqKgxLnMLQgm9QgPRvUPO0Zp8WyHY4
RgKkaH9+yLfXCsYULOXSyeH2XF/a4aDk9oCLtuOr+XzQQWX9SCU6kh8lhef5rQ+DVzhFFVLPPT/w
iS1jIetpcQAtzt9aaxbfSxJY9AadHrWqT7GuZU5TlsO781imZ6N7qUC4QvJ7dX8V5QiX3wL4ZadW
foDX6CPyJuUmRyFNM31jg57aOlzNVAOXFQU0d/z9OhVLLHCqvEutMTqg7QW2Lo0kVOl9M75Gj3C6
1inaHVSS68f3L6fJMuI2YrF99GVrvcpEzIjadWDooP8BM90KNJ92BZqKG2/UUxvUVHgTk0PqPFVX
OTOaT6WK4jzIZCMxnQbAwg91RNUT/G11AU+kufgPZsVTGqFbnj2E6uNZzcipFFAE2Z1aUUYeLPfS
AOaFSNbGbjw5MV75S/LB/1qrtz7KVMBCUWhAwcWHQ4AzMA2TprDH9CLJdLm5n2H+bFXCTgy6mKTw
7mExucJXF8OsAFMuZ3g2E45t9KigcE3g4At0bYIs884v5dtMjs3BC1XnncqtoK5iSzYksGyR1YES
1UIucqN5rNJvcL/MaoQhPg3K1qvuxRfluB68WKbwsrJYV7KH1dcbMzsMDFoTjs2xy3ZR38rXw4iC
mB21+YVv0ToSUdUcQpCReABKtKecYDJpCGZo5G1s3RPxxkb4hJCuGsT2dXoZDiAzcYcqwNbUwQ4j
XSB8AUrx51f59JxfDbN8hlfnMDbatJd93G/8eR4Np+4WcS2sIjXdzVS7vdGzULqUB/prVopibZnS
ika43MKVJ5Y3fKpO7S+++N/GCkSG1WktEJPzTY0pB2DHXQ206rNaVwmQMDm46hveaOcnf2qJKX5z
l3BzLqZux3PXjBlvCmQZHVNXK3TXYBCZUzZszOrURjYxEheI46t8y2XWr1YYZLCWjh3vBCT0qu9+
HNBHrJTgCePtrVTg5IR4cy0K5WB75dUCoo4MQECQcNSYiHt+DSKQRk24kXCcHAVSCYGH2gfx+3hC
8Jr8UsE2FZvgILL2yBRpncdLCwb0+e9zauWw7+FqpfBO8WGVxtck9xakVgaSWnkvgUz3zKI370oY
ww//yVAIP9tLYo0H+PGcsmZsWlviI5VjW95YfhvS4bSA8YImGuLP/8FguF1RgiPFFutXOHI2IerQ
JLw9DZh917UYX4IQ9/o2zfbnhzr1rUjRuACRY+aGX80LDJNmNBmlG1XVszukLKxPhtVbG7Fq+Snr
wIlIsrmUh7gh1lrMedobUzSz7/IG3KTTgRW9JDgOX0IqVPuyg+1zflqndgbFPiCKoJXoYa2uP7WF
NJ4ZtM7Q08rdeIYeV8eYhJHXhxsf6+3cqJZobAouPioZ67kNmrDTBkz1wqauD6Ff3RVWfQVUzriQ
66jfmNiJ0Sx0l7FPwPNlgZsd78OhUyXcxmmv64NkXAWZLT1i7QR1R3TzLRJ9/ka++XZ/UFkXGOeQ
RygwXVdnOZINAPtSAamdHvv3UswTNTdluD//uU6Ogsshx5hSBj3P41lJUm+MM+pMINpQYNX6oP4E
hHPLU+nE2i25EI0WHgcUnZc/fxVoKdfDjrLA1ef91N8K4S+QCVi/V1o2GF+Vyk//vHtabEGKTApq
9XR4VtNSjbSOgpAnAQpjJOuZ8jvKzXd6VFNY4D2gEZYI6Fwe65RSkRCbyOee512hoqLboB1DdVnL
XaAYENRkvtnGaX77tYjrOvabvClJMdcNwaovYeD0Nni+tOo+mnPsX8vdoA7vju5QKmQT53KT6K5Y
q+huZeB9AIAkKGO0xS5Lsud5gZrVRrxlg/VmQoYqeIGbMk9kBffy1aFC6beWOhkioqim6HtWSOUu
acN31+cZhacp6cRilsCEjrcfQFDQ3iZywzU03MpJcgspnGEaEvW670pge3FjA6KDJ8/hR+my2uyT
nZrnEjZ4kRNB6Dge/wYpL52F8At6qU7BykS1Gn7UIj177/3PdbJ4bHExczMTGo+HkZGH77SljAct
zPJsdXjOARlfnD9bS659dKVQ8VzsQpZeuL3893iQOsqbum2MHx0c4bKQ7ozoIpPNfSEUB8cbEhxI
X/g1bOzJN9WFZVTIRpR1tUUwaPUNwRKi1jsaP8buyg6tj1m/UwrfTY3Ym+dv5ye4HorasUz3AZMc
Kq4woFfBI0JXYgYaCivYGINPqJ34bjdk/QcJvfWdbMBTo7IX7s4Put4hL4PS46enqZBirEt7MapD
+lCMoYN+R3IHPyDdzdZkeedHWd/Of49ikfOq6mKstzpvNKED5ICZWgjNaQBUIi2lWFSUXHjlW4CJ
E4MtZiHw0Oh4Y5Gxivp1UWBTpi9oxNBnrKG07rnQuDHH1n/nxmdeR0OtNr5u+L45VwwFN3GAxJD5
B8RV3puyLaNQ+cEbg7oakWQVF7tOhCDvUWckyOiHga4xzbbZ3J//Rm93At1ZWBDEKapN1EeOzxeM
gznWDciJflSWvGKbEIXF9L2Rl87P0SirU8yDBE2AkccjgqC+g27WdzkR38/P5O0GoByBNCvmHEu3
yVx9lTGVWiWYkVLDtMj4LUb0HFIIuouuhLlllfSydV+HJRIMBqNEQLeE/tLaoW5AI0GberpYdNFR
kSFnlCBrm83HWsqqT4Bvi31rdN0F4q+KO0axcolKbroRG998O97IeJ4I0FvWwuFczTirUFjPQvOb
HcEAqJBZdEcj2cqmTg4CwoM1pWNjyOtBkH1BRjj4nkxVZu/UStWvcrzq7MO7vt6CiNF4CNFCYSD8
T1axokvT0Q6NcXAwwwtBLpfWZ3RToJBqcbjxxlvN6O+hyHKxaqWHjZ3h8ZZXfTNKcpJbx8ggfzdM
0OtSSbwvSLyMQuvnZTJYYK6RCHNRICOVhzBtQgUFNhjRH1V53mrYreF7fw9Dd2Ex3+O5qq/WDd2c
nv6ZBIy+1+uLeKymj6jIdZ/0LtAPIQ9mmF2jDhET/taQYKICUboLLnV0W1w+6dZBXx3Cl1/HoBWw
HEES4jf1SCtXkNBDKqKYxtRptCT9MCJnsI/gtm0Ycr/gwl6dwZexgMkpbBya9+TGx99R0zKknye+
YxjXjx3kHqSz1MPsJxdIFl/oRf2ji4YfncA+R/Mfcr37NtKBnsj6qja5RJd+q06xxMrVL8RFbnGh
24tX7hotBMUCVq6FRL4salt9ztB/Ta7yhi7nLdqZebJPojlT7tGEi37NEWrUG2ilE4u/2NjKQJUA
TCC+d7wgfj0rHfKfvQM0DA1foyg88MOlV4Vx6p0/rifO0NFQy6/y6o1ViUkJp2Xbha0hXSZsiI8k
o937Tyqj2JxRkGzLXXg8Sg2t1c9TzlA3B+FesUdpXypoTf0Hc+FZJWgB0oQwVvvIxmUhRXqNfVTE
8Q9Y0c0nqZeM+/OjnNocQD04EtRH6N2uog6Ai6DsM1jVSSTiA5atoQkjRAS7QAvaj3KJqoPSleWV
2sf95/cPzR0Fqgysx9uDArU6F0MGtVClOHc9Cn14whdBuoTqrd9mqMohnWYYt8T+LWzg220CcJ73
FnAlkmlCwvEHlAZaO1Ido99hadV1nOTFRWg3W92Wt0tr0QHk08mWzANvXa8P5ao35DKbHGh597Kh
P/Wa9ejPxlWPgguare2FqdXvg7UQfKhIKqgFUGZVgOiurkX4RwPP7nyCeYpYwTe7RBj8ohRqZLhI
zJYhmo1NQBMGic74y/nPueyU4zBjCe4t8Ay0X4DUrIYGPAOZLGFoywCQrY5+vCvKsNrhdQTZoa23
Kg/Lz3s7nkYrBEwy4NXVzp3E7GuBgh5OMyB3oIxZ/DUNAn8PzjqG3GiWF2gRb/n/vY1lSzsQiBKw
UnbOuloe4jUIMRp9RQSNJDeRC8lLtMbel+hrbcSyk0PxZocEipYhN/bxJkWobcavEZEZlAMHhQtE
TuSdb0d5thfxLIz3ZW24zFjc1QAq2LJLr351Y0sj3GlLh4Ghj2h3SDX6VmWCcdo7N8mCVGcIoico
RV6Wx5OyfQBnMxpUCOVlVrObhjDOvdQI9d9wwyy00Mp4y2f4zTquhlyvYwoB0MLRwIXqWXpCS55j
U7ReVqX9xuTehJUXGD4QB7Ir+tbG6l4I5ymUkURCS3Squku0SjIXblC+sS/ejkJdgy48jU6uVLTb
j5cQVdE+NitYynbS6Lsq7GcUm4z5cP5DrU8XuQuninPFLlcslEiPR4GZJfB8AunS+b58P9o9pklB
dzmpZu9gQDTe98VWe+jNkKwYD5cFtr2gttdvvlSY6qg2ECmiphbeiH657tpFK90KlJVubKtd9Oqm
dnd+osvnfx1GKIoppGkL7JBBAVseTzQdh66XE4yg2n3kdO6wKw7qteJtlTbWnUyCxvE4qzuHbLEz
qpRxSu/Hl9zDe8P5fXX7dH4yL++Rc7NRj2czGk0I849RlAOAAgcvj534hMyLh/+Jq+9ovTkfaucK
+Xxn+np+7PXj880Ml437Kvni+Zxq9WKpJV1o7uACgnd+mdfm1Xvv1fVKLgf+1ThjmqMHkTOOducf
Kmj1XwA0X/kb+2J9e69HWV0v0PHjVFpmM+/xBnERDnRzt9w4y2/eSetRljPxai5qVAstXr7XdbX7
mbiPz/rh6cvDlnPmi7nvuW2xCrsAmdNJRAxT7YCduugPOF8Q27yZXfMz+p2XGzth2cvnhluFXBvH
SsIHww3uT0RfnV+5c/XHfdhIOMSJgPH66K4f51mTNyZSoMusUMByKRa5eAa5lmd4T4fvjfcZraCt
D7YRLtYEqNZSSztcxuw9HnYcsGj3dXZ+ff4UOreN98SbwEFsc+Ni2fp+a3C9ikiHki7fb3J/znv5
gCPWrtmHn6JL30kPnbPx/Za7/sz3U1ZRJNHgUEIvXCYZuhn/0RwUP13E2TaWc303r7b/GrKjSVgR
hXQunQXR7vQ+VIii7q76xNya09ZeWQUNy4wbK18OmqV/6/yLCK3kUsHsLE+QItlqOL/U2c4t4Cp4
xJak6AiO/b2A6Q0+DZ65xwPO/Rx5kfcH0j2BWHb+bM3yJf88N/AqngxBhpdAxcDqg3LVfCk+VVfq
T/+WciOy2+XT9JhfRTfqrf64sWO2lncVYIJ2jIxi2TEqewblBfZnf0GW5/qO6Za7fBd4lmu5W5Dt
N8WW9QZaRZpJyZO0WQ4GDch9dCG8x8ydnWffKVneYq84m/f4qQBAQxAQ/8KWA8d9HLGbxMpyedmy
mBDvBOdD9WwyB821P2QuFn53zS2K1of6oH20LzdW+VRcfT32apXRk5lSGiTkKt6wM76k+3A/7Ccv
2TeXysVWzezUJ6WfQNMCUB1N8dWDIEaoOp7qsnFq1N9lAfsWeSpteu7y2ovnu/NTWwcC0n7qnhQ7
VBWQP6CF41U12kjxw1SbXUlt1T36SKgqizrCY22aN2KOtgpuDAWyk0Y/HCTLRBfreKjUUoxR6XHO
8mGpfyjsPAcPrKYbMXS9essoGh0sXgMLW3ZdV9FwqcYPErmjFlbuDaKT5lXdp40rT0p2E5dZ9hkq
k7h99ypSweFZRdJOE9RY9s+rbKJAKKFuSrwaMZwsd+iyElO1NrtDrj7d2otLCHsdaZggbzgKNwDx
dehXq3OAG08926Y0uWbe57aL9kXzGfE3NJRqvVCTx1T0LYKvmVkODpXtRnLQRsxu03jyv+ht3hYI
CPR9f1llhnIHmqTCY6iOSsspZXyTzq/Lm+Sbniu9MUNQagIXRu/qeGE0TDTy1jQxsRR9j+eIlAYT
0RDN2tAbG3xekYHW+zHe43DaP9V0Hn8FjR1YnqA7OO/jUjW2GO7r/HL5lVT2B+0tpF7xMTr+lSRE
miJc4kcXi4UEoWFVcTCjyL5T+EeMYCh762oqFa7dqB83Utu3h03lowFPox5MhV5d3U4ouUrDBDvE
rVvrRwV443OL+NANiptbKNETIy1MGoM2PFUFsDzHkwyaxfLOVmbk9GIDKAVcJ6+YYtRC6VM9n//I
b881JUxqXsgGwNWQ1y35wJTHrEDKyjWRwtm19YjBUxVstE/ePHL4bLAqVSCZNJC5ApYZvzpiAc0J
NZ673vWl0HdGHEWdOAtUhw2VXUXdXOzM1E93ihxr13Tz02c9m8RGBHt79PgdwN0sbCVgZutK2zT3
Q1BUnC4LLWdjFxS+9KAlMphAu0UL5xL5YqRc3r26SxyD4APUR1CpP553poeZWqQ+RPumQAFn0pJ9
lpnqxftHAdy8NAvAHMCUPR4lGHp6U1PcI/OCnydKSKgMY6b97vXTZJWJCCpr9CpfvvGrb5hMamK2
AEPcaCjz61RrhBdJqM8MqId6WTf6+/fOasFsgKikA8LO0VZ7RpnkJsWLFn34OQqu4kKaL308WTYe
CW8DiqXocDaZFC23N6BDWL+09CarcfGHzT1ZRv8mRaT9QrZ0aWdl+oAy7Nj0l77U/BuS9b9+jf87
eC5u/w77zX//F//8q0DsaYGNrf7xv6+jXzXf/k/7X8tf+3//2vFf+u+b/rluu/r5H9dPZfOPfZf/
fmqjIl//naMfwUj//k28p/bp6B92eRu10133XE/3z02Xti/D8Tsv/+b/7x/+4/nlpzxO5fO//vpV
dHm7/LSAX+uvf//R5e9//QU++tVXX37+v//w01PG33vowPzw/978leenpv3XX5Ku/hPQM9sOEQsF
DNbSBRue//4j658UXCnwwpoGmAWa6K9/5EXdhv/6y/inLMBZ8G/DqINPtGSbnK/lj8Q/LVIlE302
dWHp0oT6v3M/+l7/8/3+kXfZbRHhWfavv+hGcLL+5zrXaXFTzFYwDoKztOD5V9c5ol0g24SBvX0Z
CS5hZTbbvfXiy5u+ePRai12vUch+4XJEhq+ZkY8f9BdX3+Zvh9/F7BdpUDQSm6hBszx58QMWmHYS
KhaXYJKJKt8hnBjt4z7MdCdcLIXzenEXZn/GP3A2BAaXYcaL8NKLF7FmZjIC/DB1P0wgo55QskTP
TH/xMFZf/IyTF29jLICQHVNfPI/tF//jPOrKG3taXJERKiu0HUXL+pB32JI5BVaMaMdhAVChyGn2
vTtLGV2m1Kq1n1bfj+TXfxsvQ3EoL4PG7FDylgEcYgiRz8md5kezjTWGPmU768XAWX0xc+auhaO0
cBJ/DRYGkbk0DLzX4eKOyLaP9h3evP4f5HSCz74+NJ/pvzMd2wrUr/XiJK28mEpXbYfTn6qgVd9b
Uh/upMTPb+IcBz23qXvgt1abhSk9j8i3LinSjk+1HcdfC00zfiBEgYgtngOj4aLyXlZeIeKo8/AG
7gsvUWfVFZNUX+OvqLCTAv9+UEbzaxF0EPPDOEkfsxrTLk9uou4RV1qsMAhr1ifMRmrJVVvL/hal
cn+XtkpVe3QpswOikyK6yDMj2AdjDF4Ht+xuSXejzFFszHsQoK+6cTcT+atrjLCt2Y3Q3C9dciwN
yVhNrR8s0VRYmklIU2PLoTQflbiVDC9IA35ggFLrnzhG5t2rFkFRr2KukM5MbUYWpZEqxDEbqdTo
yNboxk+o3t2p6DpfkGGOmQvJAusgWIeVcOrcNBPUucvoWQ6K6Bt6HUF8mKYoK93ZCLDzUTAztTFE
TGMcA9K8MJBM71HlRBxeqhw5zQ1/zznCZd6vMQTHwRkitzO3s27iD4xsOVpqIg6fcAuXoivizPgH
AeJRuiwlrDrpOc55docsVSnteyO176aqbkc0EPEI6DSp/jambRpc4SUlx5eGX/sPLWJtfoPwsjwq
nzFW16ufjV0Y8QfsNPoHUQ699TWn6QLRKTIMDAJ0qRwR1pX8hw5/7BYR55wHjowFFrBL5GrLe8mY
MwxRUT63Kiy7o3m4CHUl+NQjn06+romgdTTU2MNDLmI1/jgow3At0KLtkO6WQwQagzZrPAX/tWRn
l8Hc3vqyVBpeqSsoKcdyg2CaqxkjRj5GEaLTFjXo9u7bKp6rQz7FgipPoOP7JEuFgfRyhgAorHiM
m5GZDPqPTYFPMklWhRpYvnTAdzripjqfqFEbfkFDvhNFWD0AP0/CXZVoeovm7tg8Gk2AOwKmrfbv
fCCT82I7kZ7SIU9u7Egmq8ADe5RYzFh90sy4/zGUYQhRagyGT6bS67E7+uH4WM6IbLsyqPAY805E
mf8Pe+e1HDfOpuEr4iwTGE5JdreyZVmOJyw5MYE58+r3oWb+HTWl7S7v8R6MaqpkGwQIAl94g1et
WmGomZUV/6/X1dcGIcra153W+hoCWkz9Woj5iUJd+EXVjegXPqTlbzlZ2PFWOIyavm4BC92VXTmq
h9qS2NK1qLbeCOSzmmvHCLOfXOv436XpMr7T9BTVLUyLcuuuxo9bxwWTrh+3++J8F4VEF8+IbGSJ
cSaV6WXkGP372rWy5eCmtG58QyQ4qeRJjLNL2TXUuJSyqh6raZHhLjeN66xDrDQYBjtbvGmlHx2w
PJfmrksilGTm2G4v3cWVKCiWVX4n9LJqvss6X1nJUaxjYhs5dufFth3mu9rM7Ksx6xHkjeNyQG0W
l8mEI9DC4aNpvgHP5s86ZlNjmKZOuLXMYrzNLAs/8rSN1IupF9HqzhzGkU8AVn3LnHb41pfFpHrW
0kyDJwFHfw8Ht+8DNRWrKego6S5PTj7kPoZWBrjitJ7rg9M0c+Y1ZVp/Rtm8/DXgn/ETN2j1nQF3
gDMnbaw5mFFFYOdPq4sT6rr4oPZD0tIxme0JmRutgi4isfH6LUYB8qvPRyGCkNe1OueJb4kM553u
GOg/Fo7v1sh4cnjm8x4lWWtA9XceHs0uAQXct5aJzK5WDRcqElmd16ll/x2hGz32M1AO35MRUcJV
ohZDHTdZoDgosPmx3LHyUMEGrXYu9SFE7mzAkOHT0NkAVfFpNSMEeBz7Flv0SAZjkyPmq9Av9MLU
jHqEVsL8ixUyv8uWHOIi0+YuPijxkAi/JdGMEGocUuxbrCF+xJpR/TxYCl9HXhAGwGa0Yue9mfaq
p6Dz+RAViBpixa3FJi4yluCOK/MKKU93NXx9jpv+P5h8EUyuMOD/+k+89iqW3P3on36WzctQcv0L
/0SStvhLg4K9IlfXHOa5yvNPJOnqf62gFkgmBo1UUkSytH8iSe0vergG0SI9fhQ71pzxn0BSEQSZ
5EGEpyt/XPxJHPnco30RRlJggX679r8NnRgXKMhxAqdMZR9n+qLgyVruezt7NDA8bPLfhTAvgFJe
lsWhl0+Ym0r7xrHRCqau0k3lZa30B1SBDzEiTOo0nylWHSfMNCaRQYHIscbRaEZAoD1+KllOoVNj
4o7PAobAwwQpC+Fvd9fGRr9LLJRlX7yuf8Lrl+H0M8fwaBmeQ/0V40AWu4JxjwcMgYkMa1V1hwED
la/awk/tDk8qKwQHnqGgGBkmxbkRIx+yQpXMzUOdV/nQguxQAy1EWIujv5Z3/TLjPJJHoSo8tV9j
jlFtlfeon3Sf62xCBr3IUidDPJ5akldPpv6FEx4Z5Qjr7s8k0QLhSHuKDiFm8lUwOM6Yfigw19Z2
uS4WohHkrsP9OhNr18q+RZ9cMUV8sEa1kV6FyZZzZdTr25RpkRF6k8g+hC0iUH45o4ZaTdog8Jlw
ogNGJqkIkDuQ5l7iyrSP8whbgJLi2VUN8WM8JMAWkADvi/RzJHL4QroZaxZKiUWKSe8w9l9r00Kd
PyUU3FdhOmCip+kSy6zKRsoQu2xiX7zPMPKw3LBDMzhaSUaxli+qn6Kr0+3xgLAEAurz8sMJ0f71
MK+s3assqkSF1AqgdVzgURQMimic37XYGmNaQoZOzwIHpHjVoSXgGxw77xCUdkcKcDHeFYRQGBd4
8AbEx36pCcTR7LYQka8Let1y1LqLSK3SO03Rh3NKPmtBerOZVpUpCmikepjQ8lG/LDkpfZrIKZ+N
nZkY7aWlSvfOkrWKyY+ioUQZyqm6xOoLWr+UQM18dSBnPrejXz0DePIV3rWeECD2NtXKVoe6JgFK
78rGrmeso7pW+stAgni12PRgMCYaSejCSa0xroA4056poWxaoIDUdSJ6bSUVqKSpr0q4S0vS0i9A
oMZkNMDV1u19GrdjMPdYY/ZDX1y6Mir2oZa4/hImzo0yAtsmOCn8RcZREHNznqm4rNWoFy9mVe7h
NOGJYNiButsi0BC1r5IZPcEg1kJ565pN/w6EUPPx9GHy5ijAfSD8A9wGJ3n8+glM9TTFoy7Q0Ya4
npNC7mS4GLvTo2wKm6wvoCz021alMUCtEN+Oh6lTzGVKtPWDCj+Be3dwxEPfdOYvjUADJJp5587u
F45mM6jMqPW7OovPnNLHBazXT7CZqIPt4ZJOmRaMk/bbNtGHLFuKnDiEIeBS2+gLhCA2azxUT099
8329mvnmzgrntDSTJNeCIe7Hq6WylKu0Nr/Vcd0TJVUY+1VpNGMmZyV0w9Vyvj89/uZ2eh4fMTlo
NVD0APxtVl4plBQbVUUN2NTRPsRNy49j0d8jaiSv7Nmwvp8eb9MN+XuhYVi5iApQQeJ2PH7VSank
ob5YaqCD2dnhPW8HrVrpH/GGUn0dbW0guJn7fqiU4W7RxPQLDRb7A7qjRK+nH+X13l6L6JQsQaUT
0mw7EVST2nqGzReEtIUwLtH1B7OeszPNxXU+x98pozBffLeQlYMmfTzf0Sk1eA4DFnymmj4Svy+X
RTbZjyKmiDOX7HAvimV4hgjwem7Q59cSPeIY1LO3/Ygeg9QM7KEWCIxEoVv02W4ZknOYw3VzHs+N
9hsrhFYUwFSU3o7nhi+DmHmdamDabbyf8F05lAMnIpr18uvpl/V6n6I+Qn1yvYjo1G6ZXwuGFCuh
Tg0WzPFu0TkqPyloieFfophAfaP0j5Qp1m0K0REKPcRvBxGMbaNWmSbELwZHDUo8UA5iUGADZmOK
J3Qenxlqg5sQHMsceogDmPC/CazNzf0W21aDTHhk7boaX4ZdpBUWBiSVKL8bc4hxZWnpGc46To0n
zZia4wW2D2URzFFdzTf0ONVu10X1dI8fedjvsqpTsSBLoIFQusLq5szFs3npPC2RtQV23YE3vOqt
Hb/0PuoQwsM7a0caiocdRvBB1qXTnupBdOYLfW7zv9hgf4/l0KwE/kuKsEVlYsK99EU26zs0ZNRv
40KBDw8N0eKZ2LuNj4aRo+NEFKNDk2CCFPlZ5JhXmp2Os0+PB1hP22UYKVFjcp/ylMtlb2ah0/n5
ZJiPbSvVggpRi0bhYotwVUjFyOLMzfLGehE2URNCAsJdc4Hj9cowT9OwDMaUYzacG8SxnatFb+Zr
nLD6h9MfyeasWZeL04zYHlQ6/c4tL62o4zbDrZpgrYu1w6KZy3uxhC2BZdq0O2BO2AvWaX/mhHsG
gG3eElQ4mNkqtblVuuN4hhQdVbZibuzyImkf0roOceZsGmWv4YK+0A3V8P1BSGK67LIJC8Qu17Ua
e6SYymNmtIWFrH6j2Z6x8hMSK13KA2aNyUE0eU41uQV2fqWNuhTXU0TJ40CXELkdpxscSbEkdcbg
9DJuDs/nZbRWGWBOAJumyWaHF043tqNKlqI3UXfr9pUb2NMSnxllc/P/PQpyDBbSaaTN20ZgWOUj
jryOhmB7IW+sobd+Ula1ol3SOfEVFZR6n4lxuSl6033suZjOXBFvjA99CH+LZ9T9K41qANZUqNBq
25VRcdM0xnWlm1exXd/VVvIr77EaKRz7k2lUP06v7uYkX+cNrxvVKnp/toOKwfFuqQtFT4qRik5e
GcMuW5r2Uq3k6FtDnew6BauZ0+O9nieadJClqDEAGXHdze7MzdpyI6VEdXLqmxsXtM0HM4+Ly4w0
GmF3jCZ3rqIrB9PFLgXTaSs+c4ptQx5mTOrPt4GkA6EWLdLjGYdJggsWqPldHo/hB9vOncZHYb2z
SHE7qnSlZg9UISxstbAItIzUx/i4pwtgDMVHjG/F6J9ektcbfO0/s+WoArA4W6HAJiYKVxrD3PFb
zELr4rexOPLMIM/T+vdYWHV1GAC9sNVEAlrOVivDFkqHV4+r7tQsDTE8h/f0o2pjbYIyUNgmPstL
f58UGkJ3sqO/FrQwBXUcU4r4tzVV8iv6B6X07H5aUL7MhUs6r9rtdewuSbs30qTQKeGUGgjReJGf
2yxbckw+HLxyoxJEgpfYmqKcSwWP1+55VqvUIcLEiC4h7LPZTm4UllWRmPpuQJCojXQC2dTC1q3P
rR/LtFAyXjSpfEvmyW5QA8MyoyvTyaUUnUy7dql030wK8Z5GVPbx9Fs9vmh4MoCBAIwQ2eDhzFdS
Hq7Cy8abxw4cO6mDAbQwjR1KOO+dSBOf/nAsGBKIQ68kGopuYM2Ot3Tfj3ULf8MObG7moEH+Leg7
GhITQJgzn8+raa3JAhDAFdSGAsUWfuzGZjcvM3681JOMm2wa7R2Vm+EgbGmfSYY2eT5LuI5FBZN+
NAINEPyOp4VxhaOi2+0EalHdLTwVBxJwmz7X7B+uQcHLMaghlcPS79Xe1a9iK808CvCqZ/QpHuy4
sp/JD1/PnvCdS52bdc2atoJietcUhtbazF4xsQHTOkFBb7QuaccOf7zQx0OtB+kLZIptNqpeYCkV
JHHZYIjdFz4+QByUHU6Ap7fPcaCyrjMKIsiiojoDSRu8zfFQupPmLnrpVrAgs30/qM38qcRQ5WGZ
Zuc9JEEtyGRhnLnwnhU8jg6kdVRuXHYuKCKun+NRmxlLNxf+EpHzaH/I1BQrtslM6TS1+gVtGMev
7BVFHM/lzkra+IYzvbzHA7D5CZxRF97giuEBV1v9z18yaQ1AtbVMDHN78zUtxQANNOvsYHQm6Hw1
xmV47477JgnV3emVf2M/UYpn4VfgBiIym7sINd/SHJEHC/KlVC+MCJMuCJ3ZnVra8uPpoV6dlCaq
auurJuYlKLTW37/YT4tW4WMErivIW8v2heREVqP53PFwXLh53krwk9HqIOAFfLQdBeOSpqLfZNMc
tWWKGZQmvmJEXVzDyRR4c+luD3KkWK6dAReO0zPc3Ox/Dw6JmMUE8Ar9dTNF7HgXM456O1gso7+i
ko7kf1ab7+ieVYHMY/cQIb76ibKG3Od2LS+J/JOnyIb6fubjPY5y/nkSnUYDWRnVtG3vQy3wRnKn
Ap++bJa30ESzHy2w1rt8ctoLo1DnvV3q1Ud7VPvHqu2LP6P+rm8Z/z++Kc785yv/+F1D4qe7nQGZ
cHFAvM4V1fiE8mGI0XL3SOTf7/Epjr+cXv03pyzA7YBqQ3FkexNbhTUrzpRjP17Kxc8wVA5Kkt9L
LLGV71yv8/ViavmnsZ2nQ5pb0+Pp4d/6kigdwbVc4VNsv+Mp9zgRpe5U20HoaPU+pgV+P+VZeNvp
ev/z9FBbptbfy/tirM3RrFbliNH7YgeDyBtaxp24KrFHPERKX1/PVtxc2JltUI1fhvcCc7I7NZqy
r4VRWrd9Np+jIbw98/XbBktm0xc4nvmM+xQqEuw1da7HAFSFwodd/iYY+kOw8D/z/nek7cGoREWR
IfEcFBKn0JBC267QIHijy1oHZ9Z4/bc2twMYxn/H0o9nJVUtHKRs7UCrrPEdDfBoN825/i42Uf23
6nTnNKXry9oOpd8mxnDbjOMeeNq5vPDN1V0zBmqT1PW35mM9hUqT68DGzHHGllGEi6+P8BImLflD
Marn5V0l5gjk1hKwvdlWcdjOmmw5vox4Mg+y6cRerycDvfdUvzi9vMdZ39/nE/sF0aYVCU/f4nh1
XVk5ijURnI4g9j0Tv9Nvrtr016Zr5vslsbszWOn15N2+TebHgWii+Qqs93i8aMaWNelL3mat2T7w
is4vdf0c7PWtIwjgN4cAtTtY7JtR7NzM9VpjlGXR2qt6XJQ7I6ZWp6gNOmxFFmGNlBi3IF6KO2Mc
zyldvxFGrdIZ/zP8ZstORmvb6LBy6Avq9rKNnb3MrPwQjwKSHvEyaCw9PZx+k2+urKAKC1efmuu2
oC2GCOEBPgPepJkG0izk5Uz0cmaUt76CFR9N2EvgT8X3+P3hoZtXps3UUqk6B6eYxEGNenS/QnHm
5nzzcOWbokCwCmW9UlTBzbS1MvKcIHMlOwTpavPKSrrpAl/DoAixrphAL+4X86LL+upLLezliWa6
Ou8q6rlnQoo3vxMbTUsmvcqvrOvyImiqzMbumpbVTQdyTHVswCwiNn3bpkYd9GPXX/4f3uaL8TYZ
jxrPaBRHjJfFLoaaXWR6OuOdWeO39gylQcgRqEAimbL+/sWswnxQSkPlbG2hNT9oTRoFyhir/4e5
vBxls3ZdMeYaXt1889YSH/qotPdttSS70yv21jdPoG6szWjIYq9ivonqZaHwzQNmbK5mO0oUL8NI
+usw0z7zSiOB9hiSM3s24GLtIHWMgE8/wjqRzeFGs8WEbcKb4+jehB7STY1wyAsnmMaov+5jrJvR
v838gi76p9NDvXHEoFIIngeyEPX3be/dUkPci5WSofSo+DrIZvKw2vLbtqy+NVxh0NfCc+ZTb+wW
xkS2EI2TNTlcn+nFbmknPOXkzJhRUi9BnKbaFSywc82rN0eBQYYmFOHyqxvJHizgbo10gr4tisDR
y98Iuf0hE2+9YWl0IlLLVbT2rjbHmGyNfrY03lRi5HbIveBkO9Te7K+L3evvqC9n78dUO0e5f3Nq
lN4cFs+AJ7RZQCJxw4oHRq2pTdxSbzWvs/hsJ3e9Xba7UAiVZJoohcx6c3S0+pL0CNVydIxTdsh6
u/kME7fcO3G+3FRK1z2mi7EcatjVvqKiIpNV+nzZ6jITODbV50pSb+5UiEmgz9T1jNks9aBJtRQ2
STTFXXf2xqSY9sao1wdZzR1Hdz5iaWkA8Dn9gbxxHLj0w/5n2HWVXmzWOIlthaDJDsQ84rZaDeGv
RalsVHRd+DwRrFnPNhrXGx0BH3NykjPjv1GzYotRHkLykAYpX+rxAyQthveyhC7YFFP2iQuuz32t
ER20MKe1n5xBjD+X1gLaiWup9ljqhfmkSNqo4JSXvNxVi4hUSlw23ZjTS7Nlov+9+6lsUOJBQoxe
6vGjdVYXGxNSuQHxK8CR3lIzT++kcke27NwlCAx+mXrzkLad9FM9XHa16CGn99b8uIym+attwq82
lDZfSRPzssYweY9Ke/ousZIxQUE1HM6UiN76cGjR0Zfg6FohCscPPOOy5OSmcALQLoZvRXZ8qYbh
OeeVt3YqLjbYYbNzHFjkx6NgQ1rT8Ux5Y3IAno3p++S5djjuNSOaDm4x65EfQdQSZ2KL19fG6tq5
Fogp2xK7rbN/sVWLIkpT2yWLcEAY+zHgnl1jx3IPJfKcVMV6Ax2fDQwFCxg3IJRtqF8eDzWmlYLV
C70cFVrpfTv2WubBoMCPKwaDku8yQ01v+k618292NkznEGPG+rFvxwdMtLJb/2Yqbcav+jnPnSgM
sj7sEQRI6uxXpvTEUKANzbtU6m7kJb1q3WDRNC07qxs/KCrmAx4I/wpGfREv1s5V+9wJzGZJR0+H
pANm3oKh5oeiS6MDEmvmE9YrFYzBJQy7PTekfufMUZZ6up004w5aaPNAaK6/XwuTT2208hK0RZbl
HiFErN3LvJ7eFV3alrvTn97rjWwC86f+BqoAG++trLdLl1kvUtKtTCTjri3t9KGhyvnHdUtGWXEZ
fCtcWts4pOoReovcjNpb09PVKRZ3L5bhV6bn0xmMxFv7CRl0zje6h2zgzX5ygBm6bc9IYFarSxub
xI9qvxgYoDcU+ZSpr3/rqDONUOHO9QTeXErURDGfWnntW11ovcvMPBdUjUnqtNVypmp33KvJwVBn
+0uI5N3BtlaaEKSx/ZBwFTb0qq851LQdoHwvhUD1XlTh+P70K34jb1nTW7KEFbm1SiUc7/GuFdxx
cqAANbfCoO3U6h8s4KCP9IHMu0lUePIsmSZ/zJGhDB58a8CTi8NH6E+TEtV+bvXzH9cBeSaY0KTC
FFPoLR8/U4LjGhTD2Q7YleWdTDts4/th+QkbpQymepUirvEiO7M73jrYEMV8hkTiTbeFWDd6zEeI
2WGAlijyuLoo9uRRP7VJOyuusk7g6GBBlh+5iNWce5ULMzcTbEKtdV0qnUGtOvLKAa/sVcYUPXDc
9DeJk0DbUjBi+ya7Nt/3qegPZeGY1ILr9EFf8uqHU5vxz2rS1XtLmerSk62ZBKd3xquQZH1GNgZw
KL4VbVufC6NIiSsAdEEt5HTfi0b5AZMrfGoza+lw+kpi9VBZ8fS759G+wONqD6cf4NUns3mATSjW
jIUTC7NQgr6XwM1j9+MyxOeqkK+OhHUQEjACa9yvwWscb7UULkracc8ECN7c0Mq7yqRR+JNi3DRi
uO5M8SDa5kx88ObbBwVLzkVdiS7r8ZhjbVYx8vNK4FhEmR6KN0jLFFZDNlsfkiJSvpxeyA0wlrLZ
OknHWaNssjBzK4woFBCMtmKj4KNC9osQMA7SFicz6EZm83sa8vp7UboCcF8+eDNWx7dWfi55f/V1
rc9AwLDiNTBQ2OYwE/ssjgRikwkoWWizcKXKQRV3fdVXH07P982N82KoTfxFjzMCMMPGKYrJvErt
+GHJtXMS4W+9RMRRLf57BvhtBpltc5giJVUCHbJluCuWanE8p3bUQ5i36ucJpPvv09N6FfCRzbJK
q2cZcEnoDMfbRlm9qNu4dqkmhe215sj51m5t+V5OUZJ4S5/KfbGIcy5x50bdHFVZ2EWDnBs3GFy3
3AsARr/1Oor2desOgW2J6kaZ2z80zVkvSAoj0EUhCAkwEpvFrbNlsaYYz2YzTexrUy2sG02LzgnA
vP72GQVsCiGOS3C5FbgZOV6cBWJaIF1t9lyIZa4fm3Rsk3GxPEC2eXTIs3nV3E5lcnH6bb7OuNY5
IoK52gtiA7OVMc/Qc5lkKdDNdvX0rl3TLH8ouvrRMmAO17nmF7KuLvENsD/YdeY+kaKpe4te/hUS
CcalWTtyd/qZ3loQQj1IVqtxNmDJ4x1WJSJp4LKHQdpgDasVZXYxYVDyCZJwF/qmXorburDGPCj0
5ZwxCMAI/vXtpQhLBFscPCaMV5DQUctnKBpDtIuhaF9HK6rNj6Zy6SFJV6pK9k/0U9qVeJdG2oSo
k+gmqCLJKFU+PN1KCZ6UpvEyUVsCmnyVGBBlVPkZuEv8mQbsfRkabu9VNH/MXdzGDfT9zCgK3w3x
M/UoSMNtDZPS/BL3vRsfJqO0AWbgSnVfq6Fh4gqkje9NMajveqPJEjjCGFSvFEhONLdVZAaR2xks
mLgZeOk+NwAlVQgnqF7eDMZP2BbT7wL0/Q2cw9bdZXaTfp46UTReQZeXOvu0mB+Mai4/NUBgmE81
159EZqu34bByOmvpFq6HUQA/C8xNZn8ubGwLCwDvP5Zu0mNPWJ3SefCALGi6TWlOV7Y6DFA2w2aO
fa0cq4lieNJduLlEnNRenJwc2Kr66EYROjovodrU313LiaLAqhf1EqhK/3kCJJ3uuspIjMCqnDJ+
r4x66+dOmjmPmTE32bCrx7pBYA81acQIhKNcqHXkgsEo+gaSbrXkja1/1OgVkRjZzC+vAwe4QD36
Iq/Cj0lk0OJIEDt41OIISepDb+PWRmNwxKKyMOLVsDDMR7nT4sw1fBjNmRUIq9caL5IxnRKlVu2n
boqzb81A88tPVbeWviFNjMnt0IE+P/bZCD9UTOT9i4aik6/ZyfRrQGrrfUVD+lc8IqviqVauSkxh
o6gNHBgMy6fWyaNxbxU1EvitZdaDtywqEkDTRGMoqDTFSvymdwjb6rmFz94WlHI0STErqFoMXj09
q23dk0aDBbINR225InZGeIcit4y9ypl1PXBjI1J2CcT7zOuWSfk91+yBSQwa5RUzau6ptDQUTTM7
RJaS0EHZpzLs2OrGYN05YoGfLXu10f24FNJrKno4pbRamE2xMv+kHWCnAeq30QP6P8XkaXFo3w/A
GRFjK6eiJgMwwF0pIs++zEVEeDA0unxHeOm87+a6+gAoAfNtbMYqyp16od3PVZ0CjtanZlx35Tjc
1GHZWvvRVrCS1AATwCNWyzbzeHMW/idiUr/qfGwfqfQM4w6ivQEHK7Kay6RR1cFLRWk2AfHR9J2G
8/BkuC3/EN1AOIZKni0GVLxh+SDCSP1A41P/JqgLIlY5ZOXszf3SPBayFdOOIupgggoOLQuCf6JG
Xl/NC5946iS/OiOcr9KBUrfXygRHY1OfuitDy/OrTKkwXW259R2vFPHUBGqsjOAGxzqlTR4BAq/p
EkY3TmtOD0qj2N+WIRP3orWxWLdSDBqJnjIR5KGjo0VBlnJrKukyeRLNhh9j76KzlLNQ6qWiWPri
gQ1M88CZISv5Of3Mhbp4bJZerxptH8yFYf7CUmGR9wM6k6gyx6kyXljqjL6JJKfDrkyfyuQybrLi
a43h4VctjIxPrRLPkafWzZDhZybcbw4i/KU36yFaGkgdyMnP8xE7gw6/jg7lkAqN/rJb+es4Wh3G
1BgfrSnTL1oRYyyEmvbiVctVn8nk+zQDJvO0TKZfYqEmsxdXWcMBLETzPR+i6jECKq/5nWN1X7RO
WtqFJezZXg+G3vKzPos/qpFlfUQbIGv3ppNObTCPST59pWqG/sMwmSLbzUmsv0cbZJgOfBQhT50Y
av8jaWqp+/kMotrL06S1r5NoVrrLEAcUYy8bKlOe1k40u902RJ9Nn0PsYyoFgNJujmSW7CFIldJX
u0m9sohSpWdRPleoO2fqt8rMlv5iNstc8wZMbxJKXGQ5HoJq6qrOYc4ymPqq1Dwr0WFRFNjSW55T
dfa3YWqjT6aIAH4t6BeHfjX0UMzmSVXaIEstqV4iIYEyRIVZusBB2B4PTor9iw8dJOsvNGkZn3Rl
6MNDVVpNftnaQ48AJHAn1wM4FPJzjCJ736thnlzr1qQc4rhVf+vNSihEVyPrb6TIUYZxUiJqv2/N
MfyYdUpb3BtIzJeHTi7dwH6JLH4LxzT1qoHGXSCdbPzS40KKKoJIMtfXjLrVLooKetxHAxJs/rPL
0nEMKiysC3ye2+pa693xEFmJ9VGt3eWLSQRq7DhBzcVLjDD5bBkNjN4UNSr1LuugLu0ysyjS76HC
reNpOnRqEAkujVG1R/4eGYpZ9bKl6l3ftmPlaVBaN6cOQ2kikFnaTMGix8k38H7T3ZKnY/bA1h5L
tBUr7SLVEuVHg0dGf2n0Yfmk0ivJfJjGS+F1VhhxdriYMRlom0kugbJQOm21fhrN/QjAR+wAYYIm
gGvQZTsxW/PnJO+0T4oRhpUfJRnnhEIc8uQkboTbW9boXoEFNI6OZmc+RlaofKlbcyBlNybyAaUd
jAHNxDTt/LTJ4s9GYWuRX2Zt8TEHRqSj/DJov5V66H6NxjJ/hS898uFhm3Jthw2Wm1Ux20jqLCbK
I7GiVtdLQyV5X4TlHB2knchLIVpr9ibsgu4ppMhvuh3rd40o9CmY57LsPhpNmtx2xWKgb1Mu9V3L
n0Lewa0qa6fqcfY9NjQsB5K0yIU/zwPhnOWkwy9dWxU1IjW0btJKrZCvaNANmlQt63bD3EFAdspJ
XHeF23aXSbLU3cGsMsXxNVno4Ex68Mq+OcScn+6yiGYP8cZ8b8bF9CHECL052FXiVHfDYo5oHI+U
QQnjetemq8C+9qCAlDU3KbB2jyyoiIMZyljoWxgiP2UIF1WENrnS+gPrcqvYJZBou4QzDtVcloNf
p9NVqDejPxr5L2OIp8SvalO5lQayQMFC20aMFuzmhC3EbUMNaTjEXZldS6eqnb3qjunXku8R1aJe
kUlQNFW/+LIzlS9Oq/ERii5un5p5noQ/kMGLnaVUzlVRGmXnNQreqMRwhf1UTM5BNdCBjwae18O4
Uj+kZaO23/PJjtRdkks98U0nD+lbTJhbBhUJAobQdRsmXP72cmWkY6miUqqM13grxndgxxD6VTvb
fJBJhkOFWEofqxxmnWcp4bFZ61wlo15JGIFDyfVdhkvZgYFFKhFac1XUO6OMpmsnddTwkCoAB3b2
GGm9x8k/ZYGGce+uzpHl8604qX+a+dT/dtSaiKiIrPzWhWojvKgZgOHLObVUaFGOkvukTY3hN/qC
gAhOxa7qhZizl55Wi6j3oWpmlU/ky3Hm0ryH3y5EgW9CytKsSZZ+rmr93BY4TiQgwtCA4edaRNyi
U/MGNCfmeEoAJyWGIkQeUyF0VFbXyL64XmjNxpUxhCmdEiN7hwTMeC8Wpw4mmYQfEAFWLpXWXi7c
PrIf8sUVFKaT8LpoBuGJYTAOJSpuhzQ1dX8s1IQgAkGXZhkdL83apfSq+uPptOyN+g38UkjNDqUb
xCm29Hn0LZcx7NQwWHH7B83qzUtTWzS/qkxxa6Ga50stTO8IsGPTn6Bu3bW9FZ/BQr0u4ECeJ6En
P1sXd1sotid3bIZJuoGpy84f1bR/4KwhHC/m+vL0hN/IQ4+G2uShitLVNeI3btAWSnwRZ1r7QYmk
Rnkjbw5yhiixVPWjSXj8+fTArytHzNGBS4XXFEJyzynqi94WWj7NSN/bJa9o9J3MMnyjkdo4k2a/
uZLAmcmwQT/ianWcZi9qkTkyTd0Ahlj+OUfnEU1vGGwHqm5nWTpvD0Y6TQUQu+NtmxAHO1j9CfUb
M53KoClpkhJ5PrgzedPpxXudv7N4FDP+M9L6+xeLV+ZNDPqct0ZDbLqIbbTLnHlaAB/aIHejasTR
PosfTw/6ugxHUWxFD8Ah5WN/bm+8GFT0YxhXsneDGfJfMOu4sifqXVzdaGF4joL1uiLOWFCQaOOs
QoPb3dEUUdm1du4GYa2bv0a3FWNgiM78UE6dGsghKR5jVMq+6P2iHaZS6J9Oz/WN3UnpFF82k3o1
DdHNvhmtkLBbp26MxZ79qZbQGm0j+cf47v/Fi16IFwl6Cf+7eJFfyjL/njy9VC9a/8Y/6kWW9RfG
P2sxFltAyocu7+kf9SJH+wvgOkidtVnNPll/9R/1IvEX1T449DpCGM/axf/KF5l/QQ3nV+gbrYZe
eKz+iYLRM0r/3/tvJcmttlkGhSXanCqg0uMPUQwQg924hFgGhfe/2TuP5rqRKEv/lYnZowIm4Raz
gXmG3kqkNghJJOET3v76+cCu7hafqsWomO2sKqKKxSSAdPfcYy7KL9Vdf2E+xXfaDobXniuiv+7y
Ky315ov26OzrI/DMbrhqvrV3YAHjW/7Q6F7pn43hFIzhEjxOwf1F7YNQ7MlPIByiO+KLH3Dag5l5
5bpbvWWXv/zyym/+48/91YDo1Ifp76eAnvb+FFiUfHyKCeDRriaeongawjpoj90+wZdQ9fQbffDn
L9Yuw5I/OZbn4u6ToT9uKn+/QPQgAjtT+oGnmQ5d6i6xJppyR2bVbn7ODL94ci7LL4BS+Xnul8fV
8QvouvJKfnLI/sPIMPIYF1AQmvOpzDt15qlwBpp+MGd30skvptneY7t5VYzaJ0/521D0YMAxtljf
jTdgnbzfqDOMQaWxv7Mp1UCIPLcIYzU7VK0T/vl9fty3eJ0nI21/yS97tDWpqQC5ovg27iZxX8yP
f/79Jykq2wDoN7is0RvBvYEJ83EAB3uhvmzbfCeqLGm+AsFZ+q6XzJ6vTr7FxqK+qMydqZB79lZS
x1r3FrBIfcy7opu/oBtuLNuz12rpzutS6cdDNQ+YqYqlF+OX0pWGEYqxjYZPWAHbK/6wUDFqsBDR
Qh/cfIlOWwBkMCg1/qvZLh0fl/IGOMCT9Sdd7d9fPuuH1j49XBcm9CnRupiNtBw7xsBgyJ/NMxOI
4pPXv+0nJ4/BPoiAhg4qXc1TlwtwWpIWMCzawWh5qTUZGlrm5YRDAzE90m/w8kXzGhEFivxkDn88
kd8/PCNvIkBGhoyyPfwvM0ttLTseVUa2LmmeX0Y3/Vl6M++nT66Fp94a2wRjnE1vjrYDhMb4OI7Z
dTKrdDfdGd43oqguDI8EIn8kkMoN13384O5bopU+ea36P71WZKRsBeihmCofB5WQuTrpokZDVHGs
rsxDf4h261l2ZR2U42f+Eu9U+NOPiFoVuICbrwPn6uNoCkCI5G6X7tDQ78WZcl1dtUeqCe8VQsxu
DMdw9ecw8qj0SCT5TOZtbL/+9+EJJKVbTbTFqZjcjkC19VRPd8kRqzUedj6PjghUg/4wHpQwv7Tv
aMWD41Y+4LsP4pC9Zq/Ki3HjXFlX9tE9xoEbqOf28dMoqH9YpVuX7j//tNPjdKpjdVrJNNjBdIN/
EDO/u0Ov7dG61xtG7pWVh+uHiu3zPaaX3WfRSe/3ut/eDfs0AjULYszpHdeWFU6v0ZTuSi8+GDs3
UHbOGcXnwQnzK+VJeUrP++uIErf2xE10LXb6uXJUg+mieqhu2jNxIL/zkzX/+64CHLFtWyYmiVux
9HG2AILWtpsNyY6IIJlcImps7zIcU+ZPmEC/j7PJPrlsEXSyaZlO1gASkSjRrZwdshrmYrM8JfWI
/Q4V/J9X2+8feeO4IUbh5NXpfJ480NTRcZ1A+XdpLH5a5eD4I2vFH9b1M8u1385de+uBYXCPmwu9
X/OkTKKxj2NxvShh3Ch7t7RC3T2Tae4TJfvJ7nhqfEOpzlAuJSb/IPThfdH9sj1iKggK3g142Xr5
3XLVXys/+nvzvL3Oz9zQuc5vZNhcr4/z7Mlv6o9PWU6/fbxN04/EAUN/+uvcaT5OEkwbsMTAHz3s
d/WxPUZniZ8ELtcnfVdflUHtv/z5G56ORzohrG2yOWHIk86pntx7Nfx51mVbJzJtwzb1V1MJ/jzC
6bdjBHj1BrqljayO7OnjEyVDosshWdLd4hPSdlMcqk9YAb89AraA6PM1BNyIy5mMHweIMS9o7EXJ
Q9pvtpeYuHuJfqo/meyno7xT3DgumetccEEgPo6i5FZbQG2lXlbWeGc0hAjlDj3hP7+s30dBhb5R
yDg6N3rVCX8rU4yJyZmTJNIo9SWJpdFdXBbV/l+OYnFT5tSi2UUfH9rex2dxi6kbcY8qQ7dbidDT
yPdonDb65MP/9iyMghICGy9UugJNycdRaiC4ue1lGc40lIBROta3r/coCD459U/3Ic55FcsYE48S
vG8xZ/w4UD+5eIPQHwnlWNHL0jHAXgV0xLRUxSdDIQM7HQ2cCy+b7WII75/FugFxv2wQkKbTrgAi
CqIoLq6MWIIgXlud7BcnDZqyxqvUgKBT+l2N87pn5vHaBbOplIqn9Nn0UKxo16El0rzFZkhdbUJk
km70CWmPF3wQJuutX2rjmiuqdsTxu1f38dhpP4ykspNQXWL1JrOMmkaOTexbsDhJvQMChV+YQbOI
PTBtQt+KSlSx3w+6gxsLfrfYpS6j+WC1Cdh11jraIS7XqThvVhK3A7cf6ABDSgV4z/uhizwrS9X1
3C4NVQ9kQlhRoBeYfH7JGhrEoOeGO98bVrxqrpdoCeB/ZiRg007RJzgOlMDg/CH5eNsliqYHa9Zk
Nwgkh3mvrcK9Xod0enDyZUung0tZeqhg+RPnsS2+Y79Ib7RzCloSOaytOwvu3WUTqX0XFug+YfzU
tjYG1lB0WG3FOQE4qVVE18NQpoXH18NCsjBGrQ56WiD4uan1+GLEtWEDpk/2FcSNUYbjJLLMs2Vq
3Y51Bg1gpadU7sxEGwsvWcfqSvJH1T4ybP1r1MBd4T3GRu9FldqkXtr29bRLZySM/DQMWV/rzZT9
00afHYz0Si4qmjk3Tu1M0k8WLFq8lbU4e73QlcITZSPrs6WoGW1a4603O6g1yofakvRK3an+1hhL
meoHbYHL7sVqYb/pZtLV8E8yIITBhsRP4ENHFyV2s3XyS2xhF8SnrRKzmyvRTb72UR8mdosP0rGw
R1Qc+3aqm++ZDmnWkxopTaGNYWHjLzoBlzjlLPOl21VOF0yN23fe4IwIBiHTVnbYicxVAhc8+znJ
V6l42awWZMK5Blc4B4c33I2Hag7pbTvY36iKKIJaTv2ClafE5lEvy/aR1Pm0xv93MNaLcSFVG35J
VKcH28KrGft4wPIwkcxAr2nyemeSPbBfSkmfgF6SJTxErzRqJ1fSdlf61fhqa7hKa6IsXnTCbr7b
+BRhRkCShuH3JhEYNC2V6jAZqXbPml7NQ2sZGfRwfvp7aZUZAilA4J9D6hKSQOLH+MbcWhtwCvrj
3lq5uESVeOZDytA7FaP42UzsYy+FU+xg3yiwQsH3S29gOmEvb3ca72tSm2fXJHgEhlzt0u5JnM55
bHST5dX0Zhn7TZ2r8qA3NeroaWB389QlQneX6KN7XuMyH3sjHfQBslLdrpfYUdXXGbYiDi3tvpjh
VcxtcpxjSmWckQ31Z5eVaRyqTaHcq0ZvgjclqQrRsrLNGSv9LCpoLiaO4TfEEdNqdbOi2KdGRp+J
FmlOCtkyammY0ed6znUE27yX2X7Up3R8rs0MmQqEazVUYJTQPIuNYi+VYrhy7M1DGaqPeWFC1Scn
yuz7x8HQxzunl3hvrpJeC8xzLPf3dGv7c/I6CrhFnBevOuIB2o4QMq+ymmI/MBSkBn6sNPN8n8yD
EluYYsdmcmwS3Un9bEmzt5xrrxrqOa36gPnGqdXo7rgE2qiVpPUOJs3iao6hI9CA6kgHgNCVBehJ
mjqIoKvMvT7fm1JTbvVuhJaHPl3BUqpSzNdYkcI91rlI2oPj9hYE6rhL+2Dk2iExi9ML/Awx2iMW
tS11YL1m1a70Lq0TkghcEl1mSSg9FJqGMBws9moCTlVbmsEAy4J85MiJ2l1ctc0aOoQrxHsQs1gP
+qyNNnf+EV5zm0RcPUVSZySJw4nYd/HmJdrrabH4RuKm39o1dcneEMpaXsV2Xt6DodfQZqZmWX1n
aocJS+ymZzOtyrT1nbEmZmddIUISOVd13+NhEGY4l6IwzoclqfSDaLSZWybmHa8TtF2WWta1Q5Bl
jZX59J+xYTKNpo2RWFjrV7erXc1XFhdumZ3X9UXR1rqGis3BSS5zigINvjZG0+U0RmkeNrNWJ1dD
7GijL8qBKI2BEJbIW3I37Xh0XTzFctBN35iG9A1DiwRDcs2KHG/otTg/CqxAY4jmLVv7tNJg9pcY
JifdWrV7heoHT61R1krxzGU2bgq4PptPpWBFYqOVWl7G7fZlgLBn+dQyYwtZdUJlZkGX0z19dtha
iQxCrwHZwlxZzDY9V31RFeIzuqIWPuhzU/ld6VbPlp2h7YMFQC7FEsW4nSmDqdfwXnT7nA1lZGLU
ZY9rheLkGpZUnBLu+BwPxlwhSHEWDgKY84TyRI2V+13Vpk9Vn7PxoGWpXqJhjSXHWllrZ8T4kJaj
Y89sH7C2JSOCokDcVgBSD6s7IhhcKQBfMlcO50Sk59AtSJeMPXBLBbKPVk7Xo1OXiV/rk/Gy1vBE
9hPF6Wb+CHEq0NKWVs9cDulDg6NH5mFKZ4iAjtqEq/wUi++lKe3XxXajmaGTweY6E8+G546E33h2
Mi97+J/862nALdWFE4mnnrpdSzp4KZpn9NPC7oVoi6lVdhpmixVL9zDLlW/sG9aoPPe2thLZ2mm5
sYNmIb+h7R4aT09LrFOZcdlTT29xhFvYcOcQc5vBGarYf5pm5WbFk9SvIwIgXsak9uuhL0Q1+83Y
rCKkKaW+WaPeNZ49Cfh9HSBo7At17Z/b0iiHQFG60vAooIcvBYJa6F2OsYrAzLT2PuOg1UJLzcb7
aB4w0osEjEiC3NjnbDCa7wK9DYuDsCrBYijS5SVTZyhzHdQTKybaqcDGrCXD0dlz+lbdbgCn+d7O
pbb6UD+H49Bmg+mzsZpfi1ykA4SJPrls+nKBztO66x3ydln49qRZL7JPpp+pOemtb0KSlX6fmdFd
VcwR8zua7AeMCpdAjQ0n3aVabkIX6LDoO6xRS+Cpl6RgvReNmwzfxoYXcisH1X5bQQSSsDOsUg+K
qS+HfTeOmgYBYjK6PVkClRFWk0GcbQPBwtNb1Sz9OjHTFe7PXDy6vVOve1S95hPcD8phOItJsqta
C5+IwSpggBvx6iye6Oz5phiFgzUplpA/46UjvalW8BkMzNnQ3xqId8xFPF5kaOExS0Rylo0Xg2Zm
rlcvJfjrVJA9kjSG258XDHzOZB9TzAayhqjTtXaN3RQj+w3NwsjeIqdurV0yyCis0r5edoXgMqSO
EZeYRVvKLxa0Ou0mXdCHxYdomdrmrW9SZXkExTaWzOdipJ4NbgWdqlQap9ulRm3md6tBwGKwcvmf
9opuQXtrqrmznqlzausqiZp6uhwlURNXBskN+e3YD1Z/6JJen/a5NY2G1zXR9JSkQPJh5yi0D/qq
lcu+aR2jD7KcFehnWPxzX5hwREc7mdt4CCotd8elkKpKu0FbSDIoo7zEFz5OfgLlOq8z4T5zAN0q
0fZKU+biS29LeFilLdRnwZ8bH6UmV/USktqqnQHfpwKenRsXip/rnc4MGHpSEy7SKJ+hVJcc2hcr
wBIX8yIrRze0x1QRVoDDV04LXHMiBya2lS4/Rh2iY7j2w/qtb2PxZTMWqfc5hc7oQRZulEviu0zn
4PZT1Pps4Ka2hTtw2pNa5fQ4u+WpMqR7McZxelHXizZBJGEbyZH4rNk9J6wCeFWsRbzX4UPH10R7
GdNBESt7Njd9uwzbwbTWnTmn43RmJ3g1e3ksG3kmOsjVkKeimC1IRG7B3hq5D70zrOmTjOXypKBz
cPfRJOEOzVJRf7pLlpJ4nKkTjNFoFLHfFWY7dp6Z4Oyyz9ZYTbELVbVkN5QrHOOunxftFtRrtK8I
pW7ccNQV9hK1b0k4s2HmF4EtC03cZaUKEXjsohK2mluK7lUn+2Pety23nTMZ6VFxlkFQgUAlOaKv
RY7dxb7JTN28x/ikRVZYzM6totWDCCDOm/nk1Xmem0eHe6L1nEKs5Lo1GZYFcYlVctmpAxtxYwyG
GrTTPKSBPStqvnebqddD0AE393L42RaxHVLENxv/hzAuJvYUFpmaQ0cbijnHCkVCJs1WXYlDOVR4
PYP8L6wog7QuH4ujtuPNznlE9VfLyG8zyHH4Yqtp/A0CKpYmei7r7m6F6igvTKcnW0RtkRf5VqlU
IrAg+91jVbDeEfPk3MxDZ1T70lLbn2Zpr8OZOQKI3FYQbL828eAqezYJd4IG1eJRunTwDi8HFV1U
2OAVzEFo9vH0rE+LiA/5qFdTKMuhwetdRJp21+ep/FZWeqrtdSdy3zbbkuJMrJRNV53Ktwtsvq96
ZiOlhZTdtrF2Pdptvh6xV6+4bKsOZHLOWROLqkCpyQ4Ie+QIvWfJwangkpHa4XN1Kd60IlWqs6aO
ILGSUDfV03m1bhK2PkXMRiruyOmLLV/bo8pv+8IzlI7Z11dJHIfaprS5ropUi8+7LNnY0CkYrC+w
Z4bIHIFvc/NRIw31GdrLITqDseqIL5VQOTGLOhp/iMjibpIazpcIkYYRpI01PqqdaY/3SlbJ0teX
SXmtIwrp3eo23U9dgZrmJXJZzwonVXJoxMN6D3u8bnyRJfEr9uZTGwgIqcZL2VVj9AXqT/m0NESp
YcSU1pckWSGhN6scUD9vJwoYAarw4iw98QKlKtM3vVtJA5MJJutPeqUaQ2A6sS3PocIozwpXLPcI
ex7SornW5UiJQmbWuRzmmCWuDfmjkL27MYD1qb0BEEoeCxIKqjMtt4v8KMseS7RSJRmvkWvzdawJ
xd1RuTaR15sqKh3HgY3qjSa+w9TUgqwQSPXcRy2rbuLDtmWV1z3ZYcQstvWk+YhQKC6WWZ8vUJLC
4k6ywqS3zaHDs3X5aHP3r7RHci3hhir8cuwtY64ASW52/aXQZkvez10v0xvVbaV+lq1r313gyjPH
rWdYWCvg2CGqH5iL24AsfT1auHlTSQRxWcOM63V7lbtKt5LbkjICXqFdLcZOkPiLgTDHY+aP6EyV
sGkmpwEJGhcOmqoR+mVOqK4G25sa9ifXttw9LI3jxH471mN/AUtU3gxF4ox+HecWBd4KSY5AtKWV
P7s2tm4sSy8hPfYzYYF2q2tvwDFL43Ei9uTcO1mCigA+AMkAA4YOocHp27MTGBL1RG+YNP0bY04u
q2YYawRKUaMcem6iiVdYm9YnXqYRM3E7gg9oUZDeQGts14tiSFRURqOC+uHZhq38sCSGkh3GWKHm
Wliqprcsptqd2RBgJ295Z+IX+mL1Ppf4cYRdvrH153fmvv3O4t86199gXsLtb995/nM+GF+mJFuf
LdJyn6axaOKjY2fkrZnvSgEl3lQDWZygIKjf1QTLLAUrYNMYjMT6oR9+1x6IPItdn5cO0T161ycU
wBjqMaa4Mry5b5yfFVqA2Ys3YYOeDgYSikhqSzg0ep8dlk0LEW2qiGhNojsri6LoXCQKsoloU1Cs
72IKgQqnJcYzhyRMiQPvraWkP8P5AxlGl/fJTfouzjBHuZ4lsYs4F6M3PhC1B1V0zbsWJKx2oHzz
JvlI39Uf4l0Jolpd9y2WnXkvRnu9j941I7M2kymsv2tJHPwjvtebwMSAw90GybvuZCzT7qg1hUCN
8q5MIXizeaxtRX3GQh3lSqebqFjqceZEHt/VLeky9tauNXhBF05bdJM3v6thdGfRbgxbNk6gZJte
ptukM9MmomnjpLye35U1ba/mT+673qZ71960XdJ1nrpJcup3dc68CXXad81Otcl3iMlGySOn2LrM
30U+9rvgx5aWhQfKJgMa3yVBXTYonde9S4Vcq21vpncB0bxpibpNVZTGJSUWSRiIjap34RH+UIiQ
tFzdksAdGhzHqEXGG5pJLyn7E3ADqqQYwKarNeLeKa/c6YzlgxsMv5ydpZPCJgAX/uSFOXR2HORq
UUOQb5caQYKVon1qpZtQXjRx5ux1rhEQzi03gZ+RTN+0Eja638gqPoi1shK/a3VYdZFlfxtGWEDB
TOxJwi+amjc7Vtj0MrnKPij1CCyCtM74FaOz7qfbNm0dlkOSvllGtQBeaxPJ8FiaPjeJWl6jB5vr
nTKZ/fWsyzHZzqfuVbaG8jziRZ0HeZUtBRi2Zd5WtAIeyT2R1JNaaQ9eC62v5qRWBrYHC288TxRT
spxb0VI99QCxapDiHnSW5lGT+mOBkM7To8j52UxiBGSFLX9uNQ1kGzet3bPC6Exi1bgWlB5E/UWE
HNjcPlZjcJ8A8AB0iaAqvlko+7eSVmrk71qt4/oCsYrmF3Fb/ezwzFt8LmMaO8UcNYuXEjaO6Mey
Go1vuYy1Z8+j/FFMlXvEYGrMfAsGf4wsbiZEc12kvF1SZIys7oq7M7pPZC9jPHGp5rpDbOSksa+e
udVY3us2sMaQWRz4jZrYD1kspodh0LGnaOPMDAcum1owrwbFo9GXZNJFVTG+JFjsBEpjT9wGq/h7
kmKtvMkls3sNU5OwMBqc8tpNUmzIZPBSpE4T3utuhPdQZE1fba50EZVvll2XjuM+9wATbzhhdAdd
V0i/A3AmR21TuJMJsbihnuxiy0JsZLj1dF1RqD3gU1RcA79FF725SMyvk2L8pgugpJ3NKXm2xrP9
gpqpsEO4SkZ1LrKaTWatsvWhdXr1PMYU7VKZ1Lr3cRVbX5TEYRGB3HZP8ToPz9UwOWBmSrZ8d/N5
SagxbZokqTCzC6r8ApYVwDPyA6OYoC7gFf0dTzjBorWN+Q3vfzyNZDbMj/OYIzTN6XgNvrqq7g/R
jyw81l1b+2TjbXzauqu+CbwNcYGZImP0AC8SjRYFdtTGQG3LqVYPl6WSIIAhwNomN3e0rYLLNfGl
YFFVcyxmAjO8aGzLl43h/2UTA8MSGJfyIVURqhD1rmmBJmYScm1M6BcuXxnmaXPUlUkgRa/SJcnT
6Kpf2o7gObS2iPoL6X5zk0TagEab4ZGxas2dYSf1j5j7E9q4NtvQC5TPryhT5kd7cdsnc5olK1Mk
r8CXbHER3dcKtbloLzJ1lT9L2rrSM6symjHU0Yxjpo1ZE7qNTB+JTxtUXyXU907EGeVxum6yL6OH
2oaKhby3nWkrY+W11mTbRFFMRh3WDUoHkDLuCP5QC/GyxHq/+nbtli8rKAhrdbJX3c/JzOI0dxKZ
+W2bGCylKO9+YqQ56/x9Y3VpFybaXh10XwnWfMVZctU1vMuaKIW2o+S8nDATLj4iac5ZrljYU4Wr
pY83xDhzK0IapbH629K9tanQH1e1bkiTxUP2B7LMXsIK14uBbpftUrbhoXO9GNJ8Fmi4wGU6bSDX
OdMm05tovyLD9KYEOls1K2TTOFRtzdY6S2KvGbY1S/bzYIYaec9rOOkVYpF5mFLVq4AXeOYI+8+g
4CX2Xorad/HdvENgaJTRaAWztXSISMY6SRGvqNFA2EqEAtgRlCOX7P6W/gnD5ETFAXcBwgBScBBw
Mhk2s9ePvcmYppeplU0RkhEb4oeTZeZxba6Flp114tHSsj1ePTva/WElMPlzXV8xu3DQzsHprjRd
IiO9MkADaU8HCFGwLjiOQJ4tATKlc7kq+Sft1H9qEWM4CNdOA01ARfDx78X1FwREoRGd6GbzqNAB
uypkvP7rUZAN0KrVDB3ZK0kNH0dpyKvR3KEnR6pqoifIJPaVsD/NpzjlOWAJaaAd4uVbpg6ysvWN
f+kLZ50tdG01SaxGNfigIvy4BJ2wjw4XzNAhUOZf0nzex9s4drAUVYFJ0sfx7B7chntWFtZGC2iA
LYkHJe8zj9Z/fCr4lvyfUGKgW38cZaDfCwNIZKHsVShlulIfBB5cBwFKc6jhw35CGthm6K+8Lfr4
pBMguaDJjuPTqc/LUq+FaeeGE5TbvjYLcaVOVkV9QI9Dt5RrmRSf+QieNvQZkugJns5hG8It8uQR
sxQzkoG+XlBVaXQgJQ98G4unwFBxp/wz8eL3oZiH8G5VjinCh6wTSoTSrYuFqssMFN2VqM8wMGtJ
TKHxXXz24U6XlkNepr5RVRBB6YTsnQzF5mWRcyNEoEQJYFzSkvnQNhpF0p8f6Z/GEbDvmY4sgN9C
QooFfZwbpQIvSsM4YAOJ3fNsf2Zi/fu0wI+Y+GNIYNCVYK9+nIb10tEXh2dE1sBi3LGt21zeFL3c
5QneBUMh6ZYYw6x+sqH+/nCEZNDhQZ+goQ84dSDLCkeLpgWMSlpVvQOj0Y6NWSe7f/sKodDBJreh
acAkPU29wrnKqu01F0HitOOZmQqIkVP7b/eLd0LbtgUaaNHQaZ1Qi8w5T3T8a8WWBoyJRauOfoFK
+BNq0el+wSiwDy0kN8xw+D/Gxw+V9pROA6YXgdWuMw2TSNuhDJAeaDUKfzVtbv71u9vCz9BtCLLe
7FPCrzk15gTyaeAcoQ27VnHHOxSu8+ufR/l9+mGquLEBN8NRTthtnvyyt68VZHAQTgMs19KvU87h
/WA23QNpSsrNmtOBQr3L5fDPo/6+W2zMVbYK1IsQ6JyTd+kOq4uPUGKwF2qr58ags5HoU0+O9d+2
jf9fwPSLgGnzKvqfBUy79lX+TP7Xfki/yw8qpu1/+1vFZBKnjjxWZQIwCxDPMQ/+VjGZ4i9L1TFg
QtyEJS0Kp/9SMZl/4ZbG5KE2J3+NuHVm198h7PpfcMhYJnxmaE5sAtq/ETHp5snqw4qNFYB/qsYg
uEecEvuaXsM0RXK5beJozI+DQmy3vwinzjB3yOlPL/TxgHUKcy78KW2mZ6NNxLCf+rwiGwyVMps3
zhIBdKVK9etKLQGujDjem0A0YmcYdr5Ls74vw95cp0PV6w29rHZxXC/NLWXyMcWxvgM7YgDQt0l8
3XZKhQTAERB24ppMJz/S64TUJg3j/mBYVuVIwkb35jpd+WWsy7SipVn35mG1IzH7FFtVE+LwF6l7
scAdAfciDtrvoiSa7wcsbs/gMnbsNJbbPvdpn/Q+uYTWLa0549aK87E8lEuVveTK0tzltDyeXS0e
qZXHpHmihgGk6OYxU65sOc2HSaXtTGhrs7yWgNNQ35zK/jlUevJEi8u5oxQtl6CsKHUuaCcohk+d
tUZ+1ZniEaehMQdpUDI6J5NSvmh6ZJVf1Li3nC844mi4xdBFS0K4EMbDKEsE8TH0JMxzVnMgArMc
C0xArDkdAGEVCxSIsElw4zKO6dS4+Ch7S2kMfMVkpBWPdY7SXOZdAperp0PR7gfZpi6mXHFzBm+x
edlaeKmvLkbW7Fp7cVqvz7Dq8/Ko1TcP/bW6KofNKkjLum44o41F1O8AP6c8Szn4YohDMHRwKybr
hyh5M7+W9djxOXWrrOE6yizxV+haL4k768Rx59iOHDGxb58gUDjfpT6JFyuRXQn93Fq+iEyJvxYq
5h1e7siyCfVaWMOGkUKVMEp3oEFfTx0UtxqflkthN+J16+SV13nTCW2XpAquq95Yztlj3xmdCPpZ
mmhzyw1f1QferUdac36pkQ4mPShdwthB4hisO9sGC/BUxVKPRDNuDksz/k/QQKyaAs5u4uSBZFXc
HLxUW6bZa2rWGcD6UD+1Ui0FEv54/qFXwDJQT2aoK6QTtE+YyALeNC18jLa0nNsqQbq/M8a1KG81
vH1BDtxqUo6iENNb20duSvcV3Px73y69wyKIDPsc67s29soFv7AA5miXeWshrWgnS7rPXtuNNUj6
OnO8UFlgl6QVSe+CqMqo95uuKWo4fzHUvjWu0ids35LXBuMcPOktu9a4NKsYeAA/TiXfyqgOsxnL
236lptsZmKUxm3Lme5DaYmvLV0I4YT1Lh34RsG8SKKAKbzTK65pZ0m85Q5mjd6RmJvK7rXV4gE3C
aO+5/dHwTIwW6oZQCq5j5MSK5nJIqn4OddyqtECJVbiaY6UPZ1M7V2g/SiveaXqtpodZkeV+zswa
eLlQx9v3Uq1O4lbx26J3rkq1i3AWcrX+oWjLpAxc3cgfYjxw6ebos/01LlX3ru4L/UYlMv4yM1a6
NLE1VPSruN8HtnCrJmjx8LF8iCsVVLWusb6xQ6ZfoTrO3yNzcZyjg4NB4bNTNyChc9qSfZNH8hrT
kzGBnQB+78Uym25gbmIeXwIMCLx18pwrG/irji+Q6UZM0cnRcLbPh3nzC7EP4CY5xiSL0s1nRTTM
Y+BAfGTWjw51KUQR0KL30+v/n+i/nOibB+z/fKL7SVpwz3uVbPvL8eX//O/tx/9bj0yABLaQKIO4
dv19iHPT/4tAckBEPCEImdzO17+lyLjp/8V/MRAJm7TQdX70v05xxbT+MjWEKZSuDrUQBcq/OcY/
HuKQBzD8pDoklE4HAoIU//GyadiQWPACW8+1xOzwuXMqq7jtSaGKHnVZbr3GOKt+/PJmbv6jwP6g
HN5u//9dd3N1AR5B2YCv1MZ5oDT9OGjKrlDCZ3fObO869u6+Xlzd3+af3Ge3Iu1PY5w8mLuMorbM
3DnLvadvD7F3EXmfSIG17Ur8pyFOQBH4ZmWzugzRhbdPlw83WXCz+s/4JH3yKKf2Ir+9r5OCtBGw
JcyFgc6hTQcPScDD4PH4SXF9Iuj+7bOYJ1V8pCeamlV8ljzCTKra24ATck2wtARZhQ8WGeyE0Gvs
e63KfRUygMKtIuoKn54l6OVZjintUA/Bn6fLJ19yE/r/Wg+J5T9f87q7vnb9/VXruf+PQ+gfh/i/
nJ3XjtxIloZfaAnQm9u0zCpVydsbQi1D702QfPr9QnuxSiaRRGmAaQxaA0VGMMwxv6nBFQ9Bxszz
3bdo/6HbPSMhtbG81wmW5Fjp1BPIrmDDQvVdpnVVGMxj7jnduXRMcUQtPMKv3DCInhVnI0+9ziD/
byiKdfBtHGT2HVP+lL8yyEoJdEA5SD8pVlB+CC0EkPBU9wX6eA/CE4hNpvVW9WJxkZi6ji6CTEhw
V7K4Thb5Ywq+fk5tK/fRJmtPKGYRQQx9QwtQLx5yhPLP93eFsVxPOSDa//JwwAs0/5Sn/5pkQPNW
b3SdAekn0s4x7aNZNDagcPTj+0rUB9RhgnOXRN4x6mrnEQG8ym/BumAiGNY4OHbie1WptG2o8pMq
VDipZHE8xrs+poujjEHyTrFzmqpW7j05QWijGBqXfthUaDKMQ3eM28G54PqdgxFEiQZNYAOYeF2f
LL1191ApeMVTQ+N/5VTJh9w63V8DWQn46wIyISia5F66xJfSk/MWd1zZ0ZvMkSw8GWQ5Jy/LslNZ
iuGloyC8C3ffxuIBGhd4xevdNCG2H6TqXJ8mO4fUagUDpY++2Rjl5nP+ySNR/depilJBXJzyuVFS
Haq9eerAWn2q3EJ5QP9UvO9hJvn3l21lKNoVkPekrRMyzYtl01NgcVEamKcJLNAhZWTI/V1/dGez
f/fyoeg0gESkmAMfcXEqynxyS4QRzdOshdbRqcUMGjomu9Ajb+N+udkMHiICPKtSsFwjYVgsYKKj
cB3EkX2SGlHH2a3wbMxAlt+f0PJqATlAyY2zx1YgPHEXV0vQ9nELB673nUDTfxeVNkfEzGb8Ows8
rrW5dar3XjuAf7w/rtxkf291qMWABBH3IXSmAbEsKCKJp9ZoPQTnMMTaFhxV1nwBpyvSEwpf8ecO
0OLXmFiLjhqNtq33YXm5cbsRilFCR8QA4Ju62DHIw6G0b7aZDwajDhFELTUI8PhtYCXfpOo7iDSh
9sKVpstCzQWxSSQhqPCYi+/p5tC9ukKxz0Ndxj63bvilQtoZ6IVjPM7uXB7DuHwZJZTbBKIhjwb/
4WLR0Xq+PuuYmMw5xcHSzwtYQRHZ3FNNnrmhr788gH9GoeOCbjh8eSZ5PQooznDiAJZ+jX3CIyAD
ei4ZSPK0HZUXngqG0snfCbBRv6CyuVjFcLC0aXSZkA3O/SCwikdGZB6O93fnyoR0tLW4imVzgiLb
9YQSFA4dahOVLwq9JEhqZwAFoWdGaEnW3EMvM2SRRVr55Jk4b5hSoEReBX89fUA/A8RfsS4UqomK
oGVEj7jtxGTBInu+P7PlrSKHIk6H1UUxmqL3YmaQYIDgWPbkY5DUPFtB1pxV4DobofTaKHRCqczB
i6F9uoi/FOqVoZO3k4/EuHLqRNz4Sl389+KpWCp9Iw0RPtnvlof8r1VrOzabpyTCB40zH1FvpFOQ
xFH/+/4wN3cFq4WkoYVOlKaT2y1WrHTHsTa1DNg4e/I1HJPglY5k91M1UafApHj6cX+8RXgsNwMy
AhYRAO+0S9Z4PS3Nyirgf+Xo2+Cq3wJ2VI6agTlpkiPgXXsiPXQVEGw3CexLZ8Tlxqe73fqUgWlX
UG2mAUNn/Xr4lPsSbdNBIEUcK0folUoMygGZ6qwGAXx/qivbxJGCfBTwPIxPbnrrk5pn8PyEH6LH
ABw78/S9B/R7y1hvbU5SjweBSpXdv6xsB7Sak8TwJn+czAJZU8VpfbdogXGXDFZe7s9qaS+Ou4wp
a/WI+vOq0o5e7Jg27rvYMTIF1Kkw3FOU2bX7RlXC8hNWI8rzPBd5+xVpXfeDCFz3XdGUhnsEL0fN
FKVLL9m4nRdiOjwCYAqkVyKOT/QiaQpdf9JwtBMzEarqh6zDAEVqHLyz4qBkf9LnSOp/dxNIjlgn
6D1wvasanVF7oBaX6JVzToOxK0501vE7y5U5yfB27JRPWhhPb3QM15LD/fW7OQASAsEDDWyAV/pm
+UZg3DBw58lHwcD5WQSYEO4jHZZ41OjWo9Cxk/Nyt33qHeEcdXUSG7fxMiSSy4V5i1Rw4uthgHe9
XE7XVxYM68mfDJDfeuHB4xMDxlFwkL/A64hfFcx9Y9PcbFEGpXJjAFxQgXrSy7m6zOZ+xk2gUCY/
jpPhW+oNGVzWtC0pBwJc2gK1rI5GuRtNQ6A+OOZdj1aJdGwGeF9+McQDvlyAsOAv1ygsRLq6sf3W
ltOlqUukxdGjI349Fsc+ED2ys37WKTDPSbm4pqe4970Sj7MSPfXj6DihuRFu/QltriJMuaK8Drzf
ePZpS/HISDMiwGXj5KPJ2+zqOcr6s44U/RsjdgVcKSjU2TScqspJP6uhqF6bo43WkIEwjDQ3yMYh
ftJIW2gRZGG3hUm4eVX4dYSBKBRaKoWz5aoosaNkSLqqqJ/j90ybY/qQ9aEiIKZ3zSMmGluZy9pn
ANHtWEhN8SmcRcgbOAlWDyJXfSuzM8h0hfdUw8H5WJl1eOwbwzyXwlY2YEarg3IRUtykG028sfj2
KCkoVqTPfp2JzAZwacKyHvT6vR430bvIUCULoCoRV7h/hazsb4oXaJPIGJ8i7aLyNdY6SVUXq34s
PGi4mCS3yjELBvenzcf9fH+wlUkaxKSmJa2oiRQWD7YyegGYT2dCN1dV2EVdhpBEbPfPgAOLI7+j
h9nbty8N5OQ7RsSIcYyFRfNSP8kejBJ3C3v2Veqi1a5BPrHe0x5zwuP96d080n8G4jaWC4nQz+Ib
ulFkGBkVZR+wcX8goUr9bFRfpm/1543ijuAmkrkoEfAimINd44xaV2rAHJtyOFjw6tSD5iAGsrE1
llVe+RqCNKKcBhsdjZzlySvszFOCVNH8ulHV8Tg3U18fKs8EOWiEcvk06sAfWiy13YOYO3rKVaO3
4V6JcN3cd5jfOEiPWWns4xsH3/Tlq02E7jhczRTE7MU6BF5QVDEkbh/4UOUd0Ea32pNtRvNWeWHt
iPw90OKzkqsiFGEwkAVfKNzNRa0gSjDWGT7fNfYT96d1k+5zxZk81zbPuQSYLg5kXXd9KdKC20dR
HFw1DOWznXT6pR3H/H1utc7ruEHO3ssNI94YeiWcQDQNSoUOBAc358VE0adKJzT8uWnRlfxguTPK
J03tje94F+DWZZ2nvqL1PD2A36n205BVW05LKyeI9I65g4MkT1kmKo5e9rVnt6qPZEiGtY7atgJv
hLbyXiQ9+ecQsbPJPyX6UUrmXl+3xZTNaYEktK+GFuaFGdZD7dTlG+W2laeLDIUIibdVlV2f61Fa
oxedhyyTH1gSZ+DlYsSsDEeRH1xE2Jm3c2B+ub99VjYrwrqwwTgZJg20xZB6WkYVFAIHgKVwDk3o
tEdjmtQHUsBgI/9ZmZ0nNZ+l7CQ5+fKdJDJytazTTMrQXfcthw38xvACZTjQ1K3Q2CgdCPj3Z7fs
B8krCVAQG9SmXgoCaLFFrbKBu6yFpp/rc+2c2mnW6fdCxn7TaFH9OIuiehdCX/1tdnTiAVbE2tty
yOxyI/JG9IZvtwiayKYpNxInAIpbJrsU4a1cnRPbH7reS/bpSDRy6rSufquooWk/a2pjFGcXmk5y
jntPmn+NuvWjCwH2nfS0Q9dgGooBm4bYTT/BgKvRdOAFKS+wGfCe6LImco9DYnSfCkTjcCuIUaE8
hIOZYBIDGuZ9qWvZZ02J82c1Gtv6izGnjeF7qTa+zm1H4IfRAqI6gDbK7TMEvwB+UZYYBipEiike
o7Tu3P1sNqbYo+ziJHvLzbWfTTN0vwlA6/IVaHH8LDKhp59qJYIz4uWd4xzjrC3fWf1gog2BEAP+
O23rDMdS78wfg+eKaR+rQYcET6GxJGJSvC/SKnncW+aYwq6zBsU9jZwMsVeGZGykzFXwmv7QUL5L
DBfbOccYPExvqcFZJ0A1IJRNkkBtl9euZCkU5vhN6yKle53EffM0CAuynx1ZzbekIkBH/1hTvrcI
SLkXpJ3EBHXImj51Q9V/gDQFa8qAn//BiBPl1wSa4AdES7M+440i3tpeVkGvGJMKv9lA96ZDkJLZ
EYaPlvE2g+UUHgbMit42sarg6zR33psO6pkGST4MfgDSGZ3dALTqGU+EwfGZ0/Cx7HsreI2+Fq+H
ZSdqjUhHkz/3hVZhVEY9S/LWhNIchVXk34RKS+JsoMz1cRQYdB2DWvQ/TQinod/zd6TAIVr4alag
Wj/cUBPMp66K4jHKO7VAtmoELALamZaIbfZ6vAt6ftCpzUN4qzG6INlbdRZlv8uLWtOpJ4+IAbkZ
Rj4XJU8mRIt0VehgTAZMyMI80v20AaF2HnWvBIKl561xCGsBK0gSgn6UVmh5OzRHhLPHNW7IH1yk
h76jeTL+IIScL5OTugkqWDoAKEuvG+PUwAf7L8RO7T8TLpZ2wsglU/cQVJXiWE4usqGhakNBabPm
bUUYQRTRq/wM9ll4dNVOqDsLIhZSPypclIPIkNk5hjySv/9nSEcxtqDpeT5b+VdPVD+hwMbVlizs
yjv9B6cqWRVUMEz553/V1BKj8molaE3fFID7do2a1ekxHcfoCxAmAXzFagq/wRqLmHbogq3Uf+36
QW5fKiRC7CAYvB4+N5SggLek+x3X5HNDx+KQZ1m0cc3J63R5yXHHMT/SQ9o4i0mOU98ZpZHrvo5u
Ej5mxAfSZwfX8Bk0XQp9uzcy57/Imdry9/2rfu114XkGBWzQyOUVvZ6g2ZehDBV0f8oSQEJFbE3n
1lDnd1blOmcpCHJ/vNupgtCikyg18ilPLl+WoAqwUER9AjmXvEMFZVDA9KHhUPWPSjpb9k5prXk8
RTj1bNUYbreSA2mGkakh0i9bvtk0nbS4VmDuV1OYeMeyc4z/MHdSk32tQjZHxNcp+mOPOCcu7VHk
beWeK2U4Cre06mTSQm62TFy6KbLNyU7yC7ZZUegPEMvqfREXZY24DHH2sSOlQ+lLiWGj0AeolNNg
NkbO/a92H/FALbYYS7dhDK08alqgBQiB2QbXXz9VYjjtmAld6qalD+21jfc4tZr1MDSx+/3+l7/d
aYzFWUaNVkKOb6xFQ5z6SlXKGrhQNiMDOS1X0/unyBTYvbtDtL8/3u1OI2cBMsCSU7mGInA9t2GI
TReGpOtjpp2eQQS5O9ua8ycjmbRz3KbaboL+vnGSVxZUFggd9EFRUrxJvXFPBJthGZ7PzZ0985Dj
BjfZ8zHsVXVjfrdXkwRtE37SNlFvGydQyW2ns1rPL61KPylw6h+6ZNrqmq98NfDenBrKtXSyl/GX
FswkC1UPKEdNFJ6QQHnfRmI4xkIVnFIt2qgi6PrNXUgkTz+N3iBHhWr89WdLIA+LkayN2rCOIIsR
uVx/1DOM+nEUtfG2BBFuX4B4t/leYPGCpAOSna9b0ThvkPUpQRKLkdZiggrBhwAJw/CgtUaePSHO
Bu83MOIZcajK6t4majcEIKUnE0LxhLd4SCh0ur8JV/YDQACyPVp3yPwvu9nxpBNaWl3gj6ouPRG1
oI6OktLi7KYQEsvLtx80SSAOKFTg7LDMhBRkwSp4jYFf1T1iVW5R5MqRqnHzwczyUtlIZFd2IIAj
LiL0sqFnLdsKNQZCihNpgd/lLeFlONhfeztvNrBG66OYPBUa1VPequsN4aHxCnJqgstmKxHBSGok
/Ud1hDC6MdDK++AiiUx3lXdCXojXA6WOOdS2WQWA9WPESwiXdaI/dCOats+tXQMT/YhzBObQ04xT
3cs3iiwHkL6y7eHwXQ+O/7ShDK0e+Cqukx/I/Dv9S5oY8LCVxqw+vHwwSoMkeeSwAMYWxY+wdUPh
jYPiK02n7IY68RIo5LV6GTQcDu6PtXKBsPGp79LnJcq4gd2MM/5/2qT4IcKiWCR1HdpuujiBGf9v
4nhs3Iortz7NCklQkfHUTTvZUrtu9HJN8WmNR691HFAP9mxnr9o0K7DWGJRLo+X2xs6RH+c6fgOn
Qkmf551yjrp82roBeUzebsXXK5SedoC3o2Cf1lqLIoLdjuDwwGl7OyMuxHdFD5C/aNvJfHFp26HQ
AvqPWVNbWpYRUd+yc8vuFZ/CZa75EVbX2n4ILSFAxg8TujYeAqB7N5ia9/c/8doJhadt/l81CezM
9d7lKEZD3+aKn9Wz/ZjjWLgPSWc35rc2imS10v8iXKVkej0KbBncJN2SL4sxsLNDxksxsJb2sIC9
P521HYvINwEarW8aFIvp2FAEUiuImI5DNSnxOmST4+GnGVJzbZBO+YeTz7GwZFRE73k5XOfFSVYZ
rgciBg4I0hMt7afO3k0JLtr3Z7ZyOOihy94rsDS2yqLz5VrgUPU+C/wejR1vL+2q30JiMEEy5n0O
ItWsmB62e97LLwHuUyw0iH2xcbi5BEq2fjczxz7oOp+ybIb79mx/zAbqMxRbX+ivR/1KriXvLVbM
OnzhxV6xYJxkMpn0Mw3BYD3QsL1GLpjiY7vlfbOyLWmycI2qIOwpci4ublr5haFltedXiRU/I1QS
PfT2kJzvf7mVOEKGYEwM6CJ7fzEhhHs1URLJ+2GajY9um3SYR2jhLy+0tljd2koE9seiDAsMD/T+
8sHVs6rRRJZ4foJ49sWkvnIaJz2Rybcd4rqOEnbWBQV8lB6UXousRWV77ufGmMNzgIXzRv1z5Vn2
yBW50P5w2pdpW0ZhI29G+f63VUqjELFh/DehFofU0fYxtpDHuLGJ+HjQ6sPLlx2dSg6lPC83reIY
+JjT54xNr6VJXgl7BA7lFiaoXFsZEc79h+HIUbl2uMBvknHU4aq+MCyiRQVrqsgeUQ5gS4g3oppw
vrk/2Mo1h28LUT3/NDkoi3BH4L4sEET3CHeAUmvjqKD1jNxHAPgCR1PV2xhvpahMZEpnEJAyJH4q
jNcXOA6+IiuszvNhD3bzLu90I9/3GJbOxwmpJOVkl8gQP1Lmb9NzHrZDiXi6gYagl49TtnGg/iTb
izebn0ItArM9EsXlFZGgb2Qmrhn4bSJyc+9RhKkfmjIvo9dN2VBujbLEDY7BrAzjQcEI9HHIk/GX
Pdn9l6hy0amv+wwRFiyxE413AfP4s9r1zsNEWV3seuTOguPLv5iMLv6U5mVn8noBiyAORxVZNd9L
muYXOrHxVzVNy6/g5bLpUCSDpW/s/9uzRypGp1wmFaS0y6vA4ZxjIZC7gAJmUZ/NdtC+BlZQqwfQ
FVl3bKu4SQ+Acsz3c9t6Wwowt3crBHxaZDwdqsxzF+9Vj+KaNwepS1xlNN4e7bfEOaUjAL+N92l9
IBOwIzAbLpvFQBHI374LXcevw9A9K8gYXfrOHDdOwO0lznR4JQCsUWxhz11/vxbBLjstW0ZJo+yk
zYN5yJsiOoFL3BIuWJ2Q1MzxJBwR4OP1UNFU9hE4ZcfPAkA0HvwAv9Kxf7u/IVcnRBhB4ZCqDlHZ
9SiAbNW5nWwHq9emOLSehnP3oBoXR8Ff4h+GIpWmGInt5g0AVgouxGMlKPVzVezdQpWM32jcz1Op
/cus/hi9mC7P33LTFzkBNjIajj9H42cNsBBAbNGe3bQSG0/b7RUsEVZ48hIz041dhuyxBcpwtkcH
YFfZXWKtwIA8T8V+9JDWTMFJv/gCoYdGcgQA1gBOtqytBJGhozHMeSpKW30o1SDd1dncHgsDxxbN
FltX/sr82O2oAbgu1jnAR6/3RyElO/Wk4/pwEvVNT6v7LXlb3b6CHG79UIMy0TcysZUdCQcC8CaA
PUmIWhyxUEAd75XK9SOlRwoP/8cdHXznMFVTtXE3rg3FhyM4INTUbuBcTld24McM14cz7z5EVgeL
uuetKFDt3Bhq5TRTNeQgyxBIhoDX65h6tWF3PDq+MVCl7Zo2PYwN8gT3j9ja1/prlD/v91+tFiwb
wfFOresDEgN86ekTPb9p+IATUOePuW3/w25k01MRd7jaCXquZyUI3ya6uXyrUsrUFaX3drLHaYf0
N3ppZoKQ6v0Jrn4xCqboIxH13JQWFRdB0FApXd8ZgvDotF5/sgHk0eXCWO7+UPKLXEcXUraMeh9v
NVVgb3H/9lbSEhAUrGWj6vuuojGVmuzINEfuAVlr1a/wotihYKSh0d/oP+8PvxLDMz7wBKoggOvo
t1yvbVfOaWSgFekLJzErH93l9JdXz4htp7HrZPtct9vyzVSjanx2G92pCYCM9n1u6+1DRYmMbjN6
svnGqqyEE9wFIDzhuYCpWsZcRTMlfTMaDnUna6oQzi21J+xCnO99X7diT9sZlTvXGPrfWm3RAr6/
KObKN6HLBdGFEhtMwsV+yyU0uvYIeO1GwcMqsxGTMDXlcn+UtU3G5sIjDh4P+JBlKBE65hgrtB2Q
lZyem75IjskwuQd3rH7cH2kloJbkbF6qP4wl8oXFR+ZIzRR4XB/Iw/BaFIA19hp9Dns/ohX71Sza
pEQ3IhQXVSXZ9jQhBQdfKHsnQT78DJ5K2dMjobiJ0owYhcBy8nz0XdPnPq0QyJ2KF0Pz5Sg8JnSr
0G0jI7yebGObKSLZmucHRRIjW0F1BBT2hODAxi0hV21xdCUwHYoFXQZZbroeKMpDiasIAx+SQRkc
slYxUFrImvRThhhp/CAwNXgyNOR7N/bnyv2L2A3ASRse523nY2rovBdlxv7MUu1Vx2o/jIjuPplh
0+2LybXP/7B/JN4QaB+rSt/5eqYOQjCZlmpUSUxj+Jq6QfVktxFy7Aa9g0gE49GKiVGhu3rnNk3y
k9C6rQ7k2qRpH7B/kAdAxmWx2qPZIcEa08XqGyv9OiZl651tJ5deGQVGtUf+xZwe70985YgSgiOX
QMOdd3X58FD2EOiz8NC5ndPvmzmKd0bpVaekmcp/GIqxKN3Ia5go+XqJDWvqi96KeOMAMnzMYs/8
1XI5WzsU1tEQuj+vlesVrOr/DyYvwL8ecFVFRxXZD8e3ER03kalt0q/9nLWXEfgYWu9zqL0B7OE6
O6R1s9G/P/rK9aqTbsjGPtKQmBZfj67TezS9SXF9HD/L59hMxSuYAvpGyLz27cih5EWjy6KM/PO/
55gST1T9xPU6Wc3RNOJwP062eYxwJthYzrUJUSmlhQxQ9JY1g2zqPCNi7foBupGXNJjjg1sgcvvy
ZQOCKbNr2ci9AQV0CRy7IrX9KMuj85zm5WGO6y2/zxXKDWaftAUJi3F5pHx+vW4UsMdqtnPbL5HY
gWunte8mDMrQWsYWRDVTe18FU3Su9DE+tFWgYjyhOq8Aj9G0NHvloCpC2zlO3TznmOnsAvT6N77s
2r1LnZC+Lzk42iOLX4jGLJ82gvbqJTrKx2WeIUVxVItIPY5Srvf+sq8+nn8PtzgscCnzWA1D26+G
QfsedKbxk6M65Ke+bBDVyRsz9ZMqKj9AFDCrB8Azg3n0AuweNtoNazsadhGXmWwSExVdf5nSROu/
sgcsvUXSfUEiPd6D3wpf48YdbdxGazvaJSilTSXZHsvbiC+PjL47OdA6EfsCVTIfwgjM4/2lXbvS
KfR7FKoowN+E2cCoRYzfJXcessWXqHX1gwFYizJHWbypzSHaWMCVjWOwARy0Ghwq8MsCMaS3qqu8
wCasn/vHYECOAT8W5ZkVwDfBsgrwq+0/XOy0vg1Ca0o61MgWLVQ99YLQVRjU6LJghyOMfhBCsXy9
t+INEPXKesJBADgjeycc3uVOxb4TOY2Ir4Zq/B5JP+TZqzI8Y8OY7iHxdYf7329lQ16Nt7hiM7Wf
kyFJkHmysQBtYl1/dkpE6byxTjbejNWh6GYY1I5Yy+Xer0Yn68Hb2n5eYSYZAnl9LWpFfCztLfve
tUXksZfsXFDiROfXpwyNw7YG2BVeRBkPuyAW9bFp3e5xFm6yT4BfbwRX8tQuokhkEyXrEvkHSSe9
Hm+IcwXNri68GI3jZJcuGIqPSaFp5T4tDfHNtUcvO1IRcsMdbX79sUuH5HL/O66cdkoboDOkWzF3
y+JB7qJR5f11w0tfYf9mSacl3qB647SvBB1cXbCREQiRWJDFbrH0LM7q2ggJMrrqFTohwxNmf86T
09j2qxAtdu/ACnUhKsRe+O7+DJeCQjL1kM0S4nUiAkpy8qv/FQ105PO5MhbRJUI9vSYSAHdNNyh3
zVd9K4AYa3VJfXCsyCZRi2mj4MHKBjqd+LFg7qcHvXluRtucT1LvAQsiN3HQj1RcN8XIp2pQYtAk
UtkRZr1FIVhbOAtODWsn/7vsZ/egyI3K8gBGUMaN0D9SnFPQR9GbLJ67B08FrOSmrXp0ptw93l+3
tWPHI0CnSQK7brqJgVMGmduNiq/mqjigzKqfg9waMb8YxcYmXDsHgISkEgNR1G2OwaFT82KOL5iK
pN65BvEx70E6Z903OzD0b+5gaF9HxQSBEkem+yrVyIA2+LNr00WFTJf5HM2eZafLwD6swZQwurja
GB89vMGP+BH+aKdo3rg6V54iUAOkMrpsciMzc70fE6QLVXOKAdZ46DTiVRhCk4p7PO+wjQQcuRts
vOOOSJX2ycY5XLngqPeQQFHdkBCwxdC6oC5qDK3iG9Sv8X4Y3AS5xaEk5y/5s3etGfX1xsu0srAm
l6qEtEp2xrLWMWLkUXlJqvhgpD9mdVd8VLP8Y44z0cYXXFtXVpMAECwRUgCLqyxzrB7j7TLwMWQd
I5QvMfaa4XI+1MIZpGmii9vi6JT5Vk6+NkPYjKQBfE46D4tnY1K1Dql9QfMZK3D3gM1Dgd0D1gPG
zhmbeSMEXrkSwAry9QwpDX6jsONgCMtTQru5GSs9PHudAx0VCxe388vEakqUvVz7V+Rk4ftCCdtp
YwutDk9FG+sCegM3xfMUUUiOqxsA0NCVj5qXw+cJnRY/nJYwY3zVw+QtfayyyuZSz2JQPt2/llbu
CqmAIwWHDXKUJTwFmaNSm5okuuDS6Aw/4VN00UPJ/hsOsy4gPlR4WuG76aTocWGjjgaqhoHvPxT2
JdwfDImt0qhbHmKAcPWUVsCZlLENHzO3l0bwPVQhHOo3DtAKJ9zFwoH7n4CZnb1MZ8vCzdJZcRS/
qW0lfPIqI1RPyJdgnowJl3kpnbKCgIihE9oIka3m7WcvDxMsGfUwc041Nn7J2YEv+WCNitI/CkWZ
nsee/s7G1lw7CHwZrjYe3NssxcpFheNbqICmFj2WqFUaflOGoTFRFMWTeiM7W7vM2IS0nrlM+RiL
Y5enARpaKQDFCHMrX7HqEocZN5qNS2hU4feY8zOd7m++lWiJFxGwuE7uSU1occUQ46B3IA0xzUnL
T23llKdZ2Prx/ih/FOMXcSGBio07O4AvWQa/fiFSF2/e0rWIWJouyn/WYarFj62lYcze6HOKY6Wh
h97D1Hm4afaqIxWle2HBbgG8lVxC3ciSz7VpRgle4Aay+kEx9M+RiLFC6IyhsvbTnCC/WsD3nh70
BKXgdzHZuv1LIQrrdiKv8H6aoUBs6bSs0BtgeHJoQOnSDb45vgJ3wBSAa3xRvMzwLpo9OyNlBKAu
u3rCn/WpT9Sq2esBiir7fm5Z4dwyWx0dbiV7rlCEfjlAmVyXtJAxePwAe1wvtq0prYqFaHzRnKC6
4BhZ7aMMON/9b7pyNIhrwCeDWaeXtSxc1LXuDo3txpfcsZIHLKTqN2mHQ7UTF9rX+0OtbVICNzrg
1C35z+JczHnSxA2uqhc9DEcEhpEn1qAfbpy+lddW/t0cc+gyRIiLPZqpdapStYwvXQ+uW3GaGrfy
BjBBWcEXq0y9ewq1qDr/y9xYRHS0yD+XuWA2D0ZRdxxAHR95TGUnU0kOZe1mG2u48sqB7ZTcAlQn
oDTIP/8rZwiE25Z2mCWXNIxIiZgjRcrY0Q0UnNMiGM9e4MbVM1X/4SOqK8nLAdHkO0xQWi8gO7W8
aMJ6rkYzRa/FnBrSMk8393VeV89FowZ+gW+2f39dV+5SporWECQRiiPLxgmaD2FFJTW65DjdnGZg
wVjsYWkRT9H0WR2R4H7xeNKlhVImziZohy12D6guBxICBpR52lZHPOwxp0ri4oxy0+irdfEPLxO6
wtB5XfClt209B3/3jNZFeJmGBjxIl1Un/Fn1E/TRLXLKyklnKF5AE4AB2nXL4xePiYiQd7+0Nsr0
2N7rj7VaaZcKPbHL/VVcHYpyLVuVcuhNJoGaqpaVOtnhIGCbzkmbPQZ16D7g5yM2KDcrxx3NTWqC
UneQpuzi5ZtLLRdDn0aXGQ3g4hFTZ6PZVSSExqGqZxjGU5QkOE3l3Rx9vj/LFRQeXTZwZTRliflu
NicO3LVu0Z2+lDNaT2dAJBA5R9crf0qn8cd0JPA89XMdGAea5hNCwGDf7JNjx1G2t5O+n/aKUZmf
h1ZysOu+d171Nv/iaFtJ/ByqlhltBKlrHwaIPS4XHCoJT7u+PlK4SaBaBs8XtRXucZPwfKpA2QOZ
z5a04FqNmgIHOlmyhX/LHsJeAVtmffYkjFl/jpvaJBDGAnrQwxI72ig6irwdj5jNxYe6idR93cVb
4sgr1yXqJ3TNCf14EZbXVdu6oknURvZdq+F3WY7DAxoZ5iFAzBQzjli8c638V5DUw8beWHnryPao
T4AZJeVbtpXnyCrRyqXhmw5Bh7G9Yb9xRrGlOrKGlCBiwV/RRO78ljI1TlVvjNgAgcEy0b2vWsUM
DlPc9dFJej98BQaTfO5yZfhsdQP/B6yjC3LNqCzLkzJHqX12utnbMlFaubQp2kFB19DTYf1lqvTX
I5VpWRvRuQcr2zTpU+yE82/bC2ckkXCWrKag+nL/IK58ZWBoLDRfGD3nG7ygcEKkX+h1iYa+i2f/
drT4ddTYT3Vof24043tZAFe5P+bKvSOJpw7vMJjgm2y3FZACmnQEgBwa5Ves5PExdRESxImTMu1c
/VRT29y461ZOL0eXxIKDKyl5i3W1jTzqCH0hW3jJVypN3b5FeApBnbnZKAXJv2kR6BMKSjA3zW1a
BYtn0G4sG6Fok8Z2jPnrXul0ZJdaO8Fdqa45bbvS7qzhUEZajTfm3AZ7D8/wl8PhiMNZXT4p7bPl
ZVU2mTLENQUFrcJebOekqv3cOlYAMcju6vLlgTDNZzIbxoTrtQyErXYE0mpSLBFxn4FEKcNPjRUl
+9gYtoyy1r7j30PJy+Ov8zHEyhCO+RD4cZsU57pXvhpVIk6TloqNvHDtJFLQgSyH+BEcx8XrmKMN
oSdBD2cmH5VLpUfqq7nhcnCnEovNsTXP90/F6syIudmbEua6DNcqw6CYltWBb6gpIngIPKv9UW+7
/BcmQ/oWQnPtDJIbkbHRGLntncWFWqttZ8P1sK023HVjnCfPeMpY6UGfpj8uKboW7RCfiLda0msT
JQwHnMwlL9uR15/QM0Yb82SF449RzVH6SDwXZa7ujdKsjy9fUyp4tJUdQF43mCxljO3JjeA91WU4
n3r6rPvWDFVf692tCvDarMAHUyEBFwpaaXHsu2hQKwDqjp+WInuTq1rI2Zuc/TBX9RaDY+2KIXCi
LSjbrTeRtnC8Ip2xYfYrs3fe1CgmXDBwUd8CzUc0QOtE+0Sa1V4gloqvgtbMVn699mqApbSk8LEM
4haxUIg71Cxyi8QwCgL1otdB0Z9myia/1CwMftdoWreHUGTGZ6KFbAvPt7bU3h/dCgr7/ILlBqKH
R9vBc3wnn/LX2DqNp8ptcQUAQ/755RuI8iMwHjiOIHDlT/nrunHKOootGr5+2Q/BqcGO51APcfqg
4gq/sVfX7hta55inWfzzpvRl6BO5lcJQrefOryrbQCkGkNs+qpNxN6TN1oZd2UQsngTTgAO7bY6E
VlL08ey6vkT/tmC/rPljjdV7QyWqDL9OVsrr1RRoKpFElA+T3sa/7i/uSqAHKIEnmVtWMp8WR2YK
u2Y2SoBDemU5+6btssOAfv7GuspPtHiP6RXSpwRhAd1p2W4zXGQQ9Qi4dj+6zkngNg2LQB/PSZNu
OR3+CU1vxqKaSL+JjPs2msrdvrR6z/OHXk0H3xJxik9ZR2/jP0TDhPdZq7IAL4i+z5pfodJZr+bR
jJ+1KjD+l7PzWJJbR9bwEzGC3mxZLMN26pZpmQ1D0pHoHejx9Pej7kbFqugKTczELM6JaRRAAJnI
/E3zKk3EePbm2DjT04Re0XyY+nYpXpVpdESY94ujIehUx+VjqSXlh7qh7+JDCJJP9tgNym6ZcE97
GBtN/UADuBd7Benw4SiXaPnPyxp0NtKo042DPi1tMIAJrXbT0idpWBdYCKxlZw0pJyjGyd0yRb7w
Cu+L5kzL/IIwn4fdnpGa2qlKu+KDJjs8KzpI42Ogd179uzOHApBz0zWYg5eVjsadnfbflbrVI1TS
BraS23bJezt3l9lv7NyswqIf25E+Aw7iYP483DLUIesBIGGvOe21srGk7zau+ZR5S5Z/RiPPUG/s
jStnDm4fj21OARtwe7wXMcpsWM8cVS1lN01ZEypGhhBWZclw1Cv73xMlxluBTogaXaqEYPAUR9YE
PRW3T+elxt/jrm8AXo2qd+NsXdv13IFQqMDpom6w/vu/Lq5+ROEFpdk4TCwzrw/OUMXxTstjtzvo
WHndQiBeSSeIfKt9A7Qtmq3bo9wCduDtrJwGgEEHwmP80Vrmzs+Qbw4yE/9eKsfTjXfE1TnyV1cx
Weq925Pd2gJHGBX2fTVOXcjHi57Q0LLfQXTu929fVdcuS/jnCOSiCUWjbhPwOmc2l6kT9CUArIx0
hPSYooUlUhvVHpG5gVHgr7tLC9W8g26FGFuWOEZ7evtXXJswuKO15Qrl+CLuQ00vIUpQLWySKf4E
WhbzZSnc11LBj/3tof4E0e1Vxi6ldg5iFmzyZsZlKhyjR137JDJdWz4MXlV/ox/qNH5TpGZyKAo5
LYdBj6riXqZK9hD3NND8bMjtLzl6/E9l0Xh9aBSWUgWIpmFqqFogmqAgKWb2ksY21tH4dTmprySD
wHayyt3d1PUq6mN9rpS7it7Id7Ab2SupaqUcIGNrd/gcFXj1IXByL+Io/R/YZqvYvLdaVQDL3O7j
mZqcghu1gupN+SnPDe/YLDYSzOps3PiWV4LfqsHBOEhtE4LXE3V2QDPdQ7CBE5NjnRc1GHKKuklv
fMZrlSRKzbQaacxwG2yfZnXTmJ4oTT5jas4PbW0gi2GtWt6exhJnlWn+aODi72c7/4JPYopgkfbr
7a105ZLlJ1BFArR7RS1GGyhkVp7CMUUN4KSYeTH5ddrIPUAh7aDlVXwDNHDlmHDtUeAn2Jsr+vp8
aTtMCqeiQ3kkB97uV9FY7ExPSY+DQux9e25XvyI5MNfenzrZ5pS0cjYyazCUk4Xhzwl1r+U0ecK6
AXS8NgoP6xXQtaqqbotCadXiEjNFyqmLzQWbFoDxeg+G9+25XN0rK0gOIVVK6iQw5+tWu0rqzgsF
fDUSTuhBiT1Vs2G+G20q35Y3y9/0rFXbN0fPfjBKSyYBCDD75e2fcSWUIKjiIobHjU4NYxNKZm8q
cRdKKevnc3JaYJnuxkFke1JTlJ+9eTjSNrwl93dt0BWrBPwAbDlsjPOpt3SmSjOe6HInMdrrqhLd
GVpXPRaoeGKeULXv9aHtD2/P9EpQQTWGDcpFsJp6bK4A0bWpPc8Im8RJ2rxqiJPu474FpCiNNJgV
Ud7PENV3yUzk1Kr/hYGx4k0wxeKBc1m1UdGoamKr5VzS5Hys+qYKNK/5FblUGlfS7T8fFeoagDvA
ocPEu2h/ZVqvNbreRadEOvpHx1iSle663Dj7Fy/TlQWxCrisQGf+ux6lv67VRW/7tqercfKazn0R
o2jeDZ7eBUMxOE9taTiQ8BpAieCX/vmhwdCQSlYtR8rJ5PTnQ2OXFmX4OQyneUwG1Zd20n7rIikX
36ms6BZF/vK0rtLhPL5pSdGupS1xPly8uKaEZIsbzEgejShBrRQocWYyfjc6c2sHWkMhdCerBsvW
loeH7hf6VJFTW1aW3cCzXFl2HsgePUtOzyrUc/5jsqy31TirRuZeIS2bA9wv9zGr8TlrB/eLq7aD
eYg7w8H7ObF4TLx9kq4MT0V5DTCkR0TTzTU84Ag8TnT4T6Qtxq7uKSz5vbQ7v8rT8aGrQHU2ReHc
6UP5+d9Hhui8viyJ5RfNCg/HJIosYiIARAKNkqa4VyuznX2zrKajJmP3Xoh2CIBWR+HbQ/9xSzlL
0dB7AttIwk2LiHRlswNQKMMDxLOmUyad8S4XvZkHSxXpgT4m8jhrnfLQZIPx1VuGka5R2h0y1Yj8
1u7k2sMUPmp4yc8hqm6p/lzcpqsQFQGf/wE5ZBtrRvDXIawNiNFJpo+nYVLsV7dCAqtqpHOEgyA/
Ci8xPg1mMX16ezku0gyKbxbFDBjnPHwIyOeDNoBrYqvTh1NT4Lu9R96yOHVOkr6bvFoRB8iK5i3L
uou4vNb7TATO6NisfP7trkfPXc/iZjx5Fe9eS0+XvUoZfP/2xK6OAnYIMQyCxQVUrO+EWUVRN56E
GKwf6P037ygvGP/DKLzRiELgBdYeyfnytWbhYrtO0UJMroVY81xjyePd6hRcmwsNe0cFJYt8xBb2
1i2W2SzjNJ7MXll2jVgSnNOSmxov61W7ORn0s7GuAtClkctvMpmmpVJhozVwMifHPQ56HYugimzt
OYtbKw0awPGeTwHEepJpXT/j81m7AepX2CosTeHeCn0XWxP2BjgSVMxJaOgorNfX3+fBgcPvaK1c
xQly3Tcqqi4IkKt14tterSs0vuflv3/cNeuYlNdwjoPmedFk65s6GTsAYCeF9PR5MPvuCffy6cau
uTozyLIwYYjrBKTzmWFBaVnorUpSGGR7axP7xmxI2/e0b/WjlibeLSr/xU1PP5yjRl+NJI2saXPK
4xkNbr76cpKFme094GwPTiWyD7ORNP6sxc5R1+r2FPdp/K8dxHVkegn8hxhDLfl8qnZKMwgUiHpS
lLY5mKWRvpgLvQTbU/pbF8v6t8727zoW8Yyvt4Jit49D14Cr2TeKPAFtNvci8paHXtjJh0mY5S22
42UiwWCo3sEzIvklg9nc1jMdQmTnsMaZCqX9bEx6ck8+6qaHchKj548mGmR+31n9zyn2zCd39OZ3
WUZF8EYOcXE30KZZ1b64G6Bz0bI5X2A37psR2xN50lu9eoas0R9AgqEV/a8HQ0PWiBe+DmtVg7ly
PsxY9rWVOWxZNliU+XGL8sXO0+L51tv72nz+HmgTHXJNL5W2MORJKxXzPhNjuy/z4p9RV6zaX6P8
wZ3+dbfgL0p+mC3yBNm485NqlC+Nmf2MdDkG6M/PNzKti9C+Dod/1sr5WVml66T/Gk5IpB4TZCJO
6GHJfY1hSpia5nycMtn61aoBNJUUhf+HT/bXoJuVrKpFs6Q5ypNrzdoR5aHyLm4n/cb+uzx0GgWS
FQ5FQZhNuLlacqx1TFtyDvC4Xp4TfWn3vZPhygzV4cZQl1uDhB2JDqiYyMhciKErSpb0nTkap0rJ
k8BMQPCYQ3eL+nY5oXWU9UhTcYZjvLmx1oolmEO0+nGqbnf6Uky7yZibD+lA9f3tL3QZBwCssDFg
EAAdvXjKZqZeRHmqGqcF6rTv4uq8X2Tn7vuyTIMJNO7nt8e73IarBSaJ98qZABirn2/Dnt1dQHbH
p8QrxiNmYu23us7Q7o2bON1nBTbcPlBW9UYh5tqKrn0CFAH5etSXzoetoQg76ESYJ4CcSQBSb9wV
Gs3yWjHUG3v+2opSi1nhFCwrEKzzoSpecq2KTdmpLfI2TPoh/xS3tnyQuJf88hZKtjfuxfUQnccc
sGYkTUQDIs+F3LKFeG7aJLA/JyzRvqMN77R3kL0hJBhNWaOIjEeBdSxEiTcflf6wMvX659tf9cry
rv1csiTSCTLdTSSK9KkrmrRCgCvCTXfwHIwf80jbu272zzpp9EQ4HWxassPLxu6yJHSpYmjxsjaS
I6Q4O5Cszf7tCV35iFBjOBQAVKmlb3GjUECtcuQaJVtpHVpzFlIajTUEEEebI74aOJq+PeDmYqET
S2BDu4QcE+QPBZDzXeOAAqjoMBUhlRX3wYqQq+7N5Nb77sooUKCJLCBIABhvX/uFGLAw7YoCvk5e
PWFBKQJZu7dInpszvs5FxzqPMo4Oz/OiOeeYbZ43QD9DU6sGvxhybY+oxQ9n1GTjmwvaM34MEuLG
Cm6OwZ9RAcTwqKOGTB93k9EOfa/BshBFOFlp9RFfmu5ujDBtRXc4qz2/ztuVRjykoMaR3DGec5d+
2v/yG2BFszdXDsMWeqkY5jITVIsQ9Wb3vWWQcOFy5fhtHGU7O5XiUVG81reXrPxSmKL59PYmurbw
vHVo5/GY5r25/vu/YnxT0Poda1GHtJlRuFwm42vk2K1PftbvdEWvHiGHcev986gGlHrkA+jTo8Kz
2bpyEnPnLW0dSshmL3Gv6sfWnrvXTp3dx6zJf6VgML68PeaVjcz+giDi0OS6rN5odVX0UoxV6NWt
8a6tldZPFLU4vT3KlS0F/IAArFOrAXG/qdOg1ARArlWqUMNk+ZvbZlm+n9opb05kNqhdlXpc1bga
xZnt57WHvEnTRSJ9eftXrOv31/2+bmxwbJT2yfRpY21bW1PvegOWznW4FhO+ROb4c6kWy1fSQf/4
9kjXVvUP6JAMkYt8GyUTrZG4FZZ12EZRf/CK2DpIY86Pb49ydT7ccX9CBaXlddX/2qVJlybCFLIK
u4ynJy1I4ddG5PBSUf4R7vRn6XD2oKQA0Wd1wz4fqrOsOqtwQQsdZ9ZfJ6OAEToonN1HxIDXDFiv
RzuMsyRrAgqRVnnjaGxFXLj8KCxra5hamQ7GVqZUiH5avEiPIFP3ueXrXlGGRjRG3m8A6bX205Np
OoDg0Nyw5+KmyzaCsPOlxVrsBZH6ecoz91WXlfXbnOqpDGZnpCMrccW68Vm2m339qXTdVoQDql28
sM7XymtNMQIiisLSlm67a9wpMgMXudjJb8jjbL9PU93ZWZ6cxamx40T9pKUdsNi3d8d2D/75GfCY
uMl55Dnbx2SVqrml5ALVf0LVbtLt4tmkxXHDUXgT3/98F5gTJKAOMFGereeT7fMcv2I7VcKlSSHU
W4qXvJ9j/Gd39VIL/RD32S0LhytDYqQEEJMsiWrgtuYYF9G05F0fhUZuuyIQSmMfu3JcvL2DytQH
JBudT28v5fagsZTwYVFD+oMTB/R3PslOi4a47uIoFMPw3BrluO8NC3eyIr/l5+htqjvresKQwoOD
nAnhgO0TDFIIr4ilV8JptpVHEhe8yTKHpuMubeb5BxtOan6nZ7rum01VLmGeaemPqYUdHChVI74b
kWEQqIzW+xXZ+lL7pmJrj1Y+Wc+VYcwTmKUW1WapqXPjK6WidgcxKpUFvK1B3chBGtr6pXVqTZIb
YyfjqxCMkHi3ZvF+AN2c+voyR82xx7Xuk5WuKCjALgmd9HYxqv3aiZn9ORr6H/Y0TsZeR+HgIwkL
iZ5ovOpZyRQjBPbTS9/uET94bwOPu68ADWmBOZp2/ajPcu5foHRVug8DuZRBpBV0dkazlS+mUFsF
+JqXe74oK0WcUhRoKv5JqyWBogsTE4oqzmGQl1bxkk4KDXC9XmQRCNebrZ1qNE6PMIGuDrsK7613
rdoL3L9qx3kAoaZ+Gjpb/TBkq52mkijjI6TGBk/WkvC2k/Oc3tW4xX8wjAQFbGyMnScDraRXV+tq
gO1ydqIgrZ3WPCTcjpBOJbY+QSXxzPNLFILnwMupxe561mX0ZbzA5G6riOvUTTDFYpyoGAKjHzM6
JsqsFvjaSc+in1QX6HjoGPWAZW+qr7h5JTmUjCl7fXuzr1f531ES6B5qgysfBMoR2ch6r/wVVUbR
W2gMm1aoLkm87xU9/VIINT+oYM75GdZ8WFLjlmjotgTHvmdUwLxrf5Q+gr15VyZoMy6WJeyQph6m
vgLRES1ozZr4HLejUH0bIaVfhTBiWjc1frw0MBOxFPcuuUR3Ywkuz/v5j9ksAVGQj6M4VqjlZUzZ
vHf3td3q+1l1b1Uorqy2sXKisbfngXTx4HMwLpnFpJuhxs25S12MVAerTjA+y6V3kByUx96YrBsh
6soEDXqm1P4QJF1jzvk3LlB2SIdyNMKRa/MY2WoboJpa78YpvpFfXhlpVfji5bcGbnKv85HS3rbS
NBu1cIjbImh7K3vfq4l63yINeGOoi7iwItyxE9F5vUPEttaf8tfGLSYlbaCHeTAVlPeSZb0D4fnR
61KUVaUR3woK14ajBrimRMwQ0PL5cFpl1nSnMy/M4sjey6Q3aawr2s7LImNnltLavX0uL1aS6a3P
g5UYZTHsJtubYLlhyClhl0dO+Wl1fGx8R6m1L00lFXFjsIscZh2MkgtFkFWKYBvWzYGUHWlMN8Rb
O4Wbq0emtSsqvdy3yOcOaI+3c+yPJRAZbsmkeNcNsrpRarq2wOR7qIwhJAVBa/M9pZ6ZsZY6Tuh2
2vIYL6ZTHMdO09s9ftnVfcMV+vHtJd5qUlBrYoEdZHrRmViBnJs1Nrm9y7xuvDDJXbs7YWNUyAD9
rGgOpOo4Y1CmWOZWWmrpFGcwrAg0jNT+66pJDxHUrK37xM3jT02a4B1qNV3e+QCxACm//TsvUjt+
JmQ1JCmoxCHEvTm+iisJP4rwwtZJqo96PRe/nNG4hfi8tuHIRqih0FPGLmu9uv46T57eGt2A2lso
qnb+BjzP9p1oUXo/npJbD+5rM1pV7ACYQne5OEy14WHKAWMuxFBq3pMTD/dpk97ydLg2IxqCKwqQ
Fix/7nxGZHdlGS0uuzqb8l0+yPJY1pRSIq++pSh+7QDxzkQADXoxkXQTz+ypk26BRFrYaZWKApg1
Gl8a4vbLMJTR58JpkmQXObEgdY1mZE7srEZ59u1tcu0AAcOnz0MLDXTI9oYqJrPoswWPYiklyheZ
3Tp+0XRj5hdWpcBaqeNb877yIfGr49TyJDBXZbLzJV6KSiM11+2QJ40bYMLXnowiTsK3Z/bHFvYs
SaF/Dr6CdHfFurBxzocxheYqmRq7IUXiuEHnSQJB2ZNfZB/K3mv7fUZlyQ20ru16pEvtpNlLnH3E
Mx3jJQplatXtDm87xfomks58HqIcYy1AFWDEVU32y5OH12LyFDlJ/YV2Wa/cS6D5+W7xnPg/qH4l
ObZSyUMsE7A8qhXrRzNS4CcMuL5jRtxpRgE5vo5e+8rJ/nOHPP+gziOuNpgqo+GqQxewdpNox28q
3raqD8Rt+jn1Zi1v7IIrm36VcULvYQWG0W85Xyp1Gl0nn2ovdFwhjpoad4dqNDC07PPq8PZnuUhm
ABxQ7SDKw24jMG6GqooF3qyie+FCrr0TnGof7a0sAGgrj5aOwdasLrfAIVsQ0Hppg3JDKIBsFfjV
dsvVTZU3ltZzafeTcuBdXvEcgJf6odY07S4llYyxmh3l4zy21jvZ5eWjUubKu97OsxDLs0VSIdbt
b56A5X96e0WuHAfs6y3s2yHD8Os2+5TAZcmsoRagK3b9M1Is+bLEc/u/rDvPCdAHNA0ukufM6Jw+
bV0vVGpdhhm4kxrf0MQUD07UGkOYKV39s81y7ZYD2JVbjlRkDRA8CEACbUKE0AvRiGyMwjEZcxDV
vRfI2Yt2WP1W+ymr1bt+Lrx9T2/5fVElt0zdrg1PrYXkkg2OCctmv0HBWfI4UzySS2sIG/zkdkpW
lCfK881dMWvFg/DKYd8Nk35oCutWu/Ta8Oi+r/QAUjI6Kecna9HsrNDalAzQdcUrmAnjnWXUKkvv
aH4KeJb2c9H5PCDxNXHU8kaOdlkTY+Ovqv4gJUyXX7BJkJjv4kI+iEIz55GOKltXPWdukWlBP0j9
eZa6spL2Rfsrk1PCxsudr62V0InP+kk7riqd86nPneRbFJkkKZWZxs/z3Hq3CtvXriAq2qtVqo1M
trX5Tsi7O3MxkrpWCDl8m5FmKn03W3iHT0Y8Bf985GAtQKmjK7O+YTdHzomx8xIxzwB9auKd5fTW
bxgjw9e3R7kSW3k/raRaFFyJdZu1rxKtUBUMNcIYG5uTN5fapwRLjwMecYq669vshgjZlYuE0jn6
7GtiiibFZglzoxfNJBIvnBDqOXZal2Z7pxxEeeNluBWFWG9TUkuSf1TGYWltWbxSXywjykhcKq2P
ar/QFtulBjEY3xQX05cPXrSMPzrdLNHttK3+OyKopkI91mzLvVOlzR26W/SH3l7tKxvo7Efp5yct
jVNHnxFEChGjWw6IhEcvelrE+1aNblmlX1Yi1gVAj59IBrSR5OJ8rNaoHGgoqhvOZoQgapKqmOnk
o4/ManMquW124CTwiovMdIfQLEWqoSr+UXzx/78CjSdq7VRFCGznP6LJWpkrTUeGT7h9NG3FCiZR
R3eFLNwbwePa2q7ySPRlaOlfpPnVIMVileys2uzj310/Dvuom/tXx64/vv0Vr+xhNu7qpYbHKDf2
Zg/TemmbtJjIia3O3JdRXL+XXeLcwL9fOZmMwZMcuuuV8rB0LZo6gqxXJpV8VZM+g5AST88pSx3v
cm+wf7w9rfVnb3JRXhNca/RHdJuS9Pm36rMSeUS1csO6G/vZd6Y2/VbMTjZ/wT/Oc3yz9pLvUhTD
+7kYCFEjGnG3Dsi1XYuF8mozio8zEmmbH6FlndNhD+6EU4LGcmw10VGIxsJTBm2xzI94AuBi6YFL
piEhxL1ZGfJucZXJvBGV1oLOdjXW0hLxmLYALO7z1VhkREN1UK0QkDNPxcE16BJP+T7TkiUoEb99
WQZccq0uqm9AirYqfOuhWbH3a5uIPJAK0PnQTiMLZwIiErpO48i9iULFoTUi6rL6qBvjQx2ZjfAN
pU1PtWdEH5PeiT5mniOflg7NxRtx6Eoy7PE05/nMJUJrdbPbI55YCbYpVqiXAlhaxPfxJ3BIgZ3a
3kFrRLN3SyG/v70Zr5wxMAnodK0qa7wvNxkZFzo40La0w3Kwv7Wyre6dvLglO3/lysATFLQTjIeV
N7yZGs/KAjlOptanYrgr1blV/WoZlh9Si+x/VLD4/6+KDBPdFwhgFwaFEb3NosoW6tEZDdXK64y7
pmpl4HWT+e/Z+tp2RzKRpIp+z2ZeQi3tqLBnK6SKY++ssukPi2rd8n25uk9JWgHYERbB3my+0ayW
xhQtmUWff27zvatW5ewvZZG9j1qcyHat1LKHIa2zfIebRfI0NDpE/WqeimJXqeV0C2xx7XOC419N
XimfklOenxsPifuuWHJ2ql4n9yOFpdqfkjHOA3V0zVuqWtd2KK1kAMSgdC5Li9QqzVkiVhHSPjZ3
Pb2k3aiaxb9HtT/4jVVyjzxke/rMWXPHqmYUVJwr3F2taZeb7XIAH30Lf3pt+UBEE89o+QOM23zO
gYTHaiqGcg06MoU3zaEHODiIYqHdyIOurR1bkxuULjyKDpsbLkmFIhsIMaHqKOXdyHh70c7NjbW7
EkzgWlBitOkPUGjZJpsepRJ06NYWUFp6//XzYka7SPb9BKVrWcROq73uP3Ike+/VpSx8O6mrPIDe
TlHr7evsMpjzS4A5cn1SGbxoYqPfCCI91awQPlf9OOb52HCJ2jHGy5VTPuhLr996P1wbkqISyDje
VeTAm9Ngd4uTxqSIoV7l8Umdo0zs6HvOB3Sgy7vZGG5Vcy/3D+UB6Et8VKA/POPPjx9F9LE03NQJ
FW0Yg6wU8YF6krWvBO6Nby/n1aEoSIBZW4vH2+7yqvZWTLllh4Vilwckh4r7KVKJkl2m3niwrMt0
ngcwK3o+ZNMgVMBwns+KDIxGM65hodEIZ69G84g25fhdS2dzn2cOJdHEjXYYsNd36pLpt7yFru1h
eoqr4glBGLXhzaqqmaEks1E74Wx5AgxELD6oY6rdq2PUHbVWm47SEPXg51GlY4JVJdOTrKpbWIVr
C/6HToSaDR2M7YEdM4E3uhk7oYop4kFvs2VnGktxQljrpnn55eWA/j4VvrUgwob609z4q14v68l1
0pnSa9ItJjJPtP9/Fhl87DJzlY8FCIajYpXeByFmO5znCk7DYGAXIQt1uheu0R6HdMzeO0M+/357
24FJutwNbG9URiA4XGE2YDfN1CFxhlEee+N30q/GfJmsQlN2hmI47cGUNjwHJ6JN/CB5ieg+9PVl
8aNmSLTDjD4CuguVhQ7C+zSf3cx+aRCk75oHhOas/JmMv0v3bcmf90cx16k/YkL4W6tnt/61VHYf
H1oNwsoD5JlMf2g9ursfrZQXgT9Y8+TegV+KgQstai2/JoWHMozdmYgrKBbSK3sqYHH2HdBPOwWj
sQzGUXGMUjv1rtYbO6+JbEjKYhqi32gz2CWIgzmdxx2d7Dh77MYJC44sGrGZGCPbIhyZ9fC9sJMs
P/QTtghBUpqdtosVK1l2lTuUfUB+S0+ic0SyvFuJhBTuFa9Djl5k7d2wpMjTpLJyEc22o6rz7dnQ
n920poMigLxnd3mOlvcqWNORezYtEkONPY8/hAVOa5fqyZAEajvw/xRplDw7et0Od3naatEpxuNa
308I3Cx3XexN3Ws+GJhmBih+xM53UIpafKjMzon2jTEqy3520yXO/MbVZPEZeIbbPMwZjr73U2Yt
9UEUPAl+THU5q7tuNu1xV826We/TashNvxbpJF7wGlOKXSHl8k20VoXEZh4VH3qYaMoPeOn1U1yj
rx0MNTziKexkh++RP9g4TjwWSzug/mka88MoNMJDO/bWD2fQrehZszuq3WXVtJ8tux0RdkOX0PK1
PgGFVcL6Uf0cXvIc6E2ljscZ7fVXhJ6TX5oxeGRc+jw/lK3uTUe7Yfu8Rzai/E6Lw2l9qvV54o9q
on1ZIl3p3uX9Mmu+gKVuPNDnMZ6s0ZbTzpBm9t9g2XHzmsRFsRypN08PvdvU5bMkJCT7FJJw5mdj
vnR+b9nzXYniZnSYZD2+OkR7L1h0ZXqvRZZ1r6q58gr0ffGQPVkWYnDqYCS/JNHXmmed5asC7fhg
6hepZL6nVY7nD6mTyJ03FPX3kl5uvDPNxngWFDnGe7tUYYKrC3P0jXIwICQarYz9hPvlkzNV/fe+
cwc98MqMzoUKXme4zyNRGsdcSY3hlI5D9QtkaTMFVV/lP0pvyFs/9yxh+A3P0YPs7fR7avX9txLE
vOXbauHmbPTJ+5R2iarR98q1wY/HYX5RGoVcMMuatPM9i+acP7R2qh3MpAa/rdCPCTyFZ3gwRxE9
1mR0NN54aVmFfUYl+JQb0Pv4kWaKs+oS/ddPrtYGmtbMn4Z4sZMAZ0332Y6UEpdiW8yG8zJrUWnu
jDQarAPd9TgHeNIkPa+zQVM/45uUEiqxuq/vhTcpkbITdu8sIBztFdiXWCCt4L2ypYTp8L6eusSL
ghjRejK/AZGG90g7lc499bYebxD6fN/dJS/Qr++GKHnURKbZr3O25CeS1RJUUp10fYox9Tz193Me
G9E7R09T8ZhZiPLv4rT37umU99k+VrzlsfHU+ceYSWpgSPJl4y4DuP3SJHmvPkuUqGGuCYz8uEkL
86dGCyTfRUPrzXeGC/XmSCOye5gpBNiou1QAamp4zDm2eI7aP6fZDJIyGts28OSqgxgZ2gjyTGTV
5ylt0/owmYOcjmNMbe55aLriSakjoAJj1OTjfqCiFLPpysXaJ2Zav2/qSvsYFwsr1lqy/dC1qASi
+DBExT7menknhz5zgrJW1G9247bvULjoTd/oOlUL26lGQXSgLLX4Fj4Cju/2vYMmrpmaIcHOGR5A
3Cbxi4Wc1xcpFM6HEbviUdjs7UNCPAAsKlDXUe25zXaePrbLzjaK2Q7QuVqWz4Za5MshNoCz3deo
zE/BBB2u/pwoXa8dTS0TH5JhqRwUFHk7PhHsl2FnJ/b4ronqeN6BCZymR9QOgaJ1eun0gYFafQ48
H6EPv0iXrvTNVkW52amLsT0UuW7Hh6YinSbEaUOxN/SsfCEh0eqDVeoC6dB4BP015sjPDSY2ln41
6MUdtq+m5lPIY/MuJRA0Zynq9zPIlx+aMqS/HEcYz0UJh823wOv/l3ZiQk3WsbMAbmHn+NOSSjWY
hsX8QKU8A5mqSXXwFfbfZwJyV2KKVC9f8SqPPoygz+/ruVp+z6490zUuluETZH8kWJoK0ys/zeBL
TrosijulUKQ4FKVWfXKMrvnaRFr6gVpycqeledHs26nXUlZldL9ZOTVjn7+b5gG6l/VvHAREexep
yQjiHgcPKNFjor5DjgXiT7VM6ZMcXJwJ89aOI79HfAUFO8dLPhVUFB0eJezqXaY6ZRP2wD+zgL63
DWG0tq3PCZCgCDmzwVH9RDTz78mlY4P82hDtsLzqHwUKyKZvCUs9loVtxQ9mgWCEb/QAoj4bSy+C
aOy4z/CChdiV9n3HJwMe+FLSb6HL2cez3Ck48/6UTSTNPY+KND6Yvdl9G+Naaz7Ps1u+0lucFKDm
9ayTxiTctHLKFCcclgZzpjiJ8JuBU/JtGpfmp2kNJqRX7g716zLOrXWIRKSJA8mcau77tqmedKcU
Xw3plgT5Se8fMVrSv1BP6OXOMrph9g3E23K/1vl7x6ZeUiTCuxnYC6xr2bh3TiYHY8fMRuHnokhh
yVheYfqqXVcvk4xni9J3WQy7qFOjkFTS+QJRu8x3lNiij26V0cxzl7YTz6SQmC97RdqIIMdjug4W
RZE/K2dULb8erCEO8C7WeTs69mLczbj7ZoHjJou2n5ViVo/6aIlTp/WOFSh1NiYPhe7I/+PsvHbr
RrI1/EQEmMMtuYMoyUG2JYcbwmFcJIvFnJ/+fPS5sagNbbgxmG5gptu1SVatWuEPH/BvauwzqrTs
cWBP81NbgKeMht7EuDb1A1nwRRoKbjxYkG8dlSPzM/lC/XZuhnW5cXBIo+YXyfrYi5SnDMDVflBV
hq2n7U7wXmcINFoatWOyur/Kvmvaz6+nvS9boWBNtv4Y1qbofZm7xsA4chrsVBq4Yyg7llo+TAe8
k1s9tBZKoFDoibjrrC6/zwfI8VcKsAulB3wHD2EOmuHA9nd1rAOUsOBGM+KgCLYkTWTvAfGrsHax
M379QS8sBXiRXq9n0TRD0Ot5rUdAVoXWE4uTjkxAkEdFHhSLmwVFnePrS10ochBm4nB7CMBtenvP
l6osXVTp1Dhxiez9MTEoY8WkxMPrq1zoAdC7Dmjc4raLmf3ugapeDfpQTQ7GEYS1UHeG+mkmJn20
kqk9uYkufr6+4KU3CLCV8m3TRnxRrY52W6mpCABkklcejbE376fSWyKzkFb0+lIXduUmeQQvAXVs
/LZ3zzaP07KY8A0IPZXRHFc38xFfW5Lypk+07uyOvV8cVT+V3I21kfZXln/5arfxxLYj6QzgL7z7
gDhjZKXAmTAeemGfPD1L7swCbK0djPqBZvBypadL+Xuh9nQ5gRB+tqHTvj+HNKC+jr5pxraTat/r
2U2SUIdkKUJ3ba0iQlREl1FfjuMYucrXEe/puu4e4wUdXFY5Teq4CLuv4jnA5Z3fnfvfUXHq2jBn
xpGHyCmP2KTr3KlcFVbVh6rRg++L1a7Ix9LgcA6FJ4UgSTT7z7YYtfnzhKCZjGq7dL6MurQJVFom
ATavtXvXVUgmhbqy1xz6vzJkuLZ9Td40JklGMVBn2lGaQZ/c8qck6x2uNER6MnujPaQ1kxkZ+t3k
v0vAnSwfusbzs6M2qto/z02Rvm9rfbG/tYY1WyExFfFIEkpDRDUNvzYNUy44cUC5EKM5PcjM5OyK
dqI42nyTg6CrZBuJ0jaKt7kyhvkGqIVZRiorZ8YsjdLcSNf7ZDjYmWVlt36ua8aZNvIsD6MmHPeU
BbNRHkiCyuEpH92mumlmj5RbmGZevx1dI3NvYTM0+aPnUOKj1dTI7M6EF1cfvRql1AgJkUQeyaml
+2hTwr/DMYQrOHd7a4jqIV9XvCkkoF+3A99Az2fR38/KH4s3wLmdj6sT5FWUBr1cj2MqDHU0AlHV
h9mFfxaCuHTsm3qs1u/zvBpPyYQd8rFVdS3uNcPrypD5FnePrSrVhU2G3NIZHF/zfgg26Fa2wg4g
TzLn7R+crfZoetoyRh7N7jRcEm31mQKKWjv2Y5v1kWePE72Kwcm7qKyD7kGzfMXNwD3Wn7S+4R3g
mrpYn8raLQYRqsCd+rCXQ9G8VUnWtL/ztS0/u/pmgpU59uLfZRir3mN3nSZbLSWHCOROctu0ssYA
stR869TpRdXdq8nsnJtFcylcbM1QT0FZNC40DtPhHAAC+DxOg3tb17MZnLvFyO8KAu1y2xfY8YU1
otAb7Tw31kPv+sWXIZunKlzXEY2hAjesj4NTB18pc/KPc9CYd4JBpBYNqaOK+xqTUY5DVSKBXlDq
vSnsZSAplauX3xRrgCNAhzdce+qLnMRBAUauDoZTDnXIUdWnsMd46q1Mcw5OUZZpF3aNKOvIHVX1
3bZXjX+nKYKftlDpxLlZcUUh2dKZRwoBPaW3UmONTIgwzkHS+fkwoFgl7/UCYnYEii35bCu1qgig
XvaFHNHDcKVw1k8BbfHf49ro67ERxfxJrnM9nDVj1vtjoiFSH5n5nMmTbEf3g8CPB8aG7vU0gkqn
fFuPBb4DTudYvygBVu3NMgXDxwkNaohryEPqx8LPGgmNZ/G8c+IPGe0epYbuhLCT+T8MEusFhgtA
wXC0FDLnXuEsH9xFa8oopceIrE62DioO6rI9Z50Kgqg30rWKdBzI9IgUXpV3cwZQLZoCPeNjDSgr
RWsw4OyealZyzGSdBFhMuo08UdFZVHc+8Id11ZyTNaUD0w0jme8Gc8TDk8HDrEIT/+mMoqafPo1Z
6zPiDMzuU95WnnkAVuC6EWYIGD4ZAbof61w0XwQiE+bZacR8SPKxtsMGvl4a9aLTY9la83hUbasN
kVxAN8UY06GPaoxJ/p6a2/2mzCFtr1wRL3MKJNw321KMAOA872/7wph0faTFF69bC4VRcId+mAiu
9N4vjP1YBsAWlx69d9xvn6cuhldSlDS5HYOMxVhxcrruXVDmJfaKcir/B3e1fLegyHSWqWYYYYBh
hhtmZW/eap2Vf/3XLADwrGHDPeEWBuWzywL8VarcowcSB4zJ7oOE+lQzzeGWvp/3QIsvj9YiGELf
VtdYq5cSACBzfxAnFyZzfdF0ptd1Vty1pv8wD7NBjbGokz345dvJSP6VuroRZMEmbmMsVEBeABLs
1J/qqW6seEv1wiroq4PfWNmpSKpvCUafXyiRFL3KdvznrBjSPgndBjT/I3Ty/Htr+QgpEUJy7BbQ
cxUqqYfZlD5dLX25stTLFIelaF+hmgBvA6Hb50vR2pB5Dhc/Bu6wHgrViTdIvrvvRGfkJ2kx8hxd
75qU94VjA5J0y1bp6wPZ3xLNv+YNo4u1PKJ+etzbTRMHQ/LTWXRxJd+/sFugofD6nE0+4gWKAs32
KluGQo9no3ebyB8m9QPPpP5Nn6xBc+z8zLnCaH2ZigP8ggqwkT3BEO0xrZk7dE4grBX1VSIois3Z
7eyU2WnQ/GseqC9nZCaukCA1AvJgmr27z5ZnyhxRyzewjazW49q65g/gUckZTpt929oMFajv2mNh
DVT5na1diUgX3u1mYYxuI9ZH4Ct2y2epLLyCcU08ZulwbEcgvNLNE9LSNY+Gyf4PBwJcypaGsyQz
3e3N/7VhlGQSpnp905Vv9aheZXVmuDvGCKgVV0Bgf/Qun48fmRrDfaYe5QUT1p+v1TruVDqDq8cq
qTjZuuZ137sRlmhoTGn7MyhmnlbkVlmHeR5oeUTJN/cwRVvj7dA3Eqqjp49V2KLQ+s/FJT+NqlIn
RWXEvn8NdtN37kDuFY9F5nxoLWv5YYxzLg+TX9s/a4PGyZWa60J4INKDi8JPDen0/WSwKWD5uZ6E
lAHaIh71bj4sq7WQW9fDrb3afjRAW339gtmvueH/N0QJCA9ojRjQPP8AE/wN7Ef7Ol4HqR26YVxi
WJvDcapsdRiUiUbR3FtXKGP7kMSiDFo9bjXGoBTvu68O4lyUZU4XcRK6dbKSoQqDefpXRsW2ymah
ierfJjWzh8ha9ajB3E7KGBCwHcqspsNmmWtYa9p4Jfy9SBr+fy0kDJnYw+HZu3bJYgNGaehzdE3a
zmerTRoQ5XDQ3xcTA/hTTXZ1L9x2XA5jbc7yHpysj+LB4gE6hwRTXmPqXnrF7qaoxo5CyHEvOjHT
1x9WY+Hhx7n82ZhA2phBGv96uWzPDSkYLJYBAgVk6vPtM8ydbFAoqmJJj/FBTNKLk9G/FgH3vZBt
Ff54BvNwY7g7dxGpyQqTA96UsTMG0gpLuk7ugUFYbpxoGk639pLOGrM5LT9Xpq+MK1/3wrukxwSC
F7lRJA3+BLG/AiIjJWylu7WNESu2PmlONd0awWBeOf2X9hCwUCS0UDQnPdgrRqINPBGRVBsLzdYf
A61N3tWt7p211uiiWtpaVPepFo3j2p+K3ggiU87NJweSzBWE5vY6/w7KvG6adyQopCgbSHN/4cxD
a/apaGN8G0pqfaf8jLBjE/qWGM+vh59Lr3YLdeiv4DYN9+b5/mGIuM4GhLd4QIX6SLPBprz0/lE0
HR0ZUEKgLMHx8WgvnO4wKE+gO3kSPFZJ9Vuw03iaKRg5owje6Cf2ePdemMl0LS968XxbnULTCg8V
UFp81efPxwza1/MGK18URsUHq6egwFB6uNJDvrTKxm1mc5qQAfYOcAmUqNI3oEl1LjlkiVExOE+a
BK9/q5cblIchXvMXy0JSbr9BVSGYKI5JFoux4YwvCttAJjIqoCEk1ZQ8mmm/6rcTHQvrNALjwX5O
wWA8otm7klHbQZ6b8ZUf9SI28KM2IXPkp/7g4nc7KAHSZ3ppl8dlvVgz95Ze1+FCBoOa+cyGO+pw
SeO6rRhHpn4e/LTQqwKVYQg9v0vSbJOeRh6FkbyB9sXsWt1XY8FO9LQmKv3UtbUsI03I7Jq35ItD
xu+miwyNlnE2sMTdIbOHEaJVbskYCYX5LnfLLEY7InloCxVcuW4vLgVFgdKK6vlF/NIC4BgqWGWM
f6i8ActvhnMlvZtsLR5f/xqXViI+c8K41DbS/fPtLlSF6QxaMhw0hYCO1fZxAW82HOiUHV9fytxj
lbZDDe0ZlaFNOpKo+Xytse3AKOm5jFGHMn9VNhN+zGat4FGbp2AJi75Q3xq+wbc812V+6+KT7YeG
GPSv2NK2RdS0g22FDWnP8MapR+ehL3pH28RpmOHPpl/+0CGPGOHYzdZT5TN+Cs1C4Q81CWu59jQX
X9wfLV1YyC9jv9ngvYdEfh57UwV62GSK2+htE9EPviajeylYUExYPgcZBtY++RLzlDIUJiTZmWHf
rICU7jFbEVdK3UurcGU7QPoQfYdP9vzrYKHVo4njwdyEpHTI01ZEVIju4fVNcGkVTj53M3BbLq1d
eO28cR1pNWWxA4LhAOjOOgFRv0afvLAKERyi9GZPRTK122mZkZtptfDGJmmK97PfdwfHHdS/B3FW
IdMBMIyv3v6qoMM7ldYgWEVf2iMqLvJkJ9O1sdKFjQYJF7i18Sed2gs2t5Sw6HVKYkHZLN7RE7Kr
wmSGjRu69eDnV7bBhejMcpgdkJGRQ+3vd6nS0bX7NY8xdFhuBio7bB8LfHSDMVg/z0baHTMwoN/1
Ir/WUNp22LMsBgA2oqTkplvYg5LwfAfCWHI3CcQ8roLWOoAsbbSwUsZq3cy+Xr0x0nl6KjGn+Y2m
jfer0Z1fr+/NS+sjCsl/mLniiLhb300cWZZtIGMwQ9VyIuvzW/y+i8GP3UBK8SY3m/ahwzBnOBKx
2vIAToBa+/VfsV0j+7cAHZH5to5tzIvUuYCtYSVNL+NUH9XZmjsCsc307UNv5OXHVOaZedvY3TVR
2AvbDF0SLmZ2GR9hv81gXEJlR0U0dicHEEVCRe+EGWQg3LJopfz7BbcR56mb4eLRSNwVsZXl4Z/g
lGVcNRPQCWO12w+N34hfs7W411K6C2/02WLbvfRXNSDtpEEBKUFjb5DqTvNzcXB6lAG6/BGtgy9V
4lRXDtG+AcRNB+kPcWRIuYTU/SEasn6C7GvL2ClaGI4g06ZPXakQNFBzpvthpwk1X2mvGReuVwth
DGRWNssObI6eP2bV6UhyAVKLlY+eV/AHbpjNADaK0ToI5q0n5iTyMOeucSO6ClSbaNoj+WP7owPJ
G/7zNt6ACzjJ/eEk2jtlSnZPNncgUmLdyXlgfRxu5wAE6yDQLUiom05IoFTXlDkuBP4tUJJWw0zx
yJ+evwM0b2TpapWMk16tD32FZUuja/6P15/t0udFO5nGD7q74AJ3mWBrruAIexKZNfW1U6kl3akP
8uZji1/AB5kN13y/L51NzgjHkvPCUd99WbcnPe/opcU6MK9wXOfq6EAAPMM1UIfXH+3yUuTlKJdy
6ezvZ312Z632lYzd1nRCp5l/1DbjtyVwjCvFycVPZfrQGaFqgaTZhYC8yzStwGYvToe8vId3M92C
xK1uXn+eC9cZ7aQti0bAAmeQ3acK9LYbPBQqYxu9u/FdmXQCFb0gW5tjNpR5G7uZsMDhJnPj3ZYA
Yn+/vv4L5SNCgb3RR+m6eORW+6phBc/tdSupvCz90gkt29dvBPpzVgysT05fLJSYis9lA9En8vt6
nMJMW5QANgZ97HHJctc+5HXedtHq5HZ5LNdSuicwqMY1quuFD8IvhVpJ/xtyxz5pwhmstNKWswNp
LXkASqjuaG5cOTqXFmEf0zyGucIyu608JjbaCPihxRmC+2cKGxmCE62v9EMuHNCttmQTIzBJr3T3
1Uvsa0dgaljLTa0HwnvJ3nXOnH1far94bMjViyvR7tKChAJgU2iFMBfbbWYPDyItZZyOUEjVHPps
Nc/9LJY3vrZ+tZCrP76+q/6klrskgUx9Q/ugPrR1ZJ/HuTrxW3OqxjTuVVM9WEAN7NCc8L86oFJf
fjSmZKze+Inu4u6LqMzNNKwjgrz2tNy6y2oydR4kaMFyE8n+nucMvVHyBwV5cHvU6wCug++L+ryc
7WiYTQP3L8NCtNANMgs+2uhb9GFw5dTCEqCCFlWtkDn3SeEnJxis1Snwcq29bRLf6un0F7l12Kai
6MzjmOSdWgPg8L8HLhriJBSbzBgvZfdGKrO0fYynRVwt9nKcfDkxILesQwKs9MpSlz42OugMzTjW
W4Pq+csv+L8m2qs4+s3BEkNzKj/1fVV8A0ODmqjUzP+yu+hl0jaBgMzFvtvOCU6IthKDdjMZg3cQ
lfVWGDb1pt2Nt2AI6ivPd+mMMq6n10/woh29e5WrkvqA3YZ2k+h6d8gsRxzqai2vROYLNw1wQ9Qg
Nk1570WNpjdFLZrABSVl9jpmrI1x10Ho/jBZmfz4+nG59EB/L7V90L8SQCxdNzmxAJNLq+gjW5Pq
7FVZef4Pq6DQRVMAkwPd266iv1Zx3XVOx83jUhQt2F/64md0t/Mrq1y40JD5huXLBHzzHt8F0CJL
58KwSxEnHqjdUhpg1sDDncQwmrfKbdOz8Av9ACMguzL6u7Tt0e/DR8eGcgYg9fnzDXpv4hTKCRvm
JYs6jvy5GgvwFJLHncAJR6+/z21X72IcrcuAgfFmBgPV+Pl6AUau1KFeGit70R7gcfknSfvvtAgD
iTEkgm5gJVyz8Lm4KILE21SIv+17VD3y6EXu+Gk8GWZylNM6RgP6kLEPPPrATLm/CeipXrk9LhwF
BogmcJGtWesE2/79a+d4ndskmtaJmJ1qvK2l21PsesOTNgbW6fWXenEpnE9RtOKa54g/Xwr4jDv6
BfdvmWX+aYCWHypNibd+M/76DytR4zGP5QJGevb5SnkZKIj+tYgBGjZDZGSFXTNgq9RXNSTTNbew
F7RUQhViZRsgfJN3Rhri+XLLLFIIQ2kad/0w3NswHE6eXSgr9H3hfgS2mdVHR62Az+yks7/ZldXc
N6tSVwXVt8Jmv21pYzD84rAwWtw9t6gbr6nQ5Iozo7EOqdHIc53kw2ky6+qYjoFGDdhAp8uMyo98
RxGVkqE9vv7yL5zVLTpwRxlchzR2n78N4NDl5MyWiDs5DOGce7+UZcL+cqVDY8X1/sMGpvakR0nP
gmHUrtgrqsk2k2rUbrStv3eo5iHDULhPf/Q4mllXFrsQzdlNzLk2URKmQ7s4NFdrAzeo1m4yNcED
NLr2dpG6Hr/+Bi8dFLJUxof+5uS1vwQX1biDU2DXPUObGw8ODis3i8SINRz7zPr6+mIXPxd1EGAB
/FxepI/pBDukMvEITpH5dqKyr/hyicEUJK+Mw7RSF1x5iZdWROI0QIxpa/nse8q17c3cLbjO4x0I
VRk42oDxAIq7b2GwL/3BKZR3DS1x6cPRGGGEz3sln9nFnqbWKNQA28Z5lnMMlR1g6+deW+VSBCct
I6+g8/Cyj53gBspoj1S8LbUB6wTXyppzi+DKCaBsf9czhSiQLU7/Vfp5y5UY1YB1xKMXe9JdVhhM
NJfSUmdbOrlxmwKvOkpr8kJkcq41Sl8I1G1rbcCFbRQFOdrdvu5fF4aGVvcS5GOGPKBQEH1U0jcH
hWLdCrzIbDXQ1U7jnqD/qeymdB2tiSAzA5Yz1wQzCz3X/Y+6nzJHFdKqbiSS1Y+A23L3lDuJo19J
HC4cpWe/dhcRYQ3mRd+pLMZEA/z6MqZhPfVmiPrf+O85AxgKZksQEqBh7Au/osuZQTGjpv+zjp/0
GZBuBbkdbaKueVcNtX3o+n44v356ty+7i/g0/1HF2nCQVPu7q6cch7apWnIGrwzyBxQAl9DVjBTF
UsuMfLfQDihM2l/5PPphHAL18PryF44yqByQWFuvcbsGn2+GsUrdfsqRgnXN0ioPAl44PE6nV+ZZ
zKjIhYvuwaB4fdELaSjlAVAkEl2qkn0dr9SiY500pHGAjv2dMVTdyYFhE65aYbCJaLEash4x90n/
0SxzgwYQt1Ak5YjRpd8/7izqXJq4JsUa6gDvKk+vGfilBgjx1rvyYS+9WSB8gMngm4EU2n1Yb3Fx
11HbLCRPtpS+sYyzcqUJa53OpdCb9cpJufRWN4V8gIuEL3Qdn3/KfIAODiY/j1Mxis9TJ2sAV01+
bB1j8W6zbkBAiJAZnKjeNXVl8T9/+m4fQ8ki0d6Ur2ma7c4peMmEqXbDmx1SXBLMUbObQ4HzYnpr
dd7cHkVejcw7R5FipEDJyxQk1c2wtfzynZZ206NoNYyspDC78t3MxexEtTCSW8/CW+YBkk3/ELSw
h82Efy2qa79eT63vQIx8fXNeuGjAQUJjI0JCxNpvzrlNGztv6I40dT6/c5baQI0i7a4J/F1aJmBm
Qn3CwOhFlwmjUplpY5HGJWoN9/4wplFpe+np9Ye5ED09rrNtNk976cVgxu2cdXAnV8W1g0/lwcIz
UoWBVoOQs2kLf3t9NfPCFtxAugB8GJ6CoNpdYyOaVbXchiWJ1fniBPFwHkMQWubHTNnTxs2uIXix
TXvzvJhLnQNthWIW9nDIC1gETr6eeI6sOCz5MvyyEh/akD2bbXHjVR5/wKw0CM5D4CMXU8GHfYCo
oU/vbD0V08fedYWE1eGNbTQ0idDg16QNN9Y4FHe2GMoHvEjXazK/F14xYGuHvYIW2kvr6KYCmeah
xUG2XKo1SppxOlvCTut4yPnrlTvqha4yEQx1202wlRKB+3sXsFFd60ekNnnF2WgAEc37AnlrpW9u
KU4hYOGavfoG7VPW9zpm7/q5Flo+hS6MDT3CCarzQ21skXdwiEioI6yqbq7E90uvBCYjTnzk9ICL
d7+x1A21ziMOeWXu8/31ejhpM0IaTlHYV6LspaVAugP7RPEYoabdUihz43NQYIuH4oxxGoq2/5mo
pIwGPKV+v767Ly7l45pBsY3Yl7md6L/yJrFNt+tkLGK9r/zTIi330GuZH7my/PT6SpeOEfcTADna
s3gs7IqUKZGDXDtVxHRjvhUKKmjgLn6IGgJWO8E0RlXuAEw26mv8kwtBCaNG2t7MHgHB7ZORpHeE
rhzeZlX19dFaFu/NAvjr3+e3ZDvbkACqMKTXXZQoOrj8XduxPURW3GySqsd0Xr032mC4V1AW262z
u5VYaqMPAQxgnLi7lbJeTxR2IDwQbP7bVE1l1LpUZNmwEd0niOZFrVePr3++CxslAAHBDgGO8BLv
nPQIQTojZpfZgsbkILrkLjemb37lZVce78JG2ZyB4QuQY4Aj3e/+zAxaorHEl0ob1zgAKI8YBcG0
jhprxo9xzat5fjsCNXU/CuGbybVwdCHL2aYxBGUumJewh35pFdxvHctN3c6QUqdnfyPnNP9kuMhA
hB1WOp+cdKVT65QMjz9oC3ZTkAxb30Xjyc7emX3hVufR9J07MF5wgepJCHvzcFLXrDMubAaKHgaT
3IjQ7/dNpcyzYchJpmk1KdlZmbMbVrpcbyrHWqNCkd8n6ENdsWe/+IkAaVJN0l9iyvA8aiApNOmJ
N8JQhtXx1Qiq4nGpSpRMVjs9510v7xXvl+sNcdbXt+GlrhYZBqeY65iKeb803aMFyyhTxqa3pFWY
QTaGtFeV8EiKBPmlAzdNURyGFbH+CJ6JYUVz7VuYqo+N9uH1H3PpTEAB2KDjJIcMKp+/hr5EKrvz
nCKWEIb8kPre/JIJuzFPQKT7+fj6ahfiGEoBkAPpxW7pz+5cUGWrtKq5gID+edAcOiNUZnJN2+3S
M5Hv0o1gFEktsQsugnyFxuHAKgXCL4BorTDVl/IIadq78kCXjhnJKA1tJGS3lujz1zfXqGpovYvn
rJNIfPWUl0XWnHqfZ4m0MPOCoXx8/RW+fDiUZMERgacimSOzeb7iqhMs2yBXMW4CBo1QeyzaAwJx
PfIh6+peWe1CU4JMmOknjWVMt4jUz5crbdqAWkIc8UcfPu5QIR7FfNCRTxLX7jq2VYe4U4+lb/2A
L0yK/EgSAB9fWkdbznjWZQv9YTEmRxSp8vToNvZUHpvS7JGZQRHK/ucPYhibi8yWdVig5ne/1+w6
iBYTCE4M4Nsj9Hnn1pF1fcORku/6oF+vrHfhc0AU2upJSBGIh+zuTPB0NX2XKo+TNrci0o42yv01
uCmt0bt5/cv/0dJ8fmlura+tQUozCprHbi3RN647Gn0RE1SW7pAO45TcuOlIsTwTpz5VlO1fk6Jr
qvPqtdkQLdA10LZpPaj6etmg09P0KnXvQKXPOD6I4BcgpnYI22DW4TGIaRIHzKldZPvyidv4yu83
2Su7389ABHdmcmSeYv9tvDXBTbABQJXB03uf0G77MSXkdaG9mKsbtYlj/4/CMYAFhVWWeZKejUGN
lGq5d8sin8MUPk12Jel5eYKhZbK/AcbQeMPx5fkG530ORtBtV7VR1Z+MTHNDawqCI3RU47Ee5s+v
v4QLy22dewIuORbtgF3AyDR9mooxK/C6pR5Jm0q8RYMBQFPg0tSBSniNNbP9gbuXjp0KzQcQtxew
MjlWFZYmHbA/WZ99mFIw2bOuL8cFIts5Uctws6mhXcl/XsZ5MM2Qa1HKJ2Flpv78pcIGqOCwyTGu
pY5oit+hG1Ka3pWLdDtiL5+OkSlFLVkO/Ll999lVWaKPsgjiTrRWenJhsYi3KAI4x8BYtDRUk4aC
0ZTO3lejn6rumDpz5x2mrhmXUPna+EtRkJgbLc390s+OQKGsSNVbp+lmEbWGGpt7WCV9F03lvFSM
mVuU2pgbiu6cLImHXoLo5/F9N5UF9PN1KKmFUWPs79ZBV22EpGrwvdUL7YvdOOq94pYVtPHM5Isv
RIqpZ0FahRawrf1eEcdY8L4cq7eGEv33ZZkLdY/t7fzTMUZcqPTWGcvIkvA6Ih4lLcLc6DFZAjDW
PW1HOA1n2qLOqek3Zcw18Bb5vrSb4pNeKvnFQzb2izGveXtOzaJ7SvGt1I5GhttVWLTT1KMgmEj5
v0Jr0ioe6A0hJxIUSEIg2Fz0H6ek7FUR4mYs7fM0uYxOAg1Bru8is+gRLkvjfND0yv+RTUHjHDPy
8OlsZo0rD7kh+/ZeaoxK7xV0KXFARrSQdzhKLfodoHHL+jEWQYYzhmFM608imuwjpylM4OrGWiZR
FizFG2Q1NW68tq2N90WZNB+VoyWIGwNvC/RfeIYG5Y1mNpP1JrcqZrMh2jG6SWj2tLJoMcaTAFN/
mX46uBE4rHIm37WcX0wWSveOAn45y2VtumiAAOzdzHScxpsCJZRfaWIOXzZDwfKggDM8Dnpt6Ddz
wT+AXGA5lYe8X8w5xDDYE5EAc19HtMOmJgJAJH77ZW3ZEXzHfMX9QhXfqkVM2LErMTG0aHz/Q47+
WwEiTKWfGyepUUvs2+Jr32Z2EZl+R06+cNkFYNwA7h2R5cRQCzSPsYYISgPVKVosXkMHia5f6Ghj
jWkgjqwDxxeLOIBTC4oD7d75KVlS4y1pTP8VEFFfHlNM99rjWIipDdEXGAfEqZOkiHx4/03UOmv3
mzPuHEbgFQ9LF5RZiN2ue6+Vgw/UzmPwqCpDGhGViIzypHYHDBvS7EHrWoQonA5pitCzG3Qwsdqp
Qv7bPolGFne5Y5VnZPTqH5D+VXA25WLUh07X/SLC3c57yNCjyxHaM8c5YvvjEsb1oCPCszre/4zR
Sr6sKKzeVkiIzEdYNUV9KvUCq1Uo04l1nzaNCblE1vYtZgJk2Xo9dXdDli8gdz2RPKDjl30JuEKL
CMk88bGSSf5Jd5r1W6rlHbpwWWosUW4m4qedTakWZiYM5EjCssTEcUHmG9lVr0Qp1ujnJ8tsrPdB
Dfcc+xMhn2a5Oo+BsIcpWpvFfYtILZTlNPOnn5WtLbigjBX9y9b3ke9b0BL1wqarcxEZnsr0Q1qN
yxBCcx81/vchOOb+0CbRuFb5O9yNhcGTZV6TH4aucpqDtXTZ8hPaHke5CzInxeHNt4sbJHHse8XI
7N2apMFB4Slfh1U1TAhD5ii/RBjnjtWhYrinQuWWfqSKbvqgWW7bHZZ+Mt/Zwir4i1O2uFGgnxfN
6+SkEcql5ZcMJbzfstbQQwnQvuLrLsLr2YVl+b5ZmhTT7iUbPiPk2okIA0y1huWExm80tnNfor9T
Nj+kY1ZTmBDM1KFraB+e+tR1n1w9n353COU8WejezscenS0nCjo3fe/UmivO4MkhAi1lg15eWrTO
AESLRuCBhD8wyHJE0oWT0LCZw8BMnKyKIVKIomP7ZpamLol0anpMTJPmF86kvLbKy62fmZ6J9Li0
zdKdkAT2ae0wfUE4EAG/g0+rLAsHFOweOy1NBlScXOcz/b0W/zxNoPIDL3P9rTHn3Whss7+Gq6Et
n6t5KtsoEJq6aW2K6mhqpLEJmjSaPLjsmSA0tLp8D8ct/wLAAgzY2PXo7mAO038TCAwvkV5W+neX
9uxnRHE4+2lnym/o2WAfIeyC8BBMvZWECFrTSMmzbONYwDZz0FHO6t9TBoTo0DpI2R3Hcfa8qPH1
4p0JHeDBgJUwR/2cIl1Gfm49weSmB6lng18/Jr3u9iDSxvI7mmD0prXS0NrjKtBvPJlebR1srKn1
g2zMvo18L52falg6pKbOrDlHQSbeHSRS38PBa1usuNfWbGbuP2Mezi42z94RTxUPDI6nAV8Ap5pg
1G3XS1zpiYNxU1VvjD8P4dIckWg6/pEjpakh/mSiRJVPmvlEe6BqQkBMAPSGqrJ+bVI+b2AfQTdE
7RP+YaOqoTzUdrE8oJezaWCnKHvaogXcxBUp/4+jM9uOFFei6BexFvPwCjl4tsvlqfzCcpfLzEhI
AgFff3fel37p7qp0GqSIEyf2edx8tb2GottfBbgVDvC1iX/SkjruKHbKac6Ozr+BOTC73JRVCn97
hXeWZ3I2JH5v4JBypx3C/i6YFoA11Vx/wbIk3ca2dU0KYrtMrzokf+AEuDj5XpD5xU0j631i/BPq
61Vq72sinK0/LJI/YXZ8+NwsaAAIGVVif+SyBzYXLPagJg+aY9DVIrtnyaGsDtu8JWfPH/VUBGUU
j4WMavMvGslUyXfp1vWp3QwZYriksx+WuNUGHFVBjtkFt2UxYAOsIXc3U58zgx5+5iZedmqLGt57
JIBN5R62AlN4lap6gBBj9lhXtb5Z3C1ai63PBpWHwdR+LP1c/xPSt8uB0N10Q9UG/FkFruD9j5xw
ZOLURxQYulwwKHGxdkRSRXkIWftxT/1ZFxsl8zPcr3k7ac7+6zley+ywEvPdgGLESY9WuM0pduom
SZkOWm7dOC7VO4xsuJrDWnUvatuz/jhCbwzypXHSRwlvYDkkK4GCR+GbVV91bKv9C0ZnfOqcETZU
NISDLao0lV1h22yB+NBdTi2mGNuvtRJNfNX6bXOfZIFhxQT+Kn6OSC1PnQ+U9rxBdvFOnBLuUwpa
dKUo8LajmAeZPdDCt7+gotP7QrdLBhC6G1a3zbnYJbhvNk7kvQL56jZub3JZuVw7VRATsNlDcmnu
HKeSIjdK9LKwLFtwPy6r5BXltP837qZ9gj1O9w8805cFxK/dv9rNuH5n3lyddTxGGe+LWV9EvInb
egvMi+sOXIOuHpk/jJOeSsinnLDFhHcKGFjocvk7Xef2V2mC7yBWNv7Tpy1vmLur4KZsh9TwEyB9
5qXiUC683krC8xyQtHnli/ieXq4h3KlMtTyEbTC7R/glvl+s9cS5CLcqig6YdLAR9dAZfF6RLH3E
BNR6/E91CUnewljk8audOw2UAhDnpCEqJ82SPYqeuR33TDI4eWkzC1fZoJ4zP+spvFpVlf+kH80N
m/kUsdgpoQnlvfZ5Vspt7r5nPluZ937t/R4GWb060Zx9JNrlkq9g2r7P7QrelniOUp3UDuokxx3s
KRRq6YhC6TV2eOBHEunTeBQfS+YuEuWum6/CTdXjVb82wcug5j6g//Aa4N7Kx9OYzfDOT+7khBi6
IzwaB/KHwPi7diwfQ7CgNLghk2K8SFEtczqsXuVy82t7qhnVmFzgu7pUu8mFQBxH3X+zP+7qagxr
53kY3KbNNUb1V+9iECkitS90CDH28Rx3hH81Ds7K/E41XQNN2M6/s0ZObtGZdPkEG13d1QmvXQFU
rJ+u6JOBWrFSwU3i0OyA+vaH8EGFJfFYXVp7N3ZzSIUAih3qvE/t/LJGOuJTu1HvFsEWu5+dbNsb
G5eEB4+JFEDLJrm+T5j2TF57OrZ5xqr4WtSzWkyO/x6eedkBij96M4V4AX4vHg48qt5YMEpSf+su
XLxCZU0CAd7XjnvvORhBbmkOkj73W59iF5Dv8Dw1jdC5GHv/L2vnUI2rbByOVTLJgZzNkYcsbMxm
ITaO01OFpVHkkAfK/4LZM2+7HNQK3zDtR76nSyeghnVQh2XrDMI5bEaVlwwtcd9MU/Nbt3v2yOSG
+3+PN2VPRBkPYd5OWfXXAJj6YuxJtkCUTi6gQDK1+Gv9ZnsQzJG+VRhRYddu/Dw4LOfmo6O6h0q6
DGC3MVq/epvBr8s89qCLUEhtDxuV139gStU7dCvpnCz1yIeze/MPbB8iY8t1Ti+H9LCZvKN6+Rr6
hR/P19uCuswewEPJPMaefKdv/tKirT+97C9IwIRMIziNUgEtVstk87YOOYTLNeIDWwIwZdDTYwwa
iamEKIWjATReN8r+b5AKBT0w49boQ0vswlTrvTmY1gk/wpnerAjXxH7Q0HKQcWDhk0w5nu+6aiAV
cPOapT5Q5snL9zOAFDF7v31GazzJXC07vWXk78Eni6JUPk6zmPXQQV9W7C8t4qMpG/sdzVDw8nag
dSIppXIeqdgj2teZTJXzMg2ezefZrPya+2hqjoGsNMsL+CwNt+K6/RmarkReT5QLtL5K25syGwWn
jeq2/xxbNbfCX3X7a/SwAglniN8Iiaig/tktYxmBCPTgNnWnRh5SPVTntFSmO1B3Sgws3rbI87CA
Z8hXtQVAKeNSEGox+TOd8xD6vNbD2hduGV8E46HiGm9Uov613ZR2AMj3hh4Q7a8/Xi7tz90BW00Q
QFXDPuy6EoBz0PzEsQnbQ6Sd/nnx3WYkgyASt9A1Ewr3KXangr0C/y5gYQOhDWz+dLZUj7/TLZ5V
oa0lbgJLiMP153Tzd1fu7KRlzi6A9YOuuRrbbIJnP2TqtUq3dC0A6JdN7sAe/Oq5NP4r11h8dkG1
ZzlkXojaSSQiOuKYqsu75Etx/EnSIFsStd+3PomaXDmrSk7c+9vv1hXNFzaZ6VeSrMOnincvOa+L
N5kig1pV5TreJDcGYHJgpDvpCJcrGwveQIdDc9zV4dc8K/MQNPy9YADL5XuV3dDTde+2hCPQBlw1
3NVR4U6rfer5d89942TOOR687U85DNlzuZiWICoH4xVvwqS4mUME/Pz/K0J5ja3hemnLvS6cfoYH
Fad75B+sHZvXjtr3nA0pRPI9DjnHIRVGnHcmJekDSuQ/mD9Tl1MMKnXMVEmAF1yEtC2CtOZA3eCm
vlM1emCM033OQxl5+iATT0OzdKf0i1il7TO0vrmJvBYzzlTF2zfHNc9KaiL+wmyYyXHucQxWuYcE
8G22KH2ck33aiyBum/+oj7IwJ8JwvGEpwySoFDOOA/SAqbyu5Y6OpCF12nOb2RbJ3m25PSD+EonR
4KQ4t3Tm4GshzDksxUeOd6x1r+/xrWxb0cCRF1xMIPs5wip+++00K3ic/gjUkwgYm9460rqv0Cjn
R1a+KYZ2MlHvKJpp17a6r8jTjfQy5NviI9g1uxNQF+L068ljEYs+DpFf/XIH01+N5K49211r5+Bl
45jlpZeu4mDLmsybPV3sCCAiTSHf1htvx8xKBXLZ4m/HNKz7//bFyz5dx5AZUE+Zx0B2gumZL+nm
VzlRClSA8yyDlwCe2WdrspVsAZVai/ispXtN3zhbKlarmqIyyvWKGmEZcmm6yt8VDHqei2WqH1wn
66eCiq52TiwmMu1gDzJ6busYnm/vzzv2RQSuLQ+9GOBJm6ziO+4Xo0n3SHbu+iwlSqZdy2e7BmV5
YMjg/9P8NA9d5rNPmHg9OMjGrHzGob1sI/vJZ4kla8i7lqYsB7kMCzlUWfVlSHiuikFMkhumqtPp
KOna//mBTeuDkUJwrZgl2PNIXqisAmPxQxkM3KkTAo0+eZcNuxuzT8uj07dE2e6OyZ5kDMyYl9jd
ETYSFZiDg9o6HvdIODwMTLw9sMy7fyNmEYd84DL+gOXCNlvaL8MvJ/Tqe3Bxa4yit4r3ZJt1SOJE
s77Y9hJCUFZbfOMo4SQ32I9Tj8HSTHYEl3wS35SBWn9k7ABKlvjnfmS4IctUobtkjJUyDk5l+vlb
RnZW+WY6/47KbJvPw2XVL88aNJ5iHeX6qChjP8csnuHUMIx/zfZ2rmnIdUuqHyrXpxyz/mUZJoqW
cpVswbFIQi/WETjzlGWirem0hU+2CgjcmJWqxP3NQNBR16Oht86z0o8f+qgMyBDgiyVgtJo/1yoa
/qOC83+CYWMWUDfh4hRWBoB8ZJkQlWPM7oFKHhv3lh1SqTBWl2I9pLaSX0TJbCkjtKzSQByyWB/N
Xqm3Ba3Np3ivOnmkFkBaTOa9Ic9oqKef3p1czQyoHP6ScsLx2aPZpjD0BKHX474OT7rz6h8cOvTY
/jQvL7un18ctrO0fno/gOY7D8L8alZNUeo07lJjScvokhdG5rypR+ee9W6qvjYoxLVS7MQfMEpqx
fIcY/F7ZZfyzd577sYye/K1gBX04g1bx2eIffGRfP/lqmqqUR6lh/R8mFLjxsIMKPuNLw1VIken/
23GB/9FAjD76cR3WAtQRjSuVqv89bOj8B0hSMc/czEsyp0EHOM/1upc4LMHndX6JqSTk/nfzrDY6
u0RIZqqI3HVdz5lCYaFsEeaNwbX/q00yAZK5Frfe1CTdlRlctz50sEGgAXOZAEWuAxf0uU/wU77Z
sHopnWmrmMP57bvNaodjc7VucBRCRf9GJ9mQUxn5fOzNPHBmkP8QIm13rjwy87E3MrYruFU3MW9e
5dcTh1oVJOeR5Jk057nE8sxPB2oA8vMdBxHHW1OKksmr9JYfrIScKu5WJ17BcEk4J76vy7SPx/xl
k8lKv2Docq4Dudoo3wRzxFxmJIPllB7L58TWwJiz9pKixbXUsjnhUvuYE0BMoOVsOGHyAQN2w8hk
5sEKKr//pxEY0LM9FzOm0sF4CvEWkhZh5oD2uVas47ImwtE4OT0t8S6hquQRQuF2EKinFVaSvn8i
Aank+7BDLLhzSeQqqnZSN9YH78ZHbJf2MCRVcN9PwLyLvu7ct3JV8Y9mfPF7rBZqDHjAwfOM01eh
E0Yi5HjSTnYI+n58940dwEk1SfO6zMESvFplw+cJK5kcTwAk4/idmbX+N0+kRlmqe+jONM3cddE5
blp5DzqewKxgGtSd1+DnuALAt4C4X0T5OXN2XFMZrsOplXgoij424jtsynY/irJPVR4TpCTyzhky
WmexzK+TtjUqK2d2fV4SM99nxrAL3iTV8lNP9tKx0SD+irZOPm0NEGRIByqwFP/tcG+l5z91y+qS
3caCVpOnQm8/7RAHt6JOtpdIet37wFMaHfZksk/bGqgv0U7x28igHQUN7HmXj0E7v/bYrcUdgPZU
0RH1lrZy8imel8FrkYSWJaKX4CBtpgeJuqq8q16kARBQGUfE1CDtu5swJIkFiT/EiAVKV0emAmNC
ldNCn89djMHdsVZkRh2tB9xeTiTFcARVyZg76eq5B8X5+to6XfCUopxSbmDF+Wdd33+fO+18KD4L
OT4uGerMhbTHeiLd+ndigpDxCi0yWXLCtjcGTUseai0vOiCnzINx/V6wheXb6diCVOdKrtf4htWI
MTy5NQtC373HtnIeMvw2UOcIdrmnDQRETRHD6JIYsI0aac7LuCkfojV01wLscfZ7tNM6XflrmRBN
NrREziIuuPLKtzRxx8gf4HH3wVi9jw4+WeQLhaTT77aG8y+yqD3UW72bWzeu2vK4BnuSHcYxTokG
0jKxB4EVI6UsMeMzGxtby2B+m7BiJ5YvosuU/Y0QIXTRZr2bftduHzEVTGvl3ujZ26M84fasCy0D
yjOTlj3ZYZcy/cxgaL/y9QXZOsVyGg7TMEwb+imrG0cSX10aQFI8oXFlGwaPk+i91XsKkmzBuskd
9+5vZYr4P0YXqqMMg8E9xkO7vi3JbLKDDRLDBnPMKCsPMV/sj/z6Jr8wMRO3g1lSeculPXwsygZX
WdtPfztusPpqwZnbnVK7De0pnqbscVj00B14WZAQWj+ZatqMuMuOwmNbNG/miAKxQWCXp8v16F1X
thHJfUuj8Lfsw/2nn5bgjzD1Jg5t741jvkJnEaTtsKsCdW73fkjLo7LJkcNMfPYS6ZunLWrm/QPR
Y9X3OxJ4fAwpY4jw6m31jy2+ajt7jO6G22FPkWXEXCfDm4BB6p88wPrBAVEwnK6xFrfVaSGCUDyE
myzXvLJ7Ml5b5HRFJxpuScF7QRGMGt1sN0MQau+DY4uOJpNsITQ52X4z6WINd/DD6oK7fXIywCdB
TnzZao4sj/YvVFWkhLrrINSj8C8GsS6NNv8wEMX4LRqkwC+ym9zwbHjQIPQ2LoO7unE9IrPk2JKf
x75fsZi6Lzl1x8E7TWk105vy/DBK9SwQt6YMF8N/SQL4DTSq2Nxml6L71fp1uv5te2fWvMEcPnlH
+8j3pRu9PsBenTnahEsCLD1rENwn6xo3N3S7BCGxHtEipFtbQw4tufHjv+RNyeyMlD9URZ9q5iN1
VGXLkdlE9lZvmYMXcNr9v8EW6vWZcFQ9H4XtuqxwloUSVU9McovBE41/tnKb7D2AWfIznLZhqOco
jt4T59z0swaOck+W9I8/5FRl/anfPfstqxYdpCu3lXDTLvN+Fv7w5Q4JDp5/gIhpXpOaM+i87SPN
I9+P9yhcts8KyYYCFS4YnqDwwIuYO98Zm6tZLnI8gOshX23k6P3mYkmJXNDt6D055ZQGJDGRFPIU
UsBJYA37vDxkpU0ZUfL+21+emJW9R6tOwg8PIEhy1ISyM2kRm29v2i21JFdFOFYKukwJp9PwQhxC
wZZ8viw6comtQyc7QIl2t+uAAGx5jawLXQD/PZeIYR9Bc25xWVypyMj6EMWN1Wd/xk6Us7my+S89
8pDOh866iDsuUnoxbWSP3Y+J5i7o6WP1waoRg/oKu2bIe7lzcmOUcG9db2kRnZpAkcQjw8zQGgFI
vckQ3r53uTFjxpuuzZHGtQxO1VRCAqw4L5a7MZt4jhhx7+vBUPqI3+1leYK7qgGLA/V+dg6CFLKO
jzmXbXbEExCvRSnM8ul3+xIWGYvRe84DZ+Krqk9acyITI6aLyNy+OvrjMppChe3cHTRpNNuxhDDn
H2pg7Nt7lw6+y7AynOOXSIOUvsmYrdIkwjUkcHXkg1ftaF7VtJZsuAjM7cXCkulaaCPX/dD0yxJT
s2/GrDe6VM12WPewaY9s1fj8WPHOPk3tKCseMjjbz/zhXJCCH+5NG6u9w25mQqcsc/1vOin9AASJ
hEaGfPV7WF6uoxrQuXvn1qtrTzKzVBaRpd5kYudQ5tVxNcibtjLci6Qh7ISXmWhn+m2SQBKRSkJF
cJM5Jvwd0t7ivmsNgLscsbIbaRvKeX8TmzsRTxFFpAyTccDkV4CoL0/u4obylUEEEGyGxUN1i5CB
C0A3xqAxM9+Kj/1aY0TEd6YZZVe9t7whw9fVaV9LaKNsSsTTQaYsDt/UUWrWh3FOnPsIe0V6jZwQ
y9yRLlHDBPClr/NSRoilNYYwZqja4QRT2Yg0F3YhEXUJzsOCWMQMIdYfJAqdN5T1ySRVPORtQzd5
I/cIJvDYNd4zyiwtxtAr2HomG1FSB1Xqzzr0xH4Qdm9IVI53qfNyEmFzaEf8O38kWSZIPoyn2jwJ
+rG/UqLR7mPWsUN5GhYij+4JcI45wRckA2aazEmoelgNIGKLEgKoT1/a2Jx5GPfpMCvNak/d9oi8
Hs5f5yEosZ//ii5EjvfO1HXNMHhhWnuUbUnfS+xRH/2WceMuh3kBMPzdmjKdGBZwjvbU5+g3iLMu
D/rk0oSdQ4Vk+UDsZNscHIyvwdFENjNXYxXq+ZThD6x/z2pVlBNsxY2n1YEkLqGciytrtXkZ4FHf
KtWm6uA3ZmeqiM/jENREyNwlQSvkNbfcgNOQNJSKSD/NoFA1wbKeoHoMH+hdJSG5U1rWeVpG88+w
E2MKIKCfw2tZKaBMC6sg31J6+tEy/Ppgt50YC3QTImYIUNqCE1Kx4183SEL1S1pl6UY4aJhMJM22
TglLiJJ4BYLM0At3QXAaR9CBL7BrsKwnIhj/tbNe9xsyqbQ9OrZJcYFw5F2PhEUSR87r5j/jvxDC
LYYO+fuf6G3fntk47YZCMcdODv6YxMtpChnTs1a2OvMk8mRvuybOXXdZ5H0FVnwBV4xEc4fntVlO
cSumT6PwRqFRzQ3KYuaO4DNAe5aciITnFNrfWdDvl129000My6OKsvqOrWJVnWu1LcFJIBKjEiwd
c1tNlPyIzWYMyoP0uy7OlTUp7p5YIQrqyQ2TPGIrbchXJ7D3DTP77NxYDpPC04wMi2hY/e3KnxTd
3OzoZj6N3STPBrNVVQR9sNd3JCE6w6Gc2Ri+SgFk4cLdxm47kPYxy0L42yWhiAChuWDGwI3NNd8E
zLXD2Sm2KKnuV8JBAKmPNkXZy7r6wWDhxElUzxE/WOPtR1JoTXDeslH9Ia6leljYWsYL0/C5PYDA
w2mnj3qr6yl+2PjcY5GR3kP3XZEgatfe/wKC0D2HUS8/q9IbcF4se7g/XZw36b0XLIiueJc0EBtE
b1kgThElZSHIfjZdJOs8IJJNI4E4WZNXOs7287464z+v4cU+9WtpxtOomig68zKa9OjXydKfIEdg
kjJiIwDSd+JuPcc4CnShmyqJTiwE6fJlmWmWDyoMLxfCaNx3/jBP3RkKVu/LSpNFZyEczz+QubfX
J5nGOjttZD7J57lcmtewDXl1G6HKP12aaRSMNQw+Gffg42rBhhHhjGB4XCsbfaqKFZJ8osFjVkzR
wivPwfSm0dzqoqzV9GPD0B0ODbOhBxTBDltNTMoraACFuSGNFqJMJpcIWKq20s3dQDSXECmym4AF
VjHK+OCOr7VYs1eyxuUPruGwvw83t8G8PLD5QNhGP5BVVKOxRW4j2Wmb+GS/TTSJ+grrlqAGWFCu
X+bkMrSg0p5/xXYinwEvzgBsMqVnTR0xfTOga5u7YDRc+GUc6/CWpFCtPyx+yeRUdr4Oz6rmfLnx
HSTec7XrYD5MOljwzPh2YAW1pLFpkZTWaxKazW/QvDyijhPLT/Lal/8szutfTgbJuRgrIDO8kXWV
XLUruIBDPS2rfpN76YYXd1awXM14YsdzKZfleTfLQD+tJFAYw4Q+O/jpxuyocnqDXFc3ZAVISXuL
mcNu+gojE8GUzjK5T6wYoZaJelJwRel3a8Kzu+GfIL+N4dSWMIxWFY/e325cyTQP/HX3UTGJKL3G
9MeXQCEhcz2O5PkENelTh3g14R/6CywDiGjb8DYTFcUNPi/cSXMqmGrn7IYI+MjS1/VxRoRt7zvR
Nm+17fruMInMc49dMivxkUzlGPNLC5iiBB1zsyvXM6GFLDS4/5nSYtzBjB/tWKrs8p82zg5NYWpm
c4VTiMiEJIrKFMlx4UhI/C56dKmH7Xc/zWgsc8B4rrCuZoO4H51a4PBScXOqwxa2bAZzDzpfIOUb
ebe6PimrlL3iTOqCI//smZvQwo3MdTyeZz2RoMg+arN/eHVbjmcIv7DPsO2FRIXxoCL74rR/bfvK
Te6nuKzwKlTGq45rbdDQ3cyJbzZnlohFdTL1zHDUpUIFihkVURJhGKlYPEdcJUQURxIDmPF67DOo
bsuYEq2F962usZlIZKxFVmYnZjhFHfRE4rxthP2anK/rj+ukGslLskbGZJ/x72FdSMnFzIc8yBkM
lTJfCbj1D/vcJ+qqYbj+tesG+SxBO16o46qOQqOpp5dlabLleq1X71+s67g8KvTvX+2uMRlxVdZs
Vsgkvownh/nIWnbMSslahwfmidHLhJ0mPrLSUP6DRYg35wLRedpjf2jPWTm4yQ3HJwnulNuBzxUh
JzriaCcLTtDP16eKsjE9R/zif1y+r4n61iTNuceo3H9pBSk/p+RgJp03yehfMRaobtiMd+Zrdt2y
7uKD2QmQG1b6ezLNvOlZxKjpuT+miHy6Tb31lnOztUWUyfSYXnbHcsNEwbuKALcOZxqjmm2/qqv7
G5zL3YopM9IspicobSee8LG79zCYDryBqBxHFvbLm1Ft6r42/PpPezy7vxmeLc9EnGSf/ugz9a41
t6OLPu3y8GBUdH8alTldbhhs1gcGQV5w6rKV4QYqfI8jbEUIn6dGPSc2dO2BENaVlc55lGluMM5Z
jMva+kdU946hn9f4+MfR6JvbjkwTxbqcZyoG+ehaH8kYCOeuCSgEDtnEGLgI3Q5cnV/7zv4LzwbK
m5nKLD7Y3o3uezxg9fMmYBu1udkHPRe4Upr73pD3+BjsVjHk01udnQOnaS4kfe09u+xhAudzGn/9
NWWiYnnYlebfKkxrb1c0YPFISbJdmAZpST08usI9M3qlHAljM/lPKFPCHB06acnpmrbvQtuO2PDS
j9TLjv5LOdVVaMMU4avz7k2Ts9xtvcd0bme5JHpA/uqXE2kCUfjqiH4PDti6CG/M4iZIL12KZXcD
01J90BS2Td7Z1jh8TTJ7amnQkK8ZjLpXGJqzPwHu7/Zk5pDnJiNhCCtjEGx/5yXbuAM7gkBx49Bk
535pqh9Hqmx5xjrO4DVkrKqeiCrbcJEiFtmnPZiXTwy1pG0iN2HNI8UwHs4hqZX+sTKZo6E6b1oX
Yk2Wp31u/YVCthR/DIVQxf6JcP5s0qFY7COfrabsklD+krIHYv7GiMJYyUNrWI4hcnT9vRMc4j4Z
BCMsE/4chtNVYxcuqApH3C8/2cIQHSTK3kevd7+mTCVvAU79+dLnTX+Gqm+z335JJjRy5dBmd9aV
Vf+07sFFsUqbdDr72G7x+AbcVoX0Gfb+2huUpTulpikjvT1hvhCapfsdsWcaPzhm9tszFVDpH/2O
Qcp1hYnNQedySrKjorhq1rs2Qo862jle/mZctUuhayk5qrVwx9PAvc2OvOdptH/4b48tnsQhjxtJ
jGFE8qT7tCEgiQOsr7HMqTQGcwrl3i85tlgFHTNi7I9z8kIzoO9aqFrk7vO7pxgDexruJfGdahNI
YcInS7viewddNU9WUF3EqSxcDtxLCcve4EFszL4R9vFQ3pS8glmxNWiYRJoPqaB+kZcQR1DEHA+Z
dNUPmaYBqYj4o+ftqDI/8gsPWfxP09ne5uyABv5xTuokvNdK8HsMNfDme7gWWKhl5kv90qPR7qeN
jJLL00ioOwvICOPFHuuxP4VYVTasmHQ3LSQPPFHc11yCSxx9eBKhqaDS9YZz52ipbu3SNS+ekoMu
Ft1uzmFecekykSVuLg/Rrx93EjicUxoRTHkcZVXJG0u8Zn0bpnKhUg0WPJp8NdSfY2O3B4JrKxBf
Uy+gq66taGk69agpvbPthn2Qtv+4ZAdeQQydn6egxj60TlJ+2Sjpf5hFpi+k0yCJz36J/X7393uS
r7rHns3nJzsKo44rkwocnvPmP/cUwsy8GXc/hwuXEDNNEEjURlaZoux97M/urJeTJVM6IwWUKcVh
Tmv9ydswcZUiATAa9yypDoIq9A9ZsgvLEpvCDrdVUfpTrZlfHdtGd2uBMU7Lq6yegp/Bwd56jHtM
FTSSqd+Azp1aGTOP7tb/ZlYA3lfNHXGZacf6FO5T5z56G+d8wRjDV9dBM5f7ucOy/geXFEsQ/jak
L15iYvUoMekZJKvEs+gsaSke53TjkNbpAsZuWdPoq25IGT8jdTAtE5VuboJky1hqgGDfX3GpG6yn
SeUekyhRwxFPK+Y5zQ7m7U5lueG0AzB4M3iZ90sYLa7KUWBo8qeSH2prbEkhI9zwJk0GTtlACf1n
uWQtn5K65Xynb+eQ5UPSJHVNH09fHhfK61rHZI7W4HGCI9l6QXo1NBT4R7ahQkmVM0awocpKJOy9
SJxlbWyHv2ufzu8bQafzjZO49roz1RI+p2ZPt5DBcrN/u9Ky1hOOPqMAC0vsj8KdH93uHFwHDObt
yFaunLLTPkf0X2i3az2cPGf1GlYY7PxUO874DfGDfnhzXfUpmr4VJ6xa+JXbZUHaF6MUEfX56L43
TCzqF/Zw7CsdCjt1a7plJKpxb+KaCFy2axT38Eap/l8fKruSaz9zkKn0Ys9ygxT780CL+dDiuXwF
KsC4LZzq6W+CV83kaZfJ2yQQIjym5YyYo3cSkJE+eH4g3q66SGs/+ly9qn3bmrRJcs3ApM7Vhs2D
3etmX/Kwrxt8WJfh4V1K9sx69EpNXZkYD6c4S9dYOWzg+CgoeoP+ZSBp/I+08+qRGwfX9B86AiSK
IqXbyurc7dT2jeAwVs5Zv34fzQILd7nQhTmLufCFMWZJIvmlN3yUSx4ytwAn8VP3sJ19PYwLPGpz
Uc1BC4Di28Cc7Ppok6YF61wf69eBQca+NiKyLxTsy58YMjvRTVdAW6OZKES2M0abC7Y3StkQmElp
7/KckQZI/hpsCYhCAPSFoCDYZ61rtPvKC6cHlJNG9WPhTaKzQsZo3lZa5rCkEtxnD1GMae1ejfac
njI9yZr35XBHZEvWwfgZoineUdagX7+ZSCQxajaZhdCkr8pvaG9B+uJT2PGO2egKOKpM74dZgbza
gBzP4ofFbLN6bygXbBcZicTSuJEFd3NRD0F/aCDLtCfXoOnOKHcBNdt0Fj3mFuxru8NRpPRA3MxA
fGPSb4h7ITZiexS9BdCWqHtI9Vjda736bON8Heo7Zc/WD3tCu5jJ6jDKI42laT62sTdW39NWt2Ib
D2Dkb1a0WLXDFoMeCC0+d9gpI4TlRWrhuqfWGpPkfqmt8ifF8fzCfZbGR5g08b3Rqr46jlMYO7eA
xL2PyFPFP4uunxE5A+UsgQUXDfZfZRFHlJRIeG9yPRCaQVUVMVUJsNMtZAPoSIxvQ5pMJWXiAcU0
7Pzq2CY0A8RzluOYDJ18glhlxYdAdMkdMsxLt29JddOHlgrjUPQ2ulueUTfclrHR/MbERyY3AA+H
V08G8YOk0ph2wBG7f0Jl6tfKhnb14HpjU56WxuyedTbZ6VeTDsTyaQmHMT+53Rx27FFYJLtC14NH
ipDq1k9CTWzh8rM+TRaqt9tMZtxyJPtcu0TAHl1RqqYWNVqrkEdj7KWBx3JbvNDAjn+XxmD8rIDx
Udf1TBOBDvb5dyMvyBC1hXfBiZmRivdOlKWkT8kU7UWcrCMv144BKJHN3jV0FIpdbQLThdtup3Kf
Wtpw6Nov+kcxRQzvrAGmENlLnS67qYBlus90DJ5wQIbNPikDBMkx6RfxVfcgqnYWwOzsaCod/FAj
P7Xpgx7FI+Zxj7BGgFr1E7CYVQ0HLE+XF3PnO/S+D6mapxrEA3sphxBXNF+iZDAEY55VgbCxnXE6
1vQ+ay6F3P0Oh9h+Bl4hfnCrD2rFUqXhgWZjHX2wIrOvwPYTo7vnKB1LJjigTIN9kk/zSPhx4vRk
iVCQZ6uZ4hKYe1HuDNrjr2Udyf5oz5RazLTCMr+PBCYqcPuCsn8yI6dqd0M9D3fpkBbgTQFHUjrh
bd3eQ7woTWCx8cLwP7crnCVlF+NCj385x5AOq3USVaZMcF4T7B5IG22yQxCouHWSopaPeE5EzUEZ
axumHbz4iR9UfANnzPvZLMzJyNdmK6KlUIiw+mAHE0OPfhk6YL5I2sOKGcu5vUl06eV7zwShlsK3
A4uPWLl75I4zh5MRAWAFHOG13I40yz8CUJ/Jn51ahPdh0xfdw+gtSw8PUi+gF0zoEIwuOjgvbQ/V
/khPP9Av/KiC/i3UnWA7Bqb9KSgZ7G4rK6bc1VHkBYDxCi5jLwIyOJs9tPMB+MBdIAxHHwpID7dp
yqZ/1ibKSSfqdAD61FiA6FRtGcFrlk49/dCiHH87ABEWn7KrmY4GY177Brg8iaYqUvsA1D1jIyVx
et+X1gg6FYz8R9hToL/Yp2X2QvLp/QTymMIb1mFfb6F0CSpWBEKjj6qOwu/gjPR8qJDydKgk8OaD
sSW1ONT5v2UnSnk2546e+08xVs24AU+b3NMjanDfNWg0oMeVtr8nEdHlphkE7r9GNJANVBd87ZjE
fTmYTl8tNyVHOdxlMo6f4jBPYGhojvJnonMBFwBkQHgfgZZ2bwCWx/auT6GjApZkjLsL5q6+zTMb
D1w6eO6XGtGp9Ah3kEymz9Ok8nVjpdGNJeISd02MISDoMGJCPTOkH7gJA+be2yaTbfVlLFNOmRAJ
opbIpWGD4BRm1+3pdrvZI0Bd1PbVNMNOmUUVPmIdVxJ1h2zaMwSQwT5PRlrclWG7n4oQfBNPOo/B
PYcMiMVazH0wQ2n1p2xxyVwC7XJFKAeikoLs6+5aqyX0e3ZVqrt+0tAONG0ALl9r1PdjqpbXuHHA
y7U05b1tbgdM3bzUpKYRyTA/5azDW4GpEHOAKyqRVOgi3prAB5y9jfPGuM9teIH7wpJ0KMqQvt6m
b0BabVUoZHoEjpO6BxG7uTxOBsNSNLnwpTfdGHht3c52fJIqiOUB82F7xY85yWPXjUEJxi1V1eOS
N3HxzPktlR9Yxjj5ECloF2eyf4w0TNptWUUDgFFeIrk48lXCrKz+HoWgyb3xqqZ4CGcI7b43ozoC
/CVdqCHi2QX9EiS/F5iujc94k/KJlpQXm0+54bjVBom1VLLbkiXb5V3klLuGMeqPNmeUv9etUTbb
WtNDIsVawucWXsD0ve5sZmQxGVu6DwCHqGM1MO06VUOjyRyxR/htEyLheGj8mXamEklxHHo5jE+d
VaYKcl82f9YjOv4soXIXwoLd3LrlFJpHswP3uumXkPEEkg9c7EUIX5E+VE3kwVR5tjdTqix+aJAw
96A5lwFXNg31y4t02GxDMUXx1m3m2trnSFr7k8f1uQVticypswjVEL+mpv3UDuGimFPhrlSSNJFa
N2E/f2rTwH0OGfFYpA5A+nem7IJkawFMAu9cRtCeC+SbYXVkTjtunEDX3xmFMLb3Cs+mhpURUENe
TkzPgrwwPQEmt9K9sPVCq0b1MmYKBql4j3xOqA9WQ/Pfn4HS0LQqgJ+SgqVmSzMQeN2u1mNsbJO0
JbYFKD9Kf1oAlJ+cKXd/MXOAjEU7KAn39lRP9n4p8/kTp5hxImRMLI+tubSOdoEWLYIKg/xYgz8s
70pvnLubsHaGzxzw1aFv6MN97pXlL7uz59/AdWMYZLUxgwlzSZ5VD+KToOHCf6oS+u2mV3ZMvCHV
eUdjapdmO4VBsOwb26Z+Yrs/lWCkfjNE93ZgAFcuEp3p5nWZhyXhxyly4ZFyA2rJENaPDKlq0sMJ
zItP5j665OVN427KYOHWsz0kHrZQb4pyj4mHA/6l5jbaTRGy8BuS2vnL4DndB7u22q9TrudThkxR
fFPTp77VKKWtJNYR8k2GkQo4Xo3+Pz2tILmrwcC9iqhxC1LL0qqAYXNxs+V1Pe3RtAroaGK3ok/u
aLjpbrYjqEHeiPJG5AJ2OFYA/ZB0MGoXRIIbFk8YhdVfkbuNXuI5Nb5afcFgJ9dEkzu0sTJ7T6Ny
cLYA3907nUwQSXDckQChTEz97FQDkMgDMZ7WISijPUD39NVB2N23cqp+mNgfj/t+kggRIKgAZ1y7
ZaiOE/4dHh3B1WG7m5VHgUfs2VAseZ9bsHgxvJmgV8gMBc5HBzRzwohGTB91vtRflEyxnbKtMvre
cetN+4z+84/aAPG1AWQcTkdU6c3vbAmUQylTTOoiPU6PCEzIVTFvcSQ+Ik2a7luvb9snfF4aQNX2
Yv1U9VJQjTCHK3alRk17Fy66+hCj/mPv66oPn2IkpH4RzLXaGX02CwppywZZW2TZj4JJ3QQEvdbU
NcsoQdnZKSOtZiiBEy02yfxSwVkFG+umzkkLirNtBO6e5pFAg3mjGvQptsKKmGjIKfTQqIiRM+oY
0PTHNCyHgDA/qlc83Ef4LXbuPIY6pBayEs9+HQItxLEv9fScxFmY3SqAK7+VHuLX1qg4yzln698W
6dLvULzL9RZppOizLstkONXxAl9Dh9o7GZ4txgf4Yfh8Dd7Ug6cUsT3fuArUKcnjQDekTPEw3aTd
pL7O4wRMYOq9LjimjKVvLUh78aHCPcUkNWrXtjGESHlcjGW+6+tu7H0BBc/bqZSiFcbh6OlbpqRt
ziGs+RVGX9KIhqeZpMxA0ZTYOVaXVA9FGCBxwe41P6XcFsURyBZeT4adzu1LqvrkKW3n5acF28Gf
LFiV65x8ho44lHV4AJXnLJCTXBrWXqA8sZUVWYBfqFqaQFEMNOdkHKXh0UGbgaG8I8twN0nyyyMd
+cj6NrXT+LGUg9EeIDWq+6UL8+aokIT4GvdUFrRXq/wFQGcxbkaHF8c2QKlgS8REbWMM1PJSZr0z
b2gkzKB3GwMdttBSoFl6Y6bkodqfw1NIj3IvzIkJfxLnliRxGepfnXApEjqgBd2mG9UkqXaW4Dnv
c9s42BAIfppZZitfjsL+p18qJ6e1osynYElzIPel27+uFtKARSD+kyrIwnNuFoCWWL2jGvJYoF0F
lJlhUn8zV4OzHCCbF08uDXCiBgqk30cI9DTNXaf97qk8Mvye9tqHGn5CsoESHT90oIgTZkCVfLJo
hbPLZptZgJjLOLiHfxjD80wb77G1smw6wsvEhFesExkQNPUHw+poTJmF8KK902U1x8douv7RG8Mp
3M9jhpVYi/J7eeJ6IuPycgtDX7ZjhnXQ5KYZ+0mjJRIXYEeikOkYN1Hn2sdKSAf8zr8donxlhtLb
IExtZ/jdt045Dey4HBQTiVPEJAYNlx5ooMXM6kfaRN5jQnhDHYZA8k1B72pu4igIxd6YNP0HGhKj
vddojMQ7qLf6RQSLBeTdrqIcu4pGP3VRzS3f9iR5Rl7DjkUSB9wejQsGchvmCaG9W9Kgor8mKn0w
mUuBcSoi29n2zF7oP5pm+UKSRiI3lqYF1a3lmjoujj0/ZhZ36GaYGaONThKvKXRDv3kZVEJnrIyj
bTyBA94MAWZKt3ZlZu1KRyGV/EFNozWKII545D0TSxzHxDEMPv38LNHj+hKUdYv4QmSDw19ibpAD
ql1dc2NSwbyEo06h4TtVDEQIQtWwKRPg6Pe0HWiEhWUrPwduGjx14RLcm0xqgltZqkVv0dwwxr3n
jVa+WWZLzbdVKNFPmzoz/437YPXViPrg8wx4dPFTFLl+M/yIMTQrgEBs6CoOqILXEb0xK/DyO+Sh
uXRtOUQ/0DOK9BFROcwS5zmbFeUPsgi+oav6MYhqiw68ovDaOw2jPj5DVMBjclRgn7QBiB4+vlpA
MzZ1wwyidK2dLPJ6m2I26JwYizGqAB2TBDu5aBfwGkhnvDfSrC9e4Dz0T3PSD892XrZc0wDaW9D4
0fSlkWt9An9kuEGLAdiYm+Z6vOWOC8wP7EaIFGq2iwHImuNY+zCgWQIRFPzahsJ0Fd43u/E2cCew
ko7hoJbJ8C7fKje0zHCTYrH0T82EfYWswTTe0LQfvvaWCwKcOqV5iboKyD5qOLclKClnH8yM4NBt
CuGjBXYY/wrr3pp2QMaRflk1M8RmAfIRHBz6Lh2CAbb3xQlE9Bmp9vJDOsUcnFgW3WlWpWkyhonk
LQSdUGwSNg3S/+Q7yd5JbVQl5tj0jqWX2HdMZbsCN27a3I9Fn4HJoVHtfOw8d2g3VW83HATgPwHt
hJCIKUkf24cliGtvEyJW5Wxbq1hZ3CF5zd4IreRVtUm9HGoGLf0TP3V6aQhOCPMbtUcHVTl2t1+g
G4CnJHYpXpfDhDOXS/sZySemP1nmVj9bb9DNxgqVS6jIepgbgDjAjMimAwkYruYI28QO8vjYmBNI
H0RxsO6gG2S3D2Lx4o+0+pXzwEbM0AwVqg/2Vu0Q02j+MzoPe9DWNC2dOtyb6YgiDP/rUO+RP0a3
INELUnjwGRH5593CuaJ9ROMVaQed7Jph7JJDi6RtRIEVDQ9CDOYqIuBG98tiG+6HMJDzx3w9jLQn
EqrcqvTURxMECPIGTpXeho2b2SjseO3rwNBzOuZw7B9yAgJ2agW2sCFjp5LQ0I/fOqSh/0ExQd5J
I5dIG2k3cLehBER9A5PNRMG5KicfdSLnpmmwXNxAbAEVsZBZsV+p851vFg3RLxYITdImMEc0NKFv
6g9KZHa1H5pBoXRDQN62kIx8hCiG+sjfRemmHSfIN5lQlbmzYRblB1f287dMj3S2lyHywp2gAs6/
0ZR191B815aO3ZA3U94Z9glAYX8z2AN9JMOtHfIS7XjfmZ6JDBK+Fa3xAXVo+BLZaH9Eic38MLUi
+2mwT762+VTeRzKcV9pIwA3qBHPxE6K+uTKULdplHiJ2/0S5gZkd8xc1bWbi163HTp9vM5lnT0aa
pM52ARecbBwN1OAVZYwQths+xLDTkGemb79QKRJnGDbvuqkaX6YkWbqXknEdvCmv6T7n9CSBhiJE
/wrCYnSPwMfsGhRQwU2JKaR2NnVN4XkazdJovzEYN4utGOO6uqOvUd6U5FfLsQEWI/aRGRpQGoBw
IdKTT9EzeYj4ZoUB2WexABsBs92BgVvMpO6Q08H5YVMzVyppK9tVclwWb4ZRVmQkz5UyPfZcVEjS
ZC7A6ZBTwnELlK1VPQJzTR8g0zTJ3VhlDlAgMwd0lYZ2AVo4keHeoZdckUIO6xy0RoXxGRU0qOuO
FbuFD0pG2VtwWcF3FLjC5KnqnSY5YIUhin0jvBFQpivqBwyc63pjxSa/GqKNEDfCBf4NStvNjpmV
Z9ENDdKSvA17ogFUVjubr51bGb+oxgve7ljq51nlEujlnDRqg2xkH3+ogX4d7HCa+30mJir+RQwt
AFg7KA+g6pInC6UjpKLKsloe4rq2sZ2FaoMBHOjbMH/4H5CByujibvSVO0Q3yHNW+n4QceBtFj1P
1u5/RGA3ElBs7i/BgFOWlRdVgeSOLLL9iCrwdACFbpb8UwughDKp5lPVzIXeZz0Ra+75cBAn0vGK
uucFIVFFgoO8Juqu1Cjr3/+hYs7wc2bQU/U+gtHm1nJKG1wI+F1BnXlNHHoVQT3ThEQkhB6rQoqS
/840L5NVLRRGT+/3yCTsAkSP9rES7sOMOMyWDpH+ZgQL9YRHHshMG+xZSTYOETCxr6hvXhKK1DbW
8YyFNLZMZ3KtBluadpnZ+61eukOPHiYy2fFwfF9084IGptKIw7nCXl0d7DM5SiOkjTtThvh90Hzg
A4ZfbBDm62zR8OkfUETVGYTs9xe1Lr5lBPAt8MyYB517mhRQIMeApqM/DoP1BIzBPUphGVvJQOZA
1oVyEfiafd6qZVeNab3B3NTbVmN5zZT30tZCtuv//ZBVk/SPrYXaUqMbxUse8hz1PWBWrmvFt9BF
hysWrRc/J3ANDKFWYfe/FF7VpDItm95XzI+Ptms7DwrZuCua1RdX0VLztmwbYNvZ5xzAp/QWCFFf
4M5Kd0o6p3JsnP373+/ipvljlTNlbLsLFSisqfcrSNE+DhXh3mU69AUlruImaQBSkvMNV87DhU+F
5Y+JiallanyFzx4NA3mPRqPsfY0e4t6p5u6hT8cA8TZof+8/34W3CBYUVI0CroRa/ZkAeo/YEniQ
pPcxqhPwZzvlHoBKMjz/r+sIdoNp435joSJ9ftlEBdc5IBZ2X9LaD+UigIouU3hlT/ytq8sqpJG2
1HAk/1KcRawRXLjDzguQWzy4ZS0+Bd5kTDdLnAifPmAgrlizr9//7SWKHxWWktxdGgH5870usDrR
6BG1PilC/zlyKDOMJEv3U6FCJJVXrf9Ulai/BUJcEb791z/gbG2NdrCn0BzHb1Wv3/bPE83UBSJY
vPjdYCjLTwH6Ir0kDY8CuCpE6Q8a3KHf9ORjJ6YCqqZMsZybvoedcEhNr6auCuAUM6NHt8XJ9Jxv
oUQEzqmATguIIEcHlEmr64U3uXaYwlfAuzcZlPx8jx0UCNkczROQgtkiP+pmsasr1+ff2xOVawKD
BDEj8a45cx+0vKyM41jMfuSm6iNCUeAYlsh8fn9z/n3e1lXW/cINjTnS2XlrUiOVzDRmRlXIDETG
2EEujIQ/Vkt7fH+piw/kKc/1JBKKyDK9/WYmVNXFDTVL4Ze9TyWd2RU6eOVUX3ogTC5wkLOVVDTa
366CgJTXNJ7EZBAw0XZuHaQPFoo6OAvX3AYvHAA6mya9VaoezVTu7VJgmwt4i+7khxRI5SbLR/Sh
+nGVNELAUER3yKxG30evB3YrMmOOrlws679/dghclrekhrLKXODsAqObmuS9rCefdolBCzFnXluO
wPToONzWtZnslF1eMyG/8H5dOoAOTmVcMzg3v33oKqjiRHfN7CdGjKWHGrO9bvpxbyN7898/JUut
PgkSBw+MJN8uFaoEEfmUvZnI6VWKqYfdxaxX2TK/stLFN/nHSmebpqsNJGT6fPY7ktAXsFvqofDK
GWqMGPwalRNmsq46vH8eLi7qMU20MdIxyTjePh58OApoF0JHC3jjBycm/JlXFC9uIaz73OrF95nJ
64/3F730+SQxT/JSpWue64VDWwsZ6qSjH8JxualzOFaGhPFAi7q58lIvLeUqIcHieZZAkfDt86E9
TYk6VpM/SkTBR1lDPoqHf/pp9K5EogtvEvCE6TD2IBbgQfV2pXqWZTFYavSTduieUBG1DzPmIZ8Y
7dZ3bhACX4zNn++/yItrYhUE54wYCDLz7ZrxTEfRWsejA7DgnKlvm91mSMzv4gnhJDQCTOR/ZtDk
8vT+wn8HetuyiAf40ZpqNfh4uzBYuCJFF6km6DkR9GmG7RkeGL/KvC//sREpCa98x7/vbRaUpkOc
xehDnXv5NBy8MRJtjZa90VIzoiWXp3F75RteXoWUluRZcHef7RarLVB3nLraz8sJ+IgHbP/ZS5S4
8jB/b0oeBi9al9Aq/v5sFq1TOQRd4zcjemagd9rlqOgnjrsI9eLf73+qC4upNXrjyoWkr+OefSqm
W7Ou46jzEdwxbjvsBw/RFOQPs1ldM1xat/jbWGAjwUk2pKzVVOHcmcsbHYeBQtD6VdXW3S/0mqmi
RD9nDwgUgpoeGD4ON5B8giccjDIqXYtQ//7jXviEiCBx/IjtmMGdlyUoQC5BSkvVd4KovzO7HrgL
fKPP769y6aWSrXhUc/gHOedRz42XsgNS2/tRLqJDsOTfYe7mey1BG7+/0oWTtp5tzL41xas4fx6G
C2NkTbrxVbKYx35yw4QeNmLQzJyH/ojkavffLaepCTHyNSmBCH3nMaEqMVOwkSbwzcaYnogGqAqp
xbsVEHMP7z/dvwnk2ZYhgBN3ONIrfnW94f7IoWH6ReBgEEWScD/zm9WwrmFiDj1nA6tC3rROU/4D
NXb8jhmB2HMPmh8FMt9X7rML35MNgycKP4G87TwigWyeRC1W3AKY3o9o1zKmdOPWOM058Pr3n/nC
F/VsBIe5znBFIgy+fWSt80z1cdz7MeiuW2OsnE9B3ecQ/loaRchA4hGz+69LSgDkXJ0SgApGQmd3
AEidosjipPWxmEDJwVF7Zq/tzkT2fFuMMNbfX+7vM8hymDBirmIyRtRnmcwy0u6KOrfxIyvqfQQv
yqPBs15Z5e9vxiqkvathmUmv7uw9ZuCKZTAGjR933vKA3I57zEIPcPUq9fL+A50vxZcytaJXR+RR
uGadxQWjlij39wYD9Gaob9rSbkGq6vIQOvF/TVj+XYrDbrtoDnp/WTYygAFF1mSmj5NIcSJpeYU4
OK6srPDK+zv/Sucrrfv0j6NnIeCQpl2JQUVUjYexD9ROGsh3vP/qzmPCugoUGpMy3aLqOq9PhmS2
iBS95VtkIyiuOuqzbXvaJ2fX+6Gzkj2qkN49nintfkLj8Mphu/CQOHXZnG2LPIVS7O1Dplgl412E
ZKQAdHFTGG5/ileywfsPeX6keUjSIQ3gBaKjSyPn7SqIeSkZc7P4RerATc/hocbIeOIjE4Pqxg7m
Pzr7rOv93xxFsCeh4bxdr18MsqHAMH0Gg+awzZc0eW0ajR7d+891Yd/z5siDXFAy5l+RYADtMxuF
ErBX8HCFNZ0saCx1NHLh2KBvcGW5Cx8L5CkvkHaYBx3sLBg4ZQ1uHP4BZbMDCalOkjs+rvbffyh7
fTt/xhzeHhc9ZYcwNUZ45xeH6FRCMQsKjxPfep/jsohocMiy/VhXBhgwF3e3mJ5KGB0K2c64X9RC
EG4XVDLBrw5ia4SxheCJ2+v4EHpmc2JvW+22cT0QzvUSzbggcK1CS2ee91w2RWfsENRRTwtYHVo3
mWHLgxrT2PuKMPOMGkolBvDX8AkEQzGMTm6mwEz7LQoyRbTFpccEOw7ic74Sfy99YBenNstk5qFp
WLzdSFMo0J1BtdSPTDfxF/iGm8TISpoJkM3ef+0XzghtU147Vu4XWklJgpAFevILslnR8EXjYOND
Rxt3veyrf6Z5+Pb+cmuMOfvINqMDm4Oy9kfOCwa3GftiMVkOmz50hZYw/43RpPspxKlii/iteETb
A+fnHL+S91f+N/n7a2mHUoWKhTboebTNszBp6xq4Fb3d0LmtChm/gofwXgbDdVavVRdNu6gPH5fe
qF9F3tcHcP3qYx2U4suIEsLjQMtw//6vuvCl/+3/glDnpfzVrs8nywrjVGKDCkH7FDZde4PuR/kJ
BF1y5QVcXorRFtNXtfb13m4qTy5IGRiKL92ZaEaWDWgdJy7uSwOAyf/iqdYuvaAJxP1+FpjzQdT4
qhMtETKBu4RIdrfLjCh6gXHePb2/1oUNbK/1k6LFLTGaPnuseiYFSVp38cEHLOnnkNzu0wSY4L7P
EAX6KcRsXAleF1eEybh2nmz+OFsxMvI4tNJi8a2x0nDskZQE9YbTSx/Sh83Ca87U5+0ELkbipO0w
JSBr+6t+awej0nXazX4ahWI3CViPQwWSCnhGDlI0/Gl6tvqPmfe/a7InuYjJeBg/nm2WCBxnHjpc
wIUuXwCHwOcEAnwsxyz+/1xqDT9/JDxdyfw6HNzZX4SbxPsC84HnPAUbtDEyU8xXtubFl+lgLauV
jafheU6AVLByI2AgvteO1u2IwP+xl1n2ewXPn8Klqj6ji1td2aOXjp6AxSWZYTNWOg9tKyivGnu6
lQ6ko4cJgcFjVzUxckhwuN8/DpcuWNr2LotJV+nzU560DTzvwpug6QuGFGFZn6ApWtAlU5S/RrIf
bLFwKQWAe6VLc23l9dj8+R0RP02MueAhQSZu61yDfvJmREWnwjvJyep/DVELpqBRZXFlaevS2usM
l8OGta17HlZqpxoYwKd81aFpSiJ5FwwgGud42CETnLhbrEaiaVdQFo1bBcTYn+G1JkjwB94NOlqu
tTEhAERbt5AhEtewo1FXm6fA3TRO3WJWtIgRXvSI7s/+/Q92aW/QBSL5YS4h/8rE8ygPrBm5M7/O
3OwweobeIR2QkT2a7pW9f+niIqEwBXkc99Z5vWQOSDzLcVn8oannQ1hG7Qm7nHJnhvNyF0XlfHz/
0S6dNaQCGQOS5Du0et/uCODAdhgi/uoPXuCJg+zt/h5sSxA+DXYpXD8PVlUJK227l/cX/ndedB7r
QYxAPyDUkymfraxC4pyJwIVfGpOo0JaI5ffGwwXG73TtNkcJDsI94NSVxvuxSSPUDWroL+AsJ+d1
RDaheIR1kgqk5WPoTEEpR3dXzTFS8S7yAumhhfttnsp6SD7lKKGtWjlB1UPgiJrwBgz+8impBxOM
0uwoIKSg1+S3LoSOvYWT1P1cumVBL8IFIrSDPVN/nMdEg2h26wlUfo/i3S2qOTa+Qe+/mAs7gG4t
GmEe0YQs++xan5KiVXB2J1L5fpUxq6zMuE3SaPwG3DbJDm3fx/Xhv69paVpk9Plp+Z/nXRWeEtHQ
GXTgS7j1u7oqZrYdN8MewGtgQVYdaHr8b9ZkAi0dz6ale5aANCHd4alhzVnqgI9gAWjuuBsOjjFN
HwbTu7Lh1hh1tt8AXBAqTZv2O3ONtzsdgUJ7CBCh98Mc74ZN0GFjs3UQ7r4GnLlwpCS9aYcSSSny
grMP6KEQC/Esn3yJ2kOEwoRpGWj75LiVotWaIvMfLctd0s7J9/ff6IVrSkoklsmf+YOh8NsnXMak
VabDbE8gM449hIpnb49ljz3sB+GIK+PLS/uUPWo50kLuhn7c29VkPqFZC5HKr7ulR9uoQwhUxoaY
drpb0CtRCJhfuYcvhBBGGA5blOKVJs/ZlnHLKOzsqF5AJKGqed+lKz1YRakC8ph/V4ZxrwttT9vC
7YIrMXvdHee7h3Hpmv5bDp7AZ0ujhlaYLeWpz51Sn7j8s33eAdBrXJn4OMrKk8K2alc0ibFsqqFu
rrztS99WeRTXGBXY9O7Odi8t4Jzk3OJW6IpnFyshH8ODHwsuLMf3N5F1aSWNhvja+/HIv9a//yNH
SC1UtYqw5ruSJonHKHFoqkI8MIodKj1MRDbeklf3tu7hBuP5Unyr27o4AdJyP5t5YYNChNn4g1NQ
q5sY3ErnI61MH+n933nhOBOucA2RgiyK9tjbnwlGpdNePi2+jOBuir5DCbyFhXxllfWwnn13+DKw
6+kr0uU+z1oMYeEgiCykbxH1s2Mw5H11C+w6vOnxB4KoPIyNDa/GSm41RpyoPYXF8pU+bok76ZRC
bQFAXxxNHQP61xCKf7UmyG6UlIWNyckidLdFUQw1P/R6oJhQYmL1FeQzdI/E8xL9QxktorZIQpvi
lvowm09uW2O6rKROR4RMc41KcNXNfKQ4rRDg77is74Z5Tn5MMqqeZRyGv0Wl8m4XjFYIezfAgG2L
WSlGNSjlNzc2qnThLjfUXOCQM4ob22zz4uv7b/IvOCHliqJ7b62VILPI8yIwQzAWsYTQoYzuY/GT
rKAa/+kR+/kCvzpqn0zZSmreeFDjbd1PKIYWfJhoSyNt/q0BiedXAtCFjU5Hn6NEf46k9Hya4FoI
XGa1JX27BPW+CR3rE1W+fMJ7cPrw/sNfuCupCZl3udSjPPp6sf1xpkyvKcaycvDWNLhbkHLraqR0
Eo3HcNjBG31hzBD994KGNgo9SGA0LHl+WYZLLGKk/23UIHKlTqQNXnwYBR40r7O09LVp23rezg6K
CyrIQUBvrfTPU4ionRkuLpbt5zYcbhvWwrFRWACgvJ5/Ab49HnKzen7/tV6IB+wnmsdKMsuwzsFC
lI566IpIMtXW4E8ROhJYi7v5+NTUHtlzPdCmCpf0Fgp0eA3wfOECwpAesCPQHa5k7+ybjvkC5x6/
RVCpKHRDdUI+C0n1/37NEchBBjIphUhyjpQbY7xT0rlQfto7I96UGpvtyLrmd3/hKLgrImiFbDLC
P++KJ53jBZKEzJ+Qv995aHlhtdYZe7tkcvj+N/trbsk9QA3oIFXleRZvb32vf5wFcPgwd7Fo9ptB
wy5XuXMn3S7ex4aznPSsZzrFefcq+8HeRYab7BZ8T6681QvncUWc8OVo3PJLzn6DgoOAplSifQfa
0ZcscTpEza3gULqj8wWf8PDaYPjSUwMqlmtfT/wfzs5jOW5kS8NPhAh4swVQxQKdRCNR0gYhUS14
7/H080GLGRUKUQhO30V33AWzMpHmmN8AjjWXX/TPrM0m1UvIPvoS7eYY2mvQZeYciqallS69JHz7
JuxxkmFEhTWIBswZZ2PnwtuctUmUT4jIj1kfl2QSpzFMRQNpTks9JrByHdxy0KsCUuAWihHvpfwb
R8QSKVrL3PkLfnuFgYT4nuqx3xkenKfYRCDESlCqVXO3NbE2MUp1sb02o2eADwhHmWKDrT31/kmL
a7un5OuiP2/eRGjQfL2+Cbd+GHVPFR8pGZUYcRU8SAUS9IMoaJxdU302CHFtreuDnflvXIms9P+N
srohNASSMEOPsLtIkHrl2fuBL738Ng7qzx4B4NtmaJWdMPVvo2d1DfPQ0LGmswuRxlrtbKTpCdlN
XtmyzjrBLg2hq49FPpbYoeAIbLfYuMDTSREN+JSjZwFXqURg6EGO0RS+T8S2/45Y63TC5cbvv0ep
oOL3IOcI8EwopSASAlILiUXouoFTD0Py7OsDbkaJ3OsO9dGFLS+k41d6OAIOiEHQaLjzaY3hRiBW
bsKkRYNNwfoXxiEy/ljG1LHkuziTaP6z6Y/gkgplqSsGQPEDtxnQdkBkV1P3WribB1Kh1AcfFYKD
qMrnB9JAHAsd6UanFFZM1jGOCd5u6soQw5OU4PlqN7VqCbY0RcZJ0rsJAQYZ9CuErNDXb65vx43r
d2ntsBuhkADGXp0TK+qkxfVF92Y6DYdYD7BHi2XMvaxM3LkDNp5MhqIyvkDNl47h+bQTLYFmZMq8
WkEU/k7gOKFbXOJPGNTTA8S38dShQ3BLS1/bC6X5y+uduaAaKJ9xKdB8XY2cIf0ZT7PuNTPib7km
9446Rnu9sq2lpAdKlkiUhe3Xav8jvzglkWlo3jCPmCUGUsbNFitvCNV++fhH42aD0mAClyKCPJ8P
bhl4xCgZL7OF33OSRMVPILfKQ9QCp7g+1NZFQq0YQ+klWKUReD6UkKMwWJbsj2w0lNtAE6pXPcvk
+4ik+14ekVs39HonttpaSIvsivoMh4Mr8HzMIEZ0LcaN1DOUoDMOAkFY5kRaXx7QV4l3koPtwcgL
QGMTtMqrw6jWVpVh36N5EW7m3AzFol8uxSckntSdA3A5FGmrSMAIIY/wWFltwymKtETtuZQtOZ3v
qnpCrtrX5pdyDvdqucsSne/4JUNWMKWgoEuosRoKvYeES1XWPA2ePexoHvkM0cPj9c2hXx5pabnG
wOguwLOL4p3Vh34od7HiDYFWWTcjXQv5SeuKIbzD+DlPseWzurtlX/3OsalAvZhnFbGwJnnFwlB8
tVRwhU6dxRWyVVIs0zZHrs1A9hUvNbwWmlaq3dhvza+jocM9l0I5/zPDbXjpS/D5R7/QVSqUo++/
6ylcRlvQwuALTLEiuzdRQzPtuKP2aEOyECTH7H39Pe0STbmJEAl8NzS0FlDJFrT/cOpV3muM+z7h
q2r+alHXLRxS2H6Cly6XGB9WRnMTWmVnvMI1o8SVzHPVPzdjGud3CQ4NT3OuDcnR78v5Nw6KdXby
C8T73WkAEoScZiW/DrDjwSBVoHwdkF25dKQmh/OLmuaDYgfIBLyniR/2h2KKW5RCCJgfklLQMdHL
qla8xYcRTUBJzES7MxY59VRXOn3nGd9Ilmm884QbS8JIhWN1IKJWFHFNSBSPKBiHRmSurOCXWIW8
hhhUS+pDXyoDOIokxtAy1K0UPU7ZGD7zZElvs1la9U7E9DckXm1mgDOkkRKbWTLW6WTf9gNqkSKN
iSx8MXFjRuYjRpAMPeuxfjAnoz3g74z0RUzrqhBUyw3VMEZySFHoMQmIB1FVfr2+9aVlGdY/ikI5
zCxyCRqwqzt4zgpkJdNC9tR06hJkQ0whv49y9DjYbVbwZsxgWE5jHqHI0iB8HjuZJc7CLdycNr3N
ymyMj2qU4VG588OWG3n9w2gqE+gD8qZUufphtL/AmU4FclVhUfSokvllfEinobIeJkvsfs6ClUx2
3yRm4SDnKOIHQCMLrxUVH7GvctaO4klA60lxFZxyS2Qh2vYn7fnpUxlJ/e/rv3bjnpLB9ZgLqpro
Y50NaZh7YolaKzTLM/ElwbF0dCYFIcedVbEuF4UCPMhioL+Mpq+esb6DiGWGouKJQ259T/sAAwdA
nJ8UQlW0bbCryZB4HhAgGpsU0aMKKwVpBxhw+ZTyuoD6R3yE8iFYQX7jP3mYAPcbmaCKO5n/eOGT
mqjFZjJyIyjGB0jbTtYpBRa5kwpsLTEPAV0dwPES+OfzYaMSFaemnSl+zb2MBW8W35I4yDuHdONt
k1UFOAAGWwp97NUC+ylMfjgpqkcXAJt4VFOs984qgycVhHR8/PCuIdEglKQgDfdsfUUR1fdjjii2
V5SZ5k0YgjzNbRzs1L03Fo7k0aDGS+8VsMNqStVg5jEKuopHWBnc+iISN5C5qsfrc1n+yuq4gtwA
rSdblHrJCM4/Tz63hq8M1eDlke9bf6xB1hMXXoGK+mXDAXzI6VnvjLmxE1W4DBCNCQ4u++H5rI+m
UUD/kiql+TGICzoFuRHbQGbHLdEOvJ8KnPyuT1RZZrKaKUYFGsUP+CcU7JYz+s/+bxRsq6NR6b0+
wdLkIZMrsHJI89M7Ac5Uf2Z5cLLCarRdBGQDetwofmmHQGvCchGJh5szlCHOIVGWxZIboKgYfBph
F38Zopk+1wLUeDDSKse3IAlL6TUMCHlswPiL53LChftTwVwl+V7yVP0U2lAqTgkXRgOQS46M45Am
CMVmRNfBc2r2mW6HxT45c2vt2VPgMin/iHz581UwQksx1KptvThWphcfQxeMQhAWBM7SyseR+jXW
KFI1PF9f/Y1ttrTmQOvTn4N3u5zffxY/zCsE3FTw6xIkqs9pgPo5ukCGA+XVfOKyancu3OVWWX9s
apT0IklwF5Lo+XiUwDoCaIDk2KpqT0MuNe8Id4UOqgkIj9bt/A7QpnJQf8p39tnGsSW35A7SSB1Y
6dU200q5Kf2aHminNsigITJ2owXaeHN9PaWNBWUETtFyO6AZtoqwq9mMh6rU4ahFHZIlreaLzUmP
JdnTy0EP2LBFMtuYFQmCmyJDNN9pDXvipcOENLFxVPbb33WAQcCRi65H3EyuZXA/hTB8kbGjVnd+
78a247akr7Zwly4JRdiL4F1cxzTxkHugPayXn6c0RXy/b5Wks6PaT71ibFPLvb5OW+NyRYMnAPIs
y2tQSRkrCMcg8u8JhVGe0q6NntS6wBO4T6RPPJMNgqx19PX6oBvf5m9tnMrfQo9c9/f7fkRRfeEP
KuZcopAo4u5k9uZh7IqvPh5T3vXhNnYcPn80Z3lfRbrSqyNd54mo9lhXek3TIf1h9BY2DGqZ7sEz
tkJzerBLtAnJwOKiOD9Us1bRDsTE0tPAQs/uECjRz5wK0yLtm0/YIoe16kno9/ZANZLoRURvXb7p
1UrD+FxWp5/X573xbQ1CGoXPRPAG+PD854x+LqAnKzZehMUmdt5pZDyV7OObtpOLuwSZMfkgpWHx
8ULLEilyLJTl2170e+YkESNaEjAKe4TAfR/3xDQJmlNPWHC4PsWNuBHpZeof5LYUWtapx2RN5KpR
2XjFHEqOFuiSXdWi5Yhx1B5HpfRvJF9sjxFn6Rhipvd6ffiNUqHEpqKbxF1KjWIN6IhnsO2RXLYe
0hmz78pGhyRRjk3B5wixaljqBkJYIJXY7QclSlWqrLEUvIkhyr87N/pGhGcQQxLBwhcEjbC6V0ey
bKQeYe6MSTe5Ohgd3VaFsavdpi/qvR77xhHmBofBwLkCirZ+Jsl3gW61DdyuoQCx14bdiTSrsy08
dFwk8vOdtHdrdgYXJMUMvjaR8vleDnFmKxUrbj2EmiFtV7WCl9CYT8F3PDka+dP177rxOtKUJT3j
oWJrrUejoV+ioli3sMm61ukECVF+TSq8LpaEozGiEDxKhvZUoQa1cx9rMhM5f5gptyxhM9NcerSr
zwi8JfaLFAIRDL+Eo9oTqmP00GWzTRlDpAUGdeRxTs3hxYpDjBQL1ZzeEP8WBhcMn0+V3TR9/RDM
s2miBF2KWEaZ/oCA3tA2mDzM1RjZEx4KkosaVFkfmiFFvK4JAMvcmEkxLirqM4qggeJLfzIL7xk0
HYPJsA2/NF6kshFSe0bL7NHvJO1PYkhCeNRGugaeQs3ktQh8lID7Ou8AejTdizUgQHG0IGogA9hq
gsLHmzCn7I3B6lH90xPAvJiRuRqsRNR1Qn/4U4QI3HmQ9lrDwfdFy90arUnfkfQIpzhbyxBddoIq
1LWdbXb54TnKYDkpl0nkZGuEix5PEP2QYvPQzi7Vl0WIwfqDvVYX3qCPDpokzGq4JjH3rW8Tssl7
0LftH0BcRNlClC4gflUQYulmCLzHutrGz3MDtgaV4qZ6CIjmbugZxY+AO5pPE4zSb9d3/eWZJl5a
Wh7EH1xq655c1NBrmxNlRnOZN0E00BkVMZKzB0RUjtNAWHR9vMszTcBBEMhSk+6gNnN+ptPECCvc
fuAZqE1+iFAwP2i1+F/bd4NzfaTLl/B8pOXQ/RNdj7KcR7hWiF6LEfqhHa0OA6YeEXzexKMcYgGk
jVN1c33Qy7CDQTnFpkQ8TylqFYG28QQfPWR6sk8RdYgU87Yfk3onuKFFfHljEEX/rVnTv724+PNs
GlrqJ0vXPM6Hr0qP3O0PqyoS5WdpQKq4E9VQHm5gm2Gm3kY1+uI+OtfIxKdoLB7URrYqj1AloSQF
eC22S31qZxczXhnL3yKbNVuR2rKyU4zBFgG9sozvYiulKB7oSdmhvwO21uWi6SqvKdW0/0xsMcvo
/5v971L1YcaGUdWiPR36s4D8v4Q9ZpWMRu9WYcPdKjVSi/J36uMxHOBm18OimZTusxAaRKGAusPx
FUiQ8EWPYrQxgzTogjutNzGVw2Q++OPrRmK4aolarVt1EZ1HVQ8bex5QHnRmzK/jG+r+5SMd7Sg9
LNWlGdmWSP+k0isJkR1p8/eCIPGoar70ZAJ+/1zz4+/kwcK5NAgDEbdKTMIad54pRaDHHcfVPYRm
jcIzmu9fpVYyEyfEg2xkeq38OLTSHH9rZuzpbCrjLZV2n1iA5zGryx9m3Jn1rzYtKIoi+WWFdxrK
gdPjLArx13aaQt+tqmYojkieWje9nCvtO6Y40QvCoVlyo+uoQ59MjLuKz2LBkXnPqQnUzFcoA2wZ
9QYkVzvLL2j5o+XVDF2cHsqx7IrPcQU1zRFHzYx+yg3l0dvGrHlaBBZGcaSsllE11PLeOiH870ce
hxf1kBm7DVjkZYv4fFJL0y0Wsabp5CEUvE9pCywLXHSOiYSJ54f/XS9j/bZtZXy8KI5T3lco934T
tLrpKYlLyfiazqVsuSbsF+WTH8VqeYD1kCWOgX6z+XUIABDezxUowq86GtzFzyBJBMmWjbo9KTX6
a5T7RWO01RiV0Huh9YPBHseO6GqmZa3e1XOkxqcgK2ryqQYkuY0osCDhhD3pEZ7bc9UcEUzk1UvN
mh6AGGtK+dY3kTG8NZrQyHZayfLPoFLC5q6Icrw/giZE0Gjk/hVPE26hI24iSzhntUrxSdN0rknI
l4Z4xJJCRNBRR6B3zAD5unyIvHZbKvERArS6pMaHtsYnHTTenN6KBd7Hzlxq8g+s9XxUdTHQAy2b
ttMTNlp465kBplQWss0K/6mPD0WWTBXSmnnYOQkAi1++X+vUhpIsLu9y0xp/W40R8UYNJZ+dQtWI
JXpoaIJntFAV7BSP1giXUWKcQ4ovhG6TQWDHx9Msp07Tm62Eobap/Ko1cBAHOj90+PEPRXMpC9sm
cwO5FiM3H4UoO0lZJ2XA1Xzk+qPSir8WmBff6fi50RQ3/fRJ1FpdO5gxWPVbeD39dFtaUtQcjdnw
Pe7gZPhEJhE94DUiFjfpoLe1g203B8sIJ5qLYzhlwb0otYNySlNxeElRXnqH/I6rrpoiQOrMmt6F
7jD0AeY5pRCj+qjXXeL4DSKhN/gNzA9TbVZ3rBqLTgebVlZFCyqzJ1PMpcMcW5g8AkbRu6+j2NbG
b+geHRa0TYfdF++Cj1l1LfP2Tlq+mOYBCYHGxZP1O8fdQ3ofZbH/OkZt/llKZemLBk0muInCNPKG
sckkdyqwNgO3WNX1DX9C8XqTzMsuao2WDUJBe8HrRj+GWuXSwVzya+ui/GompRbFaWR6fhsFFdFc
aB7VTFZ/qgjIvSTqpPwoNS19qEulfoiiwDw2gawPtlFr4Y+gz0f/gCMoGvXYDEg7OelGjIFkEAID
kP7ly1a/oEeyOXYCVHXfrxy2fXkcLWu8y8V6uhP7XPv4y48AIAeP6jcYaXn5Pf+8/G2AoV1bshYx
eeFTjY/GaPOKpSefvRzaeaRbr1Phd18//PaDH5VISDVqiRdteTyGkMhNJsOzEKVwSVL7e5++3fH6
KJfZL0tI8Q7cO3Uuad066AAnt5YvGZ6QKlZqkxT62EnHg/KY4zP/ta7C/E7Vyv4eT8Hhea7n6v36
D9iI4BC40il4yHBDlHUJHg2/WG5rVhfzmNZtFHCIZQBEdsQd63R9qK2No4BBJDRe8ts16ECEkiqO
ncxcKY7ZPobdpGQ8CsjMW48SFKi9ROwyqloK8DrFQwQILqI3OW4abAsUw5Pk8Kca6NXtnFr6c+rP
4s7MNuJEi6NKKxd0CtWpJSX4Z4vSIpcTrhOwd0FIcpQO0qPWD9Pz9fW7DIGRi6B/gVcntCqUYc5H
8SddrnppND2tEcS7OA4EfEZDg0VsyxMdgcIZZHbP9UEv9wd08QUjvxAjFmrG+aD6jPF50lPQk3FN
QpARUwcayBqg9F46/H+GomfLDqGHtz4LmHZUvjjUlLkm3OrRglTsUNWmmyz2w51jd/nBKDkBVaIn
ytm+AN5i6hWFBHamV4UA7BdA+gNRb7VTg7jc8IxCKwB5GsB6VFnO125OAdfEg2p43OS+eAC0GaS2
EmgGdlAChuuIWaLW/fFFtEDgUy2lGs0rcj6mGDecBizcEDSVl5iKUyA5PMSCo7fVsJNrX95ewJZ1
9EWRB0I2ct2SbJombHHR0bxusSywkYMJwtOAQTvQ1wE4szuOiom/OJEd7rqgAF06fmO9c87/FlRW
BZe/CBneS/Yp7bbzOWeGUSDmZereUJmB4GDlpD3Sp9VUh96E9QohIf4DJVDDnRHkeGkvpI3aaeoh
13H6AKpo004wyiMasEJxo/v9ILl9GcTJsTc7TB4wdK5NN7D0sv48ZK3ckVBMQf4SCFA4HqZ5Rp4F
fuFivkVFFbcDVHEGB3iC6fVzPdECihPlHTBLJ+/c3pf7mDoHaltcORYMljXsrir6eUIHy/DaKo9P
IW6ed7OYdzsLfPmZUR6BXkddBdLixfpaVtSXlsBFWqD//NxNdfIdW86itBW5lRTsNI3wNs/wRLDl
uipu8Imr3q7v6r9yXuefWAGfwmVOB5yCwhpyITZRXPuo+nnKYOSyC+5Ez1+GpKy7OzOnROoArbYy
JyVFeu2xM22wjRKxh4a5H7XfQzRlB7cVsKQ6QWjDL0xEv7W6q+LBUA6TMGBSJOEnuUeLvvw8fBMa
z9Qhlz7w+nyksyGUbBqVooU0H6JYynASw0Dj+uJsXNHLbkb0iboXx375Ff+8PgOOn1YdWZqXL47L
bUKTwC4jdvhcpfKebtFyllYfQkGjj1uTsvFCKzgfLMZ/pQ1EiBECObHTWeP0rZ8HI8ZsJZw+qwSp
ldOFhngfKe2urMXGeirMkMaMSLWEJT0fXBH7QEl0cPaVQdkumPTEaSdt73HYIC+D7UQyDb4sgg+g
28+HQROlMeqqMz3UatsH+HhMb8Iw/amRBTTpyEsmgcKa2MoVWTqHAvZLQlaQ5IIyQPQXAwlze33+
CYkLYBuV14BTUsRSYSOw0Gb46Mw59iHU9NODmcT1bdkC7XYwTY0eKnrpAJGTrv6u90QceEuFZte7
Bq+/eICMZ72bUovaFt64yqOVkeWT/slC4aDfgxO3Muco3WIaYX34rlmk8JeCJgB0SmLrW7bPfP7P
2PTMrkkPmFcrJwUYzsffL8Qf6YHwsFA9lVdBTmGJvh6MZBcRvHxnbI0Ep4EcX6Vq2nu9tnYTjCZE
xcS/+h6r4mUvp7yiuFoSHzaiSw1cc0OC9Z3q3tbp/HeU1YQo6MWVqiYsmxzNoHbK7BiMfv8aYyi0
M9RGgEgUiqzGAsMm8lh9IX+I0jIJQtPrRGnAennCYJK7G5dLakP3VkWzHqq8sRMhbkQ5MJg4jgvE
3ZTXJCZ/brEfkyheqiEmNFo6D0dxwCuShsJ4qHFS+nz9utv6bLR1DGzE2F8XsMBMrMdeHQbDS1jL
xxl3bQfwmbkT2myt5dKC42YldGMfn98BVgpiKOoRZKMCaX0vMPi2sOykroLn2W3ZDIKHgVS/pyu+
sVmg2KkL1Y6g9OLBMCnxpTWRhJeOWH1EpRB4mLzhFWeF5k60vfHZuL1pxJHkQj9bZxPc7uD0ctFC
bSrMyTkTTX4XFGF8pMuTPkCpzHbAeRudVkBySACD2+floOl7vqQj5g4BPoS+R/U3eEBfy/gNUFJ5
oz5lvY7gH908abkQ58RyEznTn6q48MedyP8ylgH8gyQ3Sh86oIn1+0UwW6AIVwS3hU5pHc/3eLib
42lEpwSNgq8hAZWFZ1WYhI4l5wFBupSX0c4lt7H2i/oNPlJEb6hdrlbCCDOo1ICwvVYS58m2RCGb
QIEK05989rlSQz0sdm7vjXebko2M7heAAmS/VvtZ1RAQDUdLwENnjrwR/MbnAq88p4+m+hSF1Wjn
VjjbPRnFzYfPK7z2BZUJ/UW5+OxDkGmlNVO81IzW+Dzo+KhZuZXunNe/l9sqMEGoDcEkstUlSlw9
2jFE0mC2KgHHg1GUcFpHkaqXcPu0kwGMgQ2cW/xPFIzkcwwvGlMra4o+iZiN/pSlWZtfszCJfVsn
OAzJmrR5fCyirMhsIOZIy5ZSpUuOJfQtziyBEEnHtpUMH7+mWMQ/qAssCp2Yy8+HHjLrfQO3Er2S
LpUGCE4p/mChPpmYqU/RkNz3KX0Guwe3rp3KIJBeYTJYw0kCXU1vI+iV52Zo/Dd0eqLnts5T2U2w
5m4OtFLC9maCB/s0o3+FwdKwOIC35O4g1adKxXY2WRyG+0gdX/QE/r6TIME3YpveSZ9wnNCxK9Oy
9LnPw0x3cU3NX3uiNRwezZJIo/UFHKu0CFipU49ZDRyzao3GzXqrzJwWGzrdbgMJtzmN/tAzz0wP
uh/Jlc4Ou7Gil1OM+ZNWhDg24cWAebiZp6P8OY+RHAIyrmCYGifmdJuTjP7JtFb+0wUAvMuJNT4M
QZf9QJQyseyRcnbjiDSuf8E1Vl7rLMp+0dL0v3d1UL+bKd4Lt3EXz1/gVmGKZzLVGumNzryHSguR
KzaE9IhdGDmfT30IW0xEpVKobbGpfskEQw933t6Nm3uJvgFg0XheaODnl9vUmY0idZ0A3zx6m0ZZ
pztQS+ZBVfNo5wHcGgodaUQyiMOJklYRRYXBMT+DQEXM8/EJ+ZXic47L1m2Ev+vOI7Hx1i6QRpni
D+SAi7eWBl/sYyJnei0dk1OCyefjFGOYdf2G2LgOzYUNoS0oPzLZ1drpGEthXG+YHo4lwjc+YHUX
RpYYwVRRTFKmwix69/qQWxMDhwLyB1SVSPCy+lxxE8Q0+EjQJ2Q3BKPvH1IZ7ur1Uba+FLEf60Z5
cKlqnY9ihoNUReDFvaGRZjfps9FVu+EdOFmys/0258MNC2d94eQqy7P3Tw6o6kKq6yHzMbCjPuE/
icFp6e/1w7fn87+jqKv5CBBB8zQHiEaxM3US1C9uaBxFTgsH9nR96bYmxHtF2X8Ru0Hm4HxC+Nub
CWZ+1LEkXOobyl2/G8GIf314FN7fxQ5vIadd1E/wPzZToQ4tL2j67KB0xXSUiiL/+CmCQyjyKIGp
I6RcLVuM/EOGyZ2FK0BkSmRog2+dcJUe2p1F2/g+ZEwUmRbJ0kWO4nzRWnH2s6yp6VmUXfeaDDFA
AVlBPY0uehXsBDFbg6nsNPBVYLou+Aiy31N+aUlsIGP4Lix7ULhNP9q4iu15wm0ELxZQYPzRaFEY
ZLrn8wr0nMhFpheTUv4QHPw96Y/7iRkr9lQIZQsgoDd/5SFueBJ599P1TbJxPaGQzKcjxSF0Wt8V
oYKCVTZTd8e8OrOFScARdAhLFZZtOb2iaxLsfMat6YJGhIZLS4j/rfb+nFJrjQFneAhCJO/gfjG8
7Rt/dmn3pY9CCgYTRob42PQ1+njXJ7v1VaFJ0CBFaIqK/3ps1MmibsmugPfOt63ea4Q6Wm08AP9Q
5Z37ceOQQ+9S8DohI0BTazVYwwXiz0ZhgMoL9EOtWNmjmcnpziiXU0KVgq4JDYylRrpezl7pMFds
Gt+zgDucQDY0dteExafR2PX/2OCsoWiM/pgGS8eiML6aEQBTiS516Ht5RaHHJUufQncpG0WUMRTz
CylFPTgYx+qD27RZMzpFhuu5rZZqji2uqhIfHoyx0fdgtpd7avlhFInhYsBZW4uAiCgM6U0eLfHJ
HARH6p7JLwRG1SMOxFKJzF7Tqo48BXVkpwW2qIfr22pz+AVIRWeCy3Z9hkazwHBDlHwv6jotczDM
nnrkjUB/2kLQFHf9ICpv4CLT6NAOKJt9OMJQRcI8CiNodnNdrS6QosYUE68NH2FwWD+qYFluLpb9
Ifct5TkLkr1W3Uauy4NCXm2iHkO+u0636rqq6KwWvicq+Kf3agujFLUD/Wbq8DrtpFY8aFKMC0hp
Dp/xL8ZeUh3K5+uLvrXxSbhAkFAwNS76Tzgt9E1j1YIXjoPiTNYIeTZt84OcG9rOGbs8ycsDSsmU
O2Ohsq8W2EgaPSiGQvDkEYsKNSafNuRM+X/sInrU6KTx8CxS5efvgDG3XZnn5rKq8XQUpRQbxzaP
D2OClFSHdYqbJoPiRgYijteXcvnL59kl7zcuEYuYJoipdZEr7CDm+bPqe+j+6k6lK+pD0FW5Y4pC
/kmgA7H3um6oZaswv5ezypiX3V6c31SMvlrLm4GHLHlblsg/UAgLqmetn/XsmGdd/ma0rfKl6XM1
dQwc7Q0n982owJ+6qP/0UPeelKKhunN9MbZuOfCQgKoXXQuQ3Mtp/yfa1BJzTsW6BJKRakl27Ick
eRH1WEasFXW+t2ESpfIIfTz/IQpWoNpI4+dPSmTItTt0Rjw7lVBKyc4WvKzsAEElHOHUaUudafWj
mmRRQ6kNw4sj8XnqsvsCGfKbyGq02ymQ0gPhwW88tmc3SKv02/UVuawWsg78Qw6DYMSFH6Cey6Gi
Z1QLA0l/6PLETcLaAYiUPqZFCOwNtc3T9RE3zjboIHxveTZNuiHK+ScIgj4RlKqyPMsPAYBbYn8I
U0n8XUrTx9ENVHYJKnnOUDXmBTkfqisn+F50Tr3IyGRHEerOhfLV7ny+zQnBNFk6jehurQOPJFII
UinBeMD0MDMl8SPDgGr4Mg8KycbHV0+D5s6foVNIWH4+JTSoZNUfSaEDHVAh2NPcRRJHw+fZ38sB
l223ujkAY3Nh8e7RwFy3TcQC1ropdJaXaVoXndoeCpntj1hj2JhOjYUj6hFIdLk3gxcRy8e9w7px
czE+YRY5Af9aA3yofZiEWNwjoinMrgkx4DArbeUWRp86kNb29L03XgKA4EzYoGELnWV1R8M/laVp
Sea7RhseSIZUVPWjvZ7n1qwotkDSIiDngVu9N1Mv0AcgMfGCydKjWy2QipcsUriGxdLwuwNiQx/H
unMLmzRzkSTYQFYMWEo2ckAWZwzKf7LY1PdlNvsPVOLSPWrn1llAXxZFGAovGJqs1nASss4a2KPe
WIoD8q7oHdfUJB0RceOd6uzGUHQHUe2mvb/ogq6GEmcQMMqkK15ogKI/zAOdD0pmmvCnDJskO1w/
d1svB6VZaFbLxYW6xmq4pJLmYUa5yAPZWf0ZMgUxMHDHYmLHKTnyzTQXxfis1MOM2n5QIxDTW7Cn
3SSRa6qwDWzWwyiWYrrzvm/sWhNgDCUo9hLVmtUdhwBKlWQBFP5UFeq3WQzeRi0Xnq/PfmMQa0nr
SN8Qp7rolImhr0j4NeueVMqBI1Ep9IQJdP/1US6PxlLQAo0Djp33eR16Nn4ldeoCXOzMonwS9M6a
8OyKdMAvc/wzmgJ15zK9vOEYcNFQpZCioX2xOosJSpdGI6G3B4/Pf2p1NTuOkVW+FECD7HkK+29w
jXLHirVmp+i/OdXlwaeGBzR7fY03kt8qsdgbgNzH6QbUWEkzSdEdGcItnUjl46oIqLdrNDl5N2iE
X9w6iaXT4a+A5fr9eFOMvnSq+8H48NOO3M9SjJIRJCYGXO3FTkZokxqR4UFehuclKsF9Xs+/LLkv
Pr5+qJZSKFp2PR331TOoGl2fyAOITFSz5Ue5s4BFtw26s7UgHWcx0naqlJdhEp1GiDTo5tExRnH3
/NmtjT4OdZhXQAgQP4/1qD6MKE04veCPt0KsTg7CPR91LVfBDS2sbJ3XiGd43fEDmGHJc1PSU60t
3Y0K7EHYUOVhUYD/cv3oXR5wUIvAF5YOm0WesqrCAvbpGH/0T6MehU99M9SeWUrDnq3W5Z29DMMT
i+Iai7hmBU9Ki8Yl3L5TYapC6QiSVLhQEvHgFeVkrwWwORh1LyC0ywlfayQjkaxyNWb+aRL19Kbp
SvyY9Mo/hVK1h/T+2/c8i5WQraStT0xCsVy7oK9JmJ2ZmV6Ht8JkgssMkecwDmKXIINUT2r7PmXl
MLoFyuu6LdYpWkSd1uY/89mK80NgaDkK/uNYveVakf035BSdjt3cTQWVhrT4FTIuXLFqqHxH1Toj
deK5Au88KqZgfFICvplsBwF+tXY6x6qB0FHUpU6RFyjsZjLqaO7cJYHv8phOb0rlV/8NUxKDJwTY
1aEgBaCDm31C23hhtDrc9QZ2icnEZss7o+2dcvCrT5owU+LK5iDEq3JWsrc5HxDJmuu8/zPHQX0C
V6RJbphbEk7tQ5dC+BDn5HmcTWgwH9ywy4IvJjp0Zqk0rnMmGIhZ7uOAdOuPTeDS6sm9XAbgcH2U
iy0EyJYTyBkk4wIsurpmxFBAoqAdBa8BE/ZFFUvFTWepewx93vTrQ12cwL9D/VWLYKQLuLIZIgOh
aaAzjLqJDkpfy3dznu2BCDZH4R2gnrSUBdYx/Zx2nY6+B8W0IbVuUJEUDjn8tZ25XLxuyLUgX7Lo
fEK0uKh6l7NVx72p+R7NRfngG23qSIIcffOtLr5V6zHa8zbY+E5UudHNXYBvPOirh4dWWKPPeBTf
YuyNZG0jGjc+WDw7DPu9rOgS0MnksJqnS0EXc9G+P38KCmmSK2CZgjeHfvWFzFJp3aWYdi+18dzb
FDf63o3SLh2gOs4DRyXU21ssA4PnWI7HZzkfxZdRU9oQR7pR6OyikGPzwMHNf9F6rvdaXxufnFsJ
nZXlvuVzrNZGmvV4bKGyeUaWx09i3UU/IFeKO7JBytYnYAi6HbRBgeesXkgpSIS00i2IVaYQ0YQP
g8HiTVZIMaYartwp6Udzths/QqJ1wvVKOAU07fEIl1rzZxZZSvik5IHQo/jea99wAoIxFSIVpZyS
PKknm/5jaxwGkcvzrkexJ3G0UKvDJ8kfEw2xmOx/ODuzJTmNrl1fERHMwykUVV10qyWrJX+STggN
NlMyz1z9/9D7YKspogj5wGGF7XAWkLlyDe9gpsjIqp1xkZJEaj1YB9n3YtKH2WsHA7wiypgFEQ6F
Qc03rL6uz7FmhCWtbhmsBTij5V+6wDXctzBUjxyi974CqabKX9RFKE2/3TWSkSoG7gX0cVM9JtjW
c6CFNYTS+1Fk7yussGrUgxA7v4kiQ6uORtEX4bXWpeJnb2jxu0oRk+6aCNj/MeaLkwDAbL1a0eJ0
tiWRMiDyQXs+vIp0yKAdLqprqCJ/Akk3+Pef6yZTX5eCCkOnip7hzdQbIfU+1EKmE3My6d5oovuQ
Z8L2Z3kZnloaWxepwEqnnkzzn/sr3zTnWHkVoCO40MC96Q8PMWKVkj0619oBouhWc2Y8JDltAbQb
a0+ykWRUTQG8LjcWHxR+eZB57m0c0BIU7ohCEXI2G2dUFpnrtHWuRhHGwRibi4caQH6+/5R77xcE
g0zTFukBGHJvtyd6mctghJJz1a0GiTv8aIaLMGLxdeXyPUjS+L0ZrdYDlPfHHQPeLxOn9TpiykFu
+HZlqQS8hdN2eDXGRbtUjSZfJlBOoIur4k87BuTvnGVOBrM0ei/rq/6t+dvqAwp/634N7SZ7KlS5
eCzq3jo31XBUWe58NbYqiJBVzPi2TTevLTo0V6IARfH271qLVsZnPhzI9+18NWhVa13CeJlaYfPu
zBI2x6QjQKcNdvZvpA7jpRhg2PpVMzrfFiXXiGtGEV/yrAoPdszeE65EnVe47jopevsyrUyy7Y4p
WFCVvXGBf6+NJ1mHcXW6vzPXZ3ibWQN0phdAgc5Mil7123WcbskKxgZRsMDu88GZPyz54DtJNz3g
aXLkq73zRleqGjRRWh3s5s0bnbU50dU4SoJYq2pfCMs5V/1sYqpjpp+1Wq2vqp03Xzo4Qgeb86bC
XHlIMFQ4foQ5hn5vn3PKSgcRyiYJhAnGb1IG49IJkX2CMas9iqX5F358eNBweY3Qm5cLmBMBLkwq
GExtI/icm8AMLSECqAlV6NNblpAQssuoda3R7ie/a8s8PXdJWmoP4aS0Q5CDaAO2NsTR/wR+vpM7
oxL3Eya/ariDnhSVT9sf5xDV6Q1XtGXbudrANnVbXYouijSZmts4jWETxgz5/RRrigiaweyqoI2b
sHNLq8M0PUH98pedz3AJJCe5DlXfqG5VOskz2Nroi4nv7pcwksd/k0jGpiuqwXq5ceeoP8FbiK8F
ZgWRbyIGFD8bBn68XWboHxnQLs8WGxay/iKbs4fWcv3p/n7d/Y6ce+pbEKs3/d3aKZR+FGgW0CNn
7pUvSqe4ueqMhtvmUWVexhnzNm+CE6wdHMmdq4qimoXxTaVH8coO+S2+odeSIGWex0Fq9aK7iCGL
wDG2kW58LLO2eceGH39I4KXfkxb36hParsy17j/+bZ+Uffy6p9Z8nOC0ua8SRRP9qCVJMKdZl/0l
DK5t8IxM7CGSEJbcHkXVxZNwT/4BQ336MOFXJJ/g+Laxp9TW8LIMWiodVCS3Y21+FuqG4O6R/oMi
swlX5jSGUdsRKsuibQefhdrKG+oKZsvEEFJxnVxJjIuiDFXntXNtCNdoTb1wbaErB1Xl3ncCUoyg
lMYk5wapovcAJmgHRIEKC++0jjn9tJrDZyHAWIW5iT+rVBSnZIJwmDE0/nn/E62Puj30ABaZ+6H3
eFvAhPNQjo2TR0GhN7VrS7PxFJJUH5yDnUwUgXGMTECpsSm3c/XZpgKEaMUqEZUmsCc0UVjlPNbL
UejcX2odnjLaBa29SV4oQ1srdDKuiEx1/K6f9L+0VBlPaFjUB3no/lI023ksOLjb+rmKerKYNIqC
NB87nK1k/ZQXy+L2Q380Fd7dspSzOG5hgbmCjd7eCM0o4qLE/vAqisx8RHem8KVQMz5pUtE+T0mJ
QphcCE9GIfTcTQpMLy0Uf9/fK7vHGcT/SqFcGYHbarfGWSyJFRKZXpmtr4w5E3Lguqnet7JIUTLB
Mja/TJkeg+nOCG/v8NMol1MZaePXUlckx1XNQjsypN4Lsuzg1ZgCp6UbeKqc5YtFFIkC7rbhB1Ls
E1B2EcmfrbBrH5HUhFGrjhjB3X8br/3JzdFBNIpKhHwcL3Jde/tJ8JwcmCBKScDUBQ36GuOUHyW4
9O/lNMtfC7WvPw6zJYqPajqUKJfUci+7sP1S9HVEQ1HqdJ31EQWc9POCjK5wc2uRvuMNOBResfTK
J61y5thNiroeXFkbJd1DxUbpT7YZz3QVpKo5D6Wuwvl2uFjrsWph4/Wp9YIngjACDe4fVlNxg29t
vMTtN8YXhXjMMT38heXvQOUvrMrHEe4Vqo7MjYcCUAxsfRbpx3Su619SmpSjV8IDACCP3gnaSHmc
an5WlGFLZJzL762tlIqLgH2NLluq5R8oDaXyS2sb5SMA0VZ7iZYp83O9XdrHup3Sn3UsjH+SKB5/
HXyQ21D25ntsjkgVzfacaezO0ci+q0Ni+XNj1V6hZ8vDH68E6R7IOixOBpzbGNPPFE4jeVAw64De
jAHfrmIcrFORTMaH+0utP3qzyda5xuqVyXjI2pYpRVsjwCx1STCUTvnYLSgjmGVTnu6vshPJUP+k
FmLuhYD19kK0AMFiOTClAS3x/n96mCXPhRMm5wL3nIM081abFKAkSSbIFsAE/GkToOnOoudrRGkw
Sk79vR3l5dsMs/BvGe2Xl77qxvdjU+XflXpIqodEjkd8lkatr/xRt8Nv9597J3Rw7/JmKeuR1thO
jmIDhPFQk5+AfWue7W5BgwhrljMTX8s3ylT94hjCPPikO0WMbdOOIWqAUL0R9GgcIRV1qcRBjdaW
DxkBcgcCyM9R33QeHibR5//wkOsgjjblDlcMYa5+iXjKIE0SekyrWvlLpBQWfxRJ+JXp/7S4Ol0o
7SBC7u1dG/lKZiCARm4QN8RCpJ2Y2QYx5W7iaoW9YEcd2x/vP98txowdRb2y4tINzGe29/CML3ln
qXMcNHEIRRmA4PBJ1gWi3V2oI3tWReKDBAfzZ12E07UdKoHUWos7qz/mY+11nZwq53oZ6oMPvXeq
Vm4iRAY2+82cMFKhSjR9TPavKtnzKFnjZQxt5ylbsqNZ2s6rXgX3KBbJQ9bu1Nu7SMSDWZRVHQdq
PMjfrEbVzt0CC/L+m945Lg4Cs/AYCBZ4hm2OLibWtbM4ehTUKhfOpC2npA+9WU5nL8ygXPUoWPx5
ZALOwTVLy48W+zbUjlOB6maHlWlhCHHSzUi+mAoDeRMhl4OovnMuwdYiPI/nAitumwuIiaWSLMYk
qOZWehxSu39eklSaPUHW350LqVT7gxOy02GgKFwFilf0D0Plt5+tAtGrRAonRNZE864m835pLXt+
RFZUDuIk7h8Ns7UlJnyp1Pv3P+bO7lwPDfOs9ejczOcHdTGtXDZpI1ZaftGt5OtQS+UHta7/ub/Q
3t7EVQJuCuh1oACbvTlnoIyG9XiWaA2/By70XQZucFBG7S1C0g9aGXEPuoibNxniiqgtNCICpcVn
Z0JBNPZjTW+OaKB7R4DLYAXAgEK72SSSoRRJ3PEwfTe81LShL8yurbPeiaSByChXXtLArT7YJ3vf
iloVpBhzx1sctlmgxIJTH5FE0sMPTTXmnq3gC2OW85GJ82u03GQcK/+dVh40LALrpmaHsaG1kVmJ
ABLvFJ7Vvq3T98jk9/82uoHyI/QRFNqmLtJPGv1Gy2WG0X2oUJsAPLvEX9N0QE3SSsLqewtU6Kcc
Rf1LITo0F/PCqGp3dCrrKBm//fwGc5k1m0CuGFiG+vYgcYT0ds5nEVSajRVRHyo+WsPVQeNgb5V1
biavHbLbuY3t9CS7VkSHbCySU4ouij/XWfXHB5NtrNG14VND5L4JCn08xV1XI8m4mOLMhheXplGq
a9bAtvjTo8mwBjrJOgRmaHNT0DV2qrbjmAaWBJa+Em3lN2V+JCB1e2bgTtEB4rgoNNu308B87vo8
6tI0kDv0X121q5fOQx/Deh92TGZdtZqUxh+AnBxBMV5rsLebmYkUacE6J4IkuZ0FmxRTKEsmeQA+
SFsTkVa1vUHtm+lUYQsSu6my6M5IkRWV7YV+rGm6kjzJ3yuh9p8L5EGH05j2UCq5TU2GTUOb/6zz
TsFEqo7QNIzBBERPTpnEgF+Bif9DG3J6b6CfanqQIvT3uhMnH2vFRC+lVp0GJEWZa9Np6RSB7V/X
2aaPVqkGpDyO1PnC9ypmLxELyu1GONgCBnOrNzC0lbzz7GaVZhFtrideWcn634tWQpceHIOQk5Yz
BaAuGhsxIYN/fH+v3MYgXqVB3k7vDCXD7XwBWDx4Sk3leiy69CKw+fbVssq80sqcg2C+t2FWrj38
X7A6NwI5VTjHo6RNSTAhcOqCWDV/6FkDztcamhc4KTi0Te0fY3G5BJnHEmPpwqEEvQkhQ98pWp2R
JoMcUR7aGcKLXDpYwk2qdALOWR+cvdvGH3AVCjqT4g5M801Hp206lI6KNFDs0hCnJIv1n2ljhspK
BsxQiuUGOluzU4w+iBfrpxrVyJTf/6a3+cdqtkG6g2HanvBWGmdSGw7kH1VahN4QztEnetHisZ3H
/Mns5Pqqq02PrAy//2Dtvf1EucmYg9d+iyhvAGLN6sjahRCOt+IfVw1lHVVccdTw3Yvbq9OZSR1C
J377qjOppsTJ2U8hIsL+ZBfVQ+nk3UHcvs0fkdcmmUL1hI4Qyk5v7yAxawvn1swCVcq9UuT5JaT/
7so10i7ALg5ycWXn/eE5tBatPNKtFEaUikwySjA0kdqrKAPMkfmQgn77ZMdFG/prNJhORtTCO7YH
ujluU2fS05CDKmqSRHiFhHXhgzkiG+aFENUfUzk6Ekt5hdVt4i+d5XWCBQSUi3PzTqaIiIeuGXdZ
hDPAZQH+AhKGiQC2TB3y4E8K6oKyX/dV/z4KJ73zwHkNpZ/0lfgkY8H4L1bA+fJoykl5NVS5W2Wt
Gx2T4iS1fBOKXXqSh8SGgCjkqrwK+l9SgE+OGDzbXv2gQoRYJj8PzTYDm5kO7cE23tlbAI1QBLHW
0hN9yrdf3aSTkcw9n0FBDeSTnuuOq6EjfaDBaK0qTtsXyXgVs06YDiAmNy9y0ZKKexygkWM30xwk
6MUrbmkyHwOaJxXNI4BONLf7pDaUv4yq1CVPyxhfuK2xUtlUYHk5al7zGHqpJRcvYbToiHrASJ/c
qZc7Wrqt3iNsONilq2J7kJ+dHnCil0aFaLxomu131CNAGGezkhevl7PkZ9bpPaPIxfyR94v20Sjn
UXMVIHKJK7dxkvqZOtnmKeoloz21AkqXr/S1qZ7GgfEuXRZr+rtstFz3hnGOHsrSGDs3TxT5W10l
4T95FZrPijnj4mABiv2UjEL7AYUeicSucCrnMSwQb3YrGp/hec6W4WuzxLnkEsRRWhCRlI5+3kOo
fbIiuoNuOY5Sc3KwUv5MhiVl5wWjseucCfmXHRbW6Ep60/3I62Hm/ILdjNBCQRXdpbORKO9SvZ7+
Vhqc1882BHiDvGDWjsrdne4YVQwQLZ6CJvvNLTubMU5EaIFfm3ZCmple6SnVm8iL5Hx6v/YJn502
LZmYdcW7XOr6U8cMxbOsXj2IZq+V9XbHgXZaCypwXLcA/EjV8myc7SuiJZruO9EQV6c6bevmeXGm
mpOlxkn0mDnOmF7yjuwAhXspSx7adGoMt+uc0bkA0wrns6aNaNDnFtIqGTrIhmvQmrefGJvM/T+y
0iSdh1ASbe+c7fJZ7o1W4AC7xEjGRw38nkka5PJj1dtDdS67bPyRCwt7AHTPlfKdbS/OO3OZTf3U
xGbzITWk9ItdYfAKGUPPcv6zqeWXd/k8e1JrjakroSbwNSkXOTvnltwBF58TCpMl1vPxI6RyDsyM
MHoRDHNfBmOb9NgKE2Cmk3Bm5b2sLdjFWQ777CCY7CQ+FBcrtIdjTmKwXjG/DW2HGvGcZSqdqyrj
kluree24HTXWaVTYA1LW1qeYTPdg1b1Nx7IIVMAtZ8C0Hc+F5QrYbST7GiNP4KYm6I0xy8tTUvVM
s/pSeHbehl7Xko7KajU+orrVXLR2PoLY7uQjXM+UI/wWmL43OBI01lNGH/wQqGWnsc6WZ0mdOp9Z
lPHc9fKEqn1unQ3jqBG8c5mqq7YFYpDyqkK6ieIWuAFHq9bNLjvFOWxT2UtrRz+vUo2X+znXTruS
i4qZIZ0QPvVNq2IqGLXq+ABc7Wzq/kJYB9vf1AaD7bbawgzYzLPlrzQZkNy3aplJJoSwPvnUj9Ly
TVMRT6gRZ4Tt5EZJKBd/jDAD908WszIkqaRvmjUTlivjKiViS43wsyRfAm0a84NV9vb5OjkjvkES
ucF58S/yfIZkj7dhKjHcAjj7ac6cZr09eieY+szCkdmIk6NMUNnJuldmA7N2A/TrDYIOZP5odXUs
XaNQtJOvNdEqmpg7BtgV/pUOQr+r0IU2hvnHZCTTP8Si7iP7huFqkc0Kpr2x1jm+qYRG/UC2mamn
0KqG/80AzRjmWal0tqeG+X1KTfrxYOvs/vq1miXdBlK9ndPQTh4VNYKfXi1EKnCkzLSNVLSABJRc
f5o1bCwgf0bnqlTkxymM1MalLjY8+GD684hXitdKg/Te0SbpvNi9/BLN7fgAFkX6ountdImFdKTp
s5MWI5jHjUbtDAx1W/33zmK1TgzkmDgirumSx5ex0vN/0mnKPiW5pBy8pJ2jDEFmVWKie3Lbboyz
Gk5Jx3rQp8RPAcOk9sqhbz5EXPpHzIPdxWiIW/hgo8iwbU93iPdjXGdK13nq0xMtKFxa0Gl+QIrN
ON//+DuJJlx1QuOK0LqVcizRf0MkhudikDx5yoJ+czkb2kFVuve1VowzO5rH4bu9vYF4QtKpuKBG
EEBPqnoRvk6L6BKRCJ3iUj3C2O29QG47uuBQ0nb6qVBRGuxBwuuUm/3JILPyJXzUXdQ0/ryJSmRf
RcCYxihYcW8am3oYWpOI1kdL5u4JZqqM9LKN6ZcYkoP4tvtUAHVp3608sRtoQDcyZu0z6apXQ/Ku
l5zpStey/ZYrseXe3xZHS20+GGYzSjxFKccLUZazJdu01uASf47C5I+V7emscy2Y/MW0FGzD271h
gQEcofmG1xRLntjtZ63xMHsZHyaLIHL/sXZuCNoiKCGsBTXzszUS/pYJSU2npmBK4JtnfeS3+pI+
x/mQnixj+Vb38T96q4wHF/POm/x9SXuTA4zFYmSTsThXxUygh+FuN72UaKcOJKftEYRg7/loF4BZ
eUU7b1OueoXYyPh9XCvbLJ4lHGoes7rVHwuzRX12jEYuwcU66KvtPeFqj7F2XeirbQGt/MOla/vQ
xmNVzgIz7um9lot6joyxPNiWO3EEL8xVWIvhFjq3m20549+qtB0pZTlI3WlBlvE0ah3GeXqSeJTq
pn9/v+ytt4qyrhg2jAO2M2DYwWE/FKg7ZP2QnpNuXH6NrfFV7zo1SMzBOajHd94k1RmdHsagpKtb
vnmiJIUkmhVrEsdoEhu4VuQY71yQljzyG9ldim/1en/e8minMoG3CNsgIPiOT1phzM90fcwPvQ3X
6P5L3AF4GeigIdiFEgcj9e08wDAFrmdmuKqPOsp5mnPJq6ZCP03gMi6SYs0UIgvEWghqz41WdX/n
Y1Z4qlJJj1FEx/v+z9l7csa+JrgF9tLNJEqrWb90VMhVqJ76MwS4B3I6yY/o1B6gUnaOI/oz7Jz1
2uP6U9+Gm6EZwtEa4PbhhTY/VW0ZPSiJJJ+bJRJ+0xofJqlMD8An6xHYFNigAriHGNfTP31t+fwW
4uQ2Fwjbz9I1bYvId+Yi+4tZRHOgV7z7En9bZfNklZyXJv4P0nUw04R6HFtLN3XqxEUXGvDS/S+2
V0mCz4f7ytda3bw3V0QfikXvsH+7QvOwvmOKblxHpChOQwhDgFTU0T7UOLY9duHk/K3UmW55yaIB
JavDP2a5U11AuFinFZQZN7W01lC8pxqpWTXLIuhMSwRO5ByZSuy+XiTuVvkaqPvbilWSUytK8yoK
Ws2YAlsAorGNuHt2nPw/DOt4p1ACSJNWvvTm3Y4gCtO6BkRrTzEQTNUpHsSQv9z/grsHYVV9o/1A
Y357RSBE4DR2CDQ6xIXDna0ZNxAzw2kwRQZ3EEnr9Vl8YMW19w5fAzfwHa6nrU4I4CRlshDIDfQ5
aukNqiXmsLzNLIQ0fP/xdpdaRSWIb/xtW4yUhE+Bfhn60TDwvHnOMNto5fwaIt92kK+vn2N7vAF1
ININgeQW2M0ErSnlmloNgVZx6XtbRnKlz86IqKanvB/TrxRgxucumv5DSxpwoknyCZJlZXO8DWbj
hIAOYtFE8bhyLiWSWycr6eeDAcRe+KLAol1COr3Ozt6ugkK/Mho2Rx3gMVogjSRfM1XNDu4AZW9D
UjiuSgS4bcH6e7uM1SuMWx0ky6TGWCIXiaoaFG03zIprYlHVPITWov3DgIxBarMoU3Vq2nloLrlY
jLVvNQ2VyySgc06WYwGnXfdG7JZiyX/JxdK0Pu1N9WgUtLfNVhFl6ho6KaSwb3+0qi7xhCGbdC0G
eQ4WuxE/nULVfNOalP9wYC2g+0zxECW8QROik9WMciVoaJS5fVphVG5iyv2l6orhnGVz4eZlmR5w
zfY+yquzH9ptdOntzQ4D2ejEjQzcTArHAe1HBQtMjCD8zJD+Mu0ZugKUrP9wdFcyvEl5SpNu25ly
VHg0Kp7lgaVE+ktWNomHEnfzc7aWr/eDxM7JdV6b3qxCVbrd2Xm6KFWbAnOTCpSSGCfozaOWRMoz
3ncO9pJGlL+YnV4tF6ClR4XPzrGiNiXA04mk07ONUFaKvxUOsFFgTIBvXaWRwWyigCsfvM7ddeiB
0QlbcSbbzoVehmZctwYs+SarRncwRus8Ytv+48/f5eoACXZPJr/avss4R0li0QeamCglBQybEbWa
AYMy7w0DZOc7z4mgCWL5cVTu7z0grUXyWQec201rRmXYZbYhbdamz4ePDLRq6CbN0aW8l/FQD6Nf
jgCNxRnchMEQXxRrrqGsxvEqybokdWufICusGrvVvNDGHIvK8vPUyUMXaso40b2NR4Yli9ZbntYU
WnWQzO49+UqkBcMAWvOmmV3aU2SkJez7XJfn55buA4yA6Sg7331yCjyKhRUMyvO/DXKGQCCxgqxy
hR2hPEx0pgNs0cpTZELx0ISkggfNo2fQN5PrxP1wlTunPvWjXR90W3Z/yTp7xzYBiOENzW40emng
0NpXIaFkcspjIAzwwo2kPhXmbJkPSBD1iDjKNY7TKoWKXyHS0pw1oAa2m0nmmB78pJ0LwAFND3Rl
rUVvFEkMoJXNbGThNZsTcW5A6Txp6aScV/Dgf/jaYNJWtQsA/De6wPlShoiLJexzS459o6tTX5rq
IwLSTn2NdCJ6yqQTCBtub7RpLkKtrfGlMDMQVHFdRQ+DrGRAgJrwVC3pz/thY+/9gXzj1al0628Y
eg7FdCnK1ZnXhOIvN0hDVMWAg8yQiT+/y1arxhVmtJKLt50D+hM12lSRhIhZEl5arU0lVzeb6mlo
F0MjE40Vzc2MePn7/iPu3KGk2URFUhOUlrY4yxIx9Q6DXEolfBguTS81gW3N0WOY2lhfIEEQTK12
lJhoOzgCB0IJgYGQT7m1ubnjCno7RqLk95VU6H5SIb7kJTFaLMw/CsoxiJx90OPprbmpFjc/+8bG
qsuqAclBxQy56OVMl06QUKz5oYOqkbk9LOjSq5tm7n07FuNf8+JIYE+aDKSokvRT6mLFkX6nvTgx
Wc+XPDl3yB99wX0zizz4vs1XuYN58qF1hgGXOUBQD2nV2JY3EMKig5Ry73onZKE7i5glCKRN3LKk
uErqqqLlLMUlovKTlT3Vc+Wcayul85zHbXmNncxh/lMll/sffS80A6G34ecTnm8UVoUBibxQakS8
VTXx+1rrLnkSHqEI9g6ro9ELAVu1LrVuvd86C2XOfF0eufqkOhUPhtzI4FQxfQ4rA4uTUssO+oqv
6OpNrcMl+/8X3OyqpsI1EeIBqqdWadJfb3NvFeh+H00ABPmT4+ozxkgCwJurhuh8WQmTkvuvdveh
aQESpeg3Ury+fWicxdFRgZdGyKjq95PkNOdkiVRPqjXDjZzyaFJ6G6Lg7zBMIB+1kQx8nTT+9pKl
uk2HGM0Y/EsGDKQHHeUfWAm+GYqjIug2VLxZSt08WpkCMHLSVbbZtoofS76MnoOaksfsTntumVPz
jvMjqaC1w/72m/JQq3QzI7vVwmLzTWsybKabfNMpVXmfoQMeEhCKbyehGFxhtuVfWUT3z5FaDKiE
+ce+xytjGESpwhGFPL4t/LLWsJdJ7eNA0/L4fTwtxZPd19VyTQG3hgc7eO9jck6QP0Bf9lYKqx3a
UZVwsg+yKBLPWth2uKmE0wdRdunBfb23FFUhir2v5Ittq3HSo1lPGwG41XSqU5famAwhVeC3GerX
94/E3lL0v7Aqs2Gc3dDb5Kao5KiDGZvMifQ4K5L41WpDd7Jmbfp0f6nb00cPjF4DKdgqfLftG4k+
l2auHSDW1J5Sy21haGN0zsIxO9EkWfz7y+2kfKy32q+tJmjkfuvv+e30NW06J9GIZi5SifanoSlC
d1pC0MhSrvhD388g0EztjCPDfMLoKnuqsLHypkzRDtogt7cJrRaYB3RCAJjjjvL2h5hijIdq4IeE
Y5d+cErD8TST2hTZAsvTp9lwk1oC+10MxoGhx063/u3S62Xz2ztA5EgYQz9nQb3IcgtSp606w5eN
LHu32Gj0uVWzJINL6xkCca40WtBjKlAFvQjlc8vF3PH2au0ocOzcBljRoHmB+CFH+EbSYOoZYg3U
54FaYBtRFK156aQlOafDRLmXi+pRG9r01A2DzUdr4ktajvJ/2Pqr+iIOedS4NzV8qyvYVbBHgqwz
LC8sGvmr0vedZ+JudvAd9rY+vZ7VHZu27A2kZJCjmhYSRKqsWv6HlEIhezZqNCeprayXgk7CQQDZ
fb8kMCSryE7j8bq5DrRYR6vCkOIgTHtxVmOFDlcy55rbK6F5KrVQ942GuFWqSvzeqOnZYkHUHPQP
9p6aTGbF9JK/UmO/3Xzo1NtFG8GWU+rU/iY3nfl+mLPijKxG+6iTwR0JjO0uyPvFoBN80A2Vw1LS
NBQOcVOx2VpGLouPs5Tmj9YoxX8JtKEPUrW9S5dCB7kFFB6IoJsIU8Z9plUY3QZ5j1KFNY64DBYT
RnVFn86UtkN4alJd+3g/sO0+JeiOFf/52uZ/+1rjiMw/HdAcapxh+jpVcecWUpw+j0bIsDZKjrrU
e7c8o5pXbgzUpu0tq9ZNLneFHQdWbeK+NyIVo+TD19kMDTT58wXjwDjzZqpltxDzr/sPu7eTUXFC
Uh5mCfF829MzhpI2vYONZcicCnfBSEHkUlFQG7pInbmcc2yzArVRrTNGAeM72mXax2JYYuugXF8j
5SbXUejHwq5DFAzx5823NmtjisXUR4Fgnu0KBBZeqlGSD5KM3VWoMoFxaxyaLXrL5g3bwmZWNCe1
9ovO3OcaScL/HbzTnQuJOh3nLMb89BG3+1aj71H3q0WOXEiL4dImoo2YLEn3rpcrfJxnOgSBbMfW
F06uyMC+IprqFgPoUlf0YH5dKQ6Xxp0dNqOLbWgfeYuJ5zhuELXRnfpiWL0lyyyTji719a7cfoa1
VUcQ3TP+EuTZTpIrlOKmXjueNMbLUzrFrX1J+kSXH1JynJLUU+2+RLk8GCfLnuRHJcyq71HXh09m
Kez8RC5Q/rH9wGp/ThaF4DvAsps25ggPQxSGBKhMisbzVHfaOQZL/0sVpfzXVCxHQnh7W4XMhYYi
Ogkrr/ttGGCrWNKAyHOgwksPDDVEfKiHQ/vh/mbZ4cehzU8CBUqJavFmHobejxTTBYuCXKTCdiHJ
xd/j0NQ/t4tasxPyEDVDqEnRd7W3lOmdNGv5A5pFzeAtsF/bZ20uM8tX87Umgd45fY0tE4RAZauS
/WAZwm4QFRrmL6D8rR/NkHbyRZk48SfTTmuED5Y8fyntEENRl5mO3T2MKIo5ftmX+L0Z0FBtd8F8
YjyPExIND3Nnz4s762X5CLrPidxxULKXYq5U850cp31FG7aPmosKVuKbxf8k+7eL4acDrW0iy28r
UiQfvkwdvRy8yZ2tS/6r4sUIbO4mklnqkpXL3MHQlWctAL1tPo9tWzzcX2XnTmJuSMAkWtEc28ap
wUlKBACYu1RpKT821Vg/mkXSBmLJ8mfYh5+dMlS+3F9zp4igLCKUgAthnLidcHdD1ap5ydZHZ6Hy
plzPrzUz4BMMkuQgAOxcfkAHIB0zS0cyeBu6uPRTUS+Ahua6/Fk59sA3zeYXzD6c92HkFP1Bkriz
HrwdegbrBcjQew2lvyXQc2hHgEpyIAKhNkOgXCED51pINKwiSWsmD7qlnH6+/z73FmUosaZMFJw3
s0FcekU990N47RJJ8ZdR/WHFS+uac4U0Y7UcWULsfD74G7xLmKME1m2XvraSFoIS84m+KUfy7WiN
3vzXhu6ViZYefMGduAWYk84t9+Rrbvj2jUa6VkVyveI/yhqFCBlTPDCD2sFFuvMKkewEB4u6yArm
3ibAOiTsymS82sgMUc61SnfixRydGAi00yylXzVlZJ7uf7edF/mKEKLWpF0LNuLto2EYa7SoCUrX
etRrNA8X6ZxVKeNBit2Dt7izFHMVoBArF4IBy+b5RDunMaJlAFbqoTxblK/vhkqLc68Wh4FL3flk
a5pL8bKKi930v6GAmpK6aCKw0F0u/CFUoGOai2wMrmEMjekmlJE/m95KviV53ueurgxTBk1L6P9k
WVq/I+JWy0lrYC77Vaai8TxFsX3WZ1v5Gy6PbXqxU6kOxKsejpA0du0PZVDlX5odmRimlOn4YuOm
deROvvdcJFkqnX1aOjetVn3q6RBMUhZUidMgdj9XpxArkYOIvLfKa2+FrgfWq9vjpXMTGVNEDW7o
i3ioRiRuHG0+6oXtrQKqEVYYCSrpx3ov/B6oIiVKbG0QAUjA7imBl+W1ZXdkrni0yiYc9jXLjGor
gsQASqBNZnxWzVr+D5t7DUcr74AUZ3ufAM+HyQ65JKhyWfJGjX4R87fyrANOPYgT6w9+m0+CFSBI
IIb7/8St3r42UCNT2y5pFihhlDQe1UTjh2ZufxwUM49O2mhYZ5R/HzQriw+K9NsjTJZP2/S1c4nd
yuYIO+SFpjzpWbAUeoGxUyK7mj7MQSz180HxsveUoBYZYFkr0HaLC4sRnyuoukWgxZDcLnGbtv25
sSY78kQBgf6nag3oFei5FgbdNEPA/T/OzmNJTmVbw09EBN5MgTJNd8vbPSEk7aPEe//090N3oqaI
InpPNJFCWUDmymV+cz8w7q7PnBnSM5kk5LWXbzlu0pFJNG+5q4ziUV9G8Yb+qezarRFd82hK3kBj
k88wytqDlXdfMqJWYPopGm543Z1qdTE4cVZeZGXx8Ii3fxowPoVrq9XRvr09HagCcfwwmGHJmzyo
GKusb1HyD2LI2HjMz9ETzLz+cv9l3mZ4MAaAIBG34PffeIckWjEy5y0gTCOpV6DeNxm5jw5BW7pD
WBNb66gLn00aL0dDo52W6kpWQA8E9TqSy+0+amRR9K2W5kGJBMXnsGym5yxLTPmUoxb2K+qM4X3X
FpaPwn7/mGqSSL20yMrMNW1cxf7Dp6VtB6saDM0tmV6AqE7Q1MjobVaf6ii3HiIjUn1Yx9Gn179x
wBIrSnTNA7eyT6CM1a43ozwAmZ6hLezI72co666TVe2nxumLswUK8mDovNP5QGAH5ad1EICM4DY+
tENN7zYXeVAMZXWeTYHGhGJM70Y6zX5vqf/Ode9c0qZDlDFrixM9j6NZ8N6G5kuz0+ibrHXL5txK
Y4hegZUGDQ3yS1/bmpeA6z0I97tPCioBKClIlNuJs6TbQpFDIw0mp8neY3Q6OK6sTk7iZkoVrSjz
cX4qOxGdbDPOS7eozPHzgoPhETj5NmtcAa2rjT2Aa/smWoTqCF0dm7sAT5V0cSvNGn9WKbRPpDMn
cSqU9L8cZqZnBGUFKPQNDajp0RLuyQtWCjHuOTaX6+PYMvT30jE0a7dP4yH1GnVojIPjs/dt/155
/fu/Egba3/gatUkW2KW0vNHH2gwwL24OOt+7q1Dt0qJgTgf6+eUqEw1Skdchn7Z1jCKABBiicxqL
3vHvn9HdTwfoBJEnwH83or6RPFJtOFxxoa7WZ0P7FyWqnxh9qV7hIN18f7GdEEw0IA7Sg11LQ/Xl
U/WdPAkr1ZIgHVU1+cScJP2q4pihvk1NK7xghFA+yHI/Xe8vu/OMUPsYaREX4AVvWz6dPutMqQ00
39seBPSwUB14YUILLFbT9lEt+uGg+3Pb+0W8FGFIFGzRDrwRfAfWOVRxQ6/ZLEa66+5Yj2r9ZEud
BCrWLocPi6wO2rku4iz63aJI1Z3zUXT6p9c/OGDZVbiQ9v7Nx0VRSU1ZOg5sANHPUFpLv1KbAZhc
KZ4iqz8ShdqZm/HcAOnRo4bvfsMVGgiIjEZQnrG1HpOsKKz8IZ71p8ZeuktjmViHRCmSS7Paenjl
NB5WuI+pJJTvpHXDwWff223rvQu6agVvbW9dRNp7XaexE5RRSkcz63UpPxutM3+pGzv2h15vH5xK
Ea+XHgTvDF8K/MIKtNr2PgQqbmGaM7USIsx9fSkyv7HPSg7cPx6ehs55pyVWcXDt7QQMklQMadbe
wO1AGqAQCIbBYVQmh8i3VJ31xlnKIy7YTlrIKqgArhIKq2reywMcOWruUCgheGpIsQc5ozkvyhz6
c45n7f29u7cURL11F63Y5G1LvwDQUloLIk7OMsJ/qrsG16e0c0LUnAccJO+vthcioChBsKHBvyLa
Xz5YLcEybiMpCXJ5wqktBt3SASC4Okv8cwFX9fqoS31GewwwEt2BbY4ikqXU40ZNArXN6wfG3LZf
jFr7QImYnpLQaA9y372XSRNubUdTsd8g4gpERHpVYr1hbKMgGsPl1KGq45fIC53uv8ndpVZkJhP7
HcpJpkyzFCOTHkg5SUm1FOopnVrla4cP08FbvN3zEMrUtbeOyidRbrMb21Y4TlJNaYAqPfklledJ
7aBD3n+gnTSLZXTsZbhBdnpGQPBNNr7KMggMe9jMppe1nDlVjrCh9Wv2O+TD6ouFpKkrKZPum3rT
HNyctxfK+hssHL+o7FHd22SUU9IhJTSTURpGz4Yhil+nQZqfEr63N1bOZLjE89LF9QttnTk54kKv
///Lep/10RpEnZYde9MelzthojBok4+obZO4ptk8pnbbnATzPa8H+eMO1TK/76w0PjiZux+Zg0kL
De929uPLk9kpbY/Mes7bz6PutCCbfmkLXXv1rv3TGGdaugJNYHu8XAU4aRHXKUJWUySFXsm/8sZG
sXzRNtJBYNt7lQoSl8xDyVxvwN0rj15yuoqlwq68jpbVnTtjqlxLXhx4U5N8BkU5no2uNY44WjsC
KTwmdbZKVQbjZ1uRtbXeKRJtjKAeCuv9VOrJr3wwQP+uk4jhQmsSc44skuJnJm9VfXU6Kz5xEfS+
ObXxp3aJwJog7vjqlg4/i7ELgCNS6xuch9CGoZA0g7xQmPUMcisJPyzIQra+1DSAhu8f6L0dBasA
+Dg6DBAMNztqElVmYRedBCHi2ZqLPpb9qba79vUSgDwVhxVA7Eqy2u6p2GLwvsRlQtXfN8M5QdLx
s4048IBehz09ll1ObQ85ORMoEmrhQQWhKjtHFuUh9GaBbN5K6Vv6kFWdkyfBsix1+kHNuwnNMk0s
wldW5cGv+VQNSDkVSoy22JiM6uxrINk0V1UQf3NjW68ifBGSonSlGGSgPxmt3V6zZWm/dZNaQcno
qwE9xzk0z1U+T/FVlgctdJdZj7SDAHh7raDMtnIuKIfYu9vepoHqbV4WaRI0spoHeTpNfmcb2bVb
tKP9sRvwwY5zTFDSoQW2CbZq6Ch1OwxJEAGmelsOuoZSGSpVpxl9tlNcx9OzbYzIOUFw+5/dRSDy
FGyTXr9L0TBCkg6OHnOmTURKurgXhoGALDjD7s20DJJn5bl1EPf2zgI5Kl50TOHJGzfNVCSJo6Kz
gS3kaT08GFYjXdEMs48aBHtfjzUQwuTjocexeaPLYA8lcnNMVxvF9CM5Nr22g7HpZMI6YGXfZnI0
IEDGofMFDP1GcYugPUJMGclylqp7VhCIx7KdluU0KIO/aPbs3/9Ou7sFrCRTM/pcdHE2r7BPJ7QX
VyembNHkn6gBzcOps4pBf8wUq1D8hmZ47WaoC2auU6Sl9S7uC/utnHZQmO7/lr3XjCbv2uYkIbqp
POjZCsmekXSPIAn5tt6EQZQ41jnBoe7gsXeXooZnxss5uVFN1EGRQAYF1luCFRx8JZNb5XlE58vD
vIW57/0H2/uo1JW0TvmgtyCRCGsU2ZJSSqrOKLwJSNOjSMAeOHGo/wKEeQTv3f2o4ENgGlHvIEm9
uSPUCkV1Wm4434SjmrloHGaPWqfr1RWd4yX1xpLuAepU4tNcREl9qsJGXNOp0o76MzvvGXHltfmP
nplO/vUyMWl5K6OGXhctk2XycmXBUQa4VXIdirE+uDJ21yK4Uh8wioXh8HItNev51HjRBMCb1avp
JM3JseDTpQoklPsfdCfuMOql38QqjNC371eMjR5BI2b7oBV4yfO2OodyeMRH2bsDyXUwFqUbw1X4
5zP/1azT5gnaLgSKwEStVXcRpJx+4Sul/AOwyX6jKUWJVccYqsVjXw4VlyHeg9MPtNYT54Rae/W5
c2a5P+nI91/LphOyP1bJmCqupszYoio6qtVeQuXduJibpCuAx7ZO+lxlzuuPNhAYimFqb3RRtpkb
nuNMmFEvDiRTw5K3thU3y0V6Tc3MODjaO4eNpQidXDtgULe1Rj7E2qCOcRaU6Is/K1Lf2V4DHel7
3EvTWdPDWTk43nsbD4oLpCFSYjDf62756zNF3YJaR072jUvF/Ny3un2pJdEhmtg7B+XETvaNiweg
U/JfMJnbh6vmchmg9TEFskX8Tiqc5GFpUrO88PL1ZyhzVsBcs8aOEp7hwTfc2/QUMeQxoIzI/dcX
/9djoiUFdCNn7Rgdj9MMGPPUGXF38IR7L3NVxuJKJ1xy375cpdQGJezWaZpT57XpAmsy0GiXkt/m
oicHfYW9rQKOFGw7NdMt6QpNzQSZ+y7Dp81MTrEaVY+TJD5U6lD6hWWPB9pAe8sBo1hTd0gB7JiX
jzYiPlSNwOmCosx1v+W2+SJ66M2SPqSXXDOOBlh7r5KWMTkYmlEM1jdpixGnVqPreRYs6NL7qTqG
Pluy8AtNev3ICJ8A2kG0DuH432BgqFfQUgGlFcjhED4q1VCfEpEfDZR3HwixB4YmgKRuVA6BV/e9
btPm6mZheRO92Tdl5ejugj7v5/sR/rb7ygNBxYHATc/9plWYDiXoqCpLA7vplrNEXGQGFtlvgc7m
l7Zt04esDuVXd0FZFDkL8mXi5A1CtwDBV9ciJZDUpMqGUAbusurf+0+2twshpdCXJNNi7LU++d/H
OMcyXYUyG2igeKGgN27p1PNZzEPtS0px8B6PVtvsQb0uWq4FVLCHMjaeqiz/kdRp+q7j6HlVO6en
+w+3t0MAs5Gr0+ZBa32znKPO8CoKkQbzAM+gB3LgSRHsU1FyAu4vtftkgJKB6qEQe5NC4sO7IGjM
ZtQlyTnHmppd1VZ0XpzE8qmJpuF8f7298Mu+h80OyviWdqepi2MVNo0XJ1WyM6l8FYSrqvL9VfZe
ILkT4hZc07czrkrHytfpS0Tg7ME5GdBwTzOdyqvo1eY/fCsmDFSojFtIEjffyqZlnI0m4VAkanwu
wzjSfGlaphPiz0N+sNje17KQ1GWwQ5fsptlaisVqhEYslCIZkqISjV5sIeQsL8zrrLI9QqDsxQ9Q
NyBTIQ0CoFt/z1+nDNQJzJOCa2x28uJzk3eti4BufI6rVv6MvsxyUmPpCLa6syhJIjcMlTBfb5tl
sQ/zJl375LyANigzVJPdrDM7bzY74ZlSjplx37Tf7m+Z3VWJkasyFBf3VqVJslQ4ptaSBG2B1WFM
BX3JGBGdsyayHpHpKc7LUiqv36erYCezSUNZe/WbCqcanGWokoZF5zZ90xdL9CFR4tTP1Uk/AIvt
HAnqfpph8IuoLbafUrUi3RlCfAknK1Lsc2hm9VuRgpx8KE1Km4PSYmejEk9W7AesyFVF4+XGmXDz
yLQopB5PM+ufOqrDy9DX7cWIR6l1mbWOB5fO3udjCEGJtspr38COeYlLMQxYPEKLk7w4xktE1SNx
1SJ1OBfA4z1dxgr7/p5Zz/amIb+WA+tY909CtPl8am33g4lNe1AXSvXOUqY3lLHmObbw5bSiOr7M
opguE2Zdn+4vvPcxWZPyAOm7276UUjR9CvCERhzCXomHXw/Sv/kIi2kwzfA/fMsVtE7bn7h9056a
VVIG1OHjQDPLqPPQyK9ar9KqiGZYCaXqnV1w0R/cSzv3BBcg9zqK7aAVtlkfnrP5mvFCh1tnLaZT
ZM82HlwHH3BvFXTEKLDI+Ijhmw+YmDW0qI6ed50blZ/Oa7uxGoqDqL0DPeO8MfKzIP5QWG0fJhHZ
WCGdDZBPIYnwBuq+b05dSe8ajmHipahWFG5b1EXlKjCBfCF0I/KXGKCJbGndQYdh/+es4NSVNL1a
ob08nJATyhwEI+mFBtZDDGXuFfhnPClLYX7FJbz6VqBTjneUlF8z5m5+n9bds5hQjby/jfd/CZ3V
Vc1thzIWOVPGyVUoqLPUaLx50uMnI5FitrSZOUEbiu5NozT6eS6N+S3KzfJz1OApj4tO93qeKyAN
2WE7MH9G82jzVrAGNpeipNfbpNGvDM0ZqrakdRFdVS9jItX/YeuRdRH5Cfu3OGGRtUBQDJOUUkmW
D4ZVp28joAoHZ3cnUGhk/gquDqtY3raBjfiGOQt00wPAZ+Op1exfcxt1Z1Ll6uB+2YmFMP4JEhyj
lbe9HrW/U4UhtCerkCHjN2X1Q4/KZHrI7TZ7I8NeqNw2ygswLzWmF709mdLl/k7aW53GL/KuaDUB
WN8kKmKxqzajXRFI9F4ZAAO3Seq2PCvNFF3TWjcvDb4DJ5VAdvAd994wbUhm+gRi7tb1l/313L0Q
yjxnOa1uOZ1PiSXZfmSF6YVOVXkQR3bmz4AHgEdAxSckbncoSi5E4XYUQbq0XSDLXYONSJ57eSum
TxYa/m6BXdrFivCKdBmyvp4lSAG+XgLcOATm7agf24gR824+8TykJxgqy3npFng2XRv7fNmDF7tz
oxMx+ZlQD2jzbtEgeJ6XaDA24UOROKgxScbwZFvR7DVyM/spc9tTNMri0/19tMMYXBmQaDqDHqCs
3DYrWzLvUmTcCDKuIdNpERZTYXMx8/y01CUOLwNoMdSrtbRU4A2P5ofE6CIo+IYZDt5kVcpXRRHY
Ftj2+Fseo6z21RQrBq+pc+kprUKRwbNWEahtcL+yLsMyifexMnU6bkJd9RiW6SK7yHKI5Nw1bflN
b0plvlBLpZnLEL77wbiojs4Mu5ovWNTGOh8dxVR/zpzYvhaGOcd+rojyXQE9sPd7pCGzX7THKe7Q
clhOS9fr4jrVpVC+qmo3f8J/tj1CSuwcRxRjoaYw3uVlbqeuKZKJEBzjKDCysL7kODWchx4dvEyq
kv8lFQOZOSwiyDixfL3/AXd2DXQEGjgo1pF5bseGUajUTTEy5FKrqAzwlYS9OUX9e7oe6GMMokEQ
NT3Czu8cTPJ3ePTYioB23ubWdYZlTu/Ajsx7UZ2cJZP9FLnsr7WqZaj0ZNVlEsXgtRb4s2Eq++/3
n3kni6FbsJoWAmNawRMvQ1BpDUkKLZQEDSHyhza24rOcLc2BEsjeKnRaAPGRx+DUsAnwVY5HljOn
64htKIWLj+/gl1kxHbQX95dhHLG2I2CcblOyduF6iEAvGuNS5G4+i/xHEZVHzhY7BQraRgRsAtqf
DPPlOxOrTg07H7vHyDGeKxs/orjVVLdFMMEvx+Vonr37WCSz6MdA2mGTvFxPG3GKcgqS6KKTqiCx
u+zjlA1Hs5b9VRzmoA53MX+8XAVhf6MXXPX0+1D598UsG55Is1h9fVqB3zGwTu47svAtesNKoLGD
REK8aNQ74Q5KSb1VWi205VEC5P76/c1KdIugVcmAU14+VVQqapLXYOayAvuzpgKRHTWHQoN7MQuW
DSxg0jJQKZtVzK7vqxoEUqALTXrDcbL8BHG3p8VOW5QtJ8snohSeokyvF9n+Y00F70ZFieOmhbRI
DlyxFNiosjDAnEsZW7pF6t/DGvx2/03uJCtMyFdUMJwMRpmbXThGtjY1eR4HwqyG76VR1DxZ3H6a
AEoffLS9A7Yq7UMFZqh042yeOINmxx2ezvh/ModonKBTs8wzi+VLF3Vf7z/X7mJ8M/rB67bf5goQ
7m1JS3XMvnvRPTtGHLl5L9vnCnfu08S7OJiV7Zyz9bEQF6CFT5N7s1fiRVezUSuRqMmT+UwiMT8s
cEn9+0+187VYhXyW3A263Ta1jLtsnGZlwoxbjZe3U4sbjsk08KlvxyMU587mN8HYkFlywm6TLVPG
OwgDlChg0OLoQSKnWeKbS99cS1tyDLwFzeTSsEm/OPViHoT8vecEOgppg5kSdenm/iq0Et8YfIaC
acya1A/HXPkYJmNS+XKkzuf7L3Wv5gRPADKFKSdNze0ZkDIRFmZtFkGGhuFJmbXQT+UpcxOrk86D
pYbXWHE+USjigWwUDqRkJfLtPj04ijtbdnVjw/+B64dR4fr3f9UNaM3XYZMMeZCppXgoUMLxJrDq
ZyN3SNKG5ChH2fnCK4lwDXArxmj72KpcSnodW0UwapPcIC0SR9/kSVJb31LCmcwlNt+2aRT7M4TE
f++/853jAsgP6AhYFcZr2+uitkcu81DPgzYH4scHDo13Qra6Iw2lneQPcBp5H8B/jEu2HHY1XzpD
gqUZZOMgUCYeoMZyH5+KFpBfjaS31zZtfv0PD0fHEcwPQqc3ha9IKvTQGqUI9FBuH3O9yR+aMakP
yuu9R6MmgQVLGw68z/p5/9ou4FD1KpXmImAyZPxqh0W9hoqVfneqUoNNI5ByQns4PcKs7325daRM
Y8QAfLzVxQWmAnwxjAq64ml/ShsrRnRTHQ/gYjsBgEkPNAMmQkg4bPtjIY1vqEdZGchaVcouMB7t
e5O05YAtpTg0Nds5CTSkOXn0phWMVzbBu+7I0AYp5CSEptNfbWtsn5m2DN9aR4kK39KATnr47PYK
+Mt5Ko3L/Q2zBwDmB0CEYnRJwbCtUfRQSdk1NlOcZYKcsvR6KrvgxJofbeQkGPHVRrVcB8JG5Fqp
yP/VcK3/skTt9LPuVDuht9wJxZXgWocHt/bOl+DG5ggpgLx2IFf4x6MhaPLTBFqqsrDns6Vl+pXK
Rz54DTsBkBSECfifqHRDCJOA8Jv0wDJyubryjaUcnjBH7LFGW63XoVwfBKHd106kJQgB/bh1JJeM
TMAuBvnRO2H3pk1M4x25f22fcVud7XM8ydKCf+CUyn6L5LMZaJnZfERtFRV3q5cS+WHJU+0KBh85
y/tbYu+1U+2s7UBoaRhsvzzdUhWNpTKxI8rEyH9J8Qy3XULiIxwN/fUwb974egGsNoI3zV9JtbOJ
fAN9Ai3+bYS682Q3/XDWaD58fv1DMduChkILcrWuevlQE4yhMFaNLEjntPRnOY6prhCYy9XZOqhH
/pS4m0kMk/IVbEoRfptC47JpzFFc50GXhck/Y9Es77sxW0J3TJ30QRkd/WLSgTFdPcnR3rFL4zR2
tG9efXwcAgsjNpsC+RarkiiF5CSllge1poy6B7OwT32wbiuobVabI5nQ223j0Kwng1jLvZXs9/IN
l2k/2HIEutxaw2aZztmX2TR/IPSqvfqSYyUmlOSjEGFvmuMDt3oRIj4fqDhouYYcLg91mR3hb24v
OVZBhwlVSxxybwIjbfJRG+yYwQT6u5/ZJ/KVJC79pYG3s1w5MvvTIKMxf/DVbiMRcDBcnQh84Ppu
ekYpd3ZSJxOihIuZfUQJWIXRXLZvzFmvxWXQYkU93z8at9cqK1LM0pOHF3ADV7bKhgLN0ONgjAVO
22OX+1JlKQcRdu91sitgWaw4iJu0SysJdi3j+qCtM3FtylI5zXlvv4nxVjtTCnQfVznP1x9FxvYI
5f4p/Phjk6lEMYWKslDNxkmhumnI0VucPvJoFM4fG5Rtf49MSx+UvsnOiBAKt4IzXhx80r0XTJQD
iLROc0gKX56MytZH3gnDHDrp+SWMnPCR5OWoDXLb92NoCC+STpUJQnkbtsF3zArWD0lQSdLcX+ZY
d64Sl/cnoaLld1a7QZbhv0fZBwC4ce8xSW3evX4ngTCk06qyk4g7Lx8U2T7R5WoEdyAcxIOmSYo/
IpZ70PvbOyEcTTCb9K8M8qOXq/S85L7DoCZQbbF4cz7179JGRQ9diJ9JBtjl/kPtxTWCuUkPC+Dw
DUKuQMUFZx7oA7JCcJMaTcOVJrIfOmTHDjbK3hnBxVFZEXJrObbZKEOuamw/C2h3lFV+7xhAzNEi
hWFimdGqstyJ61LM/Zf7T7hD0qYrAnl35Shz7W9r3n6WqlEuKbiFUU+hZwO08aYplJ8EkNffRt42
nQdnXrkYIp0dl1pRD0/1sthv8dySGO8Uwv51/zftnZn1464MXLLibUWao4BoN/MQBe0Yaz9TYRfv
9OE/GLqu1zRdKCCWQKi3taBkSzA1GkYDttGFgTUiw+Kow/xsNvKRZP6fgdjLrIAPiwQeAZBx1Q2e
k1oYySmHwJ6kcYaZK2oOT3U+5rO7aHULRiMV2KQJC1mvc8IV+gk3wVz8bEQZwR5R26+DWfVv5a7L
G78z60G72BZbnhZdt5juEpW64iLhqDGDmUDFnu3OMU445lTtRerl6lS1tp7RTqjjb53mjLOntQNz
AGVaQG85Slxa3gJeV3MnRWqHg+i/8zlXyS76pShR3QqlIjpNrieBoJhK55PSZ+ZzhjD7QVm6c1JZ
hD2MzwexcBsBhZapXdppcQC5qPPxC2cmoC71ozGM8sGduRODAOeCCVk/5W3VpEZpNdcr5kUfZQVN
+WV8O3Zq9Gwti/qjkKfhIDLsrrfOOtmnO0Jeg1UgmW9xR0sZIolxbH5DhzO7DnQv36Lgax/cm3uf
C10O6kJqqVuWhFQ5A+oYETp1jdwzn1OmEwz17mCVve/F86BFTKfttsldi0VpS5iXwTRnyaPSm5Vf
SqriQQ2rDor6NXJuDt8qGU4CsEqHc0O9vDNK9BhxIQHgEDXG/CtFa9Lrmd9fpz7rvUqykycLp6h3
XXJoWrXzkKgmUk+tU3na+erLlZVOYbioIU7m0AYyzuh6pm/iPGm+Z4nU/XM/aO7sEkBK9BFgfPFK
typDZqPNSCuvdAJ5js/YOJSd1+vMjIu0lRq3KXT1oIDb2SgY81JVMXeBYLcNoKmmLcUUV3mwRFLp
mUOhXVbPmdP959p7h9AJaE+snecbhyJTMuAkLnEeNK1Oh1tEcYBRr+kBSjuS6thbihwKGDf5Bb3y
zUZB96p3MBrNA3S4lh84CorQYyBnfovh6P17/7F2rnsEYQDdGExLufA3aw0EZz0xMEwt1TF7VqZx
brwwb9WPcajGhTupSolaapkdxOL9ZWmiYRWnMONZv+lf3bt+ZSdXMzjaxp6K3u0JK5U7RJlxiiZd
MrwG1bJglkfnyG5v790yhQH1CY6cLHXzvDOn5P9pROPUm36Mv+CnQsP5NJ9k9cP9V7u31Np0pa++
shG3mZSUGuqU5hZXQVcYKM4gMO9alZ6d8lED7nB/sb3gwn0DChfsza3qxIhF8pyb+HHIo2F+bbNJ
Qd9Wa60HM2uMh2SptKsCe+g5KRL9iBS896C0mKFn8VJ1S9Vefkwd5Oysd2QVhg3tpaz15STXcX2O
Y1scnPW96PL3Upt9k/VjJqpJYWps58m5SOz2PHJ7/F60GM+hOgpfP2oFAY2r4J/m30quePlsmtTW
VVzgQtAr4+9YH8KnrI2PwFrcM/w3m7thvejYLrSG6MVtIjRCKDFjBkBTYRUZ+qec8mYpXdjyErzc
XpXP2RK3lhuGatp5iOkYvReh4E+5DLEE65WiyD1L6aX5Yta2WXmzMOT3uNxoX602F5YLsyZp8BPI
J8OX9aw1381L2vxOoSglrm03zieRGkVxdUzkJi6aXSvi1EZF2boSAt1Bpii4ujt5GspeVEzjb1Mu
bBxYSlv+ppiFo/oClOT7YRjDD+lgLu1pzNWi8k11QsDdScTwJE1O251rJ9G+2YU0Db6e9qL2ikxb
cj9jTOP4rVEPvYuJriRhNLosbyZVq8yHauzBuo8SkHvPgeb6y2gpLD+EdNqIGaGZKhe1alroj/NC
n3ZAcs6b4zLNvC6UrMmdjY6R/AJsEU/EOS/aNxCOcBquMzuryC7K6WeO4CAK1/SWQKYUYvoyiSn9
TJSylretYzGXcsH6Z8a/iE1OSEG0SvS9Tep4fMgr3bnkA5yRB0kdW3Eim1cST0tlOzuFcpaaJzkX
Oi4SulA14lqsSV6pJfGbBbxA5uP11P6P6DGZj2o2xepJSFIDLmpMiuFzMlPk+Iut58W7pazbj1VS
m8/I64ncXcxxat7NZhVVbtaYyzfbSJ1fo7nMZ2fCw8rtY4R+rpJiNtalkOschcNxGN70aaGmz2M7
DqML/1TYPnXlSHqfG6nwl3yAO5o6o75cZbzxhCtkbr0TMv1W5itzrzdeNZo4G1b0ptprKg9K7oqs
qnW/6Zz4sZjHtsf4O3W+oUE22l43Fcbn2jHawrUA69jPqjSOgVEpY4ayMJxfT+aima5DVM41sg92
rsfYm7S54nYOzCmIPtXY+Rn4qPpBSSMT7y0ui9q1B9H9W+vI/LlhJpk1dnVMnL0WF3n5seoW40sv
hREAMCMpvKwvEFU0U2bU7gzKTbwbKCZbN7fNWvpSTI1qegJ6dSBV7fJRSxC5f1dgs7u45GzJwKZ0
5uFhiuvm8zC3RufqVad9rWp1Uc4IrZrlbywp1dxTMdM4aiDt3JXUhfT/mOSRd2wr4yqdBIw/iBhG
n2vvAOKGn5zasX/l1OYf61b5t5mq+eA6uQnpKwEDCSguSJKdG6X0NrVHq4ZBgJ3OHHvtirWrYik5
zZLx8/7FddMyosOPWjMlKdqYrLW5kCfa+rIxWnlgtmr23Z6c/L3QOhPMkZN03yr0OS992pacvHn6
Al43qU73f8DNozJyoo6i/Ui6yihxE+GnZGqXbKzRja6d8v0UTTMOjeFI2dak5/+yFNoZQLu5UrYo
iWQoCuHIEAHDEb5mXogFekJlnFUpPLKpWn/19kIhm2N0iILNLUchjhbAjnbBvLce639Xt65fSs+k
7PUPtGrjckOumkHbrqKI0XYDzE/1pA0c22aZEsez7cT4scrHLgebcu+SpODF+BTI3QoufnkX612l
zU5BAZXC1H9yYm28DAyIp4upTaSttRNPD/pQKKdSVqajU7i3TXC+pi3GtBkQyqbjV9SA72gRcQpb
rCPzTm9kV2Xdh0Lquter4QKiAReALi/QtRs4TWHGchct9FFVBc5/qhKi7G66tJiRHLzTP8jTFxtl
hS5yVfJG8a29qWtUUzJLJFkZaCdZMvprw/Rxbpz256IX9v/MSOe+knM7Vd28aYrn1Gwi+3nWK03y
u0iys3M4ZfF3OSxkRrYjhe39HXbzzdefh90aTARmozc7DMvOWceuNA+isCk8PNW5R9pl1Pyscn4M
wtJOtj1lXhgWRwSqm1STlakUQJevEFJkOl/utlKJo1HUfU4ZEk4nSSvyU1ZVw8VIreVJjY35qL9y
s8PWBan4VvouVcM2EiI9XId1xIIFrsZBOcsTx6r6ACUlO2hS/Qk0248Oi5bChEEkLcH1rf9VfuF6
M4PQtZhEqks4uOooQGxP6mgIX9e6hnsxrO3SJWNZWZV1USNpOyfNP2qalO9lTJw+qUasz/4yw4i/
Dj1i2W4RG2101Zza+py3rTliBFGl/wAXyL5nagh2aZ54vNOglspyGmtt+VVMEmKf1RACbkBwVcmw
zmsa9Qt7vu/cpF2m4X0T0ak7WS2kUqZsMOxd0h6Tphoove+1EMbkUg5YsYfDaOK4XIVD54oS95c3
hK30Y4MMVOgqsz1+vb8xbwIsXwveID1rFPDgR6ovX2FRROYUFcjaxzzryVzC7rMRS+lrcXXrKnTB
GGfCwLkJBLKV4H4lZ3kgZ51KnIul5yavj1QtbyFgLMN8ivhFEXI7HYqTJDMzMKXBYoXxJcvC8US+
I/tTnPR8fyX0okzV30ZxF+MyZyz/RI2lvR2ZW/v33+pNrrP+EMaAZH6QCGFBvXyr5hjKdLKY+8ep
Pp8wIyLYSy2zaVmb/NSW2JMEx4PjsBdjWI6joOM/ekOt46Q5ywo8oQciiv8JIx8eEknYlkt9aZ1D
vdT/gR+WPIeIch8R7vYOPXo+K7Ib/AEZ8MsHZmtVHLKqCMx+Hh8bORvAm4VYow3Okfzv7lKIHNNS
ZbUbdZtEqij3VugSYtQ2DU5JwFRBLGBKF/sg0dn5jLbMgBVVVppy9PtfPhVVhNBm9HqCuXXKy6yn
VVCllnlSGDV4VR2Vj7IVFgeL7jwfDSXUYcBNMkHaJiONVptk5kseILXd/aPhSHmJm77r3VhdrCNk
3f9xdp49ciJrG/5FSOTwFeju6R6PxznMF2Tv2uScCn79ufArvfIAGjS7K62OzmpdDVQ99YQ7KDvX
A/0ypIJoh++YXtI4o4IY2DQNZaPbDIZyNZsmd8s2Q5wwnmQXuH5yatLe/j0yKvSrGMxdasrtXQKJ
5iIVs3GlC9YtapWzG9TykZrRTmbNuJduEEJNMljD1QW2KAcpQnCfxIYFfAqBx5xgiUjdGWuH8hNm
QO23GfzwWaRoRKG2kU13L5/m3Xe0jEk5ssvEaRUjaxu4S0OpfZvV1LyXe+MdBhUoc445TCkcTg5y
mb3lmOvQDGZsuZU2rMy6mJk45bfKVqTPdtkiPGDkKI9WQ3aarakTBwtuUTa0IaG3YDYJRmk7tGyH
qnCyvAOzGpjVW3BE4SnvqgjdJSNNvuNNNJ6zuqssTyuc6VPQJcMVrlN5kCPtbXxa7lD0qaK2/qCq
kLIm1wHZ5GYb3+ewn9DtHWq3k/L4ID7vvmKcs6jTyMUAjz0/2Hkmz7WdjvnNzszuZIWxc0EvJbtz
qtC67+bG+v7yDtp7NHr7OsA4ECk84/P11EhU42j28GHDqH1iJWP2UF7WPxvD0OgHn3Pv4dg+HDom
Tuitrg5Mj9l0iIVVitYS7tqpks4XpVbrS4kwiddbIvoPD0eVjSMmLU127fLwf2VhmVKkVjDjlFBx
Ui5zUHwYHCFOMZaoX17/Gv9eaXnyv1YCVaKEM+nQrWPI7AMLS+l70XfDP/aoYbr3xagnsEZaCJHG
+syrLS4wjkJJOLVV6Zbg+B6ytsNVCvbb5//wVAtmlG4o/LZ1sjDBe8WMF3RUIhfdLbY47H5pE99G
bNikg1J32WmrlHmBbGtMDf7ona1eYUqrTKZLlNz6KOy90dam+6iy54NUZO/tLcKapObGTuE3tmas
d8Bh0ametc/JHKUn0RnzuZrboxbP3gNR4FBuUFkts8Hne2LIHPpJNYO6NsxQJaKdfAO8c4Rg28mt
2Agkr1wDTLvXQxAMuM1E1LiNQdhEF1VuI1e3p/ZqDGZ0imzas3E9tBcSwqNQtfcqydChcIAD3PLJ
czMDVcClhixXEsPXkKc7ulCpl4m0PL+8EXdfJTccKBEGthvqQmsKTKYiM7uRXsN2njo0NQfrCNy4
e9uQTcH4oiZmPri6TtHXjkRrLSVH4PSnpE1mGqVy9HHS5uRMcpklLvpI3UlLZzp1Y99iWGyVB9yU
LWqYO29hpUBf4OLbZKxBj54nxU+Gl3inhqdEDUxBLz3Rz0OCFAGgEjuHFSxBtHfLwmn6S1nmKBqn
KY6tVNt57gIl6K/k3EdNr73NRszhl9Ez2YK1myFMikBlCFAAl74fzZohhmlJ7/K4/DkGQv7hINb2
NDByOLg59jYAoYHigTptS+9VA9uUNKfKbkIezAerG+OvSJUcSVPtZdXc8oB34Kth5LH6/phRqEVa
5fnNiq3wn7wX4TdH6iZXEZDcgRAJ1xHpkbv73jHikRZNngUQug6ynY6Fjt0h52TkhvyQK1NeuYFj
dboLJEv9+fJB2vuAiwIcziA2/e41QtpsWnuWcxbjx0Cp1eKxuqAXEZAfN5F+QRMoeitqefTpTrcH
pfYSwFcBfsEqU19CcqfjsyhX/3VHRlUWIspJPGSgpH+oFenfVGTOb6y4ImrgfmgORpk7e+bZequv
2USBOjjLCLzLlCFzC7Wbfjqzmvgvv9LdZeBCwyMhpdnk4IR/6I2RlsLfL6UHqYavzBD3IJPZC00I
MCxMSqAf+kYrna8pM7fExmyI1GG4Q2iIVhJ27aZvxpmp+JJpxoprFL2pulHTNYWLy06c+Tl+Y68e
RyNYhXwrAF/KTw7K6qaWrbQh+JEz1mX+pBkpLsJ2b3qgTsvX39ZYm2CBQEzGFWQ9OpADvdGSDqHJ
vs/LL11p07UqStiB2WT+h8xg+YgIWi6Dig2Ad2C4r/UZjTgbnYmPlZUaj1FSBb4lBuugbNtrBy1N
QUINTQlO/io1wAakkMwWVTWj1Xu4J5Pa/87TqvzZyHX1RiRKcFaytobEj4faCQrlcFW1oldcvOy0
g/27E3/YUbj1gjxDhcJxnh/LqW0qW1JIklUzCr/2zaR4xlg2tywLp9PLR+XlpQBKPV+qxOZ4mB1g
UtEUxF7Z97WPaFX+VtIonF9eaieUwxtAyZA+jLPgb54v1WqYAbdLQh6lCpglC36CiJL46oguvdQo
o99N0RF2YhsJQC4BF2S/UsBxgz9fU6hx3SVFQytdBDiwBaHxibpRPtIE3sZRlmEz0gBa8vJ1yaZF
oWXMDr3EYbCnUxzG2kM7SoUfSIX5Jm7bIyGBvfVUpA2hBLNp6cg+fyw1rUttVmj7xFGluG2lBA/q
GKVvVW0wwS9hnPPyp9t7jTA+AWowlF16wM/XK0zhdG0NT7UNButjLynp205W6oNVtnsRkyiMJxhJ
amQ06zIq1qnlTUQRbiOp/z9o5gbntI/EgyanB0Jx2zuXlShAF/Y21c26Dkh15llTBHwOSkn1z+zg
muRZnWxc7EAwFEC39GoYzF5jG8PIg2Ow9y5Zc6F+UPHgS/H8XYLjgG2sAaorsVW6tkIob2JRHSFJ
93bIX6uoqy+mB1GUT2rBjjQ6+V2oTum5iqbpbCr9dwng8+XlDbK3HP6Ki3kBGeEGAZn0JOaw5JE6
nqrOK0bJSlwMLML72OzbS8t/c6BftvcFmYuS8SrAzTYTbLPVlGCElXhrlFq4ZmQBsUFDAak/EXyU
wG7TlByS7xi7O0dx7I/l3/OsiZ4TuCj2z1L0b+o78Pw9BVV+G5OpAxtikUG5HW7gijcwH/lU1alC
FJVBomhBf0tFL70BtY+RFWaQX8nnzB9IrKaNa4s8yRGqCoaD/b1lFkDKZZjKiSWlXCwInm8yW02N
kWEDBD+wIB/CtEzPYzMEn9AwGt7gGT3fAfHCxDrDUqTObdlFs1nzwqG1H7LSig4O9p89vX5jAHr4
RRTFROPVzzFk0FBxN8C2hdBfuL2ZB42XpJp+G/PRbtw+MorYx/wwn87SWFalbwsUQN1Y0TLbA9ak
564dNKbtAebFeTpUuih+lyRNa3ndkOBHZuUz2Ks4sunwi65R5YNHWE7l+gm4k8lBCAnARpcD8Hem
XNtRGTtmfnOo/U46TaRzj8IQnFC7eVAD1H2cDKG4qRoLNFibIy3bnfNlYLCJPv8CkN1UJJjwOvil
q8XNHhrpcZSH7qwYmXFpysnx6AkdyT3uJLccZg31RQoTOunrCMnhkoowxOClThz5OuHT59WG9lUX
Tll7xjTP2CRVJQgEyNrD27o28i/woMRr3zoIXU7ZItKDAsbmXi0LE594pplXnGS/1Y2ev4P+bi5j
V+OuqZr8UZsbUGDynC14LOP6clDbJCzMpxaKMJTcRSN+PVzhwUysQoR5dSS4ICW4sUdmR8MDowdx
zlUsTmmeHpGv/0SPZzsNwewFQMsFZUFFNFY1mbCd2U7kxLk6OrKDbzTVhKTSjqme3uuGcL4gN20j
8pT1sWs2dv1u6CvZdHGtTyI/RdbrkV6eLN0FzsTkcA7S8GPB5n0rm+iizno735M9qEf1x2Z/8qMR
JUBsmc4uoltLuP7reNCoFiIrJfs61NHXBIO5i26F6bmF6u91rV4fZK07y5EXmxBOAb9vOT2YArbB
Yph6Ra1RfAistvWYEOP/PYXST7tuPr12I0BGBZxAU20R7lxvBNsK5UHH//VaaoXGQCsN+jfaoH6T
skB/lyNaeQcStDu4UjfZEI4c+M7i+UrnVqdn+fyViryqB2oj5wrYaLraem17+oS64Dgibvjy821S
EpaiTQfLjmEiQKNVcBv6UoRBK9hyJjp+vo26XHingwH59+V1tp8NqgI0oYUMwgtdK8INBqeJXpV1
rcfM9hM9k65WD7wnmOP43FW1crBNNkEbfSo+G4JKzJRpp652ZaeOdp2rrX01+rB576Rld1cDqLgL
jaq8KcIZXMkqy7e2QOt80vKj9vk2fiDTQbGDFh197Q24pdYzR547xbrmmhw8Iu2QfWds2bOqURhP
CBtyKTtWHfovv+XtxmFZ5Li4LEiQNsl633SoxsOxuEaWNF9S8MUe8qLOGS3x5GDj7HxQCJokYTSP
GH2sN06Yh6gOaoPEsZc/A9BWr2MsW2fsuAt/qET25eUn21luMf9Arge4OCd/lUagVpiXiy76NTGb
MXehe7XfRzuN34oyR4h/nF6NhwIdAXOOj8hYf5noPj+DUwuBjk6Ac7XHwv4o1ZXsJmg+fgN2znRH
aX6//Hw7G2YRnFxKf8Ia++b5cj1+f9SqinMNlopuhGv7dkp75VGTrNptHKW/zrLWn19edJNJL8+I
UAGTnoWtvU4VoaEAT5kb59rluhNeQpzOKtfJF9jHDMoovSLiKD0ZWaH8KPOmO3Iq3sYelgeesai6
LWFo9U3RYu1H0ySUNzz0ebK19C7gIQ+6Vnur8Kcjz8o9zmFcdtZf95OdaFofdLZzrZta/1qjIXor
4/DVfUeDzcLAxwDUArd/3U7Nw1aEjgR51ooL2vBSq576Kj3KpnfO97NVVm/MbnQ9pM+PqNrktKfa
qcANB5rs0nU4utZ3Xhs4YfYkdwJfZx2ww5Jtr4co6lrdXPtKP6lXrbeDg4C1uwqfBqi3Sv97zf0S
UeWMEhk989l8vioiBSsfzq/2LeTjMK2ymONArOBCeL4FlFBR8rpB7FFLii9zF2SXvFFir7bM8SBr
pQLlz3qew5GnL5gMtO+Ii2vIgJrXoypiLJPb0bYerbIOvw3oVzwqsxwlbq+lSAzFRawLdyxzRNbA
hajZl2IwoNQHQ2+ChIwicL36GN8h6IHjgk5T8jGSsuR3qoZwQDjSwH0XJln6EJuoh/lR0sv/yGVk
9i5UDfWD1VmARAvaejhLJoP+ENl5Nrm5Tv/ZTUlpMXGW8PewQN3GntPFg3rOlK5WP5GU57JroMEz
nJAft0g0s1xO/LLGJdDD+JVZ12SV5jtzTguZmkeyspM06txsTq/Y/+p2KlewF0Lum7QR+jt76qmN
2nB2Zjca63l6S5Jr3Bttg2LkIGz5Rymc5HcUadZ7KL5h4I8SevOuifPJL73Jig9ZhuTcpSD6P6KR
FJT+aFrgL+VeSjVvwPXlayIV5VM79LnjjYaR2342VMGIA6YVfUptmDV+B/3upAX22N8FvTAf6kES
3a3s4ybzpTbQviUdHAxa9dqC2YlS6TT2mghdEx1G6Zwqcf0mF2Mbe2MqpU8xglXxXYHsl3CtVmmc
M77YUeHZjlSDH40Re4D/IpAb61WjfsTfTKn9QHRq5elZXuvXuUXUCT2n5GuJLnyNA2MExUWK5752
jbazTddMo0HyYZRZvZeU/OXaklE9IlospX4dQBb2TdI2mY9kSnQgOi7gt1MDBopZ0aTdW7klmgdJ
zaf2fRtq8q+inBXNS2tUF9yhruf6nRqk6SUxS9w1QnpWkgvWpfmn4jsP3jinQeLVbQFnRLdF+X62
xGi5RuLUzZ2kqvVvlAiy6NqwJJ9ChUzjGrGdOO/MpFLlx2Ewac1QmLRviLVIKICEq0BjWZn1A3OU
KIUkNeTJhwBeaXmgVbENKcuUfyEhEpG3ihiBDSZKR0T5ysVufB/CoPvCrTK8NnDBOwR0hbcSqfMW
qVNFs8QQHLc0nIHStwkCUk9WbDgHWezmWZZViF1kcox4APc/D1z5kEqBJZnpbSD0gpRp+htonuzu
5TRgswrhkdYCs3aAQEw9V6mOGdeKDB0vvk1dON4rWhucDLNoDkrqvbvL5iKmSiQ13fB6Ju4tga8L
ujD9GPvwoWYm933iN8F4ZDK0txQdA1o1i8gbA/Lnrw1TQ5RH4ww1+FnCP4laDVhJnF6oG9sDlvvO
UiSl0L/pbe1MNmS1LUcjqaVrkHSal9RNfq5qM3yjdYNzhDVavvbqaoGnhFsAtzFep+urpTNMfOQA
geOJofcnc5LTk1Ea2Q8pD7M3Iz6IzUGOv7MxuPzJ0RCcX2ZSq6Q0gyqslkMRXGerFX6OQ4VfE5iO
Opa7yyxToUXBfyve1YGuzrCLJUMj9/Szunc8p8G93UYcxDVHVf/HGJr0zpxyzc/NsLwf6uknhzPz
w9ks7sZK7b2uKYeDY7GTktO3RqGOagMQwjpxZKaEhc0c2tfWrLAuCJ0IZH8tnzrLLp/0yTQuZLBH
2Jqd/cSiYMIX29wtMzYghM8ZQOxrT5fZD9AOOQ9zCCygl6yDQLndTjSxl0EIScwiXr58lr8S42m2
kRU0KvWqhGHWu1EogvhLI0OdHouojX+UY3CkCbF9OrYTU3lmBYxb6e09XzIs4OKKdlCusRhtv0E3
8xSo4N2Toj4K0ADa18eFRSim+Ht5yA1+pELOebJrZkqJPtj1Ccdo86zKYWB6XYRogzuJyvqdFpix
n9OsS2xX1nPLPmtlUCUeav7WZ5VxXujT/IsDX4whnFKwQoJ7trRKN9XUtvajHhtznGhL9TGGXi/w
VS7J8JAH1tOz1I7GO6fBcPiSFVP3lAHZ/qUkaf7FcKZQvTh0552rHOIm8EYjZOlezjCaC9UR6r9m
1xjtGQeN8ZuFOOB0V6EKZJ0COoHfC8x/YnjLWTufOy3LzrMyDkwDm9KwrgtrvDorTjLZvjkgBnIv
9S2pSojYju4behY7niyNPUIVuMAEp6gUQIUVssOnHNJwiUtGXieuCnnA8GNb6lS30Z3mY9tCeCbV
sIEzIO5nKV4Z9DQXkIXXLNS/hyZySavKwJUcc1JdPQtT5bvIS7MEBN9mEFVSLflpxE0ceGQB6T8h
0zD9XMSO802qbDgsTlhk963iBM2lIdMpvUw32+jcw7f/meZKkJ17Q3QflLTqE3wP4lK4BaS0zC21
XnszzvM432uVE4UPTirZgxeA5/pmjLFJHhtZyE/nTjrfR/I0Zr6NnEvnDXKDd7neB+W/HX602PmV
SAT6ShykEjxtrXpjO1k6eAjMTLqbiFD7NWd5/pR2nXaPt0o5ntQsFK1rWUlY3yVpK99huil3bu/k
YEDGQvpXNZE+tJXGeJpGR7pLBzX72Tdt/a0pcGeA+/AB7ZyyD2L9Lgs05+OUalNyakPy09MSDWEu
m3lSuNGcDL/46PVDovWz8g6Rf9M82erQZ+9xv8LEdID92Pi1Kk2fhljANsqzYbhIyRRrJz3IO3QZ
qth5ROZJquGfjzEzFHPuTrmtJtG16LWg9Eh5qqcsgxTt6nFjdOfWmeX0zjID/VcpKqf2qRolUG0R
mY+f9TMMVpEawbmWw6rw1E7vY79o+5AtIEuimdxREe2HABr/4v1davUbOaRwcLuiNSx/lAMtdbEb
hHQuZqm7M4dsdu4YTSDcKDCAfaylSOc0mOOHuQych7bU5Y9TxGzzrgq7LHbzwcw+M4PLJr6mHjan
urPt8NJaWvsErQViVwWdcfgRqvOo+LlTK1Qe6WTUlyiGGJDHbZO6c1eXkRcpdjX6djXkdyJWqsYn
CKsfOiUy5reOJNrvTWk6Py38CKR73ODl7j6KQsoLKYzL+zEyI/sUdskI3EdomeJChugem1TL4DJC
I5cuk4SiFvziwPmM6ZoYPyInxatUE3Y455Mg/1iSQnQfEQON2/ezWrSh12fUtje+igqkfu6+BiiV
GRe9mKtPVdnUs/9yNri59sg5FzQRozrgN5ts0M5R6oZhxsC/jj0B3REx1l4/ZXEDN39uzdNQvpo/
syxJNAFpvMh0rcllVslsEAwDMPt8HM9djE1G1TaRT3+iuVqzFfuDnkwHpfom61gWBV24CHYy2Fsn
iUVV/hGlhhQo2uBLr6b6e4q7Iw2yzY33Z5XFnheoBu291Y03KFqMtXEIZULUuccwVPGg4Ncfer08
Evxastpn6eGfpWiwLppfKDyt7nPKHfrgyCjfuFaG2B37CrOTJgW6iMhC4Hb4AoFtKrNzqsXht/+w
af6MrJiL0/1YrV3GtPHaHggV5lmW11adRX9dF6fM6hBVEHEqeVwE8tPLq+68XLCLTCgZl9BvWQO3
8jxCb2NcVDCq2H6TYZLt1paUPCGAetTQ31uKGQkfEDsiPuaq8wb1tyvE8nLnWU+9YUJpW9Hywu+x
pHhtw5I2MCqo6B+Qc25HTpodtLrIMLlQC+UxJvO9bxBeOEi6N8kfyRFwnuXQOUh9bms+MMnFItyG
3hpErVBOhpNtMIuJ60J3HUr5g1pi+wJpMMuL9AGTdLqxq1pilCOc5jsY+mHCjugkWbtHeHX2QpjO
By9w59mWWpmXR2q7VVO2hkCCEYu/XR7W+V2dFumpybruUpdy5SFOcji33fT8luY5gYsKmmITuPLz
tBZ0hWF28Zje9C7OJr9G21HCqVrL3udSMje/VCUlN4o0dWQsm0bTu0Lg+jREk6K405QgfWOwue56
a3FpfvmIbKMcIRyyFmdzEUZeB4VAj/Ih0rESljK7xchKCd63Qd9/+C+rgJDnAzN4W+v5OFpDOyS1
aXr2auVL6Gy/JWMZ/n15le0W4mAsuK1FKozR0yrIGB1EN24PRB7aKMA1MQhdNL2jT10vmgPY/95S
+CMSSGnpI9u1WipI8StIoU7cgk5NHiaRGe+DfB6F26VijA+OxvYbLTap9HiYMANAXQNMYMFqTjii
dKqaqeyNWhSfNaU5oqbsPBL3z6J6xk2E7vCqKTKZ6VzSxU9w1JWe0rbIfSHl6hUN0vFgN2xXwpl0
QUQyfkVpYd3UH/ra6KsCxTjdKOc3QT39m1kThu2x9mqj7GXHwfBd7m/GV+vpvJ6Mc4tEaYpUOyTi
oaBDC5dNctWoOoLFbAbKy1I8DM04EMkbPEoHpktGDprbtUSfMewb67sD4/ScobL5tSxN8zOPPFyr
OIR8KwFDO6jWt0SU5QcAWKRXx0AbC9/nQWYYLKMsK26gqbNqccmL2HRcrZad6mRVQRG4GnM6632D
2+Ivu6uU1O8cpg1YewZIFGSpjaZNF5mWGyqS8WpeNz+O2Qp4HQLA1gQDsStHaw0alXqYKLdqNvUL
DXnpUmLweRDR9vJT2iMqQ1lE2NjQz98Dyk4TaR0fAudduL25kr01CzN1xxEIiBsFTAHKdj6CZOx9
fgCjIE+WeemGXdzhFoDcOrL5+KQbJ2QWiORjbV406vFLx1TuM5rXs5eO0UWJjmybthcaKR0OI7TI
gBlvgriljXj+VeQ5tWSUn/FMk9wQKUs3yLU0dXHPkQ+6mnvvGDQz3C7gJ/T/lrfxV2sI30I5kDr4
DcIwgi9DFEoejjmBm3Zj/tBXybz0PaqDhHwbNnjK/1+UhO75opDzCZFJTIqFVPnFQB/8fqwXJnl9
qIy+E3GBPACPXAIvHOLVHgIDXPc2zN7bIFSaIfR2H+UgPbpElj9lnZAvXhqLWOeio7l81r/eohb1
8KQDHogBmfoBo9v83A5G4aGdpStuKXLzkkTjN0lpj+YGO7sVnSJwNtySQGQ3BVUNkrKepvBWp+rw
M0T5ama9RmGur4LXddEMc+r3VWFZ/2hTITf3SJgmR8DgnZeswkyhN76Yz27ELZRBq6FOFyEe4OYE
bjMKz7pUHvEed1aBirIAiwhAyiav7OZSkOnS609QKLh3RhEZnpVU9tHu3F2HNiK6Qc7iFbDaMiAy
RGeibQdbOlaw083CxwxG4MEZ2NkyAB4xJaLHby4zmedbRrFTUx1zSbqqfV54zGgdbL2VmZ5Rrb61
q0T1IjTl34Ugx16f8VAdmn8YN0Ax1pe2akTyECNufIvDAKk6QwpOKLPbfh/O0UF02XmVtGQ57IiP
4Oy6hp2E2jCqBG8scxEueNeMlvIDclxysMpODKOLwU9kqT/k7Oevco7ruJf6ILyVNn6SJ6UO1V9G
ajqo/Yissc8QVipxLUNqnYPaaieQ/R8bizkXEKk19iwrhqa0VVAa3Ui3zInSxo+nufJFIUXXV6fE
5ME2wQVdWfBDqxAzKm2cgWNDRr6KsTulfijAKIbxGX8j9T88FhfCMlQD9rXpp6dDitR5YIWoGYY9
zipZZN5NcFAZK8fFeGTQufcSGbpQToFBhvS+bKK/gufYGE4jxW18S2sudwt9Jn+sA8O3Y+lo0LO3
H5eiFKyeRca67tHYqtLZmTpTCxdB+EB7cbpI2vj75S+1hVXjAA+QmYwFUA3Do9UDlU5jjCZZ243q
qDolWtq8RzEK6/Vm1E4i6WqfWS8upIlknoJ4NFDmnF4NhOE3LMII6Lkhv0N0fv5So9jqEzkgMx/l
vL5mWq1ctBE19Tpsp4PdsvdSOd2LFp/CBbDZmVLsyEmBmGqaRd2dLZLpIlI7PmCV7r5VeMigx5hl
od6yeiIaikxAYRDc5EpR/ahUrXM557NrQYP3ernP/BFBMa9EhMZtpj5/Xwf6q8lLy1uFDQLYHtm2
DRQynqYhC+UqhkpblueYBgiAy3J0Ab1kB29171RQxxM74cMDvF6d9wgX7KpvG/zcRYhdWD9ZbiNE
8zS1hwiH3aVgeQOZo7baZC+1pUW6Acf8Buk+OamoovmaiOFBx9qrYauoqwCy5HDQPICbsuqfLOJi
mpMpORz7vvkIcMb6gjAJYgmOGZkHxenyhlZJ2QKnYDlm6OhorG5YidNt6QWSLlLWDWdZlnt3XijY
apNIF7mo7J8vn/ud18h6LPcHg7Y59rLUJ6Eqo5nTV3MeIT6sdm80yrF3wLWCg92xc+UhHrMstQDH
NwTdQa9GOAsL5ZExeeIb5Ho+CglOgXBCmvN/6GlyQeDW+vjyM+5kLfBTuBHAw0BcXfe/ZKPUKsRj
ydzVcj41ahUT3+TsURtaGY3bpGUw1cuPRZaPr89aaGQi3gphZenUrM6DyHOJU2IggdCNwjfCKPLx
RsxOIj/0B94LNexRbBAXcUaqh1Woac0JJa8MV3EmvHrtWrEpTpWqiHNSmCbsfU2tz71ZWjdVAnjl
l6Luzfva0fqvr37bS2pIy5GG6va6qiQjDjNVwt4g6JuHSEpbj94bs940+JWquPnKONf4QsAye3nh
nZDOwibEmEX3fLOVcabXpsqkaopy1XmAKq4/dFUSn15eZefA0PwmoqPxxNVhL5v8r4u/CLOaO4ru
rcpg5pMi9+NZDadFS+NQ5HT3gf5aahUL8AodLMH48daJyvQdZc58S+6POkc7p2NxJtapyBZ94T+c
wr8eCIRrVLVLMZ2OY/4D2m74WYW+c6nIOa56UsQJDEKjYG5r9sXnl1/mTrR7tvbqfKjaNDQype1N
T/PihCyXxfiJ5inRQ3Fj3u3BFtly6Re+Pu0ZmjNLar9GrJV10k6thKgUwM8wAkQQZtekS+2vNK9w
ARx75KzcFsiPL09ByJM7mfbGCMv5AdXA/AgEsreXFskCWvNoECOU8nwvJfrM18eS78bVj1a/xVT1
wQTLULm6NvafXv+uobjDcdcMQEN/4sdf35lGoNAcYA3oClVPBTO2c5QgrAzJMfYzRbwaKcSbRqlk
uVcI9Zv5pYOCEejUiW547FS3SNdbL7F0yY9C0zjoPe7tYCpSskYKbGtjr61GdTBGGm66WgO6Arho
EL0fpRLN9KgH8jJaISOMJjYD4YM0Sl+/h8k+lqYrYWGb84BHmISBnOBNjmcTqE79S56QujHUqn+f
WEl2sIV39gyCLNi5cIcSg9ZXijJq9pSBPL4NzdC9QzVK/12HY/29GqT+KKLurrUwS2kom1uImW0w
DepNhHQ6yxBvisA0rgpQtGtvQK98eXfuLQXXg4TcYACwuSmLQGb2oBBWo26I3s7SOJ/NMB8+JVKt
Xl5eaieskuMSueGx0DFfp3NpMZpyGTCnyYSRvBMAg+8AfPyH70RayptTYU7tfKeAoXNty8vMqY6+
T21Xex2AnYehb7WDB1J3DgADPq5byhkoMeujLSEhlwSoPNxGe7YkwMuV1ZzwRNedswBiE3takye9
B9cMnJVaWObPoNAR+E0aTX7qZoyZKU3KCbymoaSf2lzwn0TdaGKOIg0tOr5ZyP/ujMmAzjmSCFt5
biNq1aMdhn/9lAyeEzlS7OM2xIYPy1z7hZ/1mJxlI8CAIO5skDsvf8WdDcNgZcn9IUEtY7fnsRM0
V++IHCIDMqr1CUbXdHIQnHyM2vHdyyvtvV0MI4EDoqRBIbX8+78Cp2SnQdsgZ47+ioqyMXjMiy3M
9IJHQ4lHW557Wh8KvPiwwHt55Z3rEZgwH5W5/sKBXD1jb3VNkKslnmJDkp8S3odbp+l4Sbqwc/NC
Hg6edOdkgHBl3K5zI20xJ8y6J0ybwED3ph6eyjKYv4Gsdw7S8b0v94cvvjTwd2ARahTNYBjjWzDD
z0sGdfwgjQiTIbx7lPnvLcXwG/8iEKTU+etPR5/QCEOZhkJjln4dh80ZjkjmppD1D77VkvetCjem
igsKHp4Vl/nybv/eJROke1kNcGfRE2m8mJ1Wf1MlRKw8pwzicy6S/D000yr8D+dgwRKgB0YCt5lt
16NizWFis24EMBC+lPieB+JtH1j1h5d34+7L5NYBlkQGsekjMJcFEGsY8c2SwgSluVD3UBvVvUkp
j5LsvY2/bEF62XQsNpdcN/4Zf0wx2j9T7plwZX9kQSZ7hhNOb6yaBsrLj/bHFGn99dD2JzGCT812
WZ00vMRMsJ0oAFljZHxj6KB+rUHOvpdBtX41qjz6JLIac57YaqIBJfZA/V2CnfhoQ6yRPbm3pMkj
38Gj0xrq4ooWQT+5dotf3ogBanfuE2v4MRitXTH2rAU0J2HUud+opXGvz4V+ZKS3M2Ghd8CDoGfE
P9btSe6KQUcxJrkVvT0w6Jbyfyvq3p+llTSDp8+6Tf+nUYU/MyH6rI12Ox9cSnuxBBmgpe20MEfX
56E1bGE1tQWzfzbKr5oJsqxMQ3GApdk7daCemG3z5RYF6OenDpJQNxgLskNqpgKgYtxeRJx/dhxR
3wEWbjwHu+S7lzfL3jmg6brgxJlgbQrtmcqzDXTAF4Ml/YRypDxUaRLdqVnXHzRM9o6BvfCJScFo
Pq3rgzmkQUHCBTpmlqUnW9KVH1qbpSG6ZnP5ZmyLI62xvavOAY7zB3AIQ3D1OiMHvw7TWBy7o6Z6
5EhMnhPjNVVJtu7K1dh90VppOmUZe/fll7r9kBrNLIiWQP53QFGtBlGlLInUnTNmJxyYR0DTtjjZ
WMt6osfPss6N6GD3bB+XRanjoUOi5LYB6M01GUyS4NkpBV1xp0r6z9FMdS+bQxWjo8x4bIPS8FWs
Lw/6QjtoCVbmZC5i1cws1qfDngytiUcsRfSySr8xcM0Md4znGRYitgInKMnwnZMmRXygc6SRuGM4
X4K2Ld/WeDqpbksKq3rtkEVHoXcr0MPcCzrCwoTQdiBZ6J+rKkUh9YyRWF/AchTgmJBRD3xDGYpf
GIyVBuwCKXlsp674mYczCZHeqdr3FNDo7DI5zLODS24bTPhN6NtA9qWqpKP2/JgrpSilrCeZlvO+
u9MG5E3NBk7iy3twe7BpK4DeQp7gf5yd15LczJmmb0Xxn0MDbyZGOgDKtmfT8wTRdPA2E/bq9wGl
2WWhKrqWko7+aHYnEkjzmddcEmd0ypTWd0W45YWFddMrmRsHdZ4out+ZXnHNVebS4iOFA5FHMWJR
3TqdU6cVidspHNFZnCi3RW6pvqfm45ZkUt0XqjHtuqgyb03kfa6EKhfnSTIFPhnh0jPzHGgnMB87
oFZgUqAD9CCn24ZrTNHQXHr9lV6a5KKnDeURdN9ZvaUxRFrApCTWi+LiGEMASYIy9BRz4+ZKiRvc
FLofmlDUt+mMZOuVZXN+ftJ6IVxB1W/B46zj5yiN7NTkC940xiSCKU+yN07kxP5cDene1LP4yp3n
XDrF6KpS3UYcZVHmOf2mQJ6mpKkWj+reSO8TXQ4VHOC6lBAtWuTfsWUsWj4uzIpgrlzIqTkdyxcn
84S7ddxurI5QNKb2GXE3GCOz4cKejYdkeOiNWbof+2RQ5JaaWVrcz45ecSp2oGw25HeWcmjtbAz3
OA8nmS/CSfM2sYn93W5sPGFsix6MK1KuYSl8ShWdAamgb+4Hu08lXlGhjeqXroW3RdZDNajc2f5I
N9qNfDVuyoUuU5n3Yd3FagAutq8h9cvqOXcSVEWHUTGqLfpLRbJtZ/gRvpO31Mwi7kUcLcy8X0BI
BjpjPY0/hUknFaQbQPRYbnWTMaLbZPdfLVC3+mawRocOZ9vnbPLEnZygFDNWsrolW3huQimHzawK
CStj7DPbr2er1ze5CG13p3dJrPl5rRYj+zc26xslxQ1+1yGG3xyI44z3RVmr3X0B3aPeNGOvPql0
+BO/C+0+3sxy0Izn17fAhUVIWoB651IGYE0sa+a3xGCs8UjRa+7UDEszv6DXEkzNYD6kPPd3O3L6
d6+Pd2ENYoJgLSVOT0eOYQWOKrRqlkqTpDd51elKYHp3BYqWuR+qkfG9L1XxXPRufeUmvXSkLNKk
i6Abner1wu8QsOB6BlMwpZGxoXaF9SIx8L4ZpLwSKVwcavFm4dBE12m9qSUd+SaxczAF3lzsOKXb
AFGZ8FZgkP76m7zw5RCPIQlBmGG5GZZb6bcvZ8HQn4ukp3mLkoXhd62dPpNp2Xs5uvKr1ajXUPzL
HzzNQlAboRxMIZNSzllkKZ25BxjVwHQunNLylTBqsK1UOC+uHMuXZgb3nEL4QuI8E8VS7c6mV4J5
+KymbTDQc950WiN9yo49Gcx0TS3t0jej/waXhSI3scXqXBxDE7F0F6sgQ53rPZ5RzabKevHc0cDd
vv7RLg6F4hepI74YlIZOP1rEbdqrZZze2GrX30ZooN9otSG202Sb/8FKJAsgyTEgw2prx4hyAkqZ
pyNvsSzNrSIy02+iuN3GJpSFP5/VUumi/2ovJYbVrKRtj0ZcoxY9FSNag8owpge00sKQJBM199cH
u3CCwLlFYo8a0C/VrdNXmJjahKrG4uxnuFlgzJ7b+cCWOx8ZinovUcl+oI5xDfxxnrLSM4SJZACe
JWtdn1t1XiGrqhIPFaOZfKUt1WwzU2tcv7VG/MPpXoT0Y2yoVtBcPft9pHTe1eD3nJQLJotfRyWZ
rgX6lKdTd9SWe4f78waWmUNJqmyUB8UbkFqt4ya/Q2zGLZ4jCMst4v6g8wNsfOr3haoWxBcJojRX
PsWFjQoqfjGJWgq8NLFPn2fUCr23kwqV8LFC7Q+FSb9NK9234jbb2jK8xse40CBbbCGglbPIqL2o
qxfgcTOBwyNkivVU9+XkjYemm10/rWNnk1lNdrCdqt6Z0Rxts3lOKTZ34c3sYoj6+iK8cBbiXE/x
E7D+QoRbPYjWW2pSuFybaZ53Bye0kjdeYYa710e5OF/KyDSPaJujprjaWC3tTpSfMUhJ3QVv4Rbe
DuNqE4d3ZGBE75ZHx6vh75MHBa2FfkokAPKYFNj3rz/JhXMLABZlNTogPMp6vuj1VZWDVsPNOI3R
BjlDDhMrmwNcxK9Vuy5OGsgKr5cuyNLzPV1VhUjCpIBmd2OGjdH7aiVcC6ar3n4nRqwfYVCm76uk
sw5WPN0NKOOT6pX6UcTimsz/haNmaRMybc5qgOvr9a3bBCdzzawtocCtjfP+lu5W92R3SbcnGW8/
UHUYr53cF4ZFwABuGdcRnM51eSySkgodFdWjVo4YElazG2uBgYrproWuVAYw2ZEPErWLfOPrn/nC
yPDn6BYutTH+1gqlUTuRsHuZeUfTks5Or8vy6A3OuFdMKLopWj+Yy5TXdLku7CUgs4vtysIMOasG
GuiNOHHJoAk+DjswMvnW7qlxvD61CysYty9aMlQnqD2uWVYA1F36hChHp0BXN0qTRpvWNHYCCvWf
nw249FGG5iyiOLYOJ6J5joEqciDWoC780Wj1Jxml+pVRLiBqkARmNgsYkYHWGToWrJbEVAWNV8zK
hmCQjfKcaq4gYhqiRPHnrrbNexXk/MKIqhuEZ2NRRXcNhZ30z8MaPh0nlIdYBIt2tW7Qlg2dUJXR
TUiyuKtQLXg/ZI7lx858TVrwwrwX1jGoZC6AJRBYkvrf4l6i3hzMGyhvu8RctfTCeeKe07SvQi/m
Jkg1r5Hbup7Dt8miDRGUqegfPdka319fUJcfhGiRCwl2yVlf0236uO84oW/QaAgxk6qSANdbI/Ep
lIUwGIW2E3E9BXqiT5siGXVfD037x+tPcb6seRsodfxibKJ2tGyu399GU1k1xtfKsVNr9J15HoSi
XBvRYau4soMuTpiFxgnBDcyS00/HqqvCjPvIUo7ZYlQWGFGTGn5SGbjC5qAnDsgK6HJfxaqS+k7Y
W/GusKL2Bg1keI2vT/vCJQHYkflSGIX4hybq6bMwnJdJy4ronYkY2HZV229TdN4eiqjuv6WKkeDg
NJvPU95Ox65C5nqLOahp+OUco9H1+tOcB4enD7N+MZpK8jzDGNFLtXyOLQdFr0GbnLsmrYcgnzQX
wSEoZJ4bPdXogv35UUAoBLCVHYh+IuJGpy+jEbXR9Sjf3aDojQKDSYT/Cxn9FfMGQr88q72Hqa/C
HVp+i8Cd4t3wLpTyyilwfpAvUHOiIWiFzuK1dvoYqclijOwuusksRx4Ky56UYM4T0V0Z5zzs5G+T
xi+4RVor629fSceLlUGDTWKOkLmcFFymVXW72bJjH1E05c3rn/fSHlv8RCgteya38qpmEaOUNpve
yOlW1MpGjPW4b+e+85Ea8a7wLi4NtfDyAM8wPfL701dYun1UugNnSmopiR/R1NtE7oxAX4k4x5Xo
/eJYYDJBCi7+Lb/EGH87OpzUKouyzKIbmcYCMjCgSEuoI9gy61q77eJQCz3AJSOlibI6pcoMAMEY
2+jd5mr8BjEZ831hD/0DZl/ep9c/1qVFuOChnQWvY1OOP32DIlRwX7dT2FtmP2zNOlR2TpYXVyJz
99IwCzsGKCnBBDWR02GMIrKqcJjCo5d0Y7JzElOV9xOk9OhJWlr3MWmzXAsKZ6b73NeNfElg7qR7
FPXKLIgrr7ICLogpAcPnpe+KaRTpLuqpFfuNnNTvY8vV6dfhWAnEgdokw/dF5ua+JbKYN/08UbkU
sR39TMy0rX3uIlxoYiMZ06Bqc6ffSKHAcZwdK4kDnWLLzxKiPamBZY1P2BONoU+FKB8fm7BiOavo
Ycpg8PSSnDFtHecQuWpjBn0c2yVXam7s0NwoGqTtOrvd9HIcvS05f9bjxQCW6F7VZ/d9qmVjcYeN
r0SoGkXM7WSm2CwKPLIOuVMW4EOcOk4Pc2YbX+wcMwA/LLso3GZjX8x7Jx8UsdVkhWJnrda5e0e4
Px2iCK1Of9F+eTCUCkz0NCjdh9bNi/AYG237nfTWi7eKWmf3eiMbVJaGAuEc6JCy20ow5Og+hQnq
kC2SBpUvVBG9JWFCfyKO8Jz1hY7Vm1+W2oR4lGipmyWKWb1Q+0/SKxfFhX0AGmhpmqqaRQV0FbuE
Ce1gHf2bY2oO+S33Om6+eQTkY6baHF/Z3+fdDXLhxRiGqxrZDW95mN/2d9i2lRGVbXLj2VGypZ8w
+uiFz5tiVuUWhYFNWeRoCTrxtYHPswiQM1QgllqaBYFydQ90etUZrePGN6aaZR9SnBc+DtqQosOu
u/KIqzB3sawj+8p8L9zCuLFZFGkWPXaoOqfzdY047JrMpMobV+LR5aUcUJ1/HEx3vk098xttTWXf
jj2F+KprrhzcF3qmlPMoL0MMAlaALsjp6J41a2Yhu+QGGdHSQ1+rr/f4MlGX6iQcRNGafXWDOqQu
fARJii/gjLqnzvBIJpFrzfxRa419EnfD4fXz8MKSo1KxNJpc7q8zALVTRMWctCqoqQoXTa5O8se0
GzcjTbErq/vSd8fVkEOXLIBrZbXgEuTX9DltY5SIEhtK6dwFuVf8UI2o8tPO87b0jK915i9NjyPY
1GCkLPCm1YUZp1ORDy5ERZj7+o4DRDuGiJLdpYp2TfD70lDIiZJEkp0vmgmnXziTwM8IsFjWGu1W
i97Ppm+1Hkvsctq//tEuRDjkw3SSF/nSxfrldKhw8FzAKSaXWDqFhl/lXnQ3dFUvabuncp9ADVOv
7J4LQ9KOXPqRiy8lBePTISNcWnDccyNcxup4i8eA9Y7+U7TzYkTRMmtUrmyYC4tlafLSvICQdV7a
qlJjoIKBRHbi6VzR3fi2bPPqC7hsO5g5Jn1rmKb/4GQCnMybXchS0ExXJ1MOHNyxR4/cMWm6oO11
+1GZSpLnUeQBussyGOv6j80b+YqaTa0aDSuU4u3VoDYShm5vE9ONVoVQYkRJ0glCNoTzH3zCJRoh
RiUnBQZ3+gm1SFQovc3K0cCU2qehEQdGWrmbRUduXyW5sn19lV6IgSiKQ+lZkMTUgVfjhVlYpI4c
lWObtfUXxy27wM2sawtl+SunbaeFiUzlnW4aVbH1tlOSfk6dzFWOuSj1/TB1ZVDNpRuIqrX+fNvR
IYSfY7MoSelXO3waJ6/LPYYy9ai6HxQIH4XhfUrTxt3i7XlN1enSlvttuDWhNAXDbNMfJnePvcSP
Y0vbT0YpN1ac61vQadfK9ZfeJGA0LkeL4r+z1hmTRiwmJxy942TOg48wXXWDbqkZdL0ir2B1Lw21
sI8hOy86+Ovi1FRD49AQvjyKKVvmUtUHsx55ix1s8tdX4a9G1mqBsEIWABr93fM6jGjZW5kT4wlX
6uXBRmq8A1SQDkeX5v39qIbEdUPWetkWG+v0e2t27eAPlJ4BKnUTO9I0Jnc+yNJAzTsnebbfqok3
y3fo9ppya+IjowZI04fNpqhm1XrCNE3fu2VmfUxNWQ2BBTbnNs5L+61TzdZH1FCJ3W17zo0HinJO
uOOar77XuVEgqtm78j4kF4q+ugSekw/vA2evZARYFoy6FicbBwy76g9K6Hp+bQKR95H5l+5XMfdS
3cJijb4kmJVMfm4Nqnl021IdgjBR+0+Zng7dHiEc6wP1OC4pMhRU8o0Y8TpT0aLM7x0xgT2YnPRn
QemcztHrH+NCzEkZgv8v+SsXybIufos5Z9tO7aRG0TnWM/s2H7JwM2korS8NIpIPkmYFkMiPHIrv
lb17YcVRdIU5BMEeqZn1MSE0AigVJ178MKxqN/AvNnksqPdM1vj8+iQvFcIWGAEhLkqajLfcbb/N
UtaKBGdmKEcF877DRG4LRUzJJuJrVqCST4rP5TUEbWybj2ZpvKB907x5/SHO54uZC/h02hMmTZl1
4a/ACbGzSiCJhay9wAbGG4StM78zZDZfuarPz/lFvGdp8iGuDFlqdSwWhVk6kU2reqAxdCC6VQ55
1nQ/X5/QpVFcxJlchrhQZbFmMDx1SfiOqaN2V02DeUTFVr+G+dLOT13kllDmAXxiLwDZVaAjxwYt
InBWoPXc7o0GxOUl68fZDpCRy/sAiDUldJQx5CPZrHyPu8C8nxJoscms2S+QV5Nv6dB6gJXV+N2E
jcBhYDm/f/1l/EJvnB5qlFlpOaHCR3B7Vt+kXJPrbjnENwhYi5uKWs3kq11c/OwVNzqQViA0qEMN
vJvKqCfvLeZ3xZwN2zpVnI3VO+qudzr7sY/t+fj6o11YeHRrkOagXUOPw1qthribkxFfGITUXdHv
cRhsD1aIvU1pa/nmz4eCNQDkVydfRqjsdJ+5iksbLEdWRSqdulHzDs+Fsgm3uZFdlZG7sPyAo8PE
4BoBy7lu8JeEBSDiiEcjSN8vPSXUwq8oM2b70OiGFxv9xTroSF4jv7HC7hH4S9/7oH3ki01ZQ97J
COmL0RS9CSSMas9mnD39aw3EC/dlF7KMjwzrPO7iSJWU9pSqyfymN8Q73BuTj25bDLFv0OY9TPqY
5ps0CrWl9FKNXzwLMO5GtbruqV6w2BvDnhFVF4qGKmpRjOiUaZFVW5CnVONF0oOh/JtXVuv33CE/
x6GKXV8irG/TkJjSJtDxDgmpRlfJ2yaevWv4nQsrZIFUkmFTjaYltPz8t+NRoeOViRhdlcJN+kAf
53KrA9t+MxrVNejOsthW22RpwuOKQMcBa5DVYuy83DJCj/RvLtMvWmfE+1mxZOAWRrvRXaE+ebAh
NrjRq35SyunK+jzPYeADUnCg3YcYDw3M04lqIA7cLqcw3BqZuilaT26gITdB5HkYC8MLAdbYXJPm
uTRlgwh/cW9F+HC9KaLBKTIFefCbUU3dbUv/5ShtsWDpuiF8LsNwApQSFuE+rivqCk3XAhH+w31J
vsa2JFYG4IbI6uqtV145atY8G0crrORWG0oddz3d8z1KDFde8dlaojaJYiUoWQAB3A2rI4AA007C
XBj0wq2QPs/Q5Vizdfa0zTpMDILXJ3Z2CCyjoc+zmCMu2luridGlBVauuPpx7pH7MkgU7mfsb67c
p2fLhlEWDScOGYcgaV2zSKH4NHkTqQRJanLfWlTfE72w73BOprarorM6IYD98udTwy8M6BIQ4HOg
J1Wp0DETVT1CNyhuhdlgUOZ111LQS1ODVMPOh8TNXb76XC5sdd2Eg3JEF9R91MvWuCsaKZ6QVTLf
NY2nhv4Uk55fWZCXhqVqTcrGCiFvW9/pUSGTOenUo2bU6hslSbn+civZ9XYBBUzLEJf0Ky/tmyvj
nkeCTJZKwr/KrHQ3VicAC0k3ezBSR4SWHIp4aqsV6Ea780f683LwG6SYwo1Q8Yiqk5EkQ5NFsclK
4VwDh51vFJ4EAROToivM9nVMqkiFCuTij4RaVrYLM2c+6iruEBrdwd3rS+nCUBx79F0ZaQm3l6/x
2/leOlImhZkQnzX1Q5i48iHTJOdfqejb10c634+AjdBzRp8aKsKZnIUmpKgEsKij3nv2ovFkhXNg
VYV2ZUdeGodChsUb5EQlrDmdkT7GeVIAEztaY1rdTVKWm6nX1Stn2VlyRAcMfXYDeTqqCziUno6C
Sm2JD5WpHu1Ro0Uzj21K9XBKU33npk3dB5bs0q/YIlTTvhdldm1zGss2OLkteQAdZDL3JefA2RoZ
9dTsCOS1ozS1XvqC5ssQUL5sK9/WZF77FuYOqm/aiv5M79WzfR132G9knN4nz66NbyoCvp/CRVSP
K0YpHrpG6vi+x0tzcrBs7UtmDHr/QmlBPHttPjXErGAnjkaF4p/hlelLFrvW51pP4mYDbVsRgSOc
7ktrpXhPiEwqZMLjqGxqEPd/bLrJ7HEIXlDFi+LbGkxnpW4lMrBtRwOYxIYoi1angjhnm1tTUOKK
8YeVd8rRYLcILfjopNzr6ADkq166Nh4lXR+371GEmgNTyetAKeL6+Po+sfTVl11IHaCBCEWAZyyH
zunSIj0p3MloR86hFFEmEWriIVecUX+YM2qeWAKN8tasJqAP2C3EnythD91NqpC+bKXR23qQDlVb
fUrNcHIemlwtghby98sYQi3/3lq5d6cOku4wrcbYtm9kPliUQ3oY+SglRVb8KOLRiv2hrbsqwFSk
UIMot8PoUBJDfJ4nb4YLQQ1S7sZcpc6q1007Yh+HUXWgTJqdYtCRZ3A/oEJEh25Ux4+Wgqdd4BRA
pX1Z4EqBVd9Ql0/DMIgdTib99IAtRwebhEKxdzAHLzGeGh2JdD+J+swJMHM36yMS7Um0rzop7EOO
uA/Yf5cSzfvXv8D6BuIDcA/gmMVB5aGMtYocENzKFfZBd0zc2j1qCrka8rZhl9/26ej2h7ao9U9e
FY/R9Kd30MJc4tCHqcWRDPhqdfkBvcJSRLH7o4ELTBa4cQ0mMx6q6ItaZU4fxOCPlBtb0p86alLR
PrA76Y8W+ezMV7ROLrwFAjW21gIFIz5dcu/fbgYE8gaZyrI/CoFfCa6DqZ9qqf3NMxFhsOsCDz9M
O64c3r8m+PuxxgsgcVtKMeDqwUUv99VvowI7oExQV91xgGbTH+3c9h41lCUaUsaBFCk1xxRxY2SH
1ftijNBvbqJG2hslrUW8TbQovVZkWN+QaKAQ3yDfCqYRMY/11o+RJULRPpyOZll5j1GnpEdXHYzN
3IhrUo/rq2uRW0GQjQWw9PfO1IbzRcvM1ob52GEWeTAlNhK1LbP968v70ii4gAK5RjSHZuJytf32
iovMm0NF79Uj/unFJp6zdq+1uXkl/D4Lp35pxyx+FAgALYoIq11kAe3Gl5gjOoFOvfQpVaoMrtg6
Tadt9GwhuoMIrpLmFrdI+0Ery2vt0vMVTMF64U8vcq4eFKXTiVaDqLDmmdQjPlDhIREiOTSOxNnB
CZ1jZrRTUNmY1rz+ds+ax8u86Tiwg6mdugjsnY6K1BviaAOlGkgxGsJPoQPJTRn7BvumclSPfZ01
5p1CUyvQ9EmQ2Jtqc1u1SSypGQCVjp1IcajuDsicvP5sv/CUp7uLZ0OQBsA9d8vZNZZHHo3IWM7H
XMv12ypFh9Nn8TdfHTS7J7/P+mIk15zHdCMsk+Szsby5PKp9a8YBQJMIKV4DagJ+p0OZ+MIRhX5o
JdFFgDsWoARbqe02MCR5SRDGg/3RMIQ9+m0Nf2zT6Y14soXdjYGaxdVnGIqipkvX9NFiyVq8DOz+
RxTr0tYPl/DFb2WDz6oaqcNPQDEJ1qDSSRPfklEETrE34ieTnvhntUN+7Uq4ug7wls9INZbqGJ/p
vLRo2nWYeFLMx9bSwgfVKp27Io3A5Jhz5n0vjaL7CSOya3dO1drvXv9OF05B+ploliDlCSr4LFaG
pKEL9s98BBqZVFtn0q2fWWT1ho98GXKQCBGEj03apXkgOBwx0iVo+JjLESSIZsrWunIvLXt1tW7A
zGMg5y0BELnZ6ZpWtMozPSnVY11UVbJroint/aYE3a0ZtKF8GWciDLTJdIrNZKL45SPyOF7Jei8c
xHSzCbg5vKgRra+GEZBjFE7tcMTsKT2GQp22qpKFbwn86itH5IWTg/oh8RdoYILjdesD1YWQ4H4e
8RqfvMdGZsV2Kpo6GKJavSk5+TdF9r96W//1bfzv6Ef19K/3Kf75P/z3t6qe2oSdtvrPf94n39pK
VD/l/yy/9n//2ekv/fOx/9HKrv3xt/uXWvyNY+P7i0yqcv07J3+Ckf79JJsX+XLyH9tSJnJ60/1o
p+cfosvlr+F45uVf/v/+8G8/fv2Vd1P94x9/favwzFn+GnZf5V///tHx+z/++rWU/+v3v//vHz68
FPze04+2O/vnP16E/Mdfiu3+na0A8gUahUnLZsmIhh+/fuRqfzeIz5EOs1z6AYRvf/2trFoZ82vq
34nYiWAwoQZ9gWeEyg8FIeLyQ839OyUSuj/ACGg4AYb+63+f7eR7/b/v97eyK54q6oviH3+tLtYl
P+CioexM3LiICCyB/W8Xa2yF2IS3abRt1DkmQgZ6aWvZNW3T1cH0r1Hw+IDSAWaaKZ2O0taDTrk5
irZYDj8rKfKJXvISj869WcXeJsn6JyjSV/o5q/3wa0ySdrCYlNSXEO10zNKFPdLGQtkM4WSx60Ll
OXK78M4S88vY93RmS/0PSR6/xgQpsJBmNP63jh8GmUVTJTB/rpXko+bF8ibHPdsnGc6v1EAuvVF8
yQDL0AZkEa0iXQ2pAAe8iLIBuTl8qEpV2RiRmj8MtA/8qQy1g0HCtJuKMj++ftCvjjRwTugF/EII
2wSZYK1P36s3p4aVmXqz7VO3VzeVKbW3RUXstslCPe6uhGRn65O9g+j1v9ovi4Tb6WiWaFo4ZWa7
pS9oBXUi+l0BZPDw+pwujsJIqCppIHDW7hVycqY8T+12SzU9vHfLPN4osV5v/2wU4AjUkKE2/boL
SFJO52KUMG3NJGy3uSynJ68HdwQIu7zyxtbfZxmFYjVNJGq8HDyrUWoNWYMyj8QWWj/QrUIb3kKR
sG/qRguvXDnr18ZQcDloDwLoAJ++hpNmhiXRTioX+jDRlBcZlT8U/bWy0YVRADr/Ugpcav1r6d4W
A6fOTWqxrQfN2ZDZohcxQbD8449DZQqzYATKCDiXE/f3gzBvRZVRFBDbQcHCXRRQS4rOvSYusp4L
BwNn/RIScLCToq4OpcmCpFC06bilFp0e0rAetX2IIIF55XhYtsVvwQ+Ma9SOaSVQbVskwuxVTs5H
aPvOw+/YUcW4LdRRIOCjZp8jdK+wM83M8grgZh3+LfV2MJcm9auFOADG+PT9xUVVdn3vYmovSGfz
xlA3naZkO5rh6PjY9UtkFt5+lrG2xf9T3Opmntw5QzRdmTmKNMsK/33ytE5YL9yOFFRpb6xhVMJE
KcDpi347RLhkBsQufesr/eyUxzot6pqSUQ3ZemMmqQlmE2hO8SGs88h9I0OcT/dKPkQ/JtUUCIvn
zSjum3EY5k+Wzln3REfYLW48odDe8o2i5XjvBjQyKGDp7bMyZmmy0Vt7iIKiMuf2kFMzehIamnq7
cqjbO7XqCwErD8a/7+l19g6DcrM4xLZw9H0SgeClfJW48aYvbF1uwZDbzkat41hsmz7xtI0Yhum7
CNt03vZQnM1PESX2sUYaqUhu1agxs+fBUsR0KxAUu+1Sa/B81ZFgf6IyHtpNPNXz9KBhKJYpt7qR
SffOMafM2kR09e+w5Z2RIAEy2GB1qlbv0UdIRJCookZBksYz0Mw0uU3LqU03WZRl7/ChdVN/CNGe
C6Wh1t9Ltygc3+2WLWtniZMGeR+2ajB3WkXhDFQMtke5LCBQj1R6t4j5Oh+F05r1Rtdl624Ve1TN
xRnJcH3LFNZTZubYEDutguAPN53rG3MHM0W1pLmrFBFHQRkZerzYw4IoMhLdogSJXY21KTV9Hre6
GJ1nFdUIas7j8leoI7vtVmHeP5W59eKNaiYl+asIxbcUCP8cJEXcIVOrjtGXWBPes2vUxhclHgDF
aelE5300M3y3wdGrw17NdK3GBlcbxjeirofPIqrHnzNK9R+qzow+dY3ZvtD7gqZXJENoBGEVdSIQ
4Wh/oimPikwTemSrtSmcO7v1vMzXFVd5pCtRf8v62ogPKehE7KLtdsIPobadZqunqbiJ2jhqcAe1
WYyocdWa72Sx2BlTlVhBr1uVr0SO+tA2dvtBlBhK7im2kocCy6/VYExDb9/XsW34ql6DLwu5KSy/
RuE0g2QRF3slS50vMkrqT0ox2R8HAynR4gk4KcXsN3TTxHzfeVrVQXRw9HIPc3rQgiTWvWc+mW5u
DIuKwJbuG4lx6Y3eBzvr6gHhVITe/WSgI3CLR3Wf71vHnstd1madvQiiNngR093WNmEnwFoOkeU8
4v0Ify5vTcil5jTp810UY1h2Dwg6k+HnzJ3bR8gaQ8e3iezvs57X72q5VIXFLEfVd/EXUvzSbPov
GGhbyrassVybcJdIfaBLuCOE/VC+pXLZICsUhvUjxuCSoFhqaoQrXVSmgabF/TvKjHhSt9hsvsvi
IbeOo9FlD3FbmODrCtNodnleNtk9woHmZ2Xum9DX5KipFI1iknGlBUiIcAm2ZEE3A7HaxGVs3etF
of1wknrGtsd0wpsB0jLymLEzTTsLR0EFfkyVU7TIWltE902qaUrgIlU0+1qoOQitV264URI98Xy7
LPucDFeJRaAmlnHrZJxXWwHvutlCXitjnzbzZCG4U05N0JWK/DmYCGwjvtMn6VYtLa+/gUjY3/V9
20w3gA8qFuWgtKNf6W30faICM7RbMG/mPQzQ+Cs0Hm3yS+lSUQHyZv3ozL74YLSmiPZtp5ufJ9eM
v2ToFnyYNWl8zuexcfZhVFsayOfCTjc1YNC3uddrtC1TJT+qs6i0vTulxBZqUuXl1poixfIn8Fuf
88GYvg5TUz27cZaCMVRD2fjVMDqIEOBWmgQN+m/m1qj08B2iZol+Vyne1Ad1nHkhkmWO+q0yRdNs
u6hg8+TsisEPI2irvp0I+ycJWg6oqO2b/BCaC98JMqnTHMEQGoceihPHRRE3H3PhpLHvOEMxBojG
VD9anItuZ+x2NN+YPO2zRZn7U9FmoxekRBi1nyl6ngWoDWMommJ71/uOAW3kiHM1BCstc+A9ec34
MquD0IJcx2rbt6auF7edoU7PAD/dn17Z1CZHMVFAgMrdrGyiPq+/goewvispTFPfMBX7DXwkKwpw
szcgJnoevNieO2gLjhVSZIIU1xOKpjjCh6Mztz4a7zjHDpSovtKtUJLAdBOAwWHbdcNWST0N2eRQ
y96GrPnID1Nd6fcJ6se13xlVV9zWmpk9YpCeoGdl2MhvTXHeIdETt81PgKWYnFhmVO0c6SS40Y1J
oz+Bc7PeGFY9POSlWnyTY18/pUrrYhpUTy6AxqltXwZMzhZL5FR5N4zz9GmMOylRV9VZ+oVeG98j
7qDpmKuTWvopJMner6disnaTCQg4KA217Hytk5yXGXp8re/IOH3q8xLDTmq82htkd+AtwytRmh3K
SnIIeBP1czXGjfB1NabsGQLO++k1M4jZHBPzMohdZboTndGjU0DS90aXWCxROfWon1JEnKyDbcb1
RzcZMZPBva0Y/UaRyYe8Kv8Pe2eyJCmypeknooQZZQvY7Oaze3jGBgkfQhmVGQWevj7LKpGqXvSi
9725m8ybmYGB6jn/aJdxGDRBEGers/51h97xqCKemv7OVXVqHw0fv8UtucsJE7838zmimKLsLgOb
y7OoMj7ttfeDs7UY/s1Vv6oHayxHFdWYUZ7orPD8uB4rx792lUPidUqOURovozVf6ik0Rn6XLH0i
bA30Nh8n84rhzsL4R5LzG2dO6URc7OF9oRm9UCLO/k9n2vpQtf3w4xN400cVst71IJt0eqG/fgui
DJVcecUXuwxR06dNGK2DNn73br19TCYZFvHqwsmmTo4gtaNxfgf7zM0isuq0YrdoIuR7NCPWnHS/
V381p8Rf3DHlgY7uL99u7K/NTJvjVLno79vStt+bVfk0hva58dA2qz/Q6eFkPy4j/ANjgPnpwsp0
9Mt7Dbo2m9chaVPX/LQG13ps87H7YbZzKU+W3vhmpF2lSDkzh6stscLtRiHSLenmESNDt7nOkzWm
xqtRW7V1Cm3d3k1oXat40tn8udVCkxBl0/0aDc5antJuFEWyBCODXylI5CGlkkC2qrOmE2pJO+W2
TctnFkwSLf2idV+MW/NLnKYbDSya8mPGJ98gzQbduacSDPY3EbZj4y30dVic8OqZNEAM4Bv4Hwve
1yAV4rEKOOFipiy/3WEYLl8LVFJVjP2x+qztm2loSQfrMdPdZsT0gaQiIoZ8cyNiPumxsG9tgsmm
h+ENCFtcexcC/UDfeVrt3Hqwutdpwz4WF7WZTkeDuSHf8VMNa+TW6ewnaTnYDneoUWUMsq1adu4c
1jhMM5GZkSyHvE68Zgi3nesaEz2chOdnlCc3mYzIR3A7Bg+oUej8YXmXDppGG3A+7eosLuFebgoa
TVXL5ijvn1GM5gP1gRTCCV0wiK1TzwfA0zc+ETB1bmQsun6b+jp8qkbLqqOls9SQwDDMj3jSrHTn
ATvN1M6WzZ6Cia3f9bQ9FnuVLVmzN8tNThEdiBiu2Zss9PDknF6xMS92AjfUf3V95nBmoHwtGJRX
gxtVB2T4GX2Ys2G1Yf3dBfO0xXPrut9NLlH4dh1MR9QIxqgdBHgQRH5ApmbkLnZp7d3RQWW6bsPI
YiGLdt2XXRc8M89NZpx2Kn+b2Q66XSOQo+GGTUmrlwvBvmor1Vc/zP2dgeypSQov6KvI85vsx9eL
IrGmHz5M2Pk3nlr90yGQt2NJJj5NGkHWfm5D1j/TC5H68B8Zc3BeqfB30wDawW33g4eI3Qnv2X7M
MQ79RmWJzgt7jsW6BGtk4xEYktQZ6SIrzEG9zfNav5oBuBuZnV3wntai+l5SJGbR1MjuFM6CQ7iE
calOkmxDjs1K8+fIOZuu9tSbXuRmZfDSdhl5ha1xS+HBjl5tsZOn6je+Dr0l1bQAbru954tosKrw
s0IcPsVhNdvsDjgM3/i+zJI5Ry1/Cc5h9IVEHP74Dn490mzahiO2nCuYgU4XdxhGa07KcsHztRrF
+qedtJgjvRXTP1sn+o+ATKmSaA17/ZaL2Y5xpoR1VVZpXgzHXl89ohZIAcZf21zG0SiCnZql+BZl
VxMruW0Dt5E9/Z68lew6O5XpHZFo1YNcPefVDVv9gKxh8mMrKLrHjAieMXZsw7kZiN3hSJlX/TeU
xoJYYR4azNN9s/zCxo05L1ebC+vkqGyK2nlwvibeBLaRHGlThItAYv0ujQejqebvPmMIiMZJMdDO
dcEPNsjC26Feq5nddK9fVzUFr3Nx+zLrwsj+CtbVl8WaSBQcVnQrjOKaspIhFGOerGNT2xgsatVH
CiPbU+GadUpUZ7PIeJFaF3GtEaCgmVafpVjJxSSuprOiwqNPISrNFR2AhUx0jkqVEqecGYH68sqp
tGLb7wUTkz+aS1xPkjnEQzXwB2ayKCI06OGHY+T9wMW5re6u9+qg5vdEiRCleRueVx0wRBT4jS++
UHMeIYYQX3CqpAV2ldWzr1uVSRtij3IsSNfmw6t0tl6KFkop4pac7F05k/gc9bPFi+C3oyqiFh/a
G12+/lPRFCsVEfw3lUmD4fOfNtDDT9g5E8MgAv8HbpSl3XNQ1w84GNd/tiGs3wKnweNj10v+N+27
vt3N+N6/nHGUP9O8ID8p1YYBS0iDkNLQ193flUeaRfNMrhj3l8+V2dvui7ZYa+JeNfJo146VxSJY
598oy7Jfk+lWBenlpN4fBhWS3ITcxbc5dUKC9v1pCGSSUpZwNyoX1ALvLxubsXZQqQOCUX0eW6td
UHHIgOshR3YehcoHsujHxm13Ppc72le/zljFmpvA166mALHzoJYg6ddhfgHnLKYIKwzXs14sljin
a4cGMfjg8SHzMpTHXtRS7wNsj9t7aUg5ELVem1Usie0Z2TBE8IMTk8ksyJcfw2gLUkS8W3l7VVob
+holzZZ/s7sQkZrXXRV35M0Vsddvxe+0M4M/bjF0MI/+RBbdYAtiWE0GfyeWbT1Xu8YhjTOe2GD4
zyLYoE6cAoKwvcvJgr36dZu+udT/KOd1tLrUt98COZpboqc57CfiUBeRiddt9PL+CQwic5KwUGOx
C/irv4JuQ1lbZlJyc/TdJwKoxUqoJ0F4MucDF6Koq86L8yofj2ajW7zQGekU8bwKoM22b9zl7Bat
n+98fyREQcnM5msMluLLt8l74wL2xRrnW4HPO88U/xvOwaKiMF/Mq9Gs3bthdkhf7HZt3s1lc1+K
oRZePBLe0EdQ4vkvNPt9CC7YrHdz0S9/7dCwv8dCcdHZa8UO5IoFmr8dWPWjrCiqknnGm1RUYaRH
U190UxjXfqkfcfU9IupxmbnrrH+sVofGTzlNYXaoMW1+LJPhlTtzCSrJCwNaHEuuG489fs3cHcdA
yD2bT5U6yaDyuw+rmIR5B4Pv5bvGrVdOwAH2aofLiV8qsnt8bmTxtuHG2eEiYDb3oCaao6XyjcJh
J0xFAe2t0rlPyCOcxYnYtrmfcEzXqXsQU7YsK1c2pcBRiuf2r6q49eKmcZqRxTMTZ93qsH9dMMM3
94VycLB61VKBasLaDiPFHMKbXvtM34xzi0N1RYLzhZTcNhzd6UktaFUu7RJk41221jMFUmYVTN59
WG28lFHTzj7JlGHrtsZ7T6rp8OSMrdK/xeD71b1s9Tine22nTnBwMxo6k9WUtnluA68lRIIwCimQ
KaosXPvIr9SWP7XDKMwDTpUg3E/klrNYkk0YwkONaUYiJukVrdnVd1a7zShIoJDTZU5sgo8bDIAz
HYNFbA8AWrTMT2sgZOyZ4Apfy9SH0txDNfU8LDPTg7MX7tZWLNDOgn/YK40+24dVYDZcNVX1Yyxi
uM5KDspi49KG95Uh+sTANDVMi0uTNiVXws2I6OVuwMbNH0CB0ND3u44madCsBm+cgUUgY2NzV4RE
Y4ln04n7lgPU4nmXXv0t9JwHgJ2rAiEcEeT+1PiUOEXAzpR3sVQQEm9hdwUmmkE28EXFwDP4yoPB
cmKqYXJiChfOlu5uEbLTr97cEC0ChAbu/4i3yQwAyuzKS+PGsqRjRaIpDKR+2nBV/sJlNZTvENTo
FkscTlniKq8r3lYjtBv8Op3oLmVPGcjzUiwrT4J80pCNfErFZWkw4bBETtNQl/FKXIybKEVe/Rpx
sje+k0zMcNS1d91oBUen8Q3nVEKt2LFXh7X9Uad9+gzF0zj2bhmo3swP0uuLcjmt1rBY226c/UWK
Qz4htkOlcvMCgRWjHZpSMGS2pKCKHXMYzY4oE4KZ8wjTedXf6aB3uIlnw6O0d4dKcxq2nR/UsND/
RVH9f9XA/1IN2FAy/3fRAAA30ciISf5LgXCTGdz+D/8tG/CC/4Bghf4nVflf1z400n/LBvzwPyDc
qCBGiYUFDt3A/8gG+EuQHehw0bsQSUYf0/+oBmz7PwgyRjCPVdP5V2/w/6IaQNhzY5D+F8kCtwhJ
ht6HsA0Ec/Ca/yffwxfYs/EG5m6e+kXuUn9raj8u7H6ar4pcG/1q2OVqnm+pOsDLWeNvSd9Y7vrp
raP7KWWbMsxYI9KDISQrKIbsXgsOcVcyxreYCLxobAz1PDZhlu9NaBtGq7EIgZ6WbVkycilXZT10
lRjDeFtavTEVO153B87u0iBfO0GmX+nK8K660J06ciHQdbqbS2/DdL6NHWTfOHdrCSbTYUchPqyv
924f6L+6bsffhewpJBaUP0b5Gvg7arKLJA3z+8V0ltf+1vGeZk2wy4vmwZjcYVfWE10Ua/7uT1Pz
ZWjbSxjFmySQ66eZC+eyLcZZmjKNs2A2o2ykMmdTJXtvzk3S1pZ72ArjYlqivZSlhzZdluPeQtV1
Wufw4g0eraylkn6CAzzGg/E0rFuelH3b0VGu5W6mFRfBtVNFt6bjhHPvCbG8z37f33vTkp3GbO1f
prn1dwR9iRNJ5eQtrd64h8n9UTV1gFYXPEjf60/dbJxb0fy1jBWAjqhVr5HGvl/yt2qapwMVUds+
WIvmCVXeZ1gULoLtyk3ctO3e2jrvd6VNaWVhlp+GFL/V0jigMGZz8M3ty/EzyA1nand2XnSR229L
UgoE93aTzy9MBB/EUVvPLRk9SS+IsKlQUb2V9lr+znkDjnkLwoF2e4mhizTmQwaqSAR6Wl5zJinz
W29d+Y5cFFSj08Hkv7A9ryc/rFPnPMzz6HyncyWYV5vGMOLBqT1t3xc54XLYZLxxPNDjbd61Nk1A
u7Ci8/ucTSJ4MZZRccuyIM7Y2i2suJZOHPaDdboK5kD/MVhHbI07MWAXE39bU47reieDaQjtx8yV
hpYYFViU8/PQe61K8CrNYCxe7WQ7UoOnZ+baZr2IxrT6RBq99aJbz/4TbAGx1uO2HKci656wd4VP
sx76I1RXEFuLfxNCctfHPnfSB6+tE2/GBNRAlgx5VGY9Himy7659WrR/HenchkrVdDHThX/WSq73
ExEGw7Br2rQyhncicLGPB0WZxuVMJpcEYb23FudRBo2Dx9Cp41EYbFVh7Wcuwo+Ct1joqQVh5LwQ
Z9uq1jY4DJ2B6YjUBzZ1uRgXzc51FOG4RG7qOTGycXrp2NNZNNJuuBvaTvbHoe0LM2GfSJnOm3IN
P8mASY+VNxM1rLN0HCNXyvQ4pYaM1m54uxVnQOmA8zHuZU3UakPv6QxFadn46yEwDGsXGhbBoEIx
LXY9AoJQtrFIYfrt2oXtafKPrfXYHUfVnSz406Qvui1iSmZSU3n5lBfbRt5fLVymW9cpxMMA03Lp
0xZSWfZ8sB7UiDB7vRfS7T+aejUuzYjmWjejuAqaU/9ImeMgXHjtSarmYTgyjFzv9rfQkxVp7VYH
UWrWtsECEiuhpC6in8XBbCicFbYxnCqKaeJi8jZu9Ta8Kwkfv2+U6ySYy8wjJGZx0Zk2Loiw3Lfc
A64ZJO6+Yeir3boBHGZL92LynQBs3FIrx7V7cRmYEdT++18VvsueEwsOIMz9hJ+Df28+9h///oLN
0JrHZtmcRNi3f4Lh659+6dXRq7M/ZWPkl0W7xrlvMn2SmVpexcoj4exNH8bRGYA2CLmhOSk/qXkc
9wPOygskkt5rswkP3lRS/N6GzinvEc3qZbUfAND0TlS8PTn+wbhd/H9EuhZ//v33N/SL/9KBjx9z
4O8wOxne//sMG9ksrybeeaIp3Gy5ysrLfpl8et+EWYurcjLnG9DUfBqqoPiDZlUlVG1gDZqc/kOp
dPtcaGVJ6kBOdiTmlaNvGfx/SstYTqM0wldyOeaXflPGe07uOSsp4ERhCRtgQYk7bfnMuLbQf0ma
kNcS0u1CO3EYW70KW/ELkWhoBKc2LRazvD1jeD4+9Q185uwsflsAd+LKJ7PKJfArAzdup/HsmtZt
HyPZ82Sopnwdcs85g74tB1JcHnAWvIxd+bz66rgoZyMNVu8yTx/sajipYNrb03qcHOcTAKOJzULS
MMOMfjaDG9XZigftQFKSyvQo5EaPStjETtn1MQm+5X6rrQFbM1ozl3pOEMFt3ef92EehHMq9O3nt
Lm2EE+MeFZEwcsnsGJpRLTL3MjjNcDAzknn8OXdiInNhqKUnaWPhFR/QcsP+DeOfoLNsiqyoMCEy
5J10jZzn37yWdvp76tMvrwPWtJTxYvW6u+cuCYHeV3XEaEbzI1L523qok2nLwt28ieoI3u6/LY23
JHa2DR8r5vkdlJ1x6fPZOKCxz3aqt5aDP2QnAntXDm5X/F3MYU+txdFkDK5XKEY20+15QBVygfg8
kD+dzJoJnXSZ8sEujeDaekuWCD3KGEeluKywWHFZjru69glPabO3VNGTbNygUN0N524sfnXjdmj9
G7RdzZRlCGcDKym/cjcnM9DHc19BsP4diVlibRvMJMTKQj+vFbB7r8dtMqAsvaDemeGiEiCf2HC1
2Eu3ObkrVS9r4Vd3smq9Di3WkjRKix16No5BLzDOs7nRxdlPJ77X4mAsq7+brPY0hrezGs3/yEr1
p1jzhUtxdJ40BONB6jmNPYxYj7U3ds8WyHXMDmEmSlTipenRrVCF5hxLEGn0BlW+JJIQ9WQwyS1N
qsBVxxmr81MqnRPTINRIHmr7VFau1rx8WX6/IQh/CCur3nNWz1lkrYb51Iu0/9Wvrk9w4pxPJ5EH
JA8gTwTdarhG/NUez0GYfuezWO9T29JXU42oI+hFSCgPqp9ys2vireskttzZ2qV1n1Zcef6YpO7k
IDkoeV9vuY6pqbo9tUH9a92WQNPUIzfJ5HfbbxUq48Dy3ieL19NKtEl9mlHmnFcH7yT7o3Ehh788
eWqwLo5fBEfNefW9TE3LK1kYD0XTz7ymsryzwn7bcy5aJ6AqUGZ/0QtstBECH7gcMqz6zprY4wpr
leWBvVEo0a4JUdoaoN/Pwrt8A7sL2gCct27aK1KdPinKsto3K9QZPo3+RdHOgHubiRGISEKUBetv
dIZjVFR2LmPZB/KZ7UAngTdvO7Xo7Acs1ttpNRWHrssq0B7qLXfTCm421mQ6mEzqSbrp9RERb/jU
ppQlzeWyH/zSuNeNTr/4B5ePoR7pwO04/2dz3N7mZT34KfSan+M92nR4dvTq0nK/rj8SIuBbtIF5
MPwg7ghPQgHsuMe8SCG601QfFqvQXIh+kNO8m4KJ5dxJokj/hjUdSn4FccKd/DGWergC5TZPbqnC
WKvmvSP3dNdm5nJWfZm9hoyMCc2W+clvMFlCUTQHGjr8HbF9+U4E6i83+vP2LwXOVQZdIe7ncHqm
uDOLtF1gICVYYDr2PbdJGmb1EwaTHCJ34VTrluBXFY6vBaP9GVfXdxBOX2blM3t5hpPg6KQsT1tc
ZtLefGBUwjD3s118+roIk0kWf4Jq4/bb6gaspHvAqd1F8IUu+omJm7ZFEcSoMcRSgN/6JfComZo3
1VdwJTjXvmMXqQ9q2Yp4Mavs3UTmfQOhKnGRmHKQCcmRUdmOiUtooilr9H5RnKM9ux35H6rd56b9
R8CeHRm41J/x9kYwxJ9X1GaRAbuA8CFvnxYVaFjFqrvUWan4mUi06NFpnCewRZRh6wswjH90u46Q
CyewkVHpKkkr9155/h9RDW+FQmdnBuRuruPk4Yf3jf0Arkp7VlXy0W+IwgNmSiHF7Uf9cXIBCUWU
xaNE0bEby+5HDwaDbtfX+HKIYx2cWb3YWTA9zYaCL7Nz3z5vht3GXicKXrYpfR+61mgTBix/r5mW
8P9s3anMe/cQQubESxV+zRNcfOlDKbsuv9PQ2+lp5qo7Vo7xWpJs4RiiO6eIvI6jkxNnU3ZXeia3
g5HVBNCErkzg80NOkSwEaAr9fWv0dlyBnBw0jzHi2nbUDmm/hOlyeZ2ZwBOyAsznNHOIJb2RCnO6
PEG7/LEA1t4gYSJ3dNvnwXCKV+na9mF2e+cf9qphvwjzuyOk7hw6mrMw6B7MxXjYzOYebdtBCyYt
JY02bttCncDo15PVOPiSwuwTucWdyXP9lVJhGTGu8zsitKG5MDyX/gy8DzUcoxZZATuHagf4VR7I
U7fp3ata9067o3rWrhj3nUGCy5pCqcLKknNAUtmxrLZ05yoZXuZUMp4ZvwPoKPQAM6XytGT/pIXo
353cqhOyOSkRMbR35PySXJZt+u54rrqvcpR0m++lV20ZXGGpMBO9iCpxcmaelIfpm1o+6sBRybYO
3kPeEBUZ+w0RxXgf9NUbyyxSluNdPfj+OKMM8b7gcIZVcoiexQxzjxO1PvTtgk6EVDAnzsztW7nh
lhRLNj9hGzYOmGWp0JlzP1rd0WPx7qZPN3MXxjdi9CsLwputJ1PxYoyf2ZwzKQUQHSv+uoOfeygo
+bB12d6EP7qOPVFY59xD4GsGK7PO6H6supLU4S4lOv3F/KUM2lJ0lwavSInMJzmP7l0RtoALizYY
zEMoZLnKS67KpxnmPpKj7+yVXaEtyfyjcFuUDbMI4mrs5pOeBZR41mmODUIm9/66pI/86fJdRz2m
u9XlTa2jvZetcP/pfXeLKOuGOZxaN3xUSm078jCHz8aviREqBA+9tlLCME0mkWlSHfMZOOmmZXX0
RsO8EHWdJmJih2LaCJ9cp5pfBmFDnlfkCiRt46zPWSOtHbtweWxuWG9AAuUdK+q4a+gbPM3oKxMi
8crXJqybZ0etXAMu5+y1c6rtWFdjf3Ear6S0Wczf61JyjtedfSRVW77UnmNG1SYU2LJrfCA7Wo7E
itxkgqp9qI2y+8fsKLpDk4XCh8a9ZW91HC6j62XvQ1Y8ZWZzdVn+ZWb+rrx2eBPAWegNgmrfamZX
+h26w7Z4b3lXebvSW+uPDuHIXSlbZKiWzn91bVDdTQVDgGVtf3p7bndFla6Hqfe2O9dTPyaStovU
2XaXaltHljstR6dcRqYJ8k8ywScXFnI4uopeOM9w4TFT+dUs1HKlRfo5d8N0qPr62rN+DWjiHnrI
nqfAX/2/tPpVaAXkdEd6gvdkIGE4BDkJWZE5y/Y30Hp1x6Mj068S7gFLXpiYZjY8BQzjjxPL1lE0
qXlpAR0QAY6VRSr3hDHZ52O5PaM0Cm4OJP6DNmQBq4v82Mx8L9mybs0jopyKZ+LKluOcq+CgQfPi
0Kv1IVSBgeW/Mz5CNDex6YGQN11av2y6WmJUmy0PJuvOLePQfmjBGKPC1iN7j2fzEjqLF1kl9Ra7
erXnQ+MUGWaGtLsviS69X8ISMhBmJVGLcn83aOyA2W6uexBt/4iGv37eGKt3KrOMN39kPcn6ZUSg
E5QHdUMJTDmZe6Pgtl1L84RKfiRCDXQsXACTwBqqqztX/UG6Y/632vLqjwpaC534WB2Dph4Oc1ev
/wwth48pSZmIOPhcqLnOiVu6cv4Iryl3Raum4+aN4ugD1e9XYJuPypzWXZHjZo1yQpm/w8lU76No
hyqy8il8tlphPnRbYX6pcESgMos+HsfA/ZmAkxJZrjJpCrFEhEaqfTiB0NgpLyWiq/YdCCr9nFTR
3KcF2gE1Bs2dbEeyoLTSX3k4/XKkW2IPyrvjNA4MNl64NL/XZXGf7cXUaFCK5R9sFiNHiCs+53zL
Lq1hzseSi7uOF736z4NnFC+IpDmEm5uzsL4t2gpzfwPvkAxdhmSw5RJqMrbmSNbEgUVuY4lrWYr8
AiucfzqlrmBkq1z60WzXxePYbyQlUgiKmGbIBcNDH9w7PmmGF72FeXtAnQzhW/s7g7y5W7cUoYqo
Cbl0CgRtkxF2JzfF1sN30IUPaimCZ9C28mq1pfxT2V0LaWzAuqJ06gmUF/Ov2pJmkq7c/z2Y2yti
4fQS+pOREJxo7+1Q6nOT56Stoalg1jOMn4nukQiu8XHo5Pxow8Wem7QGPyub/JBaHWdjuV3JFZKH
GbzxjsDY9MngZ2MoXcNHe6ktAE6q6WiHa69tSucPZ2t9n5UW1aNetzzweYxRsMrxO2QQQpzySf7J
J3qeFxdw9c5Q6tdoUSnjIGcfZ3oITY/8kIDXRGT2d11PU0xCx29/KuifxuLR0xBwAVysYLDdW+6+
nSAre/N1m8eCTobYXOXeQogbadd0EouvYeesduIxyEYGUtyYEFg7wjy8VwWeCK9DdahbGPh2bc9z
I8eX3qAm3R3K65xJm+Ou2vZzQZhxRkw5nbL2nFTj+i7V9NF0YRdn3rQb1Lxv2EZRLJvz1bJAENO0
PvKBowa3jPTajqOdbIDcl8Ckv3uxqpYHrxnXHPI3JGpouOexOPlQ40esb+thRRGfmGF5RnY4XlmT
iFqwFvdzppaDgH1u/nyyn5ym08cuNPbu7OSxnTvy0Pab++Obbf/il4Oxg6YHmkVzw6RQFbHTW/5R
30wa6LRpP8g8MsbyMgS6n8qrViHYKxpLpMoeHCQCOmSOZZ0EmWs+EpFtXPPOsEif2CZ3x5USPmCg
ynZhPr/WeWUl1oAD2Vg16sJxtOLuZhDs/DR7ov1q3Jk6oOfDGa6bZKIfKuDbaerlKRz8BsnRFu6D
XrNHOSzZfcOzJwoi7n3LODv//sl4HV4XtT6H1GtE+UzzInMnU1/X9ajUaIIPScHtPDOIc285pxNN
91R6tfe6aE52U/xq0ZfT6fPdzgXyt9yed+Ya5PemHJ7Q2CIdCsY1lmYaHDei6RJTCqY/T3wKn+hK
KdQHEE8XzzRHsUSJ7LQ6UsQtzRMR3vt9s4D/blO9M8gqeppbhxdAI05EpxsPrBNxsRldXBmzEaHY
aES0aPGAzSEkv7+lzaIo65Oog7txHPaD3XzoFcHYWgWswZ2ISzcn+woDOutDGvnQQ/vORX3llQQ4
WWgzsGD0V7doXhev4H7rwWSV41PkVPYRteNFpG5xtZ0TLLsNoc6uEO2esgjQvaxF3JreepT60nkN
jOGfKQSms0kEi4k/WLgxzQsM9xTj6dBJnYnh4gr9Nqwhpp6pMfd1a34UwpEcLeV89KfwtfEZubrR
Wa52lg9lzC56CPGanFtveg78FnaEVND7CmTcAQUwcOE09H0Qx7kP7fn3nIUvHoKHCD3SgZN+SsrR
Tjl7CYGZltJ8ZXwsDnn4hWYBw9OsAH3N8JU58pfMlwcWjSaCW85ecgzbuCALorTI7pzMQF1dw/om
dQKgqU2oRI7wILQHJNDqqFE5nemfP3Bjkls+8UoEVq4P620NCCu1r9z2ex6ptG7st7RLXfpMzeeN
Er9zIevirkfSKUOrSOxQ/fEF2nrSJ3suQVSkWeoOBF14jBcp14ehhLrbiuLMlkTZUmC2B9uwviqr
fZVl/mfOc+ssW8M6lshAj3VYwSQxsF7kKPG6MKrdmX6JTLYU+jg04YxidQsfVsf+RoRQvZSmvZwa
o1tjL2vbJ0d0NIqorElkdtO6WQh8JJK/g1LTP/nCNXKH/i3Js1eO9P8k78yW5ETSbf0q+wVow5m5
PDEQQw7KQcqS6gZTamB0wAFnevr9kRm7S8qqlmxfnItjx9qsZVIpFQQ4Pvz/Wt8aT6Ucm41d6vlg
SRo7gwfzppkaqBE16d2L2WF9CpxTPyJZo9O/AiqGg13JUzkun6QW111CapA9IQ2f9LlENVZrBmDm
xkUkyvzTXDv33G/8Jc7eRbpjM+7QuGLro+p66Irsceri3ZTT+lO6iu8QA4HmQInfqm4GbtQ80Gl7
sKc20lZ6atxgJy0L8xUIUyEHrlA1UJniflfp9A4fz5OR8Ko3UJxWw8Ci9NeinIpdbBBuJs2Ty9sw
MDQOSPFvGjM4GVbwKBBUbgdHnqcuObt2sfcx6SxhYd2BMhMb+mt6E1Kh3OG6JXQZiHlYKu8pbauP
bt6z/a2aT2oy7lwooo7oHsmXRJ2ziNNIJzLltLinz9t8NJf8NkXxash+xxK1m8rmg5muWqwmjCrP
vrUFdjOBLeikw3i+TRCL130Wb9sgc/aZlDGdWXpdFoCSMZme0XT759VocB4wA7HNij+6687CNdhB
eSXyc41uv9H4aMt5+iRTc9xPC1RNji3uYJowxWPmBt6jMvTp4K6YHRoIUaD8cxKk4ZXqBBo+eOr+
HxTE3A3HQkJe4n58B3/lSi3s4zyOmnvpQXeh1NB8dNq5v5t8JyeWO8tuQgPVPNo6Epgkiifk/Afq
LNkJS7sX9VaJbpjGYvPkgBp/xlWq8LZRd2GQV+XnzHM5rbOvJsOStoE9G3uzQ284sZUzmuIrmR/O
VkJ7oCGD1h7JEjYUbEVLJM2Ofh6lp3Rw/L3Nk/H8MN9Xoc3qzdbEicXORyHvairJCdWMbPAfs8As
jmjQhr3T6S9OUVB5oElFzWKjdXbiCW7ZDdYU1XW1U5C+mDRc92yN8kFIkElGZUSpnp+IXz8r8LEb
bZp3nl6KveU35VbG6qlM9d04oMRb4Bx6Df1/A8XfTomkPVVowXbKDb60iRIczE19QMJav9f14J8R
4D/0i3cK4pAUIWXHW3t1KmlnuUeA3+xlSzBKOyw7D1cD/XjxaeiDbjuqBj0hxfmOFJl7lyfq++Sp
y8xl45r4h5nGKDK0eWenYbeVZYxCLohvC5k8+BVFiw4jUtqjnmT1OZLcaWIuiqNau392gfgTtWe5
xcJJNa/JBKm1/VNS6y+hCcE1DmmleO5+cJKMcWzfEcrSRHWJbbIszS9YKiUWkQCNnk9/Dr+fz9bB
2g/BgguhLK/afiCIb/ROtZ9/MgCkyqK02Cr2t60x2mjKlIiWTj0EseDI7T70no9xbvKnXYsh8Rr9
od7FPeXtQbIqM33a56DyAVMn9Y4eNDTkIXOiRaj6GBZs22mfU0yPOYT6Xg23LQmeRJh3t1VTuDdp
n111FW4jv0qOIp7e5Q7D0FwXmpgDBrqlvay7PZ3LDJSP3VIBooMLSP7duCqTyFuyNrk/V9sxy4pI
07AnQJqNQhGgiaRVnp3KgKI1un6s4RwLNnE5XLul8zgsg7ef3PFe2ShGcE8+dV1ubtykcfi/Oj1l
g/XZnihj1PKmTypoKVZV3piJU7IBheyKawKn0GxzupHIkqnicrDLKAvn1D3tp+HVClknjbC/La/u
SWwnnGKWsh4gDmq/uJrges8bLCmljXfAxowk3KFoT11AYOS1atrUQLfYKjpRbWIYeeR2IRZd6ujt
ZzKFS+r04Hz+SCnV4SyllISu+8Vxyn8c3Zue82e9LwNvTu9Y3+P2XYv88/vy4m6l1d5Qr5e+bx6l
dNsiQjxPrukGyv9Yb9csKhOrQGuIa9QfbAi92U8/qWZMiA1wHb95sGiKsZtm3BfZ9eRmtX4YWmjH
eEqR1u00GqXqjDo11FFIu5vivRsiYW9sNZiH2kP8+oiPYrUZI63FczxOMV8uxh1ES9V2un6XBzmn
BeSrg8ggLvXj5HyssN+a53AWi822ZnJEv2ff4wXvMsQTjONRGt5G4F7cjSLHGyVkEN6hpghuQao8
T8q9C1q32jhoprelV2UICLsR/y4+HJU36ggnJ84ZTjr5U+Zjc2cUxlBs2qrHvIFXHeO2WYnghNDj
ARu5+14mxcek9SMvTymAi3hrST1ESWHfBaP8asd6hyOTU0o+t849jfP6nBgw+LbMhnp5cjIdBN+H
Fm0fnz94V2HVfRib3mOCSSMjib+kjhYHWfqHMG8PzcAeuC2vZzfD+5qLHhV+jffNSxeaMBlVR9+K
1syhUwcmfFPlcLGErMtdq0JkP6ShPKnFPTbtVF/FvcXhjW3v1ShxV8hwsq6km6Y7f71JlVvZlL7b
Qwt65dRN4XzAlvJcGcEt9l3JGUmdx4Y9HqcjbAdEm068li5BZwnzqGc1QOpT3pCx98WHuPOZjyfL
uykd09lRvZyRMuTxyYDC9cc86YQe6PJH0xdfazYdu35qD3m3xEe/Ufk2QYCKnNnN/6ia8Ks1BzmJ
mfqW3LniUA/j+3TKpquByte9UkG5dxEqRnlm/ln1ZAFnaccqYxvUo9ulSaKcA1q1SYe8/uwHHGjD
ZYkcUqMP2IpOcZ9OewIOgZevEmyBs5WmnX0kolDvwtlq9o4Y50MJOpJdgv9Rpzkn5aqb7nEMeRvP
lQmR04i9OcAmGYqG8Cbw2wcH2Mx7gA8YDvTi3aPpC4+jSvwdzRX1BbskwtEsTPahcid6M504dgMa
r7btOEvkdGrT1ko26ObJ7QptY6NbVZ1426m7BsFVhpjmq6JxQHF/2dsVLIJ3gTWbMENDF+gYeO0x
Lj4VHufPLmNpq638scgHfBMBkSe0YR+XScqbsIhp64aK3aCv+3AHEn16qh1bsplBI3Wm4a2RlQPQ
1BvKoriDIR0vn5GHWc8loPP6vg85HFpU9UVUlQRe3AW4p7uoN1OcFJAVnpchpB64wb7qXjulXOqt
UTp/FJnI6DDWzQeUbahzqYCCZKPBievqvKxT1qbv4uLGAdlDO6y6JqSx3iqTmksTNt0OhqLaiM5Y
juw58qecgCg0T+l4tnDQn5nA2FgHMZ7atmEc7Ku4HTFHaMGuq4O5AMPPMnn77B7d/lcOfVW3HbQb
EgoSV9fkssCwUeN5SmrnwXC97hxoXC1Tanh3oZzmiJ5EftvPKcmqTfUF87N1w0tcbQtZGvd1Ie8J
hWlOLVyBR9oiB0rH39DjEnvU5tfe4DIVLo5z32ihh10mYgOrA+YrNEDp0l8FXvKnXdYf6DzqHTEP
e61M4vlijshWhn64oJHnzNSmWIePgbKNb5VCY1ATDdTN9SG3KnCnahlPzBCRS/QbgFTSgiQWJhgI
ZeHshBsLVmavuEl883EI6e2ZpTjQ+cJB4YxXjdNbJ8sGhRuTwLEdsjFagoJ7D+Y0u/NNlP1LWNGP
7FN/o2aZ7FwEAh+spvdvE0/6HQfDrt/WOYgHuN/9SaQkkXSp1X5Y8uIJPy2Lt1ZfOQD1D0jwUDnU
42PKtAsltJ6mb4Sfv6dAlEWafgud+odEmilhIujLGz2+Zwua41NnnlC6GCP4AX8soQwpz5bjGaIa
j0b09MRHIlE4XYztSPj2Zp7CPr9OXNfd0ED3P9iF59wAjS2jlSh7mEJrn6MDmkOCeddSPp9NfSvI
F+rg2qv3En1tf+2nqnKA9BjPGnbWnjpRcLKmzLwl2sfhrWOEYb2v349tgDQNANOmy13vaKMOQNre
z/1WLIW4Xeoe57sabzA2FYcy7+Z9qRPnimZkd2tPuBUHs4KbMcW7RmfFlWqRrW5klXzz0gylkNqP
/RRR0b+eMQK4oXochxo5G02Lo1TDtU/mhgiH9ChtBB12vwg241W2rW0zY6gT+Wf6IdIMrwaD1x07
lD+03s+hFkdNS86a+3InO70dWhQRXS4ew6S/9WVzLUH9URmrh6jBr4MftXWLXen4ep8sYXOd562B
fAf/u4tSadcCPdgWySh2XhrXG5UF8bED63HEThXxfRF+ZeH8JInY3JZ+Sjmfu4QtNEHWm8uNnvIH
ozOejL6Y6W+FDdwsckJ7YD8s9e5dLYfiqqxcelp0zLNYdldGMVYRYtAjrbpplwq25HVNodIuTJz+
RfCpTPHBkNL7xRbz49Joa9tTft8X7XCNO82IjMFd6s28cDyEpPptLT6fxsX/JvLeCbYCb8S+YKuw
gTi9nCpu1g2JoRUnkBfx9/+fgniYehWy9h+17TYotF/q4R9XuN1//R8JHeHLT6r4y09ehPG28y/o
kUCOBep3mLsOqvQfeHrMT0CPgNCalu0gSL/w9IT1L2IxwekBkUIbb9to5mm5v9D0XPdfwhIelKBA
iDXpxfvf6OLFGyyb40BkC6ABEwVic4Xrl/6RIgWwJcYtVXhHM42LZdzYncr4Ra2pU49j1bCX2ErD
sAyCMV7+zMwSzviHNGtKOD0su8zT7IpJcDnE9YQPgPmItoi/JVkyCNutlqmr+t3ieyh0WSJwhpT7
fGipo/yGIybeAPRIDVzZg4LvwRHB4n8/f5di7iWaYZGfZ7goMZSDyeUC0BpxidUqFwZUMnut9c5s
ZpV/b8Mqdj8WHVawB7PCINbtIWpXM+wEawi88zKOrnquU+bV4JQiWEFytcTJ9CEMZE5T9wc7xYVz
+CPXcHVP/OhP4IlaAjSea1N9xaDgv+FRqTJtsHXP5Rm1Fa2z7VJhLTjSgICdStZd3vvtJiWaFQ3C
iJLCcm68vE95Vr1PnNp3N+y4ZqcgSubGMgcsjuz+Fm296xpiM89tWGPSgjZU59+thgnhRtT83Xe6
KjO+cYsUpDLw6gZQ6TchCJPhwZr1WgcsUlumu7CFacEusuKufvj1N/+H6CaIyzw0quegJbkLPz+3
3EKzQPs8PRcBOW8fw3QBSrZzrMlSz+BGDO+cVay5R5WOOd93StmeHHF98rWEgUrl+Pqt88wfuN6G
GImYAngR84V+faW8fn97SEjqiTxYgxWRsry9VGBAM6c3EgHb1rbV84h6m6GeDz1Idm7OXCKR7yxR
m1B9X14XaLF4GKOWtdBID0K22nh0qX3zU+yvuLE4m3UlmNcHaKgHZ6rZqe36mdJt89WnG5NYR6gg
Aa8QyzMqojOhi9g2WfrSlnduLOaC19FBoNiFW1NiG+vO9E5SzMQZ93Tw382gO3JYNChg8MnmWo6F
ghqAy0xEYghUEOLsLk2sJDO+P07pdAvUMN85nml09haqjUHHR4KHk18c9tZVe2TG0CEp2IaDCxW6
g+tP4ZXwsi7mhB6HXf+uGRHSxdvXm4Ccq5LGjaHJQ2sjr60GlezZEAdudx0OPeLb+6QfG/yD/iR5
6BS21tvk6IopphxKxRelTTYwIxVN2Dpb4AS2KDATTDPEB9TNcx5HBWfh0eJVnmhO74sKZZOMYmLa
e/vAJEC+yUYbC/iGk0sjK5A3xeCOctyHM5MCcqdEu4Z5WyF1rMZ9FttN4jwjjS/qJLKl56hnuuGa
C286xMfP/VisvwE8gYAFzVDWxxRhY0qFwtNsKpwplXeFxHWI+dFIzYTDLKYOU9PlRMADUGYuRVp5
17SMKJ9EQ8h+w/oK79ztswN+qaFMt+EEkk4ck7HsjEe6GXYONSaUPqMBXbfbtk+LAdBFUxOvvWG4
TuA0cq8ICl8HDMgr5LFXbm/iV7p8h8JqBZoOLdDTWd/7YljK/JqwAIVxhGqs8sp3A0z0FJdLiekn
gNPGMHM6yhZll5byY9wn4Szv0dyUg7hFSRg09Q0ZjUaBZM8LqTQfWjcRQu9no++9dOsyZdEnqgJm
5yDKIbAx9uO6bBnLqc8wASRh2PQyNEwo1/2OeKvR1X3R06BZPYgA6C3ecLPgdyBs0tbbd9oHqbfF
v4sCicMBvk2YVKVGnIfKcXaw8augcYqbObPXRc0a3fWVIfCAQsQGDgJqQEAs4PFKOtFOpdS7sElJ
u9ghB0T5uA0MiO3xVhYFVLVvDjqTar7NSBFrxa3lYRNuzpbuXJV+pIJGpMPJrckqab+FejANCPlj
RVs/chsKARm1hs7M5PfV92WprwCsRF3fBTlZC851U4ToFDkcGliQkF+YmHy2LvnTTbOtJCdUnGWI
6GJON0FZk1B+q8ESde3TyISpaPbbczw75xYpbuzf6Q5uuN9sajRgLTtEA0F30dyWHvrO6itMAqby
ewszvQo58mYCmL8CEGaj1tNiGMk877Ks9ynxKz6czIquUIB9zFlQ+/mIXMGzjYkYNSkM48bMlNmM
j6DMsDBFqrY1h/0xrZuKpE12vhWN9qm1Aq/aL60ewcLgeuaZ5AIEIauWgYe82eneMIISUQlK/QLW
mR0sVOhzi5U38wb4tVHj9q2YP8E2clsvKguf1vMNw9YwCSxF37FY7wwFEWM+UaibeSU7BMcI3yUU
uMk4Fh1qQevWEL03FIjel671UNE3TjXtoEG4wxzlTKIe3RIWfdlEhusgNnqnnKzkGQY58BUKhRm8
gu5P3QeJ5cKxIAvCuhuJJfc5O8TI9ayzrxCk3MrGD/z6PBt+MTUPUxv4jF7p6IyXlJNXPg7XxQyT
H5/r64yWtQDgqJiBvwGuvO1rNmkts+3LS46ES/DzXBEzFpWTZd3QLOyC+AXDzvrfFF8IQd6GiNX1
7xT4b9ehHsTr3zGsUXs0317/7RlT+Tp/tV7FL85YjFNLf2wY+iZqup4Kx85pPY+D69QPHRdcU9rk
b4oGpRxauJH35Q7l/eQs38EtZoNqaD/oos0Rzk4Ff9Pg1MY1jU3JdKlwl2jq51lJcM2ezWzN1GS0
hZjj91awmBZzStqXi7zOEtrLNwIuCPsta1i/gGXSsxG33mTbYrrpimZ9j2v6CvoLzg8lEJ5z2/Jw
PzZWbzyGYpS8OZdJwy1c1o8aqADXpOkeeirKX+eTxTRJEtv/z/W+3h8YsCzdvEw64MsXyLR83nMi
DR2xBcfSOWOEPA0wxL4u41Gn9ywgntcgeMTmYd8bg/Kq5JpwMOiBp2AGfUHc+dK4Ls6Srp8cOxpo
WHXO0fPgDKE5K5vcUg9h1kvTwsmWr88qpfHEFFctBrEu22Fhh2hFkyun/rtc4sry/tRuFmLXGgGT
8FBlHUzg7qCcOZwpyTRYIJTMBsbA73bPpX+h+wM7pBx6er0b/jbmTUhcS5ZtKdxRul96B+7nRoWt
daqqbGxXsc48XhV4eGmgsGv/xoue+Gerb40Ss8Bo2ye9dLnlbwhvTYr0ATMoNxpt7zqvZh6qiBKi
XtNweZd9f/46HruQhjlr+aJyX0WoRHBJROyGPB7u63uggJ511j7MR+3a75Dgwq6LKsdt1vE/G4KR
sXQD/zCG4niAGJiBc/ahuxhp2++KUfqWirJmhl1xGyDD445OC/ASrovOw9BFAqWyja1cW1YMvWN2
DF632u4m/kreJSa/qKlaN9R5FjL9YBtaPy6J20U9p3nF7sOcCcNS0UT7gotTikZmCD8K3/4z1sv1
H8Kbt/5Sv2wRFHW0dd+WScN2rhHsomjdDbWz/lTdkChHHztpOz7kcgdh8CV8GYHblFe5GxywKTd1
lzLA7cXhFpgyrBm9ZIpUrAF5XawzgOkr6vngZrA6pj1FBWEbw1Wft5To2Ab5EAoQ34k6GPbUXEqj
hE9n9/xgrWxyNreNAxPZ5+Oo/HhHH7DePJ2o5SCw3Yz1sH4gIP71Ll8+HtGUxY8rJ03W7z8t+PYR
n1al0z4mlZfQ6QDRgDJms6KwPeSZi59a/lMuJbSDUyXZ1yIrBTe6Pk72TcobEJjQVssOQwgoFudr
Tn2c+hbNpbE9p06YjklU99PgOtFlLMlFhrR1NcOb/GpzqgekFsCe2mZ5DECT8KDKYkC7CmdygEF4
RL0oY/SrZi2aO+TL6+QwNHy4CT7SsrwDn8ah105SzEAHdwLk/e971HIgYESZfb6ejg2vMnl45evY
vry4MwGi/OFlDLWvg6PDVr+u6C8DeNbBOrwyXXR+sW8Xg/rWuW+QQ4QbUmnWLVuIAKy40U0TePxF
7mX53ODd4BLjIF6HfVoXFWuI/7qHBujycjJ4vVvmywTapc76rBYp1x1TYwUx4/xyz6pOjTCvKzWP
tBSSVjvUXzGnr6/CashmybpMkJYL7ycBdwKbcgTFOJdcQxomkt+lnl6//us7MWMNpZbo2YRjN1u7
xA7B6HY9g4sldHed0nyrWSfnyyC33Xod3dPlUMO45nn7Gby2CbsvQmT+2+u2jb2LieqYAr8SzZb4
xBr90+XnXieNpszWdaFxnZbFolY84XLTtjUvzGXk0vJbuNakz9ahfnkCSJVM3mn2EO2zHDqQX4d0
WTmB28u08Honx0GsX/7yaLqKMwDvQAksOIxyjrPURC4/1qIB4v6wOFiZtZ7SZ5yjlYlfbh1b6xx5
ee2ZaOidXqY8HWP8fUxmMpEROowLrByoLi9zxmU9i18OPa+HKM9AsMi+KRmBB+KjeDkFjlW+vidU
AgzG+2XOvdz9NBwNhQcDcGH/aKFHRtQO7J81FvDkugVLRJCtk+zrdQYvi+blAS4vL0TsjeuMDnLS
5t5c5jZspOuAdXDW829c/rCl8MPNKUYTD9KJgtP6iC8lpXpYTH4chfZ6qXM8rqtdOYm+ZaNhUbVg
kQpaO6EKancuFNrXAXJ5MYLMXL8awv+QG0eM73rqbeyEo7NHr5IbXGcU89jyvJzRLiPIR7srAj7M
YX/FA8GrxpHZRIRdbrqgRuq9RbYM62bn2tV6Ey7zN2vFWtYSrDoF9jlUlKmcol9XEcQbEoXnWz47
AUcQ0EiFQbytuTlORpXct4PDzJaCfe6S2HwNKHzrRycvK83rwygZvNzOjkWRqagV+fqexsDFeL+r
RK0T5W8uzf5bfYMaJSEJYBrRP/JK/VyKQbHL+Zqy/sn1xib/DvnVHx7yXM2GZC6wElxmgn4DuhDq
2sVNyjm3uMG25AcR06pLObvsJLUj2QB/fCYPs7fe/foSXwI+fuB4UCfzuDITkAcZ6+bfLhGATIEI
mdz61zvltFnJ88tC2+YeAYiAB3eYJo5J3vt6crJRHkthpBrKpRuny6Q3UCLDxcIqZoAqPwQcJUL7
1mJxcscdKHiLc/GCVsJ1GccvE5d6Xdutl+JNnQTsBAwJBhneRcDucj7CFKBmuyn7ujPCzWXZZ+Vb
twLUsnjJi6Jax+jrrJUDj3qZW9fC5GWSoSW5js3L7y6vQPZ6VCoBccI2UyZWKfv4upawnQx54ShT
raeGwo3XF/Uy0XoB37rcXK6+fd3HGAvqdFYwL1mLKl6WGfyOIZWzz1fGuI4lBDnr7Iv0keyKrQ+b
kz+8zNquX65njzKx159zXL9f57vKXFdyRu/6O60ACT2LapCc7C8v/a+f/d+i6AnmAzgZknWGc4OI
47cMF1A/SRk31THtZN/EB2KBZVtHHc5cbihghpxJ/rJSXo45iwnR7flyOsozzcMjS+rl/r+eD173
avgS1i3j5Wfx1g18id9c/RvMP+89LxWbLnuNeHL+9t77zuSo0GcncilLvA4l7/Xg9lpJvxS7bL2E
k/cu4XZzUfPsFom5tZaYyIfXkub/hUbO4Vu95gd1/w8EIPmkVPxnlFH0uSywwHz9r1O3/tL92PdZ
f/IvphGZdiT3YUN1bNsNGWyX1o1HFBIdE2Ky1se4TuH/bt0YrviXKeCZYHulTPyaoPTv3o31L4at
YGrgnwwsCsj/q97Nzx0DwxLsMdaPeDNJt8Dn4gGN3LGY3HdUw1Fz9kWGND6zo6lv7T/NrjA++HY5
fcw4OG9rFmqU3MLDBQlJzmD+O5jLqkw3Y/FEa1Htfrif/9DLWL//D72Mv65s7dD8GM5k5ObQQRzB
jprKK8sBUFhMrLU5qKcbq6KkZrahu0dpYm7EMJePvY31mkpQZBEEsW4O3IHstzLB9VVaUYymZweQ
QRx8Drt7XlH74TdX+vM7+deVvu171dpLe1YSoCwCumqr2YRQg9vArU7xRDvplUctHjZDCiTbZRuB
xq2rfxfE+Z8+/U12ix10Md3vtjiayqI97DcjroXE3QfKtbZt2kuk38hI03Fsdo0YhysP8e5vmhk/
d/7++uZv5tC6olJAYFJxXCA9QHHCOnqfJHV3MtzO3RK+YT5kdjaHa18p2fz6dq/f66+1+6/PXLcd
P4wLNGYmIngrP8LEktEotQfeE/EiXr6vv/6ENw3Nvz7iTRMJ0DFr8jKi6hVJerWA4kU7XNXvpZeN
x3yJU+DzxbANE3RIfiOro1yGHvTNclugWgxdY9qF1AQRHXXPlfLI6cgsvaX6Hv/moVs/b//+usL1
z3+4CYaB87rDSn+0cHVuaZLme4+ac1QGdni0F7M6o/YozmDvJXhsL33vIcHbU3YK9zWOBV5eCpFz
i/AOM2Z6Nkdh3TaLnq5s1cwnswtpOyjULUiA+t/E1P6n5/amoyq7MevZhFbHJZ6IhaUsspumfDhU
jf/46+f2kjT296FBPtzPd0WzhSypiNTHcjBLGgI24rIqMI5u2aChk4j4LIAJB6MDBLAQ4nJCaybP
g4R4YtIduQ/abMYvmbrv6kKRXZkOxR89/sZj0qT66OdIWgYLSEm8JOpg0w3aT5QKDm4KhFZ0WuyL
ct4qmo17GcdWBEC9ugIbo04TB/MdNTy1azmaXjkJvO+uqClZJywTnh1CXtdBNCat/Zst7j/fbe9t
OlU+s9tn+1sfQfqgmGoyf4f5AwBqM/u/O4P888xD8P3Pt1u1PnLAeeJ2+wjhshInIPEJ0LEqfdsk
8o8xbj85fVrt1h4zeCp7/s2DfmmR/tODfjPjNkasfad16mOREU5Kc5owCJIehPNkJukADxO6Bb60
0vd2gT8XzlY3Ijx0YU9ejPIm1zwu+HV/Fzz8Hy/nzRRMVwXva+1ysxtpX48LZO0NNSt5ZLflb2BU
nasgKfcY3bAxYa3YG6IotmWnMA87yMx/PfzfnAn/Z1Igk+rn5zGQWxJKU9THJEwysr+RLxfDzM4c
fpyyQW1llVT72SToPR3RyS1tCOIqWH4XW/fPewnaRD9/vktcnoFprjyiMYVXYRrBDliNuqpMQAbg
GX+XWvafxvab6TmeA96sAdAR6d7y0FE+Z7EPCZyG0v/rW/mzCuSvO/lmeqWlB8a2oU9R9BrsoSVc
WDNGyBMkxUDZudgjNBB//PrDKH1zg/5pOL+dGqdcVyg5qmPgmfNXHyBEslG+P59RXRhh1LkTKSgF
ce0+6lhMDmViAhLqdcwJlMpqSZOx9ybA1JxTTpDVb3Jv5O7QRkYFPgT0zsoWMDHFMfOLa/XxZyVj
oXGz2/mnYu70p5SWBJa9vo5cqiD0D1oYzijamUxXjTPkgxnkbgHVJvPvEGtSbQG/LhRuWn8w0Rta
N50mEt6OS0uvJeXwVM6QELagm4xlX1IrBbMGFGbaeWzRDl5lLYIGqa3vwJZg0iFaCvQikOJ5Y49p
foVnu8TMArMZ/n5nGX/MTlt8p/0tcQCTHyKvZzUln1z2FVeZJuT9dggrsXc9GiTbHKUy1Uq7tcIN
oegkDWGdVd4eBSvt9wn77sFKa++9rVd5+VzVy3cjzo0vI8X6vRUbgXtUc2Xfq2DB4diEhnPd5l74
fu5CV+yFA2OdDyVnktwZCXC/rHX70Q1jiBV4SwlD6BSA5r0M7Na9JqxvaxskKeHWTMGQlefSXAxa
G1OGarv3FCHxwtL559wErGlnkhSZbmhOqir7g5us+KK+dXny2MSRahJ0k5I64Dljduzozxs7xILt
yI0e3ANRCOKjZw7EDo8IAAs8fF7xDjBTaJzT3u2+1Z5bfh/zJsQk5zegLJqu2rNJqPcioK+xBSqP
a15VfUyYk6th9Ip2Ct7LYOEpE+NWPlTAd+TGpRRcc/CX3kdjyQhHagEoo/SinkImyyDkx1FmYHwh
dDpi7zQIKDaplRjyGE6p/TGfveFoB0ULHCfPP4PE8b5Ix4BioBOSTT6o3iS2HkiTEfmOB74gH6wp
ufcyu6K/3RiwuopVJ7axCBx4cKSUT4lVV8l2KaGyHAulMejbojcjhNGVc1JDB3LLIOItojW1ACjr
PDwBU51dk14RYivEBdFusiYb4p0X0BhEGGTqe7Av7BkqCrwjYVOd9agdw0p2WY8KbyNmnE4AKj2S
10hqWJPLrkgm0LvcxggqRDz2m6DF+x7knJ4wQOXLp3B2FWbwcCH40oqn/lE1Lq5U1yF1ITI17TxS
s1KUO2iGt2B1eqT3jOst9A8Ge9kn3xE5NyAg3XFyt4kgvqCtyZne+HpRRyMEIjZ1eLfejb3wHtH7
64+taTT9nu4A45Chg4B5slmtPdPO77s0zahhgmt7Rm6HztwvW/8x1k313bA770uQDILa/Dy439Rs
A3oRaAFQSSs9fMiNzoIV4/vhMw3eHm1GZ1ff6sTJP2R1t1L4zdnW6GWBLGyE7aBpUpT7PlN50rea
HMrVGQGbz2j1e6/NsDF0KyOth8kBUs81YgFg1roNumBPK8HD70RP8/uUQLSAa+OCeXGbc4I9EY+/
TNoNJHL1GfFaTiFd4r45WuCso2JM7RJMUWB/GjogsPsqqc8jEuuT6uMW5k8uVHMMphK+eTLn07F3
St/axujnn4uwbfDZd/m87K0kN64JfBvhyyyJfFgDDpg1++aTKfxZnk2wBjeZtpeT0mnvb+zGr5+c
LufB63AOrvFeY21HURg5AQUyxnkMU1Tx+vIg1RF59ORtRixWhHgUS45ABnocmC6g5EggsuMAjweP
xxSG39zazOK9LEfzi0xK1Ww4UAJGJGBOPyu2rPRvGyZPcImgYbeeY5Q3c1gTAV96LY2gguR1DD9+
eogbMnTBvTXOJzPs5eehHJlty86yJZAfglI2XlEwnjvkZDFzOHPmNqPDi4Q+Td3rcCK/ePvrJfA/
rOj+myoEjSTtauD/R74sbvXKTk5ljHmsJqdn9+uPWDdB/7DG+m82q5OWnVSEoR/BsIEc6mH2Jfk8
H3/9r6/B1f/4z7/ZkWaLhbGLFMDjhCFpL0jXOhBs4mw0UKktuq/usSRjI1qgnG84FzvbKba9s0Yi
sQkx1kUFToUdaH3iQZzahUM3pv/N3pn01q1kW/qvPNS4eEEG+0JVDcjTqpctybInhBqbDPZtsPn1
9R1l8+QDHwnvAjUooAaZQPrmNQ+7YOy91/rWxlpS+VAr19hC/yhw/XZyR7wNkUpMJNbUp8sZUqvu
Sm9T62/uId2jrSzzQxXJfsl3gCXTC30BiGGn2IZTYYH8W2ZjDVL+8Lb53b5hn7TNo2aCra/E+uMr
+ee2D1LM3zeRLsoctF2NpDed6tepsqLLifHBo9ZgmZhHwnZAusc7xoHJNl0+TVAVJ7Z87tHmdSYE
WSWDJXcRI4rX1Bx7eyNxlBvoyki8QrVnY50c4OZAwBnvMQl2Tz37aRpmw4zlz6kzknoWv3MZUjK/
X0/wkWSIg4RIQjdSmHittK0DCGRqhl2fx3daXsRUnkle+WsnUc53jaH0eX7gy1BFmhELiFWqT+7s
qet6tGkurTqFxcsWJBkmwa4nOXQy0Leuh2kk5GhqIptCSiBUDEo9Kl8TxhfxJ+/eqZfjaDu9tFUJ
tmuJd4cwle9OPM3rGaboKq3T+vLjx+ZE7XEce8sA0W0br0vZucFSTbViW5Q4ThNNvk7m/Fkq84kT
8Y7WqdhdpBY3NWpRhQojRiy6amF0haPDJvPjEzlVxXlHCxUUMkfLD95cE3LUBjcXIEXENGzBKxKg
XT4/IfCOGVQUWXT41fz9iM5tS0xG9POTn3B45v+wVnpHi5lbaz2uVD3nLesrLDgzjAe/TG4O+rzb
JoZBPdBxvC8NogVB7tuXaVPYt2DHYeN1rKlwtIvtx7/lxGvpHe7Eu0ZX2caSB7PPdhrbZnSLOnhh
Hax3RZxKiPkzXbsEW/69psnxSIh2jZulfVztBgZtoYP6BFFPpa1Ncn++fHw+p56go2UGu1blTuRV
0QVLBRr6rGSzkymm3Yb+yZt+4kvnHb3pNRNJldGFpe0FrsWUCIU6xGyfTKBOvWhH77IXwXIrXFDL
TWO3IYS0O4ID/POOELNgnOPxk9fgxHLlHZXEpRq9Ej0p07mpXtZ6rxOSGWuXMdkIFwVGxXCceb2d
wWaLoyLxyaUzTzxuhxHOb4/bVExGArNsV0R68wC4ixMiWYfKBC/n8sggmEAqA4Y0RS84MdgteQTc
H0gYfK2o0TJYdC2hgFEkM3SNVYXHlEI46BzVatu0gqHJhu5QUGszazG+DFZ8026q7VwX4w3iSPXo
ThLo4IhJYi8EzfRV5FpJRIYX203SliEiM09tcA0LGOO3RlbXSPKstreRWnbqVkZD9lDOBWMR1MjV
8skNMU50+9yjOzKU6NmKhkWcZoS5mXHc3iKgJe310BtF7dWthGcme5Jmfg2D1a6cKS2/fvzSiD/P
GRzn6LbQCvEQ5/faVkJ5OetqDStB5S3fZwS8lzWPydo2CUUKNXYP7GvxldAMUgWZiMKxn3Uc1xD9
aA/FKxMv8hWURUS9LbmyO4lsf0OuTbxDdo8yaGLX9pzpXvFoyQQN2KAnPdJXUraChmKwXUlrnrAr
j/V83fSO3/+9dc45+rL4/cg0K8/SHcYnsqKy5U1Gu1yYOTiOVGbpI3zi+JN3+NTlPDz97xZVx8Ds
Xnm13GVi+Wma/e2yGB3VYXoFeMrYdt6Y/7Difxn9Xqb/Ef+sbv7x4XhvSzr1SXOOvie6k5KV4TGi
ArVzYXjDcIu9WeeAHgwqIevN0CX+Jvezp2hx4SbaGSl0bIZuPn58Tqy5ztE3BCRSXuOdznYW+Zsh
kOJiZYCJ3Isil58MZE4d4mjXihhU9yZVJjtGccM+kkIP+0JW5xxr+WQTdWJpco6+HGA+MyT8WgyM
tzCDeGygmDV2dlG3MMynRh1S5yzt5e9dsqNvSOn7Ho0RL95RmnehN+rOnuwdMNOT7q4/PsSJD4lz
9CFJXODNCxUm3Cq3uoH/qwGfgiLQ99myjQgU/mRNf9Mb/WE34xwtXH4PeEBrWbigGJRkHM5mCEou
WhmVZW1KzdQuB6/Lzjp9uDZYV29cpyjWrlHVD0MpjCfcGETKJMbPkgouKCsDGnev38VjCto9cIDz
7rDzdUESZ98QRDtooUl7oweB81vD4jCTLrLR2n6L0p+GX10At/F0IN6Dyq5nw36BlzbTQADqmNqa
vwMvSGQQ5mvyQtlfTg7g7ZLbu44Qx69R/Wfn2QBqruuEg5s++uH2oG4Ry/efPGinXlf7aLWFporn
jOzMHSgPuikpPr9g7lsndPLKWTU5UwOYDfoOok60ISJc+x53zQCYFjD9x8/GiWfdPloNK+UUPq6s
eNcRRPFDuEv5dREEHYpBN0IF2BYnUWWpnx8fTRxeoT88IfbReug2ClLQnMU7QuT0S9fpqrUZlcuu
7tp2P04i2fYOtIrE7HA1uKoI5ETLtUDVT96mE4VM9+8JlvdDUs1wqdotQSvQXNZdYS0/CLL0DiPC
dGULUER0OYpAzaB8Pv7xpy7V0drqKx84ODyXnTtN3doUpR6wEM1XS2F/62Umb5ec/tHHxzr5ZByW
v3cfjnkGIlxA4yN4k1aHZc6Q4OFcPrtqVudkfikMp1l3nuRJgr2uIIAgSbtVIyESfvwLTuxt7aN1
NiVtRGp6z9kiUgUZgQUfkJcefvy3n9rj2EdrbNO1vhIxm4HYAOK8CEPuqmVs1+7CV9ifJhcq7CTW
oiBOprUbN0AA6XxSwR6u4Z8ewqMlVzcWWauaXaJuw3SqBgIu9CwF2FaK9pPzO7Hk2kdLLj094ghn
Ldm5oOIeUVlPl3oXvXTeUirgi3DPPrmOpx7KoyXXm0vkRA7Jg5mL+KPxJ2K0QP2fj23fr0QVia1n
5/oGFrixWtJJ3pZi0NYSJeEhbDZlSsToJOgmEpLwbphnsy0Oli8n+nvX2jpa4YBGm/0M6nAHKTu9
jQTddmMRORMp23j4+BqcuJ3H6lf8shWJUIPckQ3vb3ttUADXPfvaGiz7ky/biW2cdbRsETSgT64p
OUSXdmfuiIt10TJ/I2wIIVYtyWeM8U4ykqs/OeKpkzpabLTCbJaa8OMdt68PHZK7z3hku9By6uKT
ndQJ8Y1jHY79bo0xpz5WVu7TAHS15I4Od4GRoxU3edvWIQ5uczU3lfrKcQnT7mSyE1PShHbsLZvW
LcH5WUa2xkRMyp0/5YRTYqGlR9OvWtxxnzzgJ16kA27h/W8ckMvCh9Ek1Slxsf5okzsCqG2DcRYh
r1ya7ccP0anjHK1HeM0QTces37gWbYbpxXy+VL6xSehWhgkpPZ988k/d16O1xy9KNGKNLWmOD8s+
VxOxPZGvrdsxLz65ZCdW7gO84v0lw9KJa25BnKDgKayX3rcu+6ac1x9fqFMncLTgGA5Z0jz1JdFK
hBdYnmevI8EXwiOV9O8d4k109O65zJqqN4cc/VJKfFxgC8+96mpgVI4/fvJ5PXES5tGuB2PM4AF0
5iQS37uuIc+EftUuNwoW4Sd34cQD9db3eHcSWiIX37f8YheD3H6IIr1e11Nm7B29Ixohj/r9x/fj
xAfAPFoo+OntNGRmSnCd+IpD9ipOO8B1lZavVB1BLAQw8/GRTl20w5+/O6MFo+AyzpQRVsm4RZSw
erEFAlDQk38mt56uXw+vwR8+zebR646/rYRUr1JYBej4Rm2KzvRJarAaSrGFFNWHzWEiJujerGUG
mq41LHHWYlRa56736b781M07Wg28hCTKmmifXQKAnnA5YugJlrMNg9TvqgZoNaftXomIdOqkHZ6K
rjJ+2ENHvIEaLPOln7XxzM8OeMCMmgNpXE4Z4cUG/amP78Xbk/qnC3W0jlSatCnv0eyaA2k+6aJ/
na0BaQTJE4Ag2nU/0c1Geoio16k8YrZmkuF6HYQizE7MFLa9QrqFPT7nNo65VTJMd5tvA+6ibW8D
vVTEbK3RXi6rIgL8m8YEUw9Zct6O3UWjChDVHWTWAZq5zjD2Qs2x880Be78t8MKBYWrPuYPNFsaG
v7JkLIgz7VYGaeAfX4ATX2TzaJEDVJ2K2uBBQV4h9imm9KD1U3S38E52ahG/wNpSu7et/8nCfeKA
bxXNu6c/jVKnG4i03qaeDotMGi/WmHfXsM/1fRGT+N0dqAsKwsYnn+cTrxuq899eN+zh+FoPBxS2
Vt9myIp+saw7ZJvJl4+v4alN+Jvm9d05jbqF7RCa5tZVbAJLjDurivClDXSH7hleK+3sXuWrujhE
gCJeWPV5NT1/cvATn6lj7o+O5sTR2LRulTHexbahh7NK0G5moxmKmOgBochm10izBH2u5fu8GfXz
sSFnDkZECfk214CHqKePf86J2/umjX93KSbQqkVN6t5WH6soELFywAaV3ZUvE/B3BfzxSJfDJi4N
55Mjnlhj3nZl747ILJLwQJGhC9Tg1wlksfBIgI/L1BF72r/T33uO3vhL745jVCO+MTG6xCxZ5Zq4
BeizB0ZgDdXp9uOLB2TzxLp9tCtAxZwcMEDpDrsSTDRrqABKNgV57TkFyrKaIKhsbRC6PoB+rbg0
ZKUGZoaMFtZA2EmO6SVqOPI1KMEku1DyGydSL8MxXcqgtU3/jLm/CnkXNqolgj1MS9adUIvz8UeR
z6YbqEqLtn3mdXshqZnxzrvTa6KgNAYARNsbu9HUNc1082sOnOBmaBz7Fe5eQqyLrvIu7DvpXB7M
tMTN9h1Y9tQU0XXhazb2b80fv8SoOkAe1041QFR9QaABFLGYI3FVQilAdlZkjD+hS5zhW6pTkKB9
Ewe2SYvcnTGhbyXKhWkNr5tkltlz8wNnEkGC5mpLDhbUyNw1sXfQ6D3NK346NDkJj7eB7snJ7L63
5Aw/eT0IhlBrWp9RqG7reLa1JXrihsLY1IsvoFvGMxtv6qYz/Os6Vi0qGhyAGD+ToQ7V7GgMNTtX
XFRjqZNppCeAF2H/IAXi/OQrZGfjAgNrZGMOHqDOos8D/kNo45Nw2w5JRQTeKLRlkSdAQi3j0e4b
cZYnZbNOSCJotnpR0sYzSF6CQjWOrRF6oAV3psbpSOgPbuixrUtuCr6URlhGQ2qGjOmmn5Ve91AZ
Mdx/Sd1UodLx/Dw66Ov8lyaCbUzgnZ/vYt0yqxXvYTSQPzAXpPOacTte9b6Wv5Z1az/mMx0a7N6Z
G4XuYqUPHhhX6LaknH4bZUIqCVEPQBCHZfTue/zpKeCGuH5Oh5klfCFlrELJO6u9MaXmEOgIeULk
UI3YoA4ceKQX4aCQQACUBzyQ4+NsGBUvLlim+1pE8hdOcyG3ZYeZe+UWXbQj0Dm1Ie6WKIKsGQVY
YI2kkQS1Z0f4gON+sLZ5No93VOMl8slBNumGat1eUM8X1rTNRktitFWmWNfEqlrkCLjyEgzPYtDF
GPXbEcc3YASn9wJJ7sZ9bBr8HzyjxDqkk0RmEji36EZAuk9erqvCRzjadFr5LHugDsRG9P6PEYc0
cWgp8jViPW48EEtZkAGe3yqdxzKMgUKHfAbVIUUl7y7GvJ6zDR3f5vusZPzU6YsEiZWnhw5vkobC
6XT/TDHJB7Pqufz0kVXvbJSGUKFJF/B2cIFi7ih9GLp7fPHy9dDW3FB2NtaznybDvRZ1xQT7W3fP
UmFMZGbxwQXE6+rpNWGLw2M0NArasUOCsoDInIYMsv2vsey0DC06UgxUNX6bfmEKU23LVLNflDPX
5LVmGizIqFjog2eNvCfYwH2Fm56xoU2LiUvid128lj0B1shMGVJuer9eSN7po/oyHic44XyWutvY
LgkT8egJ2uGS+RHLldcOA0DJkXFhlSxkkekDuWNaM6FDpbNZ3GMX0KxgyhLCTIyKLgzY0AZa9XiQ
Bnb4Ea9ho2JwqTLl5KuU/J0tOt0WKrIPTmbT0Gi/yospU8HECiKDzF8MlppaaTivoE4hGyBkaD2b
GikROTk3FfEGhOpZelTfYSfDCqF09yIzoZJsEr/oX0Fj236wEKW6mSF7MWE2RuavlkVq1GKJ3IMg
zNPg94oZkkkMnrI6Iir5+7xQTFG8I9gvFWfDsNTWmlNHsVwnbf7q+4q0kGI0BhK4Cvu7b7U6SxeR
0FyhRilvb1pIM4Oig5kDy9RT59OSxZBS4epe67rngdyB2L2HyQW73fOlfctb36BeTnywL8Aphnk1
x0RqVVBtiNNiwvVs2+rSK5qHWHdkuzI8zz+fhBb/hAIneRLQEQZE4Mprq3DNlyiJsRGptK6JrXGE
vY+xnrgbKBsl7tQFegs6Hdu9rSeiMDaVfpgITOTNkvpygOsl9UBwLfAGZmpdmZGyhl8Y2U9hGKRf
Na7+iD1X5Lu+iK4babrXGG2NO1khdFgyCMRBI2qHRzEl6zLQaYxGyD5L64J4RDSQJkFXN+Ru2hZ5
jbXx3SV2rlrbHSpHZJzNdReJ/nKS8z1a6YNiC2j0nZYtGiZ9J+le88mpyLlAU0qAzJAVPyAs8+Mq
mZESmEZWe0b3vVhCg0d2NdeVdsA4eLpGQGw2fEEMO35JUn/6AbSYECSvNzWxdjK77cO8kSMZOir3
Ic9Hmn6A1cT6Dg5eBqUqL58n2aq7BYTcVQ2ewEKlGi91UJZjI1eTFmkKxPUU7eALzSbu5epARHen
ZAilxAa+rTFrviS8u9/ZGLQiKJhy1yh84aoHs4pb4ozhwJah7kd+j9bLjfaQ52iEIyYZLpDU2MQH
duaWyRJZhlZ6IRWRnsFki+7Lfwd45kh2Dd5WlWnxDakgPy0hq/TbxxuiE3v3N0f0uz3XgtsZuIvr
bRfQFJe971zn04yCOFo+Ey+dOsLhz98doUsLeDEMj7aOp933qWnepODO0AjN+ieNhVP706NSvCnK
nJmZxQBANoRSeV1xXk2VscEVWm2NgWCRj6/ViQaGcVRrRy2IfpBr2hY00SNF7F4zRqTcRfLayGre
Z07vfiI6emvX/qFofnOFvLtoTpu3Op6HZBcNODabKo9vIMypayZNTrD0nbMznQHxb5eWl3jQyLZt
oW+IJCFelBfkwc/9XyQIsS7LPrsgKsiAjjOaeHyIOhbs/tZejDjEApVCNEZfrJGcO2uRS+fG7CeC
cF1mrQ59aQSBJQRgLSV5b7aIqGIKuWmMGXeAL/LreDHk1nTr7DJyyfntyOC7UFo9rRNXL/YFSfDh
mEtWjtIiS3dMi3WGE2DlDihR2G33yDW7z0inpyZRb3/+7qI1cZ6iUCSyFFxWtydeOl1XU56sMDF2
KysiHKX0Zoy2WaaddbLXv4Ay4qPjAQD/+AE58aiLoxHCkBmaP0U8iDZ+hLDKycC1zbnfsOf9bOL/
VlT/4cl4k8O8O8kBr2tiQg/cAQj1V5zfvKljes2+6cYvUYsSuIKZgM20WdZVGcXfBwdtczqBfRZi
mc9yIhKDyGvj7QJDe110fnRJVIncUJtgT4z9GyhsOXjE6qW1fbn5+MocMXT/7Z56k9i++9mkVpN7
lzP6WKKlX48IBEMYfiPxQAdH8tK7N63pvEwA3S/y2bJ30AOHtZC6RU3v+Tem4U9XiHF5CgHPfbUS
MOYASY3zj3/eiRVEHP783a/z4mmB/8JFjbzavT1EH0K3gBcuCAtbcVGt3cfHObGCvCnF3x0HykKR
xSSzbBN/vvEtUW0zvxsCl5DfgJu4XWL8Ex8f6tQpHS2KBcBDo61EtNXbSV3MKNBCtobjRng6Fjxs
JZ9cuiPK7r/v7FvL5v05ibgRbVREWzV2vrnyjCW/ZjJutkGLQWvrGk4jVl6f+6T6WV33pIQqEII5
w9arakVlMGfGakxt+8pPmcl8cvonynz96FU0k7jrCVVOdi1wk20paUwhDxert4v7f4Fuca1+tv3Q
/vyPy6e6+48N4XFPvazK/wdgF4ZOx/I07WI7zE8ljSQA57Kf96//67+9/Qv/glw4f1lwxA3AKuTt
2FDKf4NceAIEBp0S2/EAYPwbcuH9ReEgwJObui58Afrs33xy4y/+BeHqOixrsgoEJub//T9/69Z3
R//7vfqMdJDf2kC2A+KcLbJnOp7hu5Z5PIICwuw5WalI95rwfAdgftwyxIZt1WE7ORG8RDxaP9Ri
WPeIGg3EPp6fShCqDUlWIxzLr6OcJoTYRmb+6BJP3ui8DR3ZiKV2N2eL+ToutS9WXUyQFzXIF+bb
2JF6bQKQRs4e7vraQJ8Rmyr+UkWWAGxeLtntQP7CBbZCt1n5U2s/TEQjREG9lISweXk92qFrzYRM
55lB8ka3xPrXMSaYMAC/Gj9S1fZXlFvSXHVjZPQb5BGckRtl3aOhu9HICJTM6LVAuvXUWkN829SR
Ip8LTubPuEuWBC1NTNbXOGXtsE7H3g60lpe31RNyuub2YFIgGYQMZYJY3fNGRDZmUYyJ8arOSXAL
WouDrQ1ReQBMRyP+3hPtd6n6mOiXiHqdhIe4mG8TahtrSyuoOyt0T6P+KpR23WIRzDed2+NWFjSv
VJC5VFlBMWAAXJVY56LDfSnsfQ3mcxfHEC5I8k0I747tyf1u2MDIQouSXVtFXeajQMXGROUCwNvm
2o94aRHqShodTduh5PFtf1c7bmaDI7K/MqmKvmipFQ9b9uWDd0B+G1+0IonzVQN+9dLi98UrTLD2
EMYQfe/jFj1ugA7Y2+tOEWmHcRMZlImGTD7QLLhBIdeQTX1eaP6z005mEtaO3T8bE0J20hmMWu2E
XthfgTMTJO1pubobs9wFYUo5wxce+BH+w5QSdrDBlWegcEcZ4YYa/PpSFYCNCZcFF07Ym2v88lCw
FUFEd6kMgNt1JNDANcoCffTJDsERaTXY3FpnXrkKC2lYzRq+msGaX82uqn6qxdF/TdWiXzvQnZot
dFCzRiwLFSasR5Rt64xmC+SEA+JqVRB9/Zw4Yz8GLTsMTGVeRxDnFNWE3lcE5xJth8ce8P3CiIcc
9WCxx0u4SZokg69ErkPMCK4zsbTtj3T0PHKFSGsXkFrlxrCy3lrTk3HO7J6PCA3KyF2CJU6Etca8
RVnriKpun2ctyq+ixc9xQSVutx9k7HIhVV5Ya6Qitr11QXQvjBkHsaxER+xOahakztR1fWfphemF
pUzw5KYCOnE4SUWqDNqmYtlWbapuWxik6d4FbjaHTkljFojz4j3X5QL3prXoFJHaZVTO1aQJeiqS
Tdg1dTWkVsyN+WtveF17ToRLclE7WDkCS58mfWs49SzXUGp0K6wX7gUVY1X/ojOZ/MxEHj2i1F+e
NODENKk0x/leQqHm3ulWTZSHhj6SGEVFGM4461qg43ImVIuU6AKaRzLdeUwmiPbKhLpSNcbOgP36
8MOmWfg0ZhhMYSwC/g+Kscyuy2XRntzBJhZ1Mjz/1e1izQ2WKuruJOr+fm+y/CXrpOubr2VTGLc8
Y2Z3sAfVtJP6KkvpCacK//fsa7Qh8YY+eIwiSlSvPLhB2yAfJGkpKcDjVqIeznur9o2zAcrzdKUs
Obl0olxPgr1VQ3/mEE5KWnbTovErbCNJwkHgjgIvtLSg15rkEMnZ1+A17ZWVpixycAQzGlTE25yP
ul5lV8TXS3fdJvCxIYaiO7pMxyS2rjGH6s9a6goyCPMk8rZ5vjgiXKR+UOQ5/TRdNzY0yF1j1npG
YDxmJVAZtX0z5Nrc30KK1ZfQ6koZEZtN8sAXCwQc091krvQzrZEMg9uhsJ0oWKRjDCKwVDM7U+AW
7EToEhmyW3fExBLeODrtakaApYWl5Y56SIuH5ztJTIAZwovn9sG19T7/meVAWQgOxYq8cbivdQhZ
35u3GXs5VomZWCkCtL0b8mVkF/iCf39VTMJ4jsEdPjMcILqgjbhXIJzlqNNqKnpiepJuwY/blBAn
m86dkL1Lh/DjOUmubJDoZx2skEeZFhEIzsVPLxfoU8Y28hRpmwyMySUex6p+ift4ebG7rCW3O0t/
1A2yuCRxjG8RL/SLQTt1Ccfen8yARcdtV/gU3Vd3HId7wggr5IlSFT3cYHrs+IiIDAlqPfVa0CiR
12HptrxvJozj6tyh98oEZCmoXZq+7dbCaxYSsRuWnGFcEjOICJ1tuACWuayw6VaIQ319WvheOrRW
kEV+heFnzbuxq+2HaoTHGKbTMJPflPPsqSwnuJZUc4YN5jiSdy57hlKbrGhRbdPG4AI2CIebM0PG
EzXyEmUJMQdMckiymNwRX3YzPOhv0AHNtSxydIxDhm2+eAZyCprp99IdO5LPXR+jYG8SccnnIuWo
qR9lF0Q5cT6sx+S72/HCYyYr8UMMaLeCigWFOF7wY2qTFr79w4nt4pcb08ql2nTqdqMN4BvKqpoe
bHLUIEFEuvOMTqG/M8UhYIwOfV4EOaUTX3GsIS9upfn7A0331ZNzduM3QK+hpii0dS3Zi8W6Tuz8
di5lWk1bvrYEX52XRR09DASk06+L+wZRJKPzXyRkzb8UAYy/DKvWWZ0KC6T94hByCury2i5x+mMb
qy5pk/eP8L2pzPHjV3cS0H0WLFg7kTdbhtgTYVy7O09TFIklpepF3pu0AgmmJmuWGHQxrCgy+l0U
ueawRqRXmGGCqqcM+sTUX51xWuYVMzlYMLBWonZlpnG+1yflZ4GZCnHnmYN1h4I5RheHCyENRj2N
GFbFNXuuKfXuSF8rnVCSgI2Ppy4p5kFP64966ahHXy978zCCyoiv7UxT4mS3lyua0uAzumHo9mgW
PQtyQJ5eDVZMWHVBrqJBSlgR3/NF0bN96mfGA0RTMYYmicWbpHPoXpPT2lurOfFEvDbdYTY3YioB
CpVl69z3JtOE7cLO6bF1E1KdTTPJ7oCM1jeQPWQckgzAuGGKs/yCRT15Qk2lXoshi1/Zzc7POWCL
H96SIYWgSc+tA9Ml+JUutzrknXextdY1mVeOE/U3ktiee3rHXhTGA9uxYGQwqIeRlmV35H2S7er7
hvN9HtLlvIyl3WxsQI7+We0CGQjaMeqNfScjwrQZ0hgPTaGqG7RMVbGDOza9QrNMCLXg23FuRMNI
UpZVGopR1kCXOYkadw9jRYmgN1LjbFyW9JAfmzpnIMVoAdN0xVbbJZ3LhLDviIAmfYNh5BCDbPRM
xdq4CLYHi27b8SaumWkFcTUZj+wRigQJPZvEldf43bekhyMcdhGy+6CO2wxKdU/EHQY5qaU7P4Kh
FWpWRJRq2S7+l7lcZgaUnjveEUySfKtMnxwFrSBgD6KPSL6VYGl/em4KYK7M2DoFpWGjvMkQwZxn
VpHcDkyyGowao3tX1Cm2Ab7x8ZVkDnOwkNVzGvrlhENPowuLtbFO/KuFJHGTYOUB2cOgPZql5pq7
VDMXI6yGkeAy4laSUNmzvc/git2nzAdYYNuZv6Cyu+iaURy/YSwjxgPqwPQPaAKadIwGUkP+UW7/
/4L4fX17MJyeLohvntqneHiafyuJD//Kv0pi6y9h44GkvaMDJ+c//1kSi78cxOF42Rz+CeBH8e+S
WDP8v0j5sgxokf/8h/+uidF7/uXojunxl/r8N0K5/1JR/FtJjLgWeqTwIVJalOuefWysm7PKE6MT
Z2uQyV9LODSBg7sINQT5ne8uzB/MX7/3Sf91JMf1dYOEJkLCfm+7WSpzDCJ+sjVbs/mqHnT7BlCW
RdeW8f1//VCHboKg4ucMjw0/wrKGXvScFK6dmwRqQqgZ9hdCRD/p2P/ebvvHKZkmThjDY5LDNfz9
lOhpgHHMyAfPQE/njN8oOFkZjHMk0sACiKf5ZHDzeyvxnwe0PcekSei7/2hwvGu/KWbs0sIMSAe/
za/9yqOESttLjXzfTZb4WmAnXfeJrtLw3pAL/9l+5rAejFnuGdnsBrjt44eErMFG8zszWQNYc280
WJs/y3qOkDqioDfRV3xVUz1ezYdRg9l39U4aXn42Qa64iigyVnYLg8Wus+Kbz2aY2J52PFOu7tws
CQ5rq4CSlMxDu/dB1ewMCvyvKbIAdkCTDLquy6NwKegRM8qjk1mr3Dtzpir7nqNzX7siYXuTNcRf
hm1Ww1QnpZk9FUzwxwgqIyKOzP0OnLTYJmCYrKAbO+3aU4zxIj2yfljcOgmwATJD0WZYL/uhny/c
qOif3Cp/TTKVhrrpXpFhApVK+CrE/u/jWjD7lOvhumxniQ9qGASfe20L+8zAvYFPXvtmWIl3ZbvN
uDYK8JCOMzTyoHKZHkrX7rZybuV1NnoiyGtH7i3EMztbL570qgEo3Rz6FnCLYraXlfHUMm/4Wvfs
7yEVAiUjTH5+0ZnSY00bvXxDlT1s+Xoxl84LpVYazmgqCAniJcxFOlzb7Lh6ZsNTjoTO5+sOeeoi
Idc2ZZCjZ6us0NpHBEfZF6K/xzs3qQ3SR1J7JbTF6QDGiGdnMZG8Sr0kWDam27REUruYREzYq9Rt
NgLe8BI7sxZECeHqxDAdOutVZMtw7gvSYCuUq4qs+H3LLHctFty45Jx2Z4eYgus0b+ObPm+iveEC
dwsM/nA3FLrGQLjIiXgmkneT4V9xaClNUShzoc5qwENf58JuiKYvytFgn1C4Z31qJ99jov0MgNkR
HiSVOxiRsmlD6W2e+a5ZPom4a5FB9Kl4UaDQhiAj+GE3RngbCK4nySQXrbczpKSSYvg9rwc0qCur
gPaoV/JaHrJ/wmYZXg8k1zMibdC76nQyauQwrfGl1/v256Dr3XkaxQ7qai7uYpPdIjuaiSHFVqJI
TqDzUQPqX6V53zwSXBHvHZWaSGVUsiY2NHFX5oDUNVcwolQhl5U5qxGElmE/0P+pbhjRo2+Ky4wM
rDr65vVLGkJGBcplFfoZw8rswUbRCO67yX/MGnLkpnJr5nDez94oy00Prv6RPgb7VQLh7qRfxF9K
ZTsk91r+fVRkArC/421JNInPfEiOl2jSvIl+g6Hfm0uiXw9mHV0ZhqQBBj1h+ppEtr5iah69Shkn
15NdpuQgEAbvyym7hQrbPXqwkXrQWnWTrwmDK7sXLbHqZC1mv0h3fTnr1WYsVa+vXMY0vULSdMAv
tFlnNltEEE0Drwkc+q0iHyBZNYPW6K+ln4/5hu3gEG3LpfHKbWRj3g9M36yqywSX0y4zYd/fZxkh
QEE85/r/Ye88liPHsjT9LrNupEFcqMVsALjW7tQbGBkkobXG08/n2dXTGVHVGdYz27Yqi8ooSxLq
qvOfX3w2PSk75NQNwbQIIk5k0IEw0zqwpfC+Zyo+y/WnVrzNlWS03qjOpkmkeNa1nuQnYtgaUYlF
Ki4RZxmXXTOWFX0F3BaAiGL9M3gc4DlZ5pjSZe+wO7qHqC9E4uk0n8wFaLQ4YL7YUKLRbB22oT74
xTbHzeI5z7CNAS/SxvesB1B3aKboeMKozfijk2Nphj/QaE9D59vmNjFDUn3KZropUxZqD3Hi0+3N
M0PqXDNT53BTSxJRyBmZtuMujKnDPE4E6RXCouVIkf+I3UC9kuGv0gUWkus37V5HjQ5/pShoO5tw
0toapWcP0AqqVXpVMWwDi94wJbxLnJn/pPVRjcwmjr9FOM0uABQGzJWN7zDDiUQvCDmmI1BZrgJd
29Y5tQacZHkndQbrBe+DsHTpC3Ojfl8JqTy3ZaSg1O5AtAqd5BQJdwkG/y1heBWtTFQPYicSCuOV
Mt4NkUL7oemaU20Yaz/PrJJrWfIyq5pVGRhb1RwrzyK71sl9oZzwkn4CcnfzOVyxA+GUXO/MdtgZ
obQhc2uXjunTMFQvelERluxPP/RKedf6yolbsVJIzwXJe7TksH9kH1oB9qxxwk83Rg1dGQJKR+WP
WZevDiDPQbcp8mI1w8hzemN+SiamDWZwYOfm/J5G9b5IkgO7JMB0/Q1jf1Vo4iRE6WVpeSuq9ILZ
f+7gAb8aDG0VmWH31rE2OFlI8pAwYV5DZXNISBPHPve/QzE8YOJ3MhUGiZ1fShUvVlOtF0VoP9eY
Lbo2dTlyXj9bBk1zsUrGUT+vTblCtgn8O1VIAePwxyhDiu0m4lq+uhJaVKXbHiknTwgNWifVe5bM
FDgxwUAOMwWc4fK9ro+vkWGuNaG7fTO6RNrAPVMWKfnGom3f6547npU9EdknDCuA0Jq7D4bCebMk
Xrmtlk09oHA2T20zYDIoG8egUNn3te6gC0u9CbNe6KiPq358IJI5cQ3QukNF0jKIDeNIzdY4aC2n
Eks/M51esZEroQam22FoFyKyIEYSXc9iKanuQHPdGyC8rbqxKrxglHARzQfDVQZa6IWFGZ6p47SI
Z35hpZKjmuoKIBLMeKrPEpmGz4rVW26pifpEIttZIx4IL7ZRK/bp3IWgVLQ10P9tBcRhjwqyxSUk
fYh0joZykh8At4JVkubLuxOBPFs7vQnf0yL5zDW5uoYiWEwmTo9CVbexQcV/1w0ANtzszNqRTKed
YinOUeajGOcCPDyxnKY/oS/W5CXqWPCh0Xom0e9LlOBilW50LtUwHN+wS925oSVltIp5Uc24PEZy
nHkpNHpHlutjWeJJO9pSd8FxxN7Yhf7SSDGvrJl2tkk6ppHKG5A4eUUAWXslCY4Mj6LCF17y1/as
Du+qNIaHypzNLSSRsx/l60kGVRT0DA6JpG8qSyrW0TBvCHUaoRNLbxp7/RruRO+QiEgkn3HJRwy4
a6w8AEJjfEplC2Y2AYSh3bygQNDcoU6xiWjUFTEw+FI2CY6o0Qu0pmZZj5B2oOLy7wSNO1rjpemj
p0IZrpkldvbQQN9Ti5DB7a/KQVWPiikdIJrizWjQ2iDt/TZO8pE89o2WlRdbm7Zd1Ox73DDxg6Sn
Q7hSPqyqwjqATs0LS4bDVgU7Q9TrYhwARvV8OXXqXujjQzkp30k0rE2tulah/5SmxlXTtWOQ1Hsz
Dc8JSY/LfgbdmuY797nTyE8afxgA2RN0SZFYG7ut180Qr+ZK7CWmK7gEYsMmOdByOaZxQragFR2L
XvnQxsybO7KvWmD4ewyTo0jWmyKqazApmasL8xQn6YIu6VJNlFPdpAkENwwxwlnaG3L+0M7yBzRm
2cnT3gulMfLuVksM2SHcNhoUxZoHDyzgtWkcJ8dI8UgLhw4BJO+FfWneQyjdzzFzHfU8a2FBFyqK
dO1KqA+Wh6PiWCRErttEat2xtjBqLUF42rIzHbtUH6VG2eTQYhdyPZtOJvfTxh6E6kq1+ilbfMTk
ToWXxOgqifSDcEB5iS2bscWxTWZRbB7TQtzysJPQYfbwYAbsShuSselyanV00es7o1XFpC1Q1Rm0
BvpmZ/U/+qDw3bwvD50xSFsCqxcode5DxX5p0vxtrHPPbOL5NoOT3a1loTSZbE5NO5P3MyDJRJLy
rLf9xK8cXqFZHjKC1WB7wIAi81DHQ6ZR1mLGjKkdm/hT7c0PtU1XUyPtprp496ErLUao/SxTC2Hw
etMgbZelkaCfNpR5GYdGsKz/hKSD/lYXJptLaWx4fh7FyI9xVH6lY7Mj4BOZlHEnWFcaQQ6kAyAc
QSI1Ykl/kGPbdPSskZxWTZud3zeY07ejtMGzt4kdXynytREn+aqYjVgmULiMObMGladUcM61YvrK
5q70AKXDO0R1d88tc7hkVbVqoa/lHk62eNw18viE78C4pa+k/8COOnnATfPY4KUJtazObnOHhwmW
H3iDh766z6AgUWe1Bmg6eYkuUamwTrGM/8hrGiOumoXKItMK64azCieAgJrvPhcZdUEQuGAsxRcZ
wPNeKiP9qQ90G6Q87FftcA8ZNTI4mhPxFa4VJq29sO42MAGZuFfgV+M9kdNxXQvtgNlkuBxkKzlC
j4q+4m42W0+zG+NNMmzJ7cTdd4peSui2gZ+0dA7sTW6FQHh0naZN1NECdOJRhWAJw64hEytT96E/
kn4qKxGRsVXl5Zgrnn3L6JfGoI/HOinaW9s2+knDQ+pQJ/YrnpeAtHT9vvwUF1kcJlrKGyMw3CBh
jBZ2W+xrVsGVoA+H+0ti3OopjxcyHprHNidIrFDTcenTTPNKCfDXl/X+ROvdeCJ2dMatIuwooqay
ORhDb+6aSIGWFBMjcSnJZPMSVJqu5tM3wumwe46mUN3lkqJcAAcQCpD7Sij4nEUP0j0G3fFleaju
oUHJkhFr/qA7VqAGKKznkVH4bZoduaDxoH6MtpbuZRSMbgfVfRdmdYRvME52HemlYUP+bDBkkOiY
+1sUGsEKuZO5roTfHnS/TRdpJH91TWUuoT60UPxC6yEeR8JVbaW6EXgmeVMzcDzLlE2ozz7W59Zn
Xyt0fVlIts1s86FHtfZCuSymHe2W7lrr2R3VMOOR4OdYrXJvvH+pLR1/aaBJE4ScmlCey4zbaS9n
qias7xxmsFUsLJ3hcCaLcJq6gyyqSBm8ypiTGG1FS+JI60y077RFNSXwKdPBN7CETM0UzvsoKYem
JgjkbCSW8tyKDIrEvVELUUIUwTUT017RBYtrNjQbOQx6qB64LK9atbKe80nXKLboAgiCmjKWmGJh
cPccRENtCTytLhVygPelpYYLuhONhzMRyWZT1S3QOk0LBffvVYef5ZJYoWHdd+RsV3O/qLUJ/75Q
84qhzGmC5SYQTCzw+NZaD5zQ2muKsBzR+edq4LSkoEVAc0p2d8HGP7uIY+9G3nyupOxXPOq4pZdX
rij5b1M/Yg8dDNbGnxBo9221iNshOMTN+EoO/ZcRITkncDR1eq2VFphoa9sQhF/U89VKKHJUTd4G
WKShiA76/RhMRCbOir4cR/QHPd7AW2Jr6kPZWsOqS+d0F8KYQbWGEliaNO3Ft2EcMp9XZCxj4kKr
mtgxoyObu5vgTooHX+UQPOnNkgaeTUWhBi2CEzt06aAYO5LKLVfXpf5QZ2a5JDaq3rSFji1x5tNZ
zok9PHbZwhgshdicQvJMRCiOrs8f+OUy8sQou/iBG0ti2phYk9plbhYaF12IXa1PxsJCrcr9EJoy
wSCqGUeVU9hF4ZWWvMFi29wzlUc2TBN5GTwg+qShOBHtfBwjLCBDQ26XgRjtbWUPyuQAYsXPTUHy
lNOUwbDBNv6jLBrDMwhVJCpE6ReNlRSrcarEQjQBZtKylqGEat6jac6XqAwgtUaWtAz9INqEs1Wd
qqK70ro0PLMOnnqZfoI5DWRPVtPb2FaCLm6PLzFqsjXz3VwHozEtYPSwW/fyssiAIfpc0V6mLK+W
/p3eOYITIKfSjkCd0xF/s8ajqsw8Soxup0MZdjXChzgS6fq0pMnjFJw43ExhYAZy4sMy8IHuAsnf
Uai9y2ryTRjXjrR62Fpzlh7jcbIOke2fcKugnKjV/lWjN76xJ4hNTtFrdC9VDF3vvtSPes8qiCHr
pWzlaG9JOI3D6LKXvQwz2xK6/KqwMG/KRK49bMHNA0t87OqV1awpY9IFG0HnALGkLooQdTHVpk6O
in6331DGlxl4ddEY1rQHB89O8ThMFDpx/iH5/nCh0a/HtIT1+FVv82RRWoq/8Xl48qfHeVGprRgw
Cef/JJUx26oyGR5yDanZLnVyHqea1nyQSfKjVXVslpJmLKIs72457lY7avFyUdTIqAMJN0Msriqo
Ebm9weFBQfg1xwCbMZbRaGlILnfg4PpHyRgVCFPV09Ql82byE83tNZPRqdWolFQ1o6+VvqsIrly2
C8YbspZZaEclKOUTnoUy65LNqcys8niE8AYx3EtIvH1SyYfw6EYGq9Gupa1mGyh5oHoAQhSPCbws
OvkKKpSQ7LW4EBwWYUsMcOW8adQsR9HnF4ZDvG7q+a7oiRERxjhiOGrPETRkejh6z0gRHJQb5S0T
GD5rrQLorNGLYz6djbHHq8vKrGWXgNfHSkh3zCqNM0ZW2VHU2hFBRto4M01Qz44wPpOK6LFNlUcS
LjEpz0MK+ULn/DdVuuPnNasEQ8IiIdfRSAXXWuOpupNlcNzlCDMvSaqAlZNv7C5fiLF8NWNrHfva
WZusNwwDPjhK6RxxScJBRdyeQjF+inIWpII22cIXJmVH03wQjwuZnWwePMMp8iq53Sj1oJ+Zc/Vh
LpJ2X7PFr7NYabwSEck6rIJxYZSo3oPIlOQzTvnJdhqigx5Nz1o1vUu0GanYhumWz3JzFQMAR9UG
weSmdYY+oFVPZYf9loMbvQVtSBkcEhB3ndoNy1zP7We/mcZnHSfB0NEs6YDdzaFLI0ETHZpbYGEX
j/n7zeitJ9M2doWSpMsU6WGa6OxwdUDreKxec2OqPNUfVmU/bk0cgzg0eAC6+8kU1ls1sY8moexR
T617s7sNNQyq0fKyZL4aZVq6IPBLPQYKieTiQEyBytkXGbYet0juougy1I0HAO4RY+AVOmMxJo5n
yKONOepHM7Jf7FrexVAsS6FCyY63QSXW1pw9jEK2linkKgTW665gvbSjSyN1D31YPtZ559aFtQZT
XYZ4PXfAIXbWb4Mm8tLQWMLD/GppEDQ49k5Gc86lWX9TVTwn4QakCpstyQueWkmLIqgXTTHNz2TD
r2cyL/VQJ7NjWpQc1NNU2tUVsze3d5qpLDO/J4igt1A3jlAemzP51Utbz55K+CphVL/iv4r+itL4
XtrMwRZFK3yqEndxHMlgM732GQryBEsODOvKWoWOCCl3O9nGo1+in7XVRSo6RtHs2UmFySdN/Rjv
URPk31DZ38hyvItUnSD7zLSyOo7kJq8HtfDYNbaDOpQvg6ZtM1w4w37YiJBdPfLHDX5LXlhgzyGI
WQDc3bdFvqIwZaz62j5HSAdg4I4hWeXcaRIUr2Vce0Ecu+wfXpaXZ7qhL6bEMmgFbNqysc/0/Jo3
AEhwaoBWcCLGvWRpFgpdAYWP0bmxaexHs1mFJEKDeZw1rUQtGocudJWF2VpLyU7yPa/yYOv+Q9vW
nDJ+aIO6b6JoiZDyLAaxq+CZeU3aPBh+ep6sEHR55JeAPlPs2GqPp0SwDzDfI4Eju6HHPKQT6Bc7
utaq3gwZAgc/GYXZoF2CEJ+p2X5DHYxQDdk+mwf4qLQe1XihabMKH2PcQ6A5NFbJemEdpK7cERPk
pTpzWSo2uU/Z3zHH7JHGn1MORM2xy1/KNNhrffw2NN15CvKIFkK7VePZDYnAvAKsTxwDUq/wu3Zh
6MYBg1akyNIdwMQZNS/68aIlKrC2nrAhtPGZDf+SGu2h5kg5ywkAAsnpHU+f9IhddbvdoQO/khHQ
ObXZ78q0QR4MEEsqwSrCy7MUym7MOtjKA0a1wE5nOLl7gUWgawTDFQbDLUx9z4xVklSQ5udaMyw6
rU6d1mY19SX4syGeQcs2ktdRiKhaY1xR2y6MWLxplk+cTNK9FqJ7qgVLJxyK2UsacyfUyfSCtP6U
h47dpfsew3FTD/FGFLY35tFrH5oXOkaPqp5bIO/dW6r1uzmx7A29iAfBqlXSG6THiUAu/Jj6aRv2
CJBj4zzZ8TqwfJZLmj1KZMNk8e2lqdTXQQdUUAebgIxo3FVC2ehJtvJt/dGapZOpck4upBmqWSBu
XZQ3ro9UEbbQYeizrxj/4LFSV+UonWwjfLebXnLBXTa+oPC7l3IFjz5IxYnaxNPkZKen4c63x2ti
VNeOAF431JttXjZH9r+3IiJcwFCsxzQIx1WmtpyfTDI06Aq62ZyfzDrZ14guV740P9PBdoZs3CFX
PSGWn6krfHmPmD+6KQF1uES0znGe6coNVhFw0ujV7jZH2UMSD6MbknizSGQpmGCy1pRdwlc2po0S
SpGTaY+jde+k9nwsa7wtrYZ5wfxIN81ERnYwCguxsFau28pUHsmr9Tdkd4HQK1Y74QrbEiFExikc
6BzAx6qx+x84zr5IeMnODDp73kWyphxUXW/dpG3SalkQf7FQ6vp+BLKMJY1kmshVek9xSsNbhuP2
R6Kp8TmdKlCfxJ4qaH++7HVRpF77KdLPmhkiMp4iO8AAOpG/+t4GiUH617EQ+RCEAh9j3koOP9Jw
9Ou1HxH3iQgr6F6lgSB0BPTFcCYlpRxQalsdmxURNaR3RB+YK5ErkuX1paJ7uC4S1bxpkT0/G5KO
2VPWW0fJrhS8G1IqZjsKZq/pBTnpdTqegQ61V18K5bcBJHldDHdGto6eEw8E2Xdj2nDpIgrIwIK8
my19MxquFV9mMXG8WfglxE/o+f0ib4Lo3a5MxIHN3KHMaUeXrrrGeRzbfJK/x53ejdqSdoLKwc63
rzgBkEEiN9SNKYeLCEa9qi0VUBIW9n44wB5E0D/pBt8oV4enNPdHHH56c9vrg/UeYu66hJE9PgRJ
JxzLwuJjEOn4iGgBKp4WfAV4Y3jFNEXwIwc2AMWWy3Wj5t3Wujv4DFHzGYfhm9nq7YmA9nKhwIF6
6DIhk75cND05JEmxmeYuudU6wGo5RIAy4KreXCuKaxZ67ia0UuQM5MdnoaQpCYCqm/NHTm8QGw7b
Hjaj1KSrsmlZf+TZXJpWVe6qos6ZQCxtVSB7oiAUHsx9OQK7XW15TnZRq68gJlxoDWnXMJs5BxOJ
0SxkWD3eaOX5oue0/Tw2I55qyN0XatPm2A3p7P9kDwOoR1O/aIFQPVUDauo1wIYq8q2DX5jSEYPw
wnDMfixKR4+wng6LPj2p00DLLBfBTtTjwN4x+PfdBMaFg7K/O0bQFLEgVeKdH4oYo2XzrapVQq0F
uHiQGOmKs5PtSqaeIZQv2Ng7DP2Pcm8WESOgodmUYMC8xXPAvtltgvy76Yrmc1Z8rFAgCGbLyhy6
k1XKGeWagX9GN6vdqh9suKxIVkdKfFOsZtGQLB5hScVBL8SnAi9uTRz8ehTbBkHqViRlCs21msl5
McIy6ZcZeZBr4nJIUreD2Ofsr9bi4Z6fXnr6qEEGtGUQAOjH9inLOlQP5SRNnBjb6TgmWGBAeGtf
lEbJ1kkfhQRxwjYc21Y/wHks+J2ScSz9xvR0CNK80ymDdkdIt/Nvcw5jp+wUoARbneDOW4Gs+qzX
PqVEkfrKi23ERviimSY+EERY4YNrGnf/in9rw3vwOq3IRdBDsKK9gaMWvbG2ko9GZTbt6t+SLIkJ
eQSoKGMCgJ0w4lruxBgfXeyIw6fAJ9hq+ScJ6n/YeX9h56kCStZ/zc57rLtfyXl//sR/kPO0P2RT
103DtKhYOfbAwMNiov3f/4sV9w+B+gsqCCwyYZAM/5/kPE3+A59OzK7RblKX63cmW1N0bcjPaeIP
fsbCvvkfv9T4/yLnmTYcQO0uXLOgs/3qCV8YbS/EgLfBnOXya5PewSnY6A+tPIKe/OXN/At63s/a
ODhe92spmNTwxCZ0xDt97y/UMgi/BPVWibYgiK/xEt+Izr1qWkstEd2qIzntlsQFFUIdzr9h691Z
cj+xy+5X5pqI/Ehht361+7JGjUOyCu01CYDPCx3Wbklz4O8f75/Yh/eLaDwfgYSyqf7qQJ+JrtWS
gotEunXDEw0iQH9IfifU/lN1/k/P8pfL3N/yX96i0mMbUdpcZqj76NjlECyGqpYeSiHBIGft6VbF
aILshinLFQm9z0QqXYhpC35DTfwlKeEf3xNyJ34UQujExf98J0OKUYo18D0HV3ZRBrrFQXJpC7r6
SuFPsjOGpeKqDtC023rWhbrSzT5oaG1pnW9+Z874L7/xX+7mF6Yk5jiRQRCZtuiHoKCY1/fSPRbu
v/eNTZmpCi3S5gPDuLV+ZZiKaRh8gjQXUM31paSm6bFkN8S2m4jav7/Ur8+Dv4FC+DoEXt3S0cD+
8naF1gScrGOCSSD/OVWi8kXb9neUWe3OHP5pbnAd06SyZ8zqENZ+DTSWO/wC2atmkuPG2IfUMoUz
wXbd1DgiDP18JfouDFdlpIkPjQJkJhnS18o3iIKkcjumbLU9tErZ57Q4DESXjFboEyLi49JzSfoK
6YtDQ02cyDJOAjdCnxpB8QlRYcqiUXQ2KdVsdnUa0bOk0kw55uVYjV2QnkCgEdMkA6TGCGmIJElV
65BNvJlNnCATS/DJOFr3asvW97EKtuKQEBxFDvbtptvYwajA8zJ74UEcnB7NoYUuUveVsLDwldp0
Hd3/XJVJ1NjrsB7L+Ia7eQmsM1TwOK2qoqKjTrSfEOH4PlS0LrDhvCg6/bhJ76FsSDD7f2T5LOAJ
DKXyipLIJ/s2Rei1wEsMo04pK6UnS7GMwoNXMHp1kDfxqhUiqqFQWUGznHFKUl05q/FSlMwCr5Y4
5AxQKplClmhj0bcKfe1lDIn7wo8jajdjlmbdOpgl6ZDOZpHQEW6tT1GMpXLC5wYMgBziVsWm3Ye+
GaZKRGOmk6VDJBSrWuFpAvwzGKn1acsxoOfKtEdrFxAYY3u2OSEhkTSrkmEdt+m7FmtgzHXWz9My
j0b4PQmAwQy4U+UL2ke5dCdzK2e1ViPfMYzJOle44ZzpjJqXmuTND505Urhp2qZXuw+Jwh7IndSd
KNFK5HmERveeJk3NdzhquPHoOpZPIHdkbhI9Gw4PCfJuQg6MYcYuKTQtfEWVqlacvlTTH+yf4LuD
0levkcjbzG1CNYS6I1nEM1uy+CHRXTgGgv6Rw4RFyxWSUWkuSjMIOIq3Qfoq7Jwww04bsYgbCCT4
TtCpHkD+/R9BUDZnzt3YdCHMDmpXNbv+NExl/gy/jwU2KIPgFGkakaxmnliXBi7+7Gh5g2rEjKT+
NtKI+hyaMirBuIexoKUr1QS6GlL4PFejH3uZ3BTIsIgNDR2h1OkRZlqbULBbLaFwfQTBDeuxi0qw
K7oQbRqOWqCNNHt7xGe1ChHYC1S5eUTIZW/qzqjRrxFLHSBDknX2BZlUu2jKREL2ai9fpjDrsAgi
KA6KKy4aoYNSE/1pwkA/kZUZYTCUmtJallKAG4E6piNIXNE+TUX08q6wM/kg0VB7U0sNLwSGmXUi
KSSnodW2Q+t2Ziq/GTY5V7h/RWaJlKUUV9vvmZd+KYpvmpPGeztPdFbsuojvNBAlPuV+OT0ypCBE
ByhDPSiTw8gsi0tIcSyUR4Q/vKYYAODasIYooEh8Borm6c4Bo/F08PVMpK5maO3L1FsZnbqp1b2I
EXPNcrjiMMXq7CvH3wrP1FhLGLcTRBFeDtEYGCJVqrEWVZztdEWQtWSJONXJr2Fy0zIuq4QCF5k7
bBm89ei+DE3mAlXT1SB1vgoRkU1J56phWbwh+zZZBRS9P48KcDuuMFb1JcsSNGBDU2GNTpIy7vWO
wI99lFRt46QhpdrSjMw5WaIXtAWuJvQGFpXhY4EFZVYtHHI09fFCoh1WU1FXTPSFsrLysbtvdGvr
N2VdI4auaowNqRzESsxoC/cKGscnKqcOSSoy9VvYCBmYrdHk0PWjXoP1ieQsXYRFXM+HEgHweUZ+
qqICVVLSxHPUdgGci4WuwCwHtaD/eweXdZATTOjitUxwEsozUARtLWD/8sFkAtq9wBBl4yJUtBjN
YDa3vorhqqCoBXTJ5Vw2Vga4GctgbUhIjzNl7FeqHUDKEa3mD24wFeggh0AN28VodQT/Yg/KDtSY
JRaOE604GTI9/qVLGrjmsEgiuauAYiwEVYluOlMTpsPVqMsIAMvXVW2HA3840KGcRrj8fZha61zQ
fvK0edTPozrg/16ao6YvQjmhDpzzCEKFUnDzy0wvVGmH+lavnYyYrRnxPitqrNTlIwfMQCyssO+P
MqHkxoIQi9RaoHiAZUkyrC0vUjyIaTTcQT2XahibOEPGdG2vo4+BOhnoKSAmcdnpoixitX0wANQH
j41Te9ZH9K9reiSjfZUMnxeGS0I1LkMVMxaXZoE/OMwvvXCZOd2M/1zo9yjWI01awI3SZAfKIvHe
it3GB5bV2AbsgtgjJrVYy2Uw3xSzxMfT7n39BtVLwC721ZxD41TVHqmptuFgq6zr/Ao1reO9ZfXD
d9kkJqT5LCYImXjinFoa39h2ZUa1aLapYoeC2jy7t6h4tnu8t6k+U6WneJGqxkvbIvDYS6HUFKxk
2PVBLxTavtJIDKYLZLbJsoYC/fbnqep/StafSlb8Tf7rkvXpK/+au6/0J5MVVfAz/1G02n9YsmHc
PUxwt8SulKPpP4pWU/tDEya+JjaHYM6lfylaFf0PSgB+D2UQ4xqayv+tWWVkaJbBz9goJC1DxXXk
v1Ozqj8fWXXd0CmnDZxcVF02FarqnwsPGdOCTCom33s6IUF2Pt8i5xw5p8A5hs7x/LV63H6/fG5v
f3lJ/6J6FXcn3/8svP75qr+c/WfWPT0jWMB7q5ynS+E8IJ5xXvjLx9cewOb+96/V4vX5/bh7Ou7f
H79vj7vPy+D87j5+cxu/1H8whEZpTnh4gv8U+aMOf2NlbP8sOfvn52Rg/LXAVEfRqvr9OQvn5emS
OYXz9vTytPv4AklzXvjvW+bMzsPH6bo5vT1sAmdzdc6b63WzP16ve/e42K+um9X1ur3/02K7Xeze
bse9u71t3dfb0b3ddqeLu/3e3Y7bi7fbff/m/vV7YfQ33+lXaZ5lgEdKHfd/eDu8XLbrw9vpbffy
slo97A4vgbPYX/eL1Xa/uF5P19PydL/F7eV22d0Wx+1varg/i6e/uxfl53dZwKgqGxoAvMuP+7Dh
XX58PHydA+cBHILXeP16iHiXdNP4x+L+5+rr4YvX+zDeR/Mz/+Zz6ZxfQ+f7/fX4/fn6fgmd7fuF
0fV6/mZ0XW7fT9+fnEP5z9Pl+6liQrxc9vvX98/d9y10Lp+/eb/azwrBfxofd0jrr+MDAxWALoQk
nrc8eOuDd//fpeMsNsvlynVcZ+HyF2ftrb2/n4B/Otv/3cvUfr5wieY6pdPrezwhw/Dy+b37OGU8
78f1K3CuR95V7uxft0/v5/fjb77kfVb93bV/QRfaQdBEmHhoyVhXxnMkvwXJOaKXBKnYKeSnv3/U
P03Xf70c8J5hIp5VNEv75R0TTtilHCF8by6rQzTsu0ZbZ9bg9OK7MrMFcuu3eXyPJG2R91fRPwtB
4JfYSvP7lDwOdEK6h0CLjn9/V/9y3f13OBIcTcaY4+cPgD10LpuQaRnNDx+YMDrXyPn4OL/vz++v
5+PnTXaePn83nf/0e/unV/EnBvrvF/3lVcxhXUFl5aKNDKNYfzbNiVPUbpxulh04devjwrhT2t+A
W/+0xYCKUBzaAHr3Le3XrOcJ0x0AyQqLjipoPCTzM37i2RB4U9vPP/7+vf56LdOEyHlX97JHqtib
/TK26n5o66JF44iRdX9ohkl778WgXus4ys7/D5cyFEThbOx3gPnnLwg6Gcl2H1teWrXzTZ+DNnYn
IBA49nP2+PfXut/2Xz/c/bF0IGUwbiBXDgs/X8ssurwTtWl6kIj1k93o/oIgm/Q3g/JfXcVgnuCK
o3GwkP8Pd2faGzeSptu/YsynucBlgWRwBWYaqCQzU7tkSV6/EGkpzX3f+evnMKvUrUyppXZJwDTG
BXTDtsxgBGN5413Oc7ApdBV1GHhLTSIxLZqOvWmuM4r63Jf78mQWzp0xLEwfPPVUJoiDzhR6SI3v
CLhBrQdjFeDj/tJPiS+cDCLISZhWKvdcr4ncMrYoaDUs+y7KiAEtXn6PZ3tr43ClXJqMc+Ogt2Yb
lFqck35AgZ6BO4lcpL6eGucXW7HwOYLCw4EnG3jqDyydWg9QufJa4bZ1Fa5ja1IX5OsG619tRaNw
AB4ePklK3A8dnD7paH1gmNTmlKBAKjvDpxbYv6YHT+gF37RCaBOil2La4lBswoCEEulzwhe1u/ZJ
UCq2g5+ey7rPheflDqnzVrQ34w/aOlhdNpTcFD/f4I5VBKU7phLIdMq6OWpb7zgy62UipV9y0GRl
ZzowoY+YZ0upNFbK0B4p5EmTz7zUh2kjDM3FFU1GYQc8RCifhuhXN4L5VYVMjT/WNPVsB68qK54g
YZ5XFVmUrxpLfBUWWYdhRBHKy6PyZMrOLWl8ajEHubg97G8DXMbTRORicD2RErrUNflM0oX5ypQ9
NFrnz8xk5UJAXwgtzW/xKCqSe2RmDyWOltDqTBJ4wn6V9J16YYwUehfIGh2/3Ksn35pAEnccmVgW
dxAd+tN+g2EjAaFQqtFVzqor/bL9nJ1XX+17jVzpRfMFDaDP49V0EWymn+GVfeItQai8YpLsolaP
p9vhKxz0uR+QRU16XiH/LG7ka/NSu8h/Gmv/RHzsSXy4skgW/iRfRaQMHNdH4lLcaq9svoejfvgG
B7tiFwgKPUgad/0yQrEWVTFfW6l6f5JTQ/HygB9OI6pPhQDtYSu2heVxCGCVIr2Qm7rpXTS3pYVi
TdUNjnT56yutPNMMedYsUsFMZac/GFO/EJ5C1ezoakF6TIZG746d8tUiew63MfX0FQlLMWUDn4TS
rwdiBK39yUyp6SsQiJesaWFSZWmXX6d+1eqgnILTpOqPUq12U+lcxVGpyCQEUEspoo1N7eWI3FD/
TVG+DfAkveJYGcf1JN+rfEBZ+mKKZAEGfGmSCRWH93lT4FhNVjrpla/sXc/0mxCwoRF0QlXO2nFN
H6+fSLOTyaO7aT7ZP4bY177nabJ8ZXQP9ke+ITaVJnC0maoJ82N/zUSKATSF5BJXG1MZNZvuI7Uq
wyuC48/0hEY4ryGSGLO3Yb8RKgKqWtLq3iXNfVzYMWGApLGiv9AVxkuZfRoK3pIDUxhBPt0z1ain
TK0WZzrxViJVrfXKLnN41ZoHTMHBIePvEOSuzOvv0Veh3NBQgrLr3SGOZ12NhHQZomLnA1iIdQ4g
w4nHQX1FsPTwqrNrFF8+48c4srntN+r5aZ5QGN67XW3lJ2ZVbUp4naEzJRKFEnVJtpoC6sJNvFb5
9VloKSZWN4kR2MS7TfdRf3WRSlkaZ4yqLii1rSTPJRVJfWXjfG6GsJeQ90An54vMfgcF0HZ5qqQO
IIlvriI9aU8UTt3XANaHm+M8jtrsDjNBC2vWYbqDlCBQmNdp70aaKohxEK8sESS66vrROom9WR0v
HtJVjWQOPyKUZd3n9Tf0RI+0DiUwQs3mIkrS26I3l4TtXhHF2plXj0+P+fVAQ2GfY6HDLD6YW77a
ks/EaekqRJpJG2yq7Ic+KMVlFZIgsfBi79pAielo4n7KxVrx64/1QNa1IxuJSihpUrO7l7eHeWId
vBFwZp3UNaxb3urAJiHJ1qAqpW1dcr8oMxgFhRZkS66Stn9t+T7XFJhFbtfE13FxHmwSgWL3c0pa
6yJ2X1OzCeHwY6ShFYIqh1d3r2wW84vvd4x9yITgZDMfsNsPNgu9sPyC2FnrdqFFGQmayIsGOiJZ
ZcSvqPMKzyYhH1HkeU1YY3jFMnrSVUWWrRnkZPB/87Lan+1QNSoLoAfcZ6LUPthKBNYdEqoTZCWR
B1Ne6euTWT+nKsiUysHEUmj04ACVQROJhHiaO0blZSI1XwtBGM8zx+/EjOVX9osnWxUkcGLt5E7x
vxDGDmxLCVQe5d1m7HqR2Szlkdq5rJ3aY6Opu+ua4myOsz5Zg7C2Vi/P1Sc7867l2f5heFlJBy0n
EgX1VW3HrjES4VSl4qxqC9+B6f0dMMtRlmf+K9/xya5Fixjs0MptdkjoZvvfMRT1gF/dYFssK5nA
5Ry8nvLEfblfB5/PmO/rc5oUS1Dw32GmVEqgCIH6iaCVEuniLLXCpL42UmMQsxAYXIw8GOLilRPn
YIrSqDlfRsTcJiH5Q9su0wuf5MgKHY+iqO9CygfXxPkIrgOYEpuXO3gwjHNbOrl1uCM42TTO7/1h
7LiEePCxU7dpQuWjFxXejCMufu1j7VoBVKYJ1cDgwQGy34o3EXguAIy4AjbYelKCaFMB2PzVcWM+
2LKNdUHqDnvmwdIOh9I38olxI9eTYrNU1NkXCveKZNVWZf2KrX943cDpQcohMMA5kU6mSwcTcCQD
Nyk7IB6haQnr2Cw0PCGZLyhJsCo90T7KpLeTuJGV42RcFn2VfUPIW+rAurRjtESkhwoWNaQA63uK
Hs0ParuzaGtlUnWOtEnWLwMK15He0kIVaZWBAvb6FD3TGnmJKLY//uI0oDMWsSO+EZEk5dDIKSmk
IO+JzogpsoHdQhwjpuu9Ymk8WU2CrYk7LwIDJgv3iZU42mU3ShUahza5BYtUawZoBFxgLKeRS+m7
wumj/5r9y2dSFJ1TBgqisNkzDiZFI1ldM+lZ6uKSK5d9hEoVmd35KxNcEczgR2farhlDoWugHbnd
H8qGxtQreN1cy18OVN1SmepfgF0H9NGV04nSW8VNiVogAenQX9XtECwbqx4WCnCOtVnW/hHgKuXL
r37T2VbG6NcMlS3ZOrDrUqvRwjSiuNeGrnQURnq/iqRKvNLzJxsI44v7DttRzIeqOg/MIxuV8uAw
TUtaiSo9vEHsJ7jqIwo/f70vbB+zM0Mj53COzj5uRaqpDhaVhgRtqFKF0krtmkrY7C/MFSwCVVWw
A1Ws1f1W4iDXpaSwE6zsDr7L0KsueSvjX+kLPcHRREPkMu63MkFzLLEiE9a0kvzMhdwvwX0E8SvN
HBzJuxkJKFPjy+D/4Xq53wznJvJ/czNJnUsfkZalIi6cyN5ogmaNXy4+NkMKZV7+Tk+OLmYDxxbu
Asw7unYwglPY+DlQjsS1LCRDlXiQj7SYcmLSq9Lbl5t6OvHYQLAhsXfmLNRDF1dM+oWu2kPg4k3l
YqRk4LCiKYkL9+V2nnaJuQCFTcG41nQOlv1xhMCkkZCGIzajlONr0XMJQJqxDlVjaeuNKrYvN/f0
s6m476GFC5yR1HcfjGCiVEbNcU1zORU9FbuEvhr7kRqRApLaGm1QKGx82vWvNjuvY/LRiYXg7Jbn
rfvRMo7AmZBymFBzKgNJXBoKIOU1SrmUwLXVqC8U9qzI9dO0esXzenAZYJrOU4bZCBcQT9MufP2o
4aFSumaQA4mdsvdOg9xMj2PTh7s0jKPjZ2NJoWEsXZCSFbnoNvSv9PvpkYSHR6bCycZFInOY7/eb
rI5qoOYXfVjyZDvYY1OQrtJUiYAgpgKHcKFanfLKlHo6dWkUAJLBycRN+FCJ2erkPNUMz3MgJkpL
qY3Jpoyi4ZVWnk5cWmF8VYVCTZUptd81O2oi0u5VD4JFN/Vn8N3xzzUBqSIufBTqYF+eQU+aw+pS
ZRNzlbYI3x1sa347aHpL8SXQnUkGdhJ9ToSsHaklfM+XW3oyfMwT0L8mDkkCaop88M2kum2rCl0J
6EVBsLIm4jGeEvevDN+ThTi3MvOZMRsIph1653w/L4H3o1vS9WV2rVJZ+L3EmPimUIA4Y8zGWRpF
M25f7tuTUaRVTrjd1ZQVcTiKRCRtcn5Vy4m9ITvJSEle1J0SU1Rf+auXm5o3rj2ThcFjoTP/uLWR
vz8P86OVZ4DW1SbyE51ANSuAAerQfTTaRArHRRQL2T/nRktVWRM1PpAg0QEb/VWDnUvH7A3CscyT
TPVgyiS1VhGrSnQHKQhKoQvEn6ktT5vPeWlpv3rRmdui7BEfB/+ph0lSI3W1aW5BBQuitjhpYyk/
V7XwtfviM5/PZD3j11UwJDiY9sc0GrsslfAjUuIpx+VS0iQ0Hny8ujJJpZT3vrISnjY3r3CSvlTO
JSIvB56UQauIWXM6Uo5qdKdRrFLnnA3KpZmiJfnybHm2qdlZQ/Qf9515sJv4sciCBDSrkwJ/RW1c
L7VvYylBOigRjnnFjHi6wunXo8YOpqYSFjGl2KPm+H3Xrwo16xcAYNJX9v7nuoTjHXuFwDzLbv77
RwuATXhUR7XTHJgbQGSipjJRHTeBLlWW3vyF8TPZkE0MFm72uzSzR41NIaq+asv4BcLTV1qTyFSy
aNKZSrr/K/16cqZRuDLHagx9Di0QBdzv1+SNsKkimlLMtv4YTMJyUZGW4SkmI1TnLH1lGT/ztfBW
yPidVOinunwwjq3dVSLMaw16UWPedqnsH9lmmrsvT8BnW6HKig0L390TB22t2EXek4yLLLBGenyU
qMdpG0W/ehGexw5vP6F4fOJc7/fHbggaaEpmwjQ3QXPGNTXwSj+Nr0yGZ76QJqC+I/REVBQ7YL8V
Hj3VWoaSOopu5j1fsFi2BjX9cVkTLyXDvHtl8OZPsL/XM71xfMr4X7h66AcNUo9SSQQTyM+QKEVx
5KlGUK3HA7nFrU5g9OVP9fToVDQSJWSNkWSvOIwohF1i6qVPa5QQ21Q4BxSeZ1Qro5ZewIUx7Muu
l/1XHDJc6+de7PXS0k0cC5wpKoYk8Pz9YW26aFIn1LhwYJfNbaGAdD9qRNickc4jgL8UOuWOmVpL
30SWJ+doyfV4+sfCWqbSFJmr2M6gGZl5E177kRjtRa1RlQClUaMQutKRFm+Fn97EhVeKhYFkD1JJ
BqT9FSZqUzgUUgU3HksBJYKmyU+tgpIRx6ewmUJEw9Bx4EmD+kkt9fpbSikb7Aq/oAyjbXJ15ZuT
RyZNo2l3Gv/4PC60yXJjYSJcn1ggHlzNL2Lin63ZdCDC8vEWvoRyXAVzhkWOzNOJHMnm1pZsaJ6p
8Jp1XHrRGewhH/+h8GzfCWo9uiSVJc0cv+yTowpxE3/ZlIgYoUqL9lHb4ipeoPmSn1E8gX5SEJYS
wO7KVCliiCL/GyKnBSVJPppfi1qOxOloyCO0X6+18IR1nUXBAJo/X+IAdDVj5LW3XHbjb23XIIyb
cjzGCx+04XWbF9EIoIrjfoGRF37VVaumUkhFp3ylTEN97ysS2kF6X8e3tpWI8TjLGgug8pR9JKMJ
dHZK4cRtJ/KQev+kCU/bwjBzlMjNrlqUVFgdJf4Ey1NVYPVQmtFAupWLUrrS6yn66itYcE4T5FZL
TQnl8Y4ZzWKB0qywSpGahIZebaTl2oQ8WZAQJvpZr9GnqFSbiv4IrnM1LKxAEz1qRUH4bVSM4BvI
KzB9VT2o+rEEZqFzW7IttjW5X2fY+QzaWMNPlvVyqOA4Tv4ZgDD0oUVkWptI1hJ1Efu+mTrNXDjs
IKRB2VCjJc0Ps+iRF0jDWPvSVWO16cdaP4e/Y3wviaObpznQsX7RdmYJd6rt0Um3jU5ZUI5YX/se
bEVH1bwSmTvKZYflhEy6sqCIBwFec+xSa9nVhTjWwymQXKQL58i9LCoYdTGNOSK2xHFNZcmPWB2S
KxsS/n0bJPYXimqjwUF0eDz1iyr9rhRa/YW4nfQpLBXtzs9IQAM2nluRY2BHl0vT7OTjINQwxIyw
08YlWu0awX3RisHJgk6+bGxE25xaF8otWJJOp17Kbq6ACRemg4EHZQRkR811ODCSU8EE+hlQr+m5
gy/VMtKGHuwGIxb+TccOf9uN9vgVMHkLfrhuAV9S6tIXi0Szmt4JTATNkajS0xU3Yz9a5cRiURHr
ApBnuJr71ThJ9dpWR2nONY3RLhU92r5Or2nT5zTpylOfm3K4RHlBux/NDqKqCR09PjLsroTuOOie
U2G7IXoPAxwsql9RshLYU3si4yr7gqds0ldZJ6RzRMiBnoJua47JlMhOZS8soBFTvPUxtKxEW9Ve
4x/HUxlFLoFHC5IvBXfxSiKXqDvuVSyK1VRPyXltdvo2Mazh2iizyQC30FUUHTMEVLCmTSW7UHiT
W6m0gs8S1e6Xal9TuOqPaeeTtJI2htMkofV9UobyIo1Yj0h7pL69JEKa66u0UtKTTgyD6RS1NNrL
EOEzyxXmDgpveJRchTnVb66Co4RkR+wQxk7v9B/d5PfVIoim4TOHkGGu23oE4jUoUjasFEnVKaVV
0yFbDVYcXcGEsGS3b3X9tlWAqLqFGAMEuJqqvainFBWpDoXA2ClU09ccNMdrOEosesXpi4kIbZ+W
iowMVQNoHp7nfdjoFrCMJGi+tXVdX02i8D/m4Pq+qzgZfsLeLdk1hqTFu6ikicvEiZGzSVCicELN
y7ZhWAKeqfIpCS5LmWxY4k3jeBOlaDaQ9hz5d3BQ0p/gkS3k0TDKuyNlnMt6h8Cw6XfTfVabtj7x
dcouF1A4o1utrI0NBnwZroBx9xfkGig/vSHNLiXIhMPSGsd805cs6kUb1+KHDThmOGq5UReLGP3S
7+Dj0RpE9HSm++BScENR5ulJE4btnUCRHdmtSRp+kBk1yCub8T7XQfd5DF3KrDXIpl4ZKYkBS2+o
eKbiS3ChLcnu47Waht3HIPKkj0Rlpc0oT/3FfN/+3ucgjBdNKpTPGVWFLYHUsCWSYaAOCMNrwPcb
6ANREKrtiDUmQDNPRJa2dxhTzW0/tEw2w8q6GxlpkTuUGDkRhh5q+MJOlHLjG93I1hh5nCQ6NF+O
5gxoCeCyIEOEDcyKw/3Y+1z+IZZHRdosndc0cfpRyCD2oa7WInOLISkiJ0YJ7qrS6ua+Q/zweBiQ
5Auq2EucNuPDMd9m1b4CKtstB5vxA9Iuqn5VrQyf/U5E34qd6p/gJMoccxYDlIbK+G7vFAL9uKCw
UOyUA3Uhdd+VGD0+B5U5pAU7DTIL+Q7JWbzTHgzMntLnMe8rRmenT9imcfwp3qkW2o2EgiESt6gZ
yiU7H0WTULbgHaF3WHi86QK6LjqIegJ/mded9RH7YIYhygMKqe6IMauuJsOHC2hRjNkt0AAApmuH
nRqsNKOgdI/9Xf/sWZM+HhmUXd6oEqmDS18KcpRpyOebSOWflR293vPFQsyCj5Q804vKCvJZciE1
awrTZpFIABXWl3onHdn4gV25bdbRAW0nLzmGHVKT2k52Mivt9tMwa1HWxIUrV/ItRTAstT04doRy
ZdJn6peSar5TrRuj73jdqkupRutymFUvpUChwhifC2KYZLx7yppzPzovM8lrHao+Y2lRzUqa3k5U
U1VbCkY9MDTIDoYGKO2pKIBgE6GV3a6SCiTtARlFCAaj2Nk2ifqjaJQcUcG4imoGfrDYdND5lMkq
hsDTJN64NuKuZx5CpSGBcicRSlaY4lluiMGHUA2Bgia8U+1YMwHElbG0irs8z7/Z3L9CV+J8yV1Q
xvoNNHbfphjVR3tzpBAWamXI2K+brPO3vSWDEI4mJG9XUpumXzE7qWjigpBM67qJWTHKRNgOkaQ8
9I4GWP0sO+DDNaz3NoBiLrSC4nvVqu6iTpfbFTHGZHI4lqjGDdII+YkwTKXopMO7rLnQJW0K6g22
URPHBJiTE5ykNZ1OIjk6bUFWQSqi6j8KWieEiGdfWygaAMbvm8z8OpSpf2vGQ9U7uIar2AcfWxn+
MfEbafpsSVVpXDbEE6fjIiun5MTMErJO47DFunBC21KTUykxcooxW7D/a1DJY/wxEAEwxwhiousL
tBZPOmxt9URP9bi51wKMTBSKKgnsQYpXMKGQM21HJ4NpNa771grJNyQAaHtLSQ5l3w26okMIIqZK
5Rsyn4U3HBFEKgtkSoQ32ick+6T1WaWMGH5sJ1p7k2DftKdDB8X4owBNSEVtSGpPteTZIlqNud/b
n2DcktrW651lH/VsEdq1wOTxnJ74Y3STI3KYfrJ6NUZpUDHl2P9ittZAUa4ZWvLXKAPpILNOYHZy
eOpcGfhJ3TqutRISaJYGyKwgxkWiT4weBIxPzlEFCmSMyglGWgoBlcNAX4Umx+W6Stmnb5WSD3fW
TqCNT8ywrjqUNBoIa2MZmt0nRYmn6UoL8AAWx34yFKT/9eTkh/B8MzPotpbnwXGEZN9nq1JIKQD6
vgmkzyYaXcllSSoz4EaEI/XJRaDXk5GLHGdEbwt383tTEP9OsYm4tsD9gvgSAFP2K3RfAWwv/Zbk
g1vLF8jiACkT0jqoEKs6Rzyj0Eq0NDuJ3QDFm691q6C+2+mBEq+EN1VYeoY+X8jqZkadFoNPw3y+
8LhA4gpzyja9UkG8O2rqi0LOOjZXCjwA0nUAmKfTxsOH8NNGTDpZCijf6sZA5dM6z4206a4LK9HF
uqlCcIiDX5fdZ2opzPn479Nk/DIqTZfBtzRbr7qE30c4YlFKUU5ddhJUXPnsMG/u5diKMdUaQv14
JPQAUhl5gk6Wi+Q478JuOlYjSUf8s1PqdETWocySVRgEcXRm10EIcLKPzO5KkYe8WjSG1n4zO0oZ
LkVFUGAhqkpu7ynk0LOlpXfdlyFS2aIts9dKV7OqFNR9MtnXBMCUbCkAfOdOMJJ+vCxlSMPrtgwU
OL1aY3KjsDW9klfTUA1mA0URIMkyqryywKQDQm7+BH2meBdDLWHedeMkPnlDF/Zow2LfrFog3/DR
1dQUbqMC3T7F4U6JhZwKiMM2+oIDSZBRp942fMRsBacgVVwPbRT5h2InmnFkAiEXlFA3jYkqTznk
ycextpRqAfq7Sc/jyPLCc4CHZA+NEKXBs0n9VNwQpwBW20pCB7/YFVHzqdfyLELpDZAeYJMA5MXa
JkktPPbbeKYOiF5Iq6avip+ePtRfFXOa8oUnVa15bIy6nyIVrsIx7vzev7btABkoHxRz5ZSy6BNo
H2WcO8i3UcXW4vM+IdwsGgesKdcoPGmSclVnBKWo+R64sxYW6I+FnEGZd1sD64g/oYvHSZOzWpPR
h64X2JGBkYFWMGyTfBi7H8MYZ/YV9Ija+xFOShagNJMI6xT+iBV/GWKcGpCh5TE7CwQSGhcdLz5d
SJra9+cpVANun3ZSgTXGpoXtoAXkiB4V8sD8r/tCM2Bz6CaY0gGKiYltN/npZyCiUvF9isphGw69
DtY382jn2kIO13PSEK/4MlVQLzOtCplgHJS6NX5qIa6VP0cY5bF/FKJgrFwZcpJ+VkComMuhlb0r
rci4q4dt5i3bIqJugwGLfvosKXuJ7K8lVgGYiWqBWlYbunTdOk2QnW5OAQBzfU+ErZ0g1UD5fTzo
7ZmhV6AEmjqzsmWpQ71AmCVTfzY9knsuDgZOhjouyju98y0uYrU5XEUmmXSsngQOZG7EHurbNeTT
Fc8jy06VfP0rV9x8Wk/tkHxShBpMyxTGRerAsqmh++iNdjZGfi6WeZer9bqe651A9sRJu4Y9k6gk
xKB3uKy62Pw5VdEaaGNerFuj6M7ydiYAFjbyUJzNab+YlN6rl0DwS2kxxFF8amZhFcK6tON+GapF
uVTKTv4h6jBDXyua13kll1BOrMi0wxXR19ENKdm65YvgRcBs8K4bEO0ZtNFerZyoHLs7o1eM+8H0
s8SRumG6Lpp0xMcmK+W5WYE0dFAD0r80VQTY3tRJ/iuHVJmcJlTDDQiXvF6VYTdYa+6UWXFRSXIB
GSWUB9lHrD0c702zJrsW68SDtS4ZerzRp1Q/U22vnxx7gAe41OWou8FDUipLDdzDTQJJH7EzdQoH
p1eK9jP8FEAZWU8qsduTQPetsmzEhI0eNSIHVZAamKso5J/lkI3aclCIWThjLzcTwrsKblepioot
Hy4BWTFKeedQauZ/Bykv4RjQKnSUKLqPviphCnwHbimHp28X2fe8VmKxKjpp9KAyddK3PpsiKYAG
FCvI3+itqixH4WOFRFwSW6euMwVsztApDPFQa3iws7z4YYooTwHiesHSbod0W6thzR02b79C+GpN
B0YIMOhRSBjmAVeGT9Tx9fHCgt6kuTWcSNARgxHeymGFMEzTaJbuqGP3M8hw8DhjAVJzbSMsel+J
mRadMHcuhTeQwWhgGeO9tJo4BgmZtaejpiv3kh61w6K3zfZW6UksG+JRYF+UuPuOklZGWUVv00I5
UZM+gJAM7+s+a2ITIbm8Cr9mDT4k7jsY/a4UyVOGFa+NOZRTu/vmWbFSxtwUsDc0eDQxMp2LNlHN
00lUolgMng+31ReQSOB3Rg0X4NTOvw2qUoGpgBlM8CRMUA+XRINkRpymxgRxW2KzVQasWtjavqWy
z/Y6zsxq7CuHAqgQ8W94N/cDtBSUKTzNntXdI6lY2LolrjCGsGYRxx4miE1yvS3DgZa1PPVTJ7Q4
t0mKq8jIaBrFj4/RBZQshDvCyFgC8Ql/SqBd4OZbkf51iO2wdr20LVnscdtLbpsrOIjLsquCC+T1
UHb12NL689BKwAk1qYVgfVwVKnZXXBRn2IqoRwawYlHFlOvpiyZKIrHmWLWdg9YFiwRt0BK4CyVk
M914MLd+6/VAwNlT1SMEBmIBN7SitC3083ozTvWAr7GbsV+N1kAVRO+8hoRCcA2pABl1dSfA04JH
RteSm0JOxvRCkgIrXqqBHX5nMiajY3HkKq7BpWgtgiJqj7vSQMTDwtGPViinu05+KlrUrpkXqb/u
7byYlp5nedWqrTWg+gQVM931m6GoF5EoM/Sxcc2xFWU2Lot2qPIACxYAq12lqoyOSAOkiVJ3lNFb
QmnZUoKM1Lim3RjQeGMtqI4kL9PsYwAr+rYNYdYukYYayD6zfP+6b9QBHbUUnnRbFi6PJ6cR7mpN
mahdQZvSWn1UXblT0mpZqHY3ImuUV6B8Sq3zXCueDHnZ6WP4M+1KC03XYRLBcUI5H+IY3Fa64QY6
CvLqHWl+uI1q9GM9ixuMQ8qjvLVSL+Gej7l4WqTyUK/FhHYSSu1Yjm4j1O66aU3xieUBJboiSgwS
PFega0lJe0FZK34MKY07AlwSsi56VPgu7DGWD16vT5GaqypzwZK/eVRHhUs7h+gCA4+UK6BrUZKs
Q2XgXw9RhpSIPkV4wpXchOFVBaEsuVbi4drFWyLdVFEa+hzuuXyneKGBWCSemeB46ptkWIdEP6yF
2mXF5ZDhBUA4C4cIN4Z2BHegdvZpBCd7Ok17DHKHy6+cHRWNnvoIheXsVb5VW5+swpY4/rCnQnci
G7HxrwlsBOlVxW3jIoQJF7gm1DsUgMb8rpBMzXfSpkx+2mU53epEqabFLIWp4FsLE2BNnUJO2aDN
pfY6EnBdS2Fz3FbZkelZesiBxiDjUxrry6FtJ8Db2YiBBE8zPq3gRNnL1DIwe/XBPGHnnL6WOpVz
aIEWlEpj4/XdGpeqdNQMAjRXjoQFjisJNtgfuX+/RMK5LLbZDTKx2+Z8U/zX/E/v8gJNYD9o/vZf
e7+77LYViU/bD/xg/WHVZvebJsyzw3+z94j6b7u/9re5u2k2e79Zsgk348d2W43XBAMSmvvzxecf
ffK3PIm3+fNBVzmJO7f5X/uhlx/0J0Tndiy2//0fdxSoN/P7+XR0T32dMNweXmf3RrvOvPSAhBFr
2nuevGO4Emq1AexQQMYvAncJJQEPf2/AeDXmRBFKzXe/SD6gxUdD9M8G4eX+PYz1S4P5Uhe2u892
fP/f/zETKd42Bor8G2la/JpzRh53Xhe/keHILwKqu19/NPVv1Pk5Dvumzmu/zd9dIdVqv+um+pst
W/gE5xjy/Is4+r/Xd5+ptm/quqTw2W0TZAOZBo8/u2n/JqhHs6E6/dH3Pwb53+izI1v/1s4bv2Ea
k+djUXW2+3U4CPpvMnWxOgSd3b4w56j9qxPgXxipv++jThAm97sdNNzWj7bhV3/gYX95+oA/9415
c1C5MCt/J3ztfnTeUv94+B97yPz7v+3tsLvd7dFfzjv+o9/u/Wz95If/7Pzjth7/0V5Xn+3Dwx8e
hdtqU93hQ97tdX/26mKTsm87m2xzv3l8FMw1iv94ySdnxt9XyktPXXP+Zskmu3941DyE887w1gef
b4fwLn94zvxUEh8ffvvsGfcvve/NhvP3wxXjhDnAa384D0twcvtnpDpvXW/twCcKfrb3H26aTbOt
Hx63m2BzpcJbn+7wgGqTfPg93Vbh3d5npV7H4tT5py3wMv/SUDmbKvzxY7vZNx9k/PK76pRXnv/c
BP67EfB0Ae4f7r/+9392dx5fkCwwZigI0TVB9iN5Yf8A9j1eYi8s0Scr9IWf/V9azn9++OzDzSbN
977/XKLyTz/Ov/jtF9sqbfd3iznf962PvUEKOc2zD8f1vGXsrQrxDo938ru8/vCfp9ttEmb+/3uu
mRns+NZeXORVE2yrjOtEFbKrPtfOXBnx1nacPI+fffY79GEVRuHDG86LxnyPZ27vOX7+sel9yH+y
vd6Ro7qtw70pOle3vXV0VtU2uws+XJFS+PT57zD6fz7/ZlaumD/2fFj8njUcr8SIP5wdzt+5NP2t
XVq3m/ThKfNHmW9Wb33m0XZT3f85i/448O7cPNskD3+2twiJUL29xVPc5D+4Lj48ae4JRS0Pv/3r
Z7cTVCExpk39Z3cenvhHA+/w5hfb/oOzSbb3ebY/X4n+PjT211//Imy3D0/ZvbKpPPz2rz/08yZr
N0378KA/nvsO9sXFpq32n/oea3Ye4O/bzaG9qFjvMDuuwuZuE7JQnzlcQCI9jNBfH+qrTdFuPsxd
WKNBt93b0IBjvEcDyWZ/zOei+LduABxSdbBJkmfHZSYIvLWBP0zqo22yzTb//8Pv9d02q3E67Tab
23nFbrIP95sPBC2CvTFTZ3WYtzZ+m8fAoPdGjSKK93hu5u+/rXiPt227TXLwsu8wM7/wecN6N+BE
+Nts/8Xn4qm3DvMTI5N6yLc/1UnCosA1+3eL8OGR8zams+makBoEzgRgVQgwvcNpuHcpwzjJ8urD
JdljI/bicwuERmkZRgrV8hRiUCv9arf/9y4+KnW5/wcdF7//9INNtttHHs+Pdzgyfp+21Y9NGO1f
cd9hz/19VuLYNyHeYfIuNpmfbO63dfB4HOZK4bcu7/Nxk6Wb6uFB8/KDcv/mxy6Cls3/4TnzU8U7
HJMLMma2e9blTPl+6xA4m/RHfr//zbR3OEhuqnC+LMR7e7L2DvcTXBn7G/1cEfnWUTgijvPhdP6f
m9+vHx63MypnOMRbn36cYVkf3gWV9zADePL+p1Nm5stb3/dkU+xPXzgAb3/q6VgRdp3Noodn7Qb4
PayWnWeC71cdWKfvYbvsLsLPPfsdJsbpZtqQCPhkSN5hXZ9t8np/nN/B03G+udvkT5bIHFl765Q7
Z+3lycFcnrEib34wV/6w2/dEw7N5lwdvxgP/DkCJtz/4YltskofH7JbIeziprjbV5m77/G1oBse+
dZz/h7urWW4jN8KvMrdNDiovSf1etkqkKFoWaWs1lFLJDSRnSaxIDnd+pFCpVOWyD5FzTj7klmNu
epM8Sb6eIaRpcMyhiM7K8c2ybADTaKAb3V9/faXQb89W5BMBQ3KFrBfcZbw8mT6DDsV90T7cX7XA
tWGGInGjKtf8uPujuT9R2n7uoyWiwMDqZ70uaRRNSAytH/jlDMpfgWHT6I7cQls7QDDgPvjN4yAo
EQcRlrtq9K0OkjkPTKII0n3cTzE6Q9x7F0DmpAvvndcG1jpM0rLgHlHViE14iQdyPNERpjR/1GWT
HoFP2n1Sf4GQ+HRZ9rhsgEhFQI49PRpNA6+t4sQsl44vyB02jo5bZKs04Gqb/IlGG06Ect55z3/M
I23FSYEPQD/WyjdyDuHZlFfuIUi4VNgg4EP/87e/x3f0UydaIoWNFbxXg3CmzK6x+xDJT1DbC4Q8
+noWRnvdIE7YrUitc8GfYT5695vRD/AouDPqHr870ypc4r2kvR8JoMZS3+hXBuoTgUnPwrtRCAH2
1R2ekXqmzHeQxgDYAso0gc27VClyAHfFsUGsC/pXmSjp3lTvDSda7cVxWjKHwN77eGmXjCxwB3XV
IkE0tmTwSiPwdoGl/CoxIJMWwW9I718JiSmuf/Xfi3/VJsiKAfSwucxvzF9uujeaahIB4sHkK7Bt
wPlHKbtnJM5JB88eAERQrM3WS5hCV6N9EXEPBnSBAoPGkQq47tYEhIu1/mIWl/n5xN7rKoAPYTSy
RFAXEMFl+qA0s7NoO+6+2m4wUKDVNgNlUpAwo59mlgyIIslVtD8C5RyZYbKlSiSqfZWOtHcaqQF/
/dYlctI+cOHM1tUlIjmrbAKt2WvPNGEf2B2BhqJGTLv7CX+AB+Ih9MvMKZjx3Ef+Y4DniBmG9jHj
eHbVjo+hB6X7LvbsZx8IDM1ku0ujE2JYz08HI7yjgHxjRxFNlCSu5X46H5T56/BgQElNDRBcZXQ6
SL1eGjONXI0uIKO/XLf99vVt++yvHikPgVfW9P8Izab2gY2r1dGMFojejKR582eVGevfBtGHDtMA
YBjzv8n/gA8xx1dU4PfCIVCNFf/ma4Dsnv5kYztB+G5r3+qTt3zNPSOYuO7h3eY4rhUBzHKR1jl5
3UrbaRQu2NML6KT9tcP3ukHzAHkZaDZDfTst+DTFjaSs2C2BcR1FmwfeS9bcqDWImJKf2tfJ4xOd
BG4Zy+CzTnNcwV0Y24iqQ3pq7gNrv492kiAB/J7an/AvSV8KmGBVt4pVQGeUpYiHx+DvRPPVOtii
QV2N1qGbLOe2EzUVKOqGJeBu8KyhMoaIIvF9aL56stFQbztdL4jDBaIvM75VuMRRM3kMelwwbIL0
GD3PBYTYU+NJFAzMSOQYHDUa6L4DNDX10zwBge3GoPO2X/UMMAeoijCW5DDg/+ZaQNOC6xX4D0gR
rNhHoBU8OWiYX5d4EPm0b2el6G7exkYV9Pr/wQZNx6gwYNZCwKk9pSwXG3TtkiyIacvT3wyTGIF7
Niy19sgVqkRjth0XQXvuJ1fGaqoDnE1EvZG0NqsjdZfIA7QmalQcc91gvl6u18EiHUxx3QHPjXPq
gVdhzMKT1D/UVchnwSwc4gWFaarnE9BA4D2CKORPbmpU4vodLRQ4oDOeGYj29UAg+/dc75O5hPNn
GbF5Nlm2LXW9pRaBdxtEI+Z5bTTOW4589rMeAEvPNP5wzZt9vXa2x8sFewVK5J7bvwBVDb4NVFit
g32rMYDVx78NvgULpSEBB28nEx0u+HUtkTfo49h3gJDiI0ugqjtI5bDLlepUXQ9hB4BBZgbWffDX
K9q6IqB7nvtaW0//SgJv9N3Ffah5Ar4mYbwug/mSiYJAos4C7uqB7RXU1p+mr5cx0m0gEWTGBeTk
Iuu1pCBRCNZDNnKs4qEVDZUwIz21DBOeeURLI3dBUF71gd3BNQl8OIa1BhU4xT0Y0qFVAywR3+uh
tgWpJp7PAVmFhHRpZPtFXZMwc73wke5fFCubZZJrgWZu5sfd/duPGi6+GSYbVcJkZKNye5H183O+
27Pim72mjmNe94HODOYjdpfF9dPndG5TplAHTNdlX+NlYhfUCrixfrAcToLp1Eo8fC+w4lXcaS0G
ic4h7uIA+iEY8zw4ekMJjEuV/crrBgAam9FIpdFWy/y4u3L4AJ3Y8T2JvKqPUmvmAyHU4b7afshf
aXWivXFVY//pH6HXD2dPn7Nyo6vo6Z/zoeZxWjQzdp8ISRhthfLqEtUDfTV/tC/oukSq9Wa8dsAl
6gcQJ7gD0N87VzFzi+oScH8wg2jLp69LgI3R7R0v+TlzCdD6yl0r/rT2BkHLZ4Fh9WygBg/8xpBI
led36Pr5pob1rkexCQhjH84cA2Qgpec+8ulgyQts0KIHvE5oB4zWNUgZ1kpyGulLtD4LCLxdHDbn
P3GNxBbXTxYDYKfiX7WRZxFAK4Go4pFrnYBP0AoBMfauLVoYkXM9Bd3I9F6NQuYvHgkYFnAfJAHM
K3urrmclbTWrjrSgpGlEaSFzLDIHV4Lg5yMEHKlxylZc20i9s2Wo7ArRCw7NrJ1UirhMOzforCDh
Tp6XdT1w2MmXG5Gza70Vxc4UoCz+gpG4XFEEBxe1qI4CznqWfOZrrQlcJc0AdMApIyWRAOc10fJJ
q8yDfB9Ej8EYHPs8YFc/MALa3V3H4pWF2pSIfYFReUzEP2aBdKE0BJZ7FlANLoN5UavBl0OxG0Pb
RQQxcH42iaBBG80crMMhQZLSegwI2m0+m2R7JCDbc71GUidBJ3CuojAog4ptTMRvaQXOAeEdMufg
WOBEd/QAIBULwClRn9YBH+48DpbFrau2WtX2uwMqMjXnw0rIAcSFXLoSUZ5WFOLhw9QXzrIRye5X
2fsUBXoREwLYd93HvUAppHU51CTCMBeJmvLV1gSk8CGILAWrSbAffACiFPF2joVFk2Z38XZVcm9p
g0RMoKuTSWq7JjWJVL8/De9RwMoVWCK939W41xMwAyUBx1JkjZxdbVw3/XMA+oY0Gps9y7x8ierH
XjgdQSZsXAlyPxR6Kzu3IXBEkIhJ+GIl4iNfwGdlbZ1d9w6QzAfF7woJ0wxeQPtik0BuX4H7MbUC
1zUJvttrxJYtfwpU0kbtdrccdKKBX2I6AXCuwMDZrRmBQsmMRWeuLvHq8BdWCRfgf2YSB0mAe2sA
MkQzUrZcEVbTBxBf8vi9xCPJf9AJCIpsNa5LmLybO6qSY84lALJGMrvL+CYnPb4En8Ao5M9GCXjA
LeHDoHct9F8wi822USQ1Hs5hoIJxxBVa4lXjg2fKOoISaB/UXwcZySrPHqHVukSpW46VB9VJCR8m
osACxuoyjNGoq7iRoHrbP5QA6zz9Suem7Gl2tN8A3+QJ2lc0jlGShG4FlX70G4bWqDDjG4ysGR5d
ZpYOqqOyb7gThvjcdTeKn0AX7f8ksXAapQMmW4G7HaVDGtHuLGrXVNHA5gc353h36wFUOPqP8RSA
BAkNrRY5C54CELi/CBWJgnPE6tnQEqWlLbWEP1h2f0k8alqWdkhAwM7CGTK+vBWBxNvDjFuOeZZg
sEIPC7s1hsRTARmtETpLpBwcIQFSeo8SdG2OW/bSlSAk+QA9tvavJlHADAJiwgLYyDUJVDwe0UlM
gJ+ESWNjzdWW0dcrhDOTkLKozEGpSxQx54zJlzpJctLej8G95jeIBN1RPks3HVqep4TnBl7nuR6p
UWYM+uEABX7FHahLBM/6QL7k8mlBL9HYoYTYuy6R0MkFdasRbUdvGHIbqcolvxXW6NYkcMNNgp/G
E+9WR2NdesmjOtvIc3dzeuNvnEEgBtBEEMsCrdclwAAtJOzBsGhEkD3xJDCpvuJeUZ36eLkGsECe
l3htFP/iccoxxWiYLjB81rEILkwyefo8DWbs4XsgEazPPqCnMAOPYgDwI1FLkx+v3Ap4v8uzWr83
cqGtbaC4szKxXnSb2yvwzW8Db8hLuF3d/q8Q3lBWry4RGUTg4KdwalrXFHf6EJEJdI86Qae82v4x
qN2ri33ebt/z8vpvcN+jMV15HG+xkSpwS5epCeJaK90lEYdqRuqRgxwlgMzEIsLinxJlRi3qb2VF
+iSoMttDvCU45k6iGd6qxREK26xyOQl46rma3n0xBlcZctsCF5CCtJ7HODayEmypxD4qeIC+Y6pR
k4BzEPEwwifMfNckukZdBXanHoFkyU2U2outS5yQW0TYH9FwkW0cGB6MlfiSt/t2ZqCMqcTVKBS/
pjoGWPzXxvUptD1li3nV71euL/lgZTQpbODVMje4MWtkFsV1V39lfuIzcifzEWYBmwgfO0GIRxRT
Jwka7+s0tqtPJGIs/ad/o5xjyW4XkOB8vdpfxmdjtmUTEVf6Ug7gqBdFLTKKIa39ZUQ63+BXlrD4
fHtfWUYa9JV9ZYVKrzJCwylaN/7wXwAAAP//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5.xml"/><Relationship Id="rId18" Type="http://schemas.openxmlformats.org/officeDocument/2006/relationships/image" Target="../media/image7.png"/><Relationship Id="rId3" Type="http://schemas.openxmlformats.org/officeDocument/2006/relationships/hyperlink" Target="#Dataset!A1"/><Relationship Id="rId21" Type="http://schemas.openxmlformats.org/officeDocument/2006/relationships/image" Target="../media/image10.png"/><Relationship Id="rId7" Type="http://schemas.openxmlformats.org/officeDocument/2006/relationships/image" Target="../media/image2.png"/><Relationship Id="rId12" Type="http://schemas.openxmlformats.org/officeDocument/2006/relationships/chart" Target="../charts/chart4.xml"/><Relationship Id="rId17" Type="http://schemas.microsoft.com/office/2014/relationships/chartEx" Target="../charts/chartEx1.xml"/><Relationship Id="rId2" Type="http://schemas.openxmlformats.org/officeDocument/2006/relationships/hyperlink" Target="#Calculations!A1"/><Relationship Id="rId16" Type="http://schemas.openxmlformats.org/officeDocument/2006/relationships/chart" Target="../charts/chart8.xml"/><Relationship Id="rId20" Type="http://schemas.openxmlformats.org/officeDocument/2006/relationships/image" Target="../media/image9.png"/><Relationship Id="rId1" Type="http://schemas.openxmlformats.org/officeDocument/2006/relationships/hyperlink" Target="#Dashboard!A1"/><Relationship Id="rId6" Type="http://schemas.openxmlformats.org/officeDocument/2006/relationships/image" Target="../media/image1.png"/><Relationship Id="rId11" Type="http://schemas.openxmlformats.org/officeDocument/2006/relationships/chart" Target="../charts/chart3.xml"/><Relationship Id="rId5" Type="http://schemas.openxmlformats.org/officeDocument/2006/relationships/chart" Target="../charts/chart2.xml"/><Relationship Id="rId15" Type="http://schemas.openxmlformats.org/officeDocument/2006/relationships/chart" Target="../charts/chart7.xml"/><Relationship Id="rId10" Type="http://schemas.openxmlformats.org/officeDocument/2006/relationships/image" Target="../media/image5.png"/><Relationship Id="rId19" Type="http://schemas.openxmlformats.org/officeDocument/2006/relationships/image" Target="../media/image8.png"/><Relationship Id="rId4" Type="http://schemas.openxmlformats.org/officeDocument/2006/relationships/chart" Target="../charts/chart1.xml"/><Relationship Id="rId9" Type="http://schemas.openxmlformats.org/officeDocument/2006/relationships/image" Target="../media/image4.pn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14797</xdr:rowOff>
    </xdr:from>
    <xdr:to>
      <xdr:col>22</xdr:col>
      <xdr:colOff>541020</xdr:colOff>
      <xdr:row>26</xdr:row>
      <xdr:rowOff>137161</xdr:rowOff>
    </xdr:to>
    <xdr:sp macro="" textlink="">
      <xdr:nvSpPr>
        <xdr:cNvPr id="2" name="Rectangle: Rounded Corners 1">
          <a:extLst>
            <a:ext uri="{FF2B5EF4-FFF2-40B4-BE49-F238E27FC236}">
              <a16:creationId xmlns:a16="http://schemas.microsoft.com/office/drawing/2014/main" id="{B52F5181-7A2A-BC5F-1DFD-172462C67D71}"/>
            </a:ext>
          </a:extLst>
        </xdr:cNvPr>
        <xdr:cNvSpPr/>
      </xdr:nvSpPr>
      <xdr:spPr>
        <a:xfrm>
          <a:off x="0" y="14797"/>
          <a:ext cx="13887117" cy="4931102"/>
        </a:xfrm>
        <a:prstGeom prst="roundRect">
          <a:avLst>
            <a:gd name="adj" fmla="val 1258"/>
          </a:avLst>
        </a:prstGeom>
        <a:solidFill>
          <a:srgbClr val="DFF4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19681</xdr:colOff>
      <xdr:row>0</xdr:row>
      <xdr:rowOff>59185</xdr:rowOff>
    </xdr:from>
    <xdr:to>
      <xdr:col>2</xdr:col>
      <xdr:colOff>473475</xdr:colOff>
      <xdr:row>26</xdr:row>
      <xdr:rowOff>61627</xdr:rowOff>
    </xdr:to>
    <xdr:sp macro="" textlink="">
      <xdr:nvSpPr>
        <xdr:cNvPr id="4" name="Rectangle: Rounded Corners 3">
          <a:extLst>
            <a:ext uri="{FF2B5EF4-FFF2-40B4-BE49-F238E27FC236}">
              <a16:creationId xmlns:a16="http://schemas.microsoft.com/office/drawing/2014/main" id="{242385DB-0D79-2164-88E1-E1A6E86FB0B3}"/>
            </a:ext>
          </a:extLst>
        </xdr:cNvPr>
        <xdr:cNvSpPr/>
      </xdr:nvSpPr>
      <xdr:spPr>
        <a:xfrm>
          <a:off x="19681" y="59185"/>
          <a:ext cx="1667076" cy="4811180"/>
        </a:xfrm>
        <a:prstGeom prst="roundRect">
          <a:avLst>
            <a:gd name="adj" fmla="val 4904"/>
          </a:avLst>
        </a:prstGeom>
        <a:solidFill>
          <a:srgbClr val="1A430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88777</xdr:colOff>
      <xdr:row>3</xdr:row>
      <xdr:rowOff>136939</xdr:rowOff>
    </xdr:from>
    <xdr:to>
      <xdr:col>6</xdr:col>
      <xdr:colOff>380334</xdr:colOff>
      <xdr:row>8</xdr:row>
      <xdr:rowOff>138492</xdr:rowOff>
    </xdr:to>
    <xdr:sp macro="" textlink="">
      <xdr:nvSpPr>
        <xdr:cNvPr id="5" name="Rectangle: Rounded Corners 4">
          <a:extLst>
            <a:ext uri="{FF2B5EF4-FFF2-40B4-BE49-F238E27FC236}">
              <a16:creationId xmlns:a16="http://schemas.microsoft.com/office/drawing/2014/main" id="{64CC58C9-8CE3-232B-196B-565861609BCC}"/>
            </a:ext>
          </a:extLst>
        </xdr:cNvPr>
        <xdr:cNvSpPr/>
      </xdr:nvSpPr>
      <xdr:spPr>
        <a:xfrm>
          <a:off x="1908699" y="691793"/>
          <a:ext cx="2111480" cy="926311"/>
        </a:xfrm>
        <a:prstGeom prst="roundRect">
          <a:avLst>
            <a:gd name="adj" fmla="val 7806"/>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59863</xdr:colOff>
      <xdr:row>3</xdr:row>
      <xdr:rowOff>138050</xdr:rowOff>
    </xdr:from>
    <xdr:to>
      <xdr:col>10</xdr:col>
      <xdr:colOff>353140</xdr:colOff>
      <xdr:row>8</xdr:row>
      <xdr:rowOff>138492</xdr:rowOff>
    </xdr:to>
    <xdr:sp macro="" textlink="">
      <xdr:nvSpPr>
        <xdr:cNvPr id="6" name="Rectangle: Rounded Corners 5">
          <a:extLst>
            <a:ext uri="{FF2B5EF4-FFF2-40B4-BE49-F238E27FC236}">
              <a16:creationId xmlns:a16="http://schemas.microsoft.com/office/drawing/2014/main" id="{DA1F339D-5E05-4F6F-A88F-59E3B556D520}"/>
            </a:ext>
          </a:extLst>
        </xdr:cNvPr>
        <xdr:cNvSpPr/>
      </xdr:nvSpPr>
      <xdr:spPr>
        <a:xfrm>
          <a:off x="4306348" y="692904"/>
          <a:ext cx="2113200" cy="925200"/>
        </a:xfrm>
        <a:prstGeom prst="roundRect">
          <a:avLst>
            <a:gd name="adj" fmla="val 7806"/>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513543</xdr:colOff>
      <xdr:row>3</xdr:row>
      <xdr:rowOff>138050</xdr:rowOff>
    </xdr:from>
    <xdr:to>
      <xdr:col>14</xdr:col>
      <xdr:colOff>200180</xdr:colOff>
      <xdr:row>8</xdr:row>
      <xdr:rowOff>138492</xdr:rowOff>
    </xdr:to>
    <xdr:sp macro="" textlink="">
      <xdr:nvSpPr>
        <xdr:cNvPr id="7" name="Rectangle: Rounded Corners 6">
          <a:extLst>
            <a:ext uri="{FF2B5EF4-FFF2-40B4-BE49-F238E27FC236}">
              <a16:creationId xmlns:a16="http://schemas.microsoft.com/office/drawing/2014/main" id="{6356184A-FB1B-4DE4-ACB6-38B63836768C}"/>
            </a:ext>
          </a:extLst>
        </xdr:cNvPr>
        <xdr:cNvSpPr/>
      </xdr:nvSpPr>
      <xdr:spPr>
        <a:xfrm>
          <a:off x="6579951" y="692904"/>
          <a:ext cx="2113200" cy="925200"/>
        </a:xfrm>
        <a:prstGeom prst="roundRect">
          <a:avLst>
            <a:gd name="adj" fmla="val 907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434562</xdr:colOff>
      <xdr:row>3</xdr:row>
      <xdr:rowOff>138050</xdr:rowOff>
    </xdr:from>
    <xdr:to>
      <xdr:col>18</xdr:col>
      <xdr:colOff>121199</xdr:colOff>
      <xdr:row>8</xdr:row>
      <xdr:rowOff>138492</xdr:rowOff>
    </xdr:to>
    <xdr:sp macro="" textlink="">
      <xdr:nvSpPr>
        <xdr:cNvPr id="8" name="Rectangle: Rounded Corners 7">
          <a:extLst>
            <a:ext uri="{FF2B5EF4-FFF2-40B4-BE49-F238E27FC236}">
              <a16:creationId xmlns:a16="http://schemas.microsoft.com/office/drawing/2014/main" id="{DC4F93BA-AD04-430E-9BC9-DC0E3DA6B39E}"/>
            </a:ext>
          </a:extLst>
        </xdr:cNvPr>
        <xdr:cNvSpPr/>
      </xdr:nvSpPr>
      <xdr:spPr>
        <a:xfrm>
          <a:off x="8927533" y="692904"/>
          <a:ext cx="2113200" cy="925200"/>
        </a:xfrm>
        <a:prstGeom prst="roundRect">
          <a:avLst>
            <a:gd name="adj" fmla="val 6540"/>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532660</xdr:colOff>
      <xdr:row>5</xdr:row>
      <xdr:rowOff>81379</xdr:rowOff>
    </xdr:from>
    <xdr:to>
      <xdr:col>22</xdr:col>
      <xdr:colOff>318118</xdr:colOff>
      <xdr:row>23</xdr:row>
      <xdr:rowOff>118368</xdr:rowOff>
    </xdr:to>
    <xdr:sp macro="" textlink="">
      <xdr:nvSpPr>
        <xdr:cNvPr id="9" name="Rectangle: Rounded Corners 8">
          <a:extLst>
            <a:ext uri="{FF2B5EF4-FFF2-40B4-BE49-F238E27FC236}">
              <a16:creationId xmlns:a16="http://schemas.microsoft.com/office/drawing/2014/main" id="{FC3889A3-5471-42A2-9FBC-0C1C77814FE1}"/>
            </a:ext>
          </a:extLst>
        </xdr:cNvPr>
        <xdr:cNvSpPr/>
      </xdr:nvSpPr>
      <xdr:spPr>
        <a:xfrm>
          <a:off x="11452194" y="1006136"/>
          <a:ext cx="2212021" cy="3366115"/>
        </a:xfrm>
        <a:prstGeom prst="roundRect">
          <a:avLst>
            <a:gd name="adj" fmla="val 7806"/>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564250</xdr:colOff>
      <xdr:row>7</xdr:row>
      <xdr:rowOff>182436</xdr:rowOff>
    </xdr:from>
    <xdr:to>
      <xdr:col>2</xdr:col>
      <xdr:colOff>445289</xdr:colOff>
      <xdr:row>9</xdr:row>
      <xdr:rowOff>151956</xdr:rowOff>
    </xdr:to>
    <xdr:sp macro="" textlink="">
      <xdr:nvSpPr>
        <xdr:cNvPr id="14" name="TextBox 13">
          <a:hlinkClick xmlns:r="http://schemas.openxmlformats.org/officeDocument/2006/relationships" r:id="rId1"/>
          <a:extLst>
            <a:ext uri="{FF2B5EF4-FFF2-40B4-BE49-F238E27FC236}">
              <a16:creationId xmlns:a16="http://schemas.microsoft.com/office/drawing/2014/main" id="{468D1303-11E4-F26D-BB97-F92A63BE5485}"/>
            </a:ext>
          </a:extLst>
        </xdr:cNvPr>
        <xdr:cNvSpPr txBox="1"/>
      </xdr:nvSpPr>
      <xdr:spPr>
        <a:xfrm>
          <a:off x="564250" y="1477096"/>
          <a:ext cx="1094321" cy="339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DASHBOARD</a:t>
          </a:r>
          <a:r>
            <a:rPr lang="en-US" sz="1100" b="1">
              <a:solidFill>
                <a:schemeClr val="bg1"/>
              </a:solidFill>
            </a:rPr>
            <a:t> </a:t>
          </a:r>
        </a:p>
      </xdr:txBody>
    </xdr:sp>
    <xdr:clientData/>
  </xdr:twoCellAnchor>
  <xdr:twoCellAnchor>
    <xdr:from>
      <xdr:col>0</xdr:col>
      <xdr:colOff>594508</xdr:colOff>
      <xdr:row>12</xdr:row>
      <xdr:rowOff>22638</xdr:rowOff>
    </xdr:from>
    <xdr:to>
      <xdr:col>2</xdr:col>
      <xdr:colOff>368867</xdr:colOff>
      <xdr:row>14</xdr:row>
      <xdr:rowOff>45498</xdr:rowOff>
    </xdr:to>
    <xdr:sp macro="" textlink="">
      <xdr:nvSpPr>
        <xdr:cNvPr id="17" name="TextBox 16">
          <a:hlinkClick xmlns:r="http://schemas.openxmlformats.org/officeDocument/2006/relationships" r:id="rId2"/>
          <a:extLst>
            <a:ext uri="{FF2B5EF4-FFF2-40B4-BE49-F238E27FC236}">
              <a16:creationId xmlns:a16="http://schemas.microsoft.com/office/drawing/2014/main" id="{73F35783-0B10-265F-CDEE-F9C316DFA732}"/>
            </a:ext>
          </a:extLst>
        </xdr:cNvPr>
        <xdr:cNvSpPr txBox="1"/>
      </xdr:nvSpPr>
      <xdr:spPr>
        <a:xfrm>
          <a:off x="594508" y="2242055"/>
          <a:ext cx="987641" cy="392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ANALYTICS</a:t>
          </a:r>
        </a:p>
        <a:p>
          <a:endParaRPr lang="en-US" sz="1100"/>
        </a:p>
      </xdr:txBody>
    </xdr:sp>
    <xdr:clientData/>
  </xdr:twoCellAnchor>
  <xdr:twoCellAnchor>
    <xdr:from>
      <xdr:col>1</xdr:col>
      <xdr:colOff>81379</xdr:colOff>
      <xdr:row>16</xdr:row>
      <xdr:rowOff>160464</xdr:rowOff>
    </xdr:from>
    <xdr:to>
      <xdr:col>2</xdr:col>
      <xdr:colOff>295922</xdr:colOff>
      <xdr:row>19</xdr:row>
      <xdr:rowOff>23304</xdr:rowOff>
    </xdr:to>
    <xdr:sp macro="" textlink="">
      <xdr:nvSpPr>
        <xdr:cNvPr id="20" name="TextBox 19">
          <a:hlinkClick xmlns:r="http://schemas.openxmlformats.org/officeDocument/2006/relationships" r:id="rId3"/>
          <a:extLst>
            <a:ext uri="{FF2B5EF4-FFF2-40B4-BE49-F238E27FC236}">
              <a16:creationId xmlns:a16="http://schemas.microsoft.com/office/drawing/2014/main" id="{08339FD3-9FF2-C8A0-7C84-366386310233}"/>
            </a:ext>
          </a:extLst>
        </xdr:cNvPr>
        <xdr:cNvSpPr txBox="1"/>
      </xdr:nvSpPr>
      <xdr:spPr>
        <a:xfrm>
          <a:off x="688020" y="3119687"/>
          <a:ext cx="821184" cy="417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95000"/>
                </a:schemeClr>
              </a:solidFill>
            </a:rPr>
            <a:t>DATASET</a:t>
          </a:r>
        </a:p>
      </xdr:txBody>
    </xdr:sp>
    <xdr:clientData/>
  </xdr:twoCellAnchor>
  <xdr:twoCellAnchor>
    <xdr:from>
      <xdr:col>1</xdr:col>
      <xdr:colOff>153731</xdr:colOff>
      <xdr:row>22</xdr:row>
      <xdr:rowOff>164754</xdr:rowOff>
    </xdr:from>
    <xdr:to>
      <xdr:col>2</xdr:col>
      <xdr:colOff>397571</xdr:colOff>
      <xdr:row>24</xdr:row>
      <xdr:rowOff>63623</xdr:rowOff>
    </xdr:to>
    <xdr:sp macro="" textlink="">
      <xdr:nvSpPr>
        <xdr:cNvPr id="22" name="TextBox 21">
          <a:extLst>
            <a:ext uri="{FF2B5EF4-FFF2-40B4-BE49-F238E27FC236}">
              <a16:creationId xmlns:a16="http://schemas.microsoft.com/office/drawing/2014/main" id="{A212EF1E-5926-C870-4039-CFB45EEAC960}"/>
            </a:ext>
          </a:extLst>
        </xdr:cNvPr>
        <xdr:cNvSpPr txBox="1"/>
      </xdr:nvSpPr>
      <xdr:spPr>
        <a:xfrm>
          <a:off x="760372" y="4233686"/>
          <a:ext cx="850481" cy="268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SETTINGS</a:t>
          </a:r>
        </a:p>
      </xdr:txBody>
    </xdr:sp>
    <xdr:clientData/>
  </xdr:twoCellAnchor>
  <xdr:twoCellAnchor>
    <xdr:from>
      <xdr:col>3</xdr:col>
      <xdr:colOff>476508</xdr:colOff>
      <xdr:row>3</xdr:row>
      <xdr:rowOff>85375</xdr:rowOff>
    </xdr:from>
    <xdr:to>
      <xdr:col>6</xdr:col>
      <xdr:colOff>194568</xdr:colOff>
      <xdr:row>5</xdr:row>
      <xdr:rowOff>62515</xdr:rowOff>
    </xdr:to>
    <xdr:sp macro="" textlink="">
      <xdr:nvSpPr>
        <xdr:cNvPr id="23" name="TextBox 22">
          <a:extLst>
            <a:ext uri="{FF2B5EF4-FFF2-40B4-BE49-F238E27FC236}">
              <a16:creationId xmlns:a16="http://schemas.microsoft.com/office/drawing/2014/main" id="{7526DB2C-03AA-B6B2-E6F6-9D34A382BF85}"/>
            </a:ext>
          </a:extLst>
        </xdr:cNvPr>
        <xdr:cNvSpPr txBox="1"/>
      </xdr:nvSpPr>
      <xdr:spPr>
        <a:xfrm>
          <a:off x="2296430" y="640229"/>
          <a:ext cx="1537983" cy="347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tx1">
                  <a:lumMod val="65000"/>
                  <a:lumOff val="35000"/>
                </a:schemeClr>
              </a:solidFill>
              <a:latin typeface="Bahnschrift" panose="020B0502040204020203" pitchFamily="34" charset="0"/>
            </a:rPr>
            <a:t>Sales</a:t>
          </a:r>
        </a:p>
      </xdr:txBody>
    </xdr:sp>
    <xdr:clientData/>
  </xdr:twoCellAnchor>
  <xdr:twoCellAnchor>
    <xdr:from>
      <xdr:col>7</xdr:col>
      <xdr:colOff>509725</xdr:colOff>
      <xdr:row>3</xdr:row>
      <xdr:rowOff>77976</xdr:rowOff>
    </xdr:from>
    <xdr:to>
      <xdr:col>10</xdr:col>
      <xdr:colOff>207884</xdr:colOff>
      <xdr:row>5</xdr:row>
      <xdr:rowOff>77976</xdr:rowOff>
    </xdr:to>
    <xdr:sp macro="" textlink="">
      <xdr:nvSpPr>
        <xdr:cNvPr id="25" name="TextBox 24">
          <a:extLst>
            <a:ext uri="{FF2B5EF4-FFF2-40B4-BE49-F238E27FC236}">
              <a16:creationId xmlns:a16="http://schemas.microsoft.com/office/drawing/2014/main" id="{BFCC4F7C-1445-25A3-D5B2-B6319FECD407}"/>
            </a:ext>
          </a:extLst>
        </xdr:cNvPr>
        <xdr:cNvSpPr txBox="1"/>
      </xdr:nvSpPr>
      <xdr:spPr>
        <a:xfrm>
          <a:off x="4756210" y="632830"/>
          <a:ext cx="1518082" cy="369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1">
                  <a:lumMod val="65000"/>
                  <a:lumOff val="35000"/>
                </a:schemeClr>
              </a:solidFill>
              <a:latin typeface="Bahnschrift" panose="020B0502040204020203" pitchFamily="34" charset="0"/>
            </a:rPr>
            <a:t>Profits</a:t>
          </a:r>
        </a:p>
      </xdr:txBody>
    </xdr:sp>
    <xdr:clientData/>
  </xdr:twoCellAnchor>
  <xdr:twoCellAnchor>
    <xdr:from>
      <xdr:col>11</xdr:col>
      <xdr:colOff>96174</xdr:colOff>
      <xdr:row>3</xdr:row>
      <xdr:rowOff>133165</xdr:rowOff>
    </xdr:from>
    <xdr:to>
      <xdr:col>14</xdr:col>
      <xdr:colOff>318116</xdr:colOff>
      <xdr:row>5</xdr:row>
      <xdr:rowOff>119035</xdr:rowOff>
    </xdr:to>
    <xdr:sp macro="" textlink="">
      <xdr:nvSpPr>
        <xdr:cNvPr id="26" name="TextBox 25">
          <a:extLst>
            <a:ext uri="{FF2B5EF4-FFF2-40B4-BE49-F238E27FC236}">
              <a16:creationId xmlns:a16="http://schemas.microsoft.com/office/drawing/2014/main" id="{95412C7F-E65A-0FFD-1AC2-28CB04167D1F}"/>
            </a:ext>
          </a:extLst>
        </xdr:cNvPr>
        <xdr:cNvSpPr txBox="1"/>
      </xdr:nvSpPr>
      <xdr:spPr>
        <a:xfrm>
          <a:off x="6769223" y="688019"/>
          <a:ext cx="2041864" cy="355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1">
                  <a:lumMod val="65000"/>
                  <a:lumOff val="35000"/>
                </a:schemeClr>
              </a:solidFill>
              <a:latin typeface="Bahnschrift" panose="020B0502040204020203" pitchFamily="34" charset="0"/>
            </a:rPr>
            <a:t>No.</a:t>
          </a:r>
          <a:r>
            <a:rPr lang="en-US" sz="1800" baseline="0">
              <a:solidFill>
                <a:schemeClr val="tx1">
                  <a:lumMod val="65000"/>
                  <a:lumOff val="35000"/>
                </a:schemeClr>
              </a:solidFill>
              <a:latin typeface="Bahnschrift" panose="020B0502040204020203" pitchFamily="34" charset="0"/>
            </a:rPr>
            <a:t> of </a:t>
          </a:r>
          <a:r>
            <a:rPr lang="en-US" sz="1800">
              <a:solidFill>
                <a:schemeClr val="tx1">
                  <a:lumMod val="65000"/>
                  <a:lumOff val="35000"/>
                </a:schemeClr>
              </a:solidFill>
              <a:latin typeface="Bahnschrift" panose="020B0502040204020203" pitchFamily="34" charset="0"/>
            </a:rPr>
            <a:t>Customers</a:t>
          </a:r>
        </a:p>
      </xdr:txBody>
    </xdr:sp>
    <xdr:clientData/>
  </xdr:twoCellAnchor>
  <xdr:twoCellAnchor>
    <xdr:from>
      <xdr:col>15</xdr:col>
      <xdr:colOff>168085</xdr:colOff>
      <xdr:row>3</xdr:row>
      <xdr:rowOff>106902</xdr:rowOff>
    </xdr:from>
    <xdr:to>
      <xdr:col>18</xdr:col>
      <xdr:colOff>183325</xdr:colOff>
      <xdr:row>5</xdr:row>
      <xdr:rowOff>122142</xdr:rowOff>
    </xdr:to>
    <xdr:sp macro="" textlink="">
      <xdr:nvSpPr>
        <xdr:cNvPr id="27" name="TextBox 26">
          <a:extLst>
            <a:ext uri="{FF2B5EF4-FFF2-40B4-BE49-F238E27FC236}">
              <a16:creationId xmlns:a16="http://schemas.microsoft.com/office/drawing/2014/main" id="{92D99F3E-145E-8AD3-B0A7-1A1356B2375E}"/>
            </a:ext>
          </a:extLst>
        </xdr:cNvPr>
        <xdr:cNvSpPr txBox="1"/>
      </xdr:nvSpPr>
      <xdr:spPr>
        <a:xfrm>
          <a:off x="9267697" y="661756"/>
          <a:ext cx="1835162" cy="38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1">
                  <a:lumMod val="65000"/>
                  <a:lumOff val="35000"/>
                </a:schemeClr>
              </a:solidFill>
              <a:latin typeface="Bahnschrift" panose="020B0502040204020203" pitchFamily="34" charset="0"/>
            </a:rPr>
            <a:t>Target Sales</a:t>
          </a:r>
        </a:p>
      </xdr:txBody>
    </xdr:sp>
    <xdr:clientData/>
  </xdr:twoCellAnchor>
  <xdr:twoCellAnchor>
    <xdr:from>
      <xdr:col>3</xdr:col>
      <xdr:colOff>256195</xdr:colOff>
      <xdr:row>5</xdr:row>
      <xdr:rowOff>46831</xdr:rowOff>
    </xdr:from>
    <xdr:to>
      <xdr:col>6</xdr:col>
      <xdr:colOff>187615</xdr:colOff>
      <xdr:row>7</xdr:row>
      <xdr:rowOff>92551</xdr:rowOff>
    </xdr:to>
    <xdr:sp macro="" textlink="Sales">
      <xdr:nvSpPr>
        <xdr:cNvPr id="28" name="TextBox 27">
          <a:extLst>
            <a:ext uri="{FF2B5EF4-FFF2-40B4-BE49-F238E27FC236}">
              <a16:creationId xmlns:a16="http://schemas.microsoft.com/office/drawing/2014/main" id="{0AA65176-437D-F8A8-F0DE-6DE8AE7E6C63}"/>
            </a:ext>
          </a:extLst>
        </xdr:cNvPr>
        <xdr:cNvSpPr txBox="1"/>
      </xdr:nvSpPr>
      <xdr:spPr>
        <a:xfrm>
          <a:off x="2076117" y="971588"/>
          <a:ext cx="1751343" cy="415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F88922-56B2-4B95-8B21-9445572E0F19}" type="TxLink">
            <a:rPr lang="en-US" sz="2000" b="1" i="0" u="none" strike="noStrike">
              <a:solidFill>
                <a:srgbClr val="000000"/>
              </a:solidFill>
              <a:latin typeface="+mn-lt"/>
            </a:rPr>
            <a:pPr algn="ctr"/>
            <a:t> $157,361 </a:t>
          </a:fld>
          <a:endParaRPr lang="en-US" sz="2000" b="1">
            <a:latin typeface="+mn-lt"/>
          </a:endParaRPr>
        </a:p>
      </xdr:txBody>
    </xdr:sp>
    <xdr:clientData/>
  </xdr:twoCellAnchor>
  <xdr:twoCellAnchor>
    <xdr:from>
      <xdr:col>8</xdr:col>
      <xdr:colOff>26854</xdr:colOff>
      <xdr:row>5</xdr:row>
      <xdr:rowOff>24192</xdr:rowOff>
    </xdr:from>
    <xdr:to>
      <xdr:col>10</xdr:col>
      <xdr:colOff>519195</xdr:colOff>
      <xdr:row>7</xdr:row>
      <xdr:rowOff>1332</xdr:rowOff>
    </xdr:to>
    <xdr:sp macro="" textlink="Profits">
      <xdr:nvSpPr>
        <xdr:cNvPr id="29" name="TextBox 28">
          <a:extLst>
            <a:ext uri="{FF2B5EF4-FFF2-40B4-BE49-F238E27FC236}">
              <a16:creationId xmlns:a16="http://schemas.microsoft.com/office/drawing/2014/main" id="{9C3C1504-C782-EB17-C6EC-893B5CEDD066}"/>
            </a:ext>
          </a:extLst>
        </xdr:cNvPr>
        <xdr:cNvSpPr txBox="1"/>
      </xdr:nvSpPr>
      <xdr:spPr>
        <a:xfrm>
          <a:off x="4879980" y="948949"/>
          <a:ext cx="1705623" cy="347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650153-4A03-4966-A7FA-28D2C08831F8}" type="TxLink">
            <a:rPr lang="en-US" sz="2000" b="1" i="0" u="none" strike="noStrike">
              <a:solidFill>
                <a:srgbClr val="000000"/>
              </a:solidFill>
              <a:latin typeface="Aptos Narrow"/>
            </a:rPr>
            <a:pPr/>
            <a:t> $113,301 </a:t>
          </a:fld>
          <a:endParaRPr lang="en-US" sz="2000" b="1"/>
        </a:p>
      </xdr:txBody>
    </xdr:sp>
    <xdr:clientData/>
  </xdr:twoCellAnchor>
  <xdr:twoCellAnchor>
    <xdr:from>
      <xdr:col>10</xdr:col>
      <xdr:colOff>460084</xdr:colOff>
      <xdr:row>5</xdr:row>
      <xdr:rowOff>18348</xdr:rowOff>
    </xdr:from>
    <xdr:to>
      <xdr:col>14</xdr:col>
      <xdr:colOff>170154</xdr:colOff>
      <xdr:row>8</xdr:row>
      <xdr:rowOff>10728</xdr:rowOff>
    </xdr:to>
    <xdr:sp macro="" textlink="Customers">
      <xdr:nvSpPr>
        <xdr:cNvPr id="30" name="TextBox 29">
          <a:extLst>
            <a:ext uri="{FF2B5EF4-FFF2-40B4-BE49-F238E27FC236}">
              <a16:creationId xmlns:a16="http://schemas.microsoft.com/office/drawing/2014/main" id="{65FE3732-300E-B162-B6D4-6C6B071A1B51}"/>
            </a:ext>
          </a:extLst>
        </xdr:cNvPr>
        <xdr:cNvSpPr txBox="1"/>
      </xdr:nvSpPr>
      <xdr:spPr>
        <a:xfrm>
          <a:off x="6526492" y="943105"/>
          <a:ext cx="2136633" cy="54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E397B42-301F-4C8D-B498-E6F17EB833A3}" type="TxLink">
            <a:rPr lang="en-US" sz="2000" b="1" i="0" u="none" strike="noStrike">
              <a:solidFill>
                <a:srgbClr val="000000"/>
              </a:solidFill>
              <a:latin typeface="Aptos Narrow"/>
            </a:rPr>
            <a:pPr algn="ctr"/>
            <a:t>9,360</a:t>
          </a:fld>
          <a:endParaRPr lang="en-US" sz="2000" b="1"/>
        </a:p>
      </xdr:txBody>
    </xdr:sp>
    <xdr:clientData/>
  </xdr:twoCellAnchor>
  <xdr:twoCellAnchor>
    <xdr:from>
      <xdr:col>14</xdr:col>
      <xdr:colOff>488273</xdr:colOff>
      <xdr:row>5</xdr:row>
      <xdr:rowOff>73982</xdr:rowOff>
    </xdr:from>
    <xdr:to>
      <xdr:col>18</xdr:col>
      <xdr:colOff>110972</xdr:colOff>
      <xdr:row>7</xdr:row>
      <xdr:rowOff>140563</xdr:rowOff>
    </xdr:to>
    <xdr:sp macro="" textlink="Target">
      <xdr:nvSpPr>
        <xdr:cNvPr id="31" name="TextBox 30">
          <a:extLst>
            <a:ext uri="{FF2B5EF4-FFF2-40B4-BE49-F238E27FC236}">
              <a16:creationId xmlns:a16="http://schemas.microsoft.com/office/drawing/2014/main" id="{1FD2B36E-F89B-A6C1-D0FF-13921FE25B46}"/>
            </a:ext>
          </a:extLst>
        </xdr:cNvPr>
        <xdr:cNvSpPr txBox="1"/>
      </xdr:nvSpPr>
      <xdr:spPr>
        <a:xfrm>
          <a:off x="8981244" y="998739"/>
          <a:ext cx="2049262" cy="43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154B69-B008-4F4D-A845-36BBDDA0B757}" type="TxLink">
            <a:rPr lang="en-US" sz="2000" b="1" i="0" u="none" strike="noStrike">
              <a:solidFill>
                <a:srgbClr val="000000"/>
              </a:solidFill>
              <a:latin typeface="Aptos Narrow"/>
            </a:rPr>
            <a:pPr algn="ctr"/>
            <a:t> $166,999 </a:t>
          </a:fld>
          <a:endParaRPr lang="en-US" sz="2000" b="1"/>
        </a:p>
      </xdr:txBody>
    </xdr:sp>
    <xdr:clientData/>
  </xdr:twoCellAnchor>
  <xdr:twoCellAnchor>
    <xdr:from>
      <xdr:col>3</xdr:col>
      <xdr:colOff>51787</xdr:colOff>
      <xdr:row>5</xdr:row>
      <xdr:rowOff>177554</xdr:rowOff>
    </xdr:from>
    <xdr:to>
      <xdr:col>6</xdr:col>
      <xdr:colOff>396240</xdr:colOff>
      <xdr:row>8</xdr:row>
      <xdr:rowOff>125767</xdr:rowOff>
    </xdr:to>
    <xdr:graphicFrame macro="">
      <xdr:nvGraphicFramePr>
        <xdr:cNvPr id="33" name="Chart 32">
          <a:extLst>
            <a:ext uri="{FF2B5EF4-FFF2-40B4-BE49-F238E27FC236}">
              <a16:creationId xmlns:a16="http://schemas.microsoft.com/office/drawing/2014/main" id="{D4B0D7B4-CEC6-4537-9B40-35EABB705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547456</xdr:colOff>
      <xdr:row>5</xdr:row>
      <xdr:rowOff>170156</xdr:rowOff>
    </xdr:from>
    <xdr:to>
      <xdr:col>10</xdr:col>
      <xdr:colOff>403860</xdr:colOff>
      <xdr:row>8</xdr:row>
      <xdr:rowOff>110971</xdr:rowOff>
    </xdr:to>
    <xdr:graphicFrame macro="">
      <xdr:nvGraphicFramePr>
        <xdr:cNvPr id="34" name="Chart 33">
          <a:extLst>
            <a:ext uri="{FF2B5EF4-FFF2-40B4-BE49-F238E27FC236}">
              <a16:creationId xmlns:a16="http://schemas.microsoft.com/office/drawing/2014/main" id="{16551305-C072-44F5-BA91-C55348C41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94991</xdr:colOff>
      <xdr:row>7</xdr:row>
      <xdr:rowOff>67915</xdr:rowOff>
    </xdr:from>
    <xdr:to>
      <xdr:col>0</xdr:col>
      <xdr:colOff>503511</xdr:colOff>
      <xdr:row>9</xdr:row>
      <xdr:rowOff>113634</xdr:rowOff>
    </xdr:to>
    <xdr:pic>
      <xdr:nvPicPr>
        <xdr:cNvPr id="36" name="Picture 35">
          <a:extLst>
            <a:ext uri="{FF2B5EF4-FFF2-40B4-BE49-F238E27FC236}">
              <a16:creationId xmlns:a16="http://schemas.microsoft.com/office/drawing/2014/main" id="{D4473F88-8D4F-0287-D130-2F5A3D8A15BA}"/>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94991" y="1362575"/>
          <a:ext cx="408520" cy="415622"/>
        </a:xfrm>
        <a:prstGeom prst="rect">
          <a:avLst/>
        </a:prstGeom>
      </xdr:spPr>
    </xdr:pic>
    <xdr:clientData/>
  </xdr:twoCellAnchor>
  <xdr:twoCellAnchor editAs="oneCell">
    <xdr:from>
      <xdr:col>0</xdr:col>
      <xdr:colOff>70577</xdr:colOff>
      <xdr:row>11</xdr:row>
      <xdr:rowOff>83517</xdr:rowOff>
    </xdr:from>
    <xdr:to>
      <xdr:col>1</xdr:col>
      <xdr:colOff>1591</xdr:colOff>
      <xdr:row>13</xdr:row>
      <xdr:rowOff>114079</xdr:rowOff>
    </xdr:to>
    <xdr:pic>
      <xdr:nvPicPr>
        <xdr:cNvPr id="38" name="Picture 37">
          <a:extLst>
            <a:ext uri="{FF2B5EF4-FFF2-40B4-BE49-F238E27FC236}">
              <a16:creationId xmlns:a16="http://schemas.microsoft.com/office/drawing/2014/main" id="{D97F7215-B672-C365-0D44-72793FB1CF2D}"/>
            </a:ext>
          </a:extLst>
        </xdr:cNvPr>
        <xdr:cNvPicPr>
          <a:picLocks noChangeAspect="1"/>
        </xdr:cNvPicPr>
      </xdr:nvPicPr>
      <xdr:blipFill>
        <a:blip xmlns:r="http://schemas.openxmlformats.org/officeDocument/2006/relationships" r:embed="rId7" cstate="print">
          <a:lum bright="70000" contrast="-70000"/>
          <a:extLst>
            <a:ext uri="{28A0092B-C50C-407E-A947-70E740481C1C}">
              <a14:useLocalDpi xmlns:a14="http://schemas.microsoft.com/office/drawing/2010/main" val="0"/>
            </a:ext>
          </a:extLst>
        </a:blip>
        <a:stretch>
          <a:fillRect/>
        </a:stretch>
      </xdr:blipFill>
      <xdr:spPr>
        <a:xfrm>
          <a:off x="70577" y="2117983"/>
          <a:ext cx="537655" cy="400465"/>
        </a:xfrm>
        <a:prstGeom prst="rect">
          <a:avLst/>
        </a:prstGeom>
      </xdr:spPr>
    </xdr:pic>
    <xdr:clientData/>
  </xdr:twoCellAnchor>
  <xdr:twoCellAnchor editAs="oneCell">
    <xdr:from>
      <xdr:col>0</xdr:col>
      <xdr:colOff>118295</xdr:colOff>
      <xdr:row>15</xdr:row>
      <xdr:rowOff>137826</xdr:rowOff>
    </xdr:from>
    <xdr:to>
      <xdr:col>1</xdr:col>
      <xdr:colOff>34475</xdr:colOff>
      <xdr:row>19</xdr:row>
      <xdr:rowOff>63531</xdr:rowOff>
    </xdr:to>
    <xdr:pic>
      <xdr:nvPicPr>
        <xdr:cNvPr id="40" name="Picture 39">
          <a:extLst>
            <a:ext uri="{FF2B5EF4-FFF2-40B4-BE49-F238E27FC236}">
              <a16:creationId xmlns:a16="http://schemas.microsoft.com/office/drawing/2014/main" id="{953B399B-69EF-16C1-3AD3-318E8676E72B}"/>
            </a:ext>
          </a:extLst>
        </xdr:cNvPr>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118295" y="2912098"/>
          <a:ext cx="522821" cy="665511"/>
        </a:xfrm>
        <a:prstGeom prst="rect">
          <a:avLst/>
        </a:prstGeom>
      </xdr:spPr>
    </xdr:pic>
    <xdr:clientData/>
  </xdr:twoCellAnchor>
  <xdr:twoCellAnchor editAs="oneCell">
    <xdr:from>
      <xdr:col>0</xdr:col>
      <xdr:colOff>108043</xdr:colOff>
      <xdr:row>22</xdr:row>
      <xdr:rowOff>9395</xdr:rowOff>
    </xdr:from>
    <xdr:to>
      <xdr:col>1</xdr:col>
      <xdr:colOff>158660</xdr:colOff>
      <xdr:row>24</xdr:row>
      <xdr:rowOff>179106</xdr:rowOff>
    </xdr:to>
    <xdr:pic>
      <xdr:nvPicPr>
        <xdr:cNvPr id="42" name="Picture 41">
          <a:extLst>
            <a:ext uri="{FF2B5EF4-FFF2-40B4-BE49-F238E27FC236}">
              <a16:creationId xmlns:a16="http://schemas.microsoft.com/office/drawing/2014/main" id="{949222BA-00C8-E430-327C-F01405E27DB3}"/>
            </a:ext>
          </a:extLst>
        </xdr:cNvPr>
        <xdr:cNvPicPr>
          <a:picLocks noChangeAspect="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tretch>
          <a:fillRect/>
        </a:stretch>
      </xdr:blipFill>
      <xdr:spPr>
        <a:xfrm>
          <a:off x="108043" y="4078327"/>
          <a:ext cx="657258" cy="539614"/>
        </a:xfrm>
        <a:prstGeom prst="rect">
          <a:avLst/>
        </a:prstGeom>
      </xdr:spPr>
    </xdr:pic>
    <xdr:clientData/>
  </xdr:twoCellAnchor>
  <xdr:twoCellAnchor>
    <xdr:from>
      <xdr:col>0</xdr:col>
      <xdr:colOff>0</xdr:colOff>
      <xdr:row>1</xdr:row>
      <xdr:rowOff>49051</xdr:rowOff>
    </xdr:from>
    <xdr:to>
      <xdr:col>2</xdr:col>
      <xdr:colOff>488273</xdr:colOff>
      <xdr:row>3</xdr:row>
      <xdr:rowOff>118370</xdr:rowOff>
    </xdr:to>
    <xdr:sp macro="" textlink="">
      <xdr:nvSpPr>
        <xdr:cNvPr id="47" name="TextBox 46">
          <a:extLst>
            <a:ext uri="{FF2B5EF4-FFF2-40B4-BE49-F238E27FC236}">
              <a16:creationId xmlns:a16="http://schemas.microsoft.com/office/drawing/2014/main" id="{1BAEB1C6-4678-F1A6-999C-350EA0EF51F4}"/>
            </a:ext>
          </a:extLst>
        </xdr:cNvPr>
        <xdr:cNvSpPr txBox="1"/>
      </xdr:nvSpPr>
      <xdr:spPr>
        <a:xfrm>
          <a:off x="0" y="234002"/>
          <a:ext cx="1701555" cy="43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lumMod val="95000"/>
                </a:schemeClr>
              </a:solidFill>
              <a:latin typeface="Bahnschrift" panose="020B0502040204020203" pitchFamily="34" charset="0"/>
            </a:rPr>
            <a:t>BizFlow</a:t>
          </a:r>
          <a:r>
            <a:rPr lang="en-US" sz="1600" b="1" baseline="0">
              <a:solidFill>
                <a:schemeClr val="bg1">
                  <a:lumMod val="95000"/>
                </a:schemeClr>
              </a:solidFill>
              <a:latin typeface="Bahnschrift" panose="020B0502040204020203" pitchFamily="34" charset="0"/>
            </a:rPr>
            <a:t> Insights</a:t>
          </a:r>
          <a:endParaRPr lang="en-US" sz="1600" b="1">
            <a:solidFill>
              <a:schemeClr val="bg1">
                <a:lumMod val="95000"/>
              </a:schemeClr>
            </a:solidFill>
            <a:latin typeface="Bahnschrift" panose="020B0502040204020203" pitchFamily="34" charset="0"/>
          </a:endParaRPr>
        </a:p>
      </xdr:txBody>
    </xdr:sp>
    <xdr:clientData/>
  </xdr:twoCellAnchor>
  <xdr:twoCellAnchor editAs="oneCell">
    <xdr:from>
      <xdr:col>0</xdr:col>
      <xdr:colOff>549084</xdr:colOff>
      <xdr:row>3</xdr:row>
      <xdr:rowOff>60294</xdr:rowOff>
    </xdr:from>
    <xdr:to>
      <xdr:col>1</xdr:col>
      <xdr:colOff>452448</xdr:colOff>
      <xdr:row>6</xdr:row>
      <xdr:rowOff>128874</xdr:rowOff>
    </xdr:to>
    <xdr:pic>
      <xdr:nvPicPr>
        <xdr:cNvPr id="50" name="Picture 49">
          <a:extLst>
            <a:ext uri="{FF2B5EF4-FFF2-40B4-BE49-F238E27FC236}">
              <a16:creationId xmlns:a16="http://schemas.microsoft.com/office/drawing/2014/main" id="{3B78A311-B170-4822-AF9D-16E8AC9B93E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49084" y="615148"/>
          <a:ext cx="510005" cy="623435"/>
        </a:xfrm>
        <a:prstGeom prst="rect">
          <a:avLst/>
        </a:prstGeom>
      </xdr:spPr>
    </xdr:pic>
    <xdr:clientData/>
  </xdr:twoCellAnchor>
  <xdr:twoCellAnchor>
    <xdr:from>
      <xdr:col>3</xdr:col>
      <xdr:colOff>22194</xdr:colOff>
      <xdr:row>9</xdr:row>
      <xdr:rowOff>14796</xdr:rowOff>
    </xdr:from>
    <xdr:to>
      <xdr:col>18</xdr:col>
      <xdr:colOff>451281</xdr:colOff>
      <xdr:row>26</xdr:row>
      <xdr:rowOff>51786</xdr:rowOff>
    </xdr:to>
    <xdr:sp macro="" textlink="">
      <xdr:nvSpPr>
        <xdr:cNvPr id="52" name="Rectangle: Rounded Corners 51">
          <a:extLst>
            <a:ext uri="{FF2B5EF4-FFF2-40B4-BE49-F238E27FC236}">
              <a16:creationId xmlns:a16="http://schemas.microsoft.com/office/drawing/2014/main" id="{93996CA9-C606-3559-5C59-494A7139D963}"/>
            </a:ext>
          </a:extLst>
        </xdr:cNvPr>
        <xdr:cNvSpPr/>
      </xdr:nvSpPr>
      <xdr:spPr>
        <a:xfrm>
          <a:off x="1842116" y="1679359"/>
          <a:ext cx="9528699" cy="3181165"/>
        </a:xfrm>
        <a:prstGeom prst="roundRect">
          <a:avLst>
            <a:gd name="adj" fmla="val 4839"/>
          </a:avLst>
        </a:prstGeom>
        <a:solidFill>
          <a:srgbClr val="BFC7D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569650</xdr:colOff>
      <xdr:row>7</xdr:row>
      <xdr:rowOff>7397</xdr:rowOff>
    </xdr:from>
    <xdr:to>
      <xdr:col>14</xdr:col>
      <xdr:colOff>355106</xdr:colOff>
      <xdr:row>9</xdr:row>
      <xdr:rowOff>14795</xdr:rowOff>
    </xdr:to>
    <xdr:graphicFrame macro="">
      <xdr:nvGraphicFramePr>
        <xdr:cNvPr id="53" name="Chart 52">
          <a:extLst>
            <a:ext uri="{FF2B5EF4-FFF2-40B4-BE49-F238E27FC236}">
              <a16:creationId xmlns:a16="http://schemas.microsoft.com/office/drawing/2014/main" id="{4BAA6818-694E-4E15-87FD-17714A064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327660</xdr:colOff>
      <xdr:row>17</xdr:row>
      <xdr:rowOff>38100</xdr:rowOff>
    </xdr:from>
    <xdr:to>
      <xdr:col>10</xdr:col>
      <xdr:colOff>599242</xdr:colOff>
      <xdr:row>26</xdr:row>
      <xdr:rowOff>7398</xdr:rowOff>
    </xdr:to>
    <xdr:sp macro="" textlink="">
      <xdr:nvSpPr>
        <xdr:cNvPr id="54" name="Rectangle: Rounded Corners 53">
          <a:extLst>
            <a:ext uri="{FF2B5EF4-FFF2-40B4-BE49-F238E27FC236}">
              <a16:creationId xmlns:a16="http://schemas.microsoft.com/office/drawing/2014/main" id="{9DDD83AC-9F75-424C-8B6D-672665B827F3}"/>
            </a:ext>
          </a:extLst>
        </xdr:cNvPr>
        <xdr:cNvSpPr/>
      </xdr:nvSpPr>
      <xdr:spPr>
        <a:xfrm>
          <a:off x="2147582" y="3182275"/>
          <a:ext cx="4518068" cy="1633861"/>
        </a:xfrm>
        <a:prstGeom prst="roundRect">
          <a:avLst>
            <a:gd name="adj" fmla="val 490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350520</xdr:colOff>
      <xdr:row>17</xdr:row>
      <xdr:rowOff>68580</xdr:rowOff>
    </xdr:from>
    <xdr:to>
      <xdr:col>10</xdr:col>
      <xdr:colOff>533400</xdr:colOff>
      <xdr:row>26</xdr:row>
      <xdr:rowOff>114300</xdr:rowOff>
    </xdr:to>
    <xdr:graphicFrame macro="">
      <xdr:nvGraphicFramePr>
        <xdr:cNvPr id="55" name="Chart 54">
          <a:extLst>
            <a:ext uri="{FF2B5EF4-FFF2-40B4-BE49-F238E27FC236}">
              <a16:creationId xmlns:a16="http://schemas.microsoft.com/office/drawing/2014/main" id="{CAFBB93D-DA7D-4CBD-ADC6-A39DCE61B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24932</xdr:colOff>
      <xdr:row>9</xdr:row>
      <xdr:rowOff>66689</xdr:rowOff>
    </xdr:from>
    <xdr:to>
      <xdr:col>8</xdr:col>
      <xdr:colOff>128652</xdr:colOff>
      <xdr:row>16</xdr:row>
      <xdr:rowOff>150283</xdr:rowOff>
    </xdr:to>
    <xdr:sp macro="" textlink="">
      <xdr:nvSpPr>
        <xdr:cNvPr id="56" name="Rectangle: Rounded Corners 55">
          <a:extLst>
            <a:ext uri="{FF2B5EF4-FFF2-40B4-BE49-F238E27FC236}">
              <a16:creationId xmlns:a16="http://schemas.microsoft.com/office/drawing/2014/main" id="{08A70B1D-65F1-4B10-8896-04CD30916D23}"/>
            </a:ext>
          </a:extLst>
        </xdr:cNvPr>
        <xdr:cNvSpPr/>
      </xdr:nvSpPr>
      <xdr:spPr>
        <a:xfrm>
          <a:off x="1844854" y="1731252"/>
          <a:ext cx="3136924" cy="1378254"/>
        </a:xfrm>
        <a:prstGeom prst="roundRect">
          <a:avLst>
            <a:gd name="adj" fmla="val 7806"/>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182436</xdr:colOff>
      <xdr:row>9</xdr:row>
      <xdr:rowOff>66689</xdr:rowOff>
    </xdr:from>
    <xdr:to>
      <xdr:col>13</xdr:col>
      <xdr:colOff>190056</xdr:colOff>
      <xdr:row>16</xdr:row>
      <xdr:rowOff>150283</xdr:rowOff>
    </xdr:to>
    <xdr:sp macro="" textlink="">
      <xdr:nvSpPr>
        <xdr:cNvPr id="57" name="Rectangle: Rounded Corners 56">
          <a:extLst>
            <a:ext uri="{FF2B5EF4-FFF2-40B4-BE49-F238E27FC236}">
              <a16:creationId xmlns:a16="http://schemas.microsoft.com/office/drawing/2014/main" id="{A970C1BF-FB89-413B-B4CE-65B13B5D81BC}"/>
            </a:ext>
          </a:extLst>
        </xdr:cNvPr>
        <xdr:cNvSpPr/>
      </xdr:nvSpPr>
      <xdr:spPr>
        <a:xfrm>
          <a:off x="5035562" y="1731252"/>
          <a:ext cx="3040824" cy="1378254"/>
        </a:xfrm>
        <a:prstGeom prst="roundRect">
          <a:avLst>
            <a:gd name="adj" fmla="val 7806"/>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243840</xdr:colOff>
      <xdr:row>9</xdr:row>
      <xdr:rowOff>66583</xdr:rowOff>
    </xdr:from>
    <xdr:to>
      <xdr:col>18</xdr:col>
      <xdr:colOff>259080</xdr:colOff>
      <xdr:row>16</xdr:row>
      <xdr:rowOff>157903</xdr:rowOff>
    </xdr:to>
    <xdr:sp macro="" textlink="">
      <xdr:nvSpPr>
        <xdr:cNvPr id="58" name="Rectangle: Rounded Corners 57">
          <a:extLst>
            <a:ext uri="{FF2B5EF4-FFF2-40B4-BE49-F238E27FC236}">
              <a16:creationId xmlns:a16="http://schemas.microsoft.com/office/drawing/2014/main" id="{DDE71423-D980-4879-884A-CC5183B97D51}"/>
            </a:ext>
          </a:extLst>
        </xdr:cNvPr>
        <xdr:cNvSpPr/>
      </xdr:nvSpPr>
      <xdr:spPr>
        <a:xfrm>
          <a:off x="8130170" y="1731146"/>
          <a:ext cx="3048444" cy="1385980"/>
        </a:xfrm>
        <a:prstGeom prst="roundRect">
          <a:avLst>
            <a:gd name="adj" fmla="val 7806"/>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91440</xdr:colOff>
      <xdr:row>17</xdr:row>
      <xdr:rowOff>15240</xdr:rowOff>
    </xdr:from>
    <xdr:to>
      <xdr:col>18</xdr:col>
      <xdr:colOff>327660</xdr:colOff>
      <xdr:row>26</xdr:row>
      <xdr:rowOff>30480</xdr:rowOff>
    </xdr:to>
    <xdr:sp macro="" textlink="">
      <xdr:nvSpPr>
        <xdr:cNvPr id="59" name="Rectangle: Rounded Corners 58">
          <a:extLst>
            <a:ext uri="{FF2B5EF4-FFF2-40B4-BE49-F238E27FC236}">
              <a16:creationId xmlns:a16="http://schemas.microsoft.com/office/drawing/2014/main" id="{50C9BC31-2983-433E-9A35-52F8E6CF4E17}"/>
            </a:ext>
          </a:extLst>
        </xdr:cNvPr>
        <xdr:cNvSpPr/>
      </xdr:nvSpPr>
      <xdr:spPr>
        <a:xfrm>
          <a:off x="6797040" y="3124200"/>
          <a:ext cx="4503420" cy="1661160"/>
        </a:xfrm>
        <a:prstGeom prst="roundRect">
          <a:avLst>
            <a:gd name="adj" fmla="val 490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160020</xdr:colOff>
      <xdr:row>17</xdr:row>
      <xdr:rowOff>15240</xdr:rowOff>
    </xdr:from>
    <xdr:to>
      <xdr:col>18</xdr:col>
      <xdr:colOff>310718</xdr:colOff>
      <xdr:row>25</xdr:row>
      <xdr:rowOff>147962</xdr:rowOff>
    </xdr:to>
    <xdr:graphicFrame macro="">
      <xdr:nvGraphicFramePr>
        <xdr:cNvPr id="60" name="Chart 59">
          <a:extLst>
            <a:ext uri="{FF2B5EF4-FFF2-40B4-BE49-F238E27FC236}">
              <a16:creationId xmlns:a16="http://schemas.microsoft.com/office/drawing/2014/main" id="{B3910690-EE33-45D9-852E-FAA90ADE3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541464</xdr:colOff>
      <xdr:row>8</xdr:row>
      <xdr:rowOff>98616</xdr:rowOff>
    </xdr:from>
    <xdr:to>
      <xdr:col>9</xdr:col>
      <xdr:colOff>23304</xdr:colOff>
      <xdr:row>16</xdr:row>
      <xdr:rowOff>174816</xdr:rowOff>
    </xdr:to>
    <xdr:graphicFrame macro="">
      <xdr:nvGraphicFramePr>
        <xdr:cNvPr id="3" name="Chart 2">
          <a:extLst>
            <a:ext uri="{FF2B5EF4-FFF2-40B4-BE49-F238E27FC236}">
              <a16:creationId xmlns:a16="http://schemas.microsoft.com/office/drawing/2014/main" id="{5AFFF0FA-6086-4D43-9DA6-33A5D688F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170155</xdr:colOff>
      <xdr:row>9</xdr:row>
      <xdr:rowOff>22193</xdr:rowOff>
    </xdr:from>
    <xdr:to>
      <xdr:col>13</xdr:col>
      <xdr:colOff>406893</xdr:colOff>
      <xdr:row>18</xdr:row>
      <xdr:rowOff>184951</xdr:rowOff>
    </xdr:to>
    <xdr:graphicFrame macro="">
      <xdr:nvGraphicFramePr>
        <xdr:cNvPr id="11" name="Chart 10">
          <a:extLst>
            <a:ext uri="{FF2B5EF4-FFF2-40B4-BE49-F238E27FC236}">
              <a16:creationId xmlns:a16="http://schemas.microsoft.com/office/drawing/2014/main" id="{7017E2B9-7C7D-4C14-9F65-77589CC5E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228600</xdr:colOff>
      <xdr:row>8</xdr:row>
      <xdr:rowOff>68580</xdr:rowOff>
    </xdr:from>
    <xdr:to>
      <xdr:col>18</xdr:col>
      <xdr:colOff>540058</xdr:colOff>
      <xdr:row>16</xdr:row>
      <xdr:rowOff>162758</xdr:rowOff>
    </xdr:to>
    <xdr:graphicFrame macro="">
      <xdr:nvGraphicFramePr>
        <xdr:cNvPr id="12" name="Chart 11">
          <a:extLst>
            <a:ext uri="{FF2B5EF4-FFF2-40B4-BE49-F238E27FC236}">
              <a16:creationId xmlns:a16="http://schemas.microsoft.com/office/drawing/2014/main" id="{8D0F0265-5AEF-40DE-8D8B-DCC60CA26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488272</xdr:colOff>
      <xdr:row>5</xdr:row>
      <xdr:rowOff>155359</xdr:rowOff>
    </xdr:from>
    <xdr:to>
      <xdr:col>22</xdr:col>
      <xdr:colOff>236737</xdr:colOff>
      <xdr:row>22</xdr:row>
      <xdr:rowOff>147961</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0C20ED6D-A04C-44C5-9E51-6BA0B62249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1407806" y="1080116"/>
              <a:ext cx="2175028" cy="31367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62736</xdr:colOff>
      <xdr:row>1</xdr:row>
      <xdr:rowOff>155362</xdr:rowOff>
    </xdr:from>
    <xdr:to>
      <xdr:col>22</xdr:col>
      <xdr:colOff>62736</xdr:colOff>
      <xdr:row>4</xdr:row>
      <xdr:rowOff>22195</xdr:rowOff>
    </xdr:to>
    <mc:AlternateContent xmlns:mc="http://schemas.openxmlformats.org/markup-compatibility/2006">
      <mc:Choice xmlns:a14="http://schemas.microsoft.com/office/drawing/2010/main" Requires="a14">
        <xdr:graphicFrame macro="">
          <xdr:nvGraphicFramePr>
            <xdr:cNvPr id="16" name="Quarter">
              <a:extLst>
                <a:ext uri="{FF2B5EF4-FFF2-40B4-BE49-F238E27FC236}">
                  <a16:creationId xmlns:a16="http://schemas.microsoft.com/office/drawing/2014/main" id="{FFD664E0-AE4D-40AD-B5BD-B1677CA291B5}"/>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1588911" y="340313"/>
              <a:ext cx="1819922" cy="421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547455</xdr:colOff>
      <xdr:row>4</xdr:row>
      <xdr:rowOff>36989</xdr:rowOff>
    </xdr:from>
    <xdr:to>
      <xdr:col>11</xdr:col>
      <xdr:colOff>214543</xdr:colOff>
      <xdr:row>5</xdr:row>
      <xdr:rowOff>125767</xdr:rowOff>
    </xdr:to>
    <xdr:pic>
      <xdr:nvPicPr>
        <xdr:cNvPr id="13" name="Picture 12">
          <a:extLst>
            <a:ext uri="{FF2B5EF4-FFF2-40B4-BE49-F238E27FC236}">
              <a16:creationId xmlns:a16="http://schemas.microsoft.com/office/drawing/2014/main" id="{52BDE9DE-510A-94BB-ABBD-AB3C7DAEB07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613863" y="776795"/>
          <a:ext cx="273729" cy="273729"/>
        </a:xfrm>
        <a:prstGeom prst="rect">
          <a:avLst/>
        </a:prstGeom>
      </xdr:spPr>
    </xdr:pic>
    <xdr:clientData/>
  </xdr:twoCellAnchor>
  <xdr:twoCellAnchor editAs="oneCell">
    <xdr:from>
      <xdr:col>3</xdr:col>
      <xdr:colOff>399495</xdr:colOff>
      <xdr:row>3</xdr:row>
      <xdr:rowOff>110969</xdr:rowOff>
    </xdr:from>
    <xdr:to>
      <xdr:col>4</xdr:col>
      <xdr:colOff>229340</xdr:colOff>
      <xdr:row>5</xdr:row>
      <xdr:rowOff>177552</xdr:rowOff>
    </xdr:to>
    <xdr:pic>
      <xdr:nvPicPr>
        <xdr:cNvPr id="19" name="Picture 18">
          <a:extLst>
            <a:ext uri="{FF2B5EF4-FFF2-40B4-BE49-F238E27FC236}">
              <a16:creationId xmlns:a16="http://schemas.microsoft.com/office/drawing/2014/main" id="{EA0AEAB5-DF82-F33B-55B4-965901CCC9E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219417" y="665823"/>
          <a:ext cx="436486" cy="436486"/>
        </a:xfrm>
        <a:prstGeom prst="rect">
          <a:avLst/>
        </a:prstGeom>
      </xdr:spPr>
    </xdr:pic>
    <xdr:clientData/>
  </xdr:twoCellAnchor>
  <xdr:twoCellAnchor editAs="oneCell">
    <xdr:from>
      <xdr:col>7</xdr:col>
      <xdr:colOff>266330</xdr:colOff>
      <xdr:row>3</xdr:row>
      <xdr:rowOff>170155</xdr:rowOff>
    </xdr:from>
    <xdr:to>
      <xdr:col>8</xdr:col>
      <xdr:colOff>103573</xdr:colOff>
      <xdr:row>6</xdr:row>
      <xdr:rowOff>59184</xdr:rowOff>
    </xdr:to>
    <xdr:pic>
      <xdr:nvPicPr>
        <xdr:cNvPr id="35" name="Picture 34">
          <a:extLst>
            <a:ext uri="{FF2B5EF4-FFF2-40B4-BE49-F238E27FC236}">
              <a16:creationId xmlns:a16="http://schemas.microsoft.com/office/drawing/2014/main" id="{E8C3F47E-1FA0-07C5-63ED-08ACA75C1906}"/>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4512815" y="725009"/>
          <a:ext cx="443884" cy="443884"/>
        </a:xfrm>
        <a:prstGeom prst="rect">
          <a:avLst/>
        </a:prstGeom>
      </xdr:spPr>
    </xdr:pic>
    <xdr:clientData/>
  </xdr:twoCellAnchor>
  <xdr:twoCellAnchor editAs="oneCell">
    <xdr:from>
      <xdr:col>14</xdr:col>
      <xdr:colOff>488272</xdr:colOff>
      <xdr:row>3</xdr:row>
      <xdr:rowOff>140563</xdr:rowOff>
    </xdr:from>
    <xdr:to>
      <xdr:col>15</xdr:col>
      <xdr:colOff>325514</xdr:colOff>
      <xdr:row>6</xdr:row>
      <xdr:rowOff>29591</xdr:rowOff>
    </xdr:to>
    <xdr:pic>
      <xdr:nvPicPr>
        <xdr:cNvPr id="39" name="Picture 38">
          <a:extLst>
            <a:ext uri="{FF2B5EF4-FFF2-40B4-BE49-F238E27FC236}">
              <a16:creationId xmlns:a16="http://schemas.microsoft.com/office/drawing/2014/main" id="{23858B5C-9B3A-B1E1-3DDF-605A5AAD10FB}"/>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8981243" y="695417"/>
          <a:ext cx="443883" cy="443883"/>
        </a:xfrm>
        <a:prstGeom prst="rect">
          <a:avLst/>
        </a:prstGeom>
      </xdr:spPr>
    </xdr:pic>
    <xdr:clientData/>
  </xdr:twoCellAnchor>
  <xdr:twoCellAnchor>
    <xdr:from>
      <xdr:col>3</xdr:col>
      <xdr:colOff>207147</xdr:colOff>
      <xdr:row>0</xdr:row>
      <xdr:rowOff>88778</xdr:rowOff>
    </xdr:from>
    <xdr:to>
      <xdr:col>16</xdr:col>
      <xdr:colOff>369905</xdr:colOff>
      <xdr:row>2</xdr:row>
      <xdr:rowOff>177553</xdr:rowOff>
    </xdr:to>
    <xdr:sp macro="" textlink="">
      <xdr:nvSpPr>
        <xdr:cNvPr id="43" name="Rectangle: Rounded Corners 42">
          <a:extLst>
            <a:ext uri="{FF2B5EF4-FFF2-40B4-BE49-F238E27FC236}">
              <a16:creationId xmlns:a16="http://schemas.microsoft.com/office/drawing/2014/main" id="{9D06C446-1A0E-5032-7156-3E3613910676}"/>
            </a:ext>
          </a:extLst>
        </xdr:cNvPr>
        <xdr:cNvSpPr/>
      </xdr:nvSpPr>
      <xdr:spPr>
        <a:xfrm>
          <a:off x="2027069" y="88778"/>
          <a:ext cx="8049088" cy="458678"/>
        </a:xfrm>
        <a:prstGeom prst="roundRect">
          <a:avLst/>
        </a:prstGeom>
        <a:solidFill>
          <a:srgbClr val="235B0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a:solidFill>
                <a:schemeClr val="lt1"/>
              </a:solidFill>
              <a:effectLst/>
              <a:latin typeface="Bahnschrift" panose="020B0502040204020203" pitchFamily="34" charset="0"/>
              <a:ea typeface="+mn-ea"/>
              <a:cs typeface="+mn-cs"/>
            </a:rPr>
            <a:t>Sales &amp; Customer Performance Tracker</a:t>
          </a:r>
          <a:endParaRPr lang="en-US" sz="2400">
            <a:latin typeface="Bahnschrift" panose="020B05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19.986049537038" backgroundQuery="1" createdVersion="8" refreshedVersion="8" minRefreshableVersion="3" recordCount="0" supportSubquery="1" supportAdvancedDrill="1" xr:uid="{5021119E-122B-46FE-AA77-92B6694E9744}">
  <cacheSource type="external" connectionId="1"/>
  <cacheFields count="5">
    <cacheField name="[Measures].[Sum of Sales]" caption="Sum of Sales" numFmtId="0" hierarchy="20" level="32767"/>
    <cacheField name="[Measures].[Sum of Profit]" caption="Sum of Profit" numFmtId="0" hierarchy="18" level="32767"/>
    <cacheField name="[Measures].[Sum of Target Sales]" caption="Sum of Target Sales" numFmtId="0" hierarchy="19" level="32767"/>
    <cacheField name="[Measures].[Sum of No of Customers]" caption="Sum of No of Customers" numFmtId="0" hierarchy="21" level="32767"/>
    <cacheField name="[Table1].[Quarter].[Quarter]" caption="Quarter" numFmtId="0" hierarchy="1" level="1">
      <sharedItems containsSemiMixedTypes="0" containsNonDate="0" containsString="0"/>
    </cacheField>
  </cacheFields>
  <cacheHierarchies count="35">
    <cacheHierarchy uniqueName="[Table1].[Date]" caption="Date" attribute="1" time="1" defaultMemberUniqueName="[Table1].[Date].[All]" allUniqueName="[Table1].[Date].[All]" dimensionUniqueName="[Table1]" displayFolder="" count="2" memberValueDatatype="7" unbalanced="0"/>
    <cacheHierarchy uniqueName="[Table1].[Quarter]" caption="Quarter" attribute="1" defaultMemberUniqueName="[Table1].[Quarter].[All]" allUniqueName="[Table1].[Quarter].[All]" dimensionUniqueName="[Table1]" displayFolder="" count="2" memberValueDatatype="130" unbalanced="0">
      <fieldsUsage count="2">
        <fieldUsage x="-1"/>
        <fieldUsage x="4"/>
      </fieldsUsage>
    </cacheHierarchy>
    <cacheHierarchy uniqueName="[Table1].[Month]" caption="Month" attribute="1" defaultMemberUniqueName="[Table1].[Month].[All]" allUniqueName="[Table1].[Month].[All]" dimensionUniqueName="[Table1]" displayFolder="" count="2" memberValueDatatype="130" unbalanced="0"/>
    <cacheHierarchy uniqueName="[Table1].[Year]" caption="Year" attribute="1" defaultMemberUniqueName="[Table1].[Year].[All]" allUniqueName="[Table1].[Year].[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ales]" caption="Sales" attribute="1" defaultMemberUniqueName="[Table1].[Sales].[All]" allUniqueName="[Table1].[Sales].[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5" unbalanced="0"/>
    <cacheHierarchy uniqueName="[Table1].[Target Sales]" caption="Target Sales" attribute="1" defaultMemberUniqueName="[Table1].[Target Sales].[All]" allUniqueName="[Table1].[Target Sales].[All]" dimensionUniqueName="[Table1]" displayFolder="" count="2" memberValueDatatype="5" unbalanced="0"/>
    <cacheHierarchy uniqueName="[Table1].[No of Customers]" caption="No of Customers" attribute="1" defaultMemberUniqueName="[Table1].[No of Customers].[All]" allUniqueName="[Table1].[No of Customers].[All]" dimensionUniqueName="[Table1]" displayFolder="" count="2" memberValueDatatype="20" unbalanced="0"/>
    <cacheHierarchy uniqueName="[Table1].[Sales Completion Rate]" caption="Sales Completion Rate" attribute="1" defaultMemberUniqueName="[Table1].[Sales Completion Rate].[All]" allUniqueName="[Table1].[Sales Completion Rate].[All]" dimensionUniqueName="[Table1]" displayFolder="" count="2" memberValueDatatype="5" unbalanced="0"/>
    <cacheHierarchy uniqueName="[Table1].[Profit Completion Rate]" caption="Profit Completion Rate" attribute="1" defaultMemberUniqueName="[Table1].[Profit Completion Rate].[All]" allUniqueName="[Table1].[Profit Completion Rate].[All]" dimensionUniqueName="[Table1]" displayFolder="" count="2"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Customer Satisfaction]" caption="Customer Satisfaction" attribute="1" defaultMemberUniqueName="[Table1].[Customer Satisfaction].[All]" allUniqueName="[Table1].[Customer Satisfaction].[All]" dimensionUniqueName="[Table1]" displayFolder="" count="2" memberValueDatatype="130" unbalanced="0"/>
    <cacheHierarchy uniqueName="[Table1].[Number]" caption="Number" attribute="1" defaultMemberUniqueName="[Table1].[Number].[All]" allUniqueName="[Table1].[Number].[All]" dimensionUniqueName="[Table1]" displayFolder="" count="2" memberValueDatatype="20" unbalanced="0"/>
    <cacheHierarchy uniqueName="[Table1].[Score]" caption="Score" attribute="1" defaultMemberUniqueName="[Table1].[Score].[All]" allUniqueName="[Table1].[Score].[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arget Sales]" caption="Sum of Target Sales"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No of Customers]" caption="Sum of No of Customers" measure="1" displayFolder="" measureGroup="Table1"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Profit]" caption="Count of Profit" measure="1" displayFolder="" measureGroup="Table1" count="0" hidden="1">
      <extLst>
        <ext xmlns:x15="http://schemas.microsoft.com/office/spreadsheetml/2010/11/main" uri="{B97F6D7D-B522-45F9-BDA1-12C45D357490}">
          <x15:cacheHierarchy aggregatedColumn="6"/>
        </ext>
      </extLst>
    </cacheHierarchy>
    <cacheHierarchy uniqueName="[Measures].[Count of No of Customers]" caption="Count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Count of Customer Satisfaction]" caption="Count of Customer Satisfaction" measure="1" displayFolder="" measureGroup="Table1"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Table1" count="0" hidden="1">
      <extLst>
        <ext xmlns:x15="http://schemas.microsoft.com/office/spreadsheetml/2010/11/main" uri="{B97F6D7D-B522-45F9-BDA1-12C45D357490}">
          <x15:cacheHierarchy aggregatedColumn="15"/>
        </ext>
      </extLst>
    </cacheHierarchy>
    <cacheHierarchy uniqueName="[Measures].[Sum of Number]" caption="Sum of Number" measure="1" displayFolder="" measureGroup="Table1" count="0" hidden="1">
      <extLst>
        <ext xmlns:x15="http://schemas.microsoft.com/office/spreadsheetml/2010/11/main" uri="{B97F6D7D-B522-45F9-BDA1-12C45D357490}">
          <x15:cacheHierarchy aggregatedColumn="14"/>
        </ext>
      </extLst>
    </cacheHierarchy>
    <cacheHierarchy uniqueName="[Measures].[Average of Number]" caption="Average of Number"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19.986050115738" backgroundQuery="1" createdVersion="8" refreshedVersion="8" minRefreshableVersion="3" recordCount="0" supportSubquery="1" supportAdvancedDrill="1" xr:uid="{26B8B146-B014-4032-98FC-74081A753130}">
  <cacheSource type="external" connectionId="1"/>
  <cacheFields count="4">
    <cacheField name="[Measures].[Average of Sales Completion Rate]" caption="Average of Sales Completion Rate" numFmtId="0" hierarchy="27" level="32767"/>
    <cacheField name="[Measures].[Average of Profit Completion Rate]" caption="Average of Profit Completion Rate" numFmtId="0" hierarchy="29" level="32767"/>
    <cacheField name="[Measures].[Average of Customer Completion Rate]" caption="Average of Customer Completion Rate" numFmtId="0" hierarchy="30" level="32767"/>
    <cacheField name="[Table1].[Quarter].[Quarter]" caption="Quarter" numFmtId="0" hierarchy="1" level="1">
      <sharedItems containsSemiMixedTypes="0" containsNonDate="0" containsString="0"/>
    </cacheField>
  </cacheFields>
  <cacheHierarchies count="35">
    <cacheHierarchy uniqueName="[Table1].[Date]" caption="Date" attribute="1" time="1" defaultMemberUniqueName="[Table1].[Date].[All]" allUniqueName="[Table1].[Date].[All]" dimensionUniqueName="[Table1]" displayFolder="" count="0" memberValueDatatype="7" unbalanced="0"/>
    <cacheHierarchy uniqueName="[Table1].[Quarter]" caption="Quarter" attribute="1" defaultMemberUniqueName="[Table1].[Quarter].[All]" allUniqueName="[Table1].[Quarter].[All]" dimensionUniqueName="[Table1]" displayFolder="" count="2" memberValueDatatype="130" unbalanced="0">
      <fieldsUsage count="2">
        <fieldUsage x="-1"/>
        <fieldUsage x="3"/>
      </fieldsUsage>
    </cacheHierarchy>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Target Sales]" caption="Target Sales" attribute="1" defaultMemberUniqueName="[Table1].[Target Sales].[All]" allUniqueName="[Table1].[Target Sales].[All]" dimensionUniqueName="[Table1]" displayFolder="" count="0" memberValueDatatype="5" unbalanced="0"/>
    <cacheHierarchy uniqueName="[Table1].[No of Customers]" caption="No of Customers" attribute="1" defaultMemberUniqueName="[Table1].[No of Customers].[All]" allUniqueName="[Table1].[No of Customers].[All]" dimensionUniqueName="[Table1]" displayFolder="" count="0" memberValueDatatype="2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ustomer Satisfaction]" caption="Customer Satisfaction" attribute="1" defaultMemberUniqueName="[Table1].[Customer Satisfaction].[All]" allUniqueName="[Table1].[Customer Satisfaction].[All]" dimensionUniqueName="[Table1]" displayFolder="" count="0" memberValueDatatype="130" unbalanced="0"/>
    <cacheHierarchy uniqueName="[Table1].[Number]" caption="Number" attribute="1" defaultMemberUniqueName="[Table1].[Number].[All]" allUniqueName="[Table1].[Number].[All]" dimensionUniqueName="[Table1]" displayFolder="" count="0" memberValueDatatype="20" unbalanced="0"/>
    <cacheHierarchy uniqueName="[Table1].[Score]" caption="Score" attribute="1" defaultMemberUniqueName="[Table1].[Score].[All]" allUniqueName="[Table1].[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5"/>
        </ext>
      </extLst>
    </cacheHierarchy>
    <cacheHierarchy uniqueName="[Measures].[Sum of No of Customers]" caption="Sum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Table1" count="0" hidden="1">
      <extLst>
        <ext xmlns:x15="http://schemas.microsoft.com/office/spreadsheetml/2010/11/main" uri="{B97F6D7D-B522-45F9-BDA1-12C45D357490}">
          <x15:cacheHierarchy aggregatedColumn="6"/>
        </ext>
      </extLst>
    </cacheHierarchy>
    <cacheHierarchy uniqueName="[Measures].[Count of No of Customers]" caption="Count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Average of Sales Completion Rate]" caption="Average of Sales Completion Rate"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Profit Completion Rate]" caption="Average of Profit Completion Rate"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Customer Satisfaction]" caption="Count of Customer Satisfaction" measure="1" displayFolder="" measureGroup="Table1"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Table1" count="0" hidden="1">
      <extLst>
        <ext xmlns:x15="http://schemas.microsoft.com/office/spreadsheetml/2010/11/main" uri="{B97F6D7D-B522-45F9-BDA1-12C45D357490}">
          <x15:cacheHierarchy aggregatedColumn="15"/>
        </ext>
      </extLst>
    </cacheHierarchy>
    <cacheHierarchy uniqueName="[Measures].[Sum of Number]" caption="Sum of Number" measure="1" displayFolder="" measureGroup="Table1" count="0" hidden="1">
      <extLst>
        <ext xmlns:x15="http://schemas.microsoft.com/office/spreadsheetml/2010/11/main" uri="{B97F6D7D-B522-45F9-BDA1-12C45D357490}">
          <x15:cacheHierarchy aggregatedColumn="14"/>
        </ext>
      </extLst>
    </cacheHierarchy>
    <cacheHierarchy uniqueName="[Measures].[Average of Number]" caption="Average of Number"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19.986050462961" backgroundQuery="1" createdVersion="8" refreshedVersion="8" minRefreshableVersion="3" recordCount="0" supportSubquery="1" supportAdvancedDrill="1" xr:uid="{3035DE30-9704-401F-964A-D1667A8C9F66}">
  <cacheSource type="external" connectionId="1"/>
  <cacheFields count="3">
    <cacheField name="[Table1].[Customer Satisfaction].[Customer Satisfaction]" caption="Customer Satisfaction" numFmtId="0" hierarchy="13" level="1">
      <sharedItems count="5">
        <s v="Availability"/>
        <s v="Hygiene"/>
        <s v="Quality"/>
        <s v="Service"/>
        <s v="Speed"/>
      </sharedItems>
    </cacheField>
    <cacheField name="[Measures].[Sum of Score]" caption="Sum of Score" numFmtId="0" hierarchy="32" level="32767"/>
    <cacheField name="[Table1].[Quarter].[Quarter]" caption="Quarter" numFmtId="0" hierarchy="1" level="1">
      <sharedItems containsSemiMixedTypes="0" containsNonDate="0" containsString="0"/>
    </cacheField>
  </cacheFields>
  <cacheHierarchies count="35">
    <cacheHierarchy uniqueName="[Table1].[Date]" caption="Date" attribute="1" time="1" defaultMemberUniqueName="[Table1].[Date].[All]" allUniqueName="[Table1].[Date].[All]" dimensionUniqueName="[Table1]" displayFolder="" count="0" memberValueDatatype="7" unbalanced="0"/>
    <cacheHierarchy uniqueName="[Table1].[Quarter]" caption="Quarter" attribute="1" defaultMemberUniqueName="[Table1].[Quarter].[All]" allUniqueName="[Table1].[Quarter].[All]" dimensionUniqueName="[Table1]" displayFolder="" count="2" memberValueDatatype="13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Target Sales]" caption="Target Sales" attribute="1" defaultMemberUniqueName="[Table1].[Target Sales].[All]" allUniqueName="[Table1].[Target Sales].[All]" dimensionUniqueName="[Table1]" displayFolder="" count="0" memberValueDatatype="5" unbalanced="0"/>
    <cacheHierarchy uniqueName="[Table1].[No of Customers]" caption="No of Customers" attribute="1" defaultMemberUniqueName="[Table1].[No of Customers].[All]" allUniqueName="[Table1].[No of Customers].[All]" dimensionUniqueName="[Table1]" displayFolder="" count="0" memberValueDatatype="2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ustomer Satisfaction]" caption="Customer Satisfaction" attribute="1" defaultMemberUniqueName="[Table1].[Customer Satisfaction].[All]" allUniqueName="[Table1].[Customer Satisfaction].[All]" dimensionUniqueName="[Table1]" displayFolder="" count="2" memberValueDatatype="130" unbalanced="0">
      <fieldsUsage count="2">
        <fieldUsage x="-1"/>
        <fieldUsage x="0"/>
      </fieldsUsage>
    </cacheHierarchy>
    <cacheHierarchy uniqueName="[Table1].[Number]" caption="Number" attribute="1" defaultMemberUniqueName="[Table1].[Number].[All]" allUniqueName="[Table1].[Number].[All]" dimensionUniqueName="[Table1]" displayFolder="" count="0" memberValueDatatype="20" unbalanced="0"/>
    <cacheHierarchy uniqueName="[Table1].[Score]" caption="Score" attribute="1" defaultMemberUniqueName="[Table1].[Score].[All]" allUniqueName="[Table1].[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5"/>
        </ext>
      </extLst>
    </cacheHierarchy>
    <cacheHierarchy uniqueName="[Measures].[Sum of No of Customers]" caption="Sum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Table1" count="0" hidden="1">
      <extLst>
        <ext xmlns:x15="http://schemas.microsoft.com/office/spreadsheetml/2010/11/main" uri="{B97F6D7D-B522-45F9-BDA1-12C45D357490}">
          <x15:cacheHierarchy aggregatedColumn="6"/>
        </ext>
      </extLst>
    </cacheHierarchy>
    <cacheHierarchy uniqueName="[Measures].[Count of No of Customers]" caption="Count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Count of Customer Satisfaction]" caption="Count of Customer Satisfaction" measure="1" displayFolder="" measureGroup="Table1"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Number]" caption="Sum of Number" measure="1" displayFolder="" measureGroup="Table1" count="0" hidden="1">
      <extLst>
        <ext xmlns:x15="http://schemas.microsoft.com/office/spreadsheetml/2010/11/main" uri="{B97F6D7D-B522-45F9-BDA1-12C45D357490}">
          <x15:cacheHierarchy aggregatedColumn="14"/>
        </ext>
      </extLst>
    </cacheHierarchy>
    <cacheHierarchy uniqueName="[Measures].[Average of Number]" caption="Average of Number"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19.986050925923" backgroundQuery="1" createdVersion="8" refreshedVersion="8" minRefreshableVersion="3" recordCount="0" supportSubquery="1" supportAdvancedDrill="1" xr:uid="{95703487-7DC2-49A9-AF39-EA0EFD9C8455}">
  <cacheSource type="external" connectionId="1"/>
  <cacheFields count="3">
    <cacheField name="[Measures].[Sum of Sales]" caption="Sum of Sales" numFmtId="0" hierarchy="20" level="32767"/>
    <cacheField name="[Table1].[Country].[Country]" caption="Country" numFmtId="0" hierarchy="12" level="1">
      <sharedItems count="5">
        <s v="Argentina"/>
        <s v="Brazil"/>
        <s v="Colombia"/>
        <s v="Ecuador"/>
        <s v="Peru"/>
      </sharedItems>
    </cacheField>
    <cacheField name="[Table1].[Quarter].[Quarter]" caption="Quarter" numFmtId="0" hierarchy="1" level="1">
      <sharedItems containsSemiMixedTypes="0" containsNonDate="0" containsString="0"/>
    </cacheField>
  </cacheFields>
  <cacheHierarchies count="35">
    <cacheHierarchy uniqueName="[Table1].[Date]" caption="Date" attribute="1" time="1" defaultMemberUniqueName="[Table1].[Date].[All]" allUniqueName="[Table1].[Date].[All]" dimensionUniqueName="[Table1]" displayFolder="" count="0" memberValueDatatype="7" unbalanced="0"/>
    <cacheHierarchy uniqueName="[Table1].[Quarter]" caption="Quarter" attribute="1" defaultMemberUniqueName="[Table1].[Quarter].[All]" allUniqueName="[Table1].[Quarter].[All]" dimensionUniqueName="[Table1]" displayFolder="" count="2" memberValueDatatype="13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Target Sales]" caption="Target Sales" attribute="1" defaultMemberUniqueName="[Table1].[Target Sales].[All]" allUniqueName="[Table1].[Target Sales].[All]" dimensionUniqueName="[Table1]" displayFolder="" count="0" memberValueDatatype="5" unbalanced="0"/>
    <cacheHierarchy uniqueName="[Table1].[No of Customers]" caption="No of Customers" attribute="1" defaultMemberUniqueName="[Table1].[No of Customers].[All]" allUniqueName="[Table1].[No of Customers].[All]" dimensionUniqueName="[Table1]" displayFolder="" count="0" memberValueDatatype="2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fieldsUsage count="2">
        <fieldUsage x="-1"/>
        <fieldUsage x="1"/>
      </fieldsUsage>
    </cacheHierarchy>
    <cacheHierarchy uniqueName="[Table1].[Customer Satisfaction]" caption="Customer Satisfaction" attribute="1" defaultMemberUniqueName="[Table1].[Customer Satisfaction].[All]" allUniqueName="[Table1].[Customer Satisfaction].[All]" dimensionUniqueName="[Table1]" displayFolder="" count="0" memberValueDatatype="130" unbalanced="0"/>
    <cacheHierarchy uniqueName="[Table1].[Number]" caption="Number" attribute="1" defaultMemberUniqueName="[Table1].[Number].[All]" allUniqueName="[Table1].[Number].[All]" dimensionUniqueName="[Table1]" displayFolder="" count="0" memberValueDatatype="20" unbalanced="0"/>
    <cacheHierarchy uniqueName="[Table1].[Score]" caption="Score" attribute="1" defaultMemberUniqueName="[Table1].[Score].[All]" allUniqueName="[Table1].[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No of Customers]" caption="Sum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Table1" count="0" hidden="1">
      <extLst>
        <ext xmlns:x15="http://schemas.microsoft.com/office/spreadsheetml/2010/11/main" uri="{B97F6D7D-B522-45F9-BDA1-12C45D357490}">
          <x15:cacheHierarchy aggregatedColumn="6"/>
        </ext>
      </extLst>
    </cacheHierarchy>
    <cacheHierarchy uniqueName="[Measures].[Count of No of Customers]" caption="Count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Count of Customer Satisfaction]" caption="Count of Customer Satisfaction" measure="1" displayFolder="" measureGroup="Table1"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Table1" count="0" hidden="1">
      <extLst>
        <ext xmlns:x15="http://schemas.microsoft.com/office/spreadsheetml/2010/11/main" uri="{B97F6D7D-B522-45F9-BDA1-12C45D357490}">
          <x15:cacheHierarchy aggregatedColumn="15"/>
        </ext>
      </extLst>
    </cacheHierarchy>
    <cacheHierarchy uniqueName="[Measures].[Sum of Number]" caption="Sum of Number" measure="1" displayFolder="" measureGroup="Table1" count="0" hidden="1">
      <extLst>
        <ext xmlns:x15="http://schemas.microsoft.com/office/spreadsheetml/2010/11/main" uri="{B97F6D7D-B522-45F9-BDA1-12C45D357490}">
          <x15:cacheHierarchy aggregatedColumn="14"/>
        </ext>
      </extLst>
    </cacheHierarchy>
    <cacheHierarchy uniqueName="[Measures].[Average of Number]" caption="Average of Number"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19.986051388893" backgroundQuery="1" createdVersion="8" refreshedVersion="8" minRefreshableVersion="3" recordCount="0" supportSubquery="1" supportAdvancedDrill="1" xr:uid="{C1DBFEBE-64E6-4439-866F-1A5853E6A9F7}">
  <cacheSource type="external" connectionId="1"/>
  <cacheFields count="3">
    <cacheField name="[Measures].[Sum of No of Customers]" caption="Sum of No of Customers" numFmtId="0" hierarchy="21" level="32767"/>
    <cacheField name="[Table1].[Month].[Month]" caption="Month" numFmtId="0" hierarchy="2" level="1">
      <sharedItems count="12">
        <s v="Apr"/>
        <s v="Aug"/>
        <s v="Dec"/>
        <s v="Feb"/>
        <s v="Jan"/>
        <s v="Jul"/>
        <s v="Jun"/>
        <s v="Mar"/>
        <s v="May"/>
        <s v="Nov"/>
        <s v="Oct"/>
        <s v="Sep"/>
      </sharedItems>
    </cacheField>
    <cacheField name="[Table1].[Quarter].[Quarter]" caption="Quarter" numFmtId="0" hierarchy="1" level="1">
      <sharedItems containsSemiMixedTypes="0" containsNonDate="0" containsString="0"/>
    </cacheField>
  </cacheFields>
  <cacheHierarchies count="35">
    <cacheHierarchy uniqueName="[Table1].[Date]" caption="Date" attribute="1" time="1" defaultMemberUniqueName="[Table1].[Date].[All]" allUniqueName="[Table1].[Date].[All]" dimensionUniqueName="[Table1]" displayFolder="" count="0" memberValueDatatype="7" unbalanced="0"/>
    <cacheHierarchy uniqueName="[Table1].[Quarter]" caption="Quarter" attribute="1" defaultMemberUniqueName="[Table1].[Quarter].[All]" allUniqueName="[Table1].[Quarter].[All]" dimensionUniqueName="[Table1]" displayFolder="" count="2" memberValueDatatype="130" unbalanced="0">
      <fieldsUsage count="2">
        <fieldUsage x="-1"/>
        <fieldUsage x="2"/>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Target Sales]" caption="Target Sales" attribute="1" defaultMemberUniqueName="[Table1].[Target Sales].[All]" allUniqueName="[Table1].[Target Sales].[All]" dimensionUniqueName="[Table1]" displayFolder="" count="0" memberValueDatatype="5" unbalanced="0"/>
    <cacheHierarchy uniqueName="[Table1].[No of Customers]" caption="No of Customers" attribute="1" defaultMemberUniqueName="[Table1].[No of Customers].[All]" allUniqueName="[Table1].[No of Customers].[All]" dimensionUniqueName="[Table1]" displayFolder="" count="0" memberValueDatatype="2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ustomer Satisfaction]" caption="Customer Satisfaction" attribute="1" defaultMemberUniqueName="[Table1].[Customer Satisfaction].[All]" allUniqueName="[Table1].[Customer Satisfaction].[All]" dimensionUniqueName="[Table1]" displayFolder="" count="0" memberValueDatatype="130" unbalanced="0"/>
    <cacheHierarchy uniqueName="[Table1].[Number]" caption="Number" attribute="1" defaultMemberUniqueName="[Table1].[Number].[All]" allUniqueName="[Table1].[Number].[All]" dimensionUniqueName="[Table1]" displayFolder="" count="0" memberValueDatatype="20" unbalanced="0"/>
    <cacheHierarchy uniqueName="[Table1].[Score]" caption="Score" attribute="1" defaultMemberUniqueName="[Table1].[Score].[All]" allUniqueName="[Table1].[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5"/>
        </ext>
      </extLst>
    </cacheHierarchy>
    <cacheHierarchy uniqueName="[Measures].[Sum of No of Customers]" caption="Sum of No of Customer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Profit]" caption="Count of Profit" measure="1" displayFolder="" measureGroup="Table1" count="0" hidden="1">
      <extLst>
        <ext xmlns:x15="http://schemas.microsoft.com/office/spreadsheetml/2010/11/main" uri="{B97F6D7D-B522-45F9-BDA1-12C45D357490}">
          <x15:cacheHierarchy aggregatedColumn="6"/>
        </ext>
      </extLst>
    </cacheHierarchy>
    <cacheHierarchy uniqueName="[Measures].[Count of No of Customers]" caption="Count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Count of Customer Satisfaction]" caption="Count of Customer Satisfaction" measure="1" displayFolder="" measureGroup="Table1"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Table1" count="0" hidden="1">
      <extLst>
        <ext xmlns:x15="http://schemas.microsoft.com/office/spreadsheetml/2010/11/main" uri="{B97F6D7D-B522-45F9-BDA1-12C45D357490}">
          <x15:cacheHierarchy aggregatedColumn="15"/>
        </ext>
      </extLst>
    </cacheHierarchy>
    <cacheHierarchy uniqueName="[Measures].[Sum of Number]" caption="Sum of Number" measure="1" displayFolder="" measureGroup="Table1" count="0" hidden="1">
      <extLst>
        <ext xmlns:x15="http://schemas.microsoft.com/office/spreadsheetml/2010/11/main" uri="{B97F6D7D-B522-45F9-BDA1-12C45D357490}">
          <x15:cacheHierarchy aggregatedColumn="14"/>
        </ext>
      </extLst>
    </cacheHierarchy>
    <cacheHierarchy uniqueName="[Measures].[Average of Number]" caption="Average of Number"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19.986051967593" backgroundQuery="1" createdVersion="8" refreshedVersion="8" minRefreshableVersion="3" recordCount="0" supportSubquery="1" supportAdvancedDrill="1" xr:uid="{C07CFA6F-5FD7-4DEC-8815-5CDA6289B91E}">
  <cacheSource type="external" connectionId="1"/>
  <cacheFields count="4">
    <cacheField name="[Table1].[Region].[Region]" caption="Region" numFmtId="0" hierarchy="4" level="1">
      <sharedItems count="4">
        <s v="East"/>
        <s v="North"/>
        <s v="South"/>
        <s v="West"/>
      </sharedItems>
    </cacheField>
    <cacheField name="[Measures].[Sum of Profit]" caption="Sum of Profit" numFmtId="0" hierarchy="18" level="32767"/>
    <cacheField name="[Measures].[Sum of Sales]" caption="Sum of Sales" numFmtId="0" hierarchy="20" level="32767"/>
    <cacheField name="[Table1].[Quarter].[Quarter]" caption="Quarter" numFmtId="0" hierarchy="1" level="1">
      <sharedItems containsSemiMixedTypes="0" containsNonDate="0" containsString="0"/>
    </cacheField>
  </cacheFields>
  <cacheHierarchies count="35">
    <cacheHierarchy uniqueName="[Table1].[Date]" caption="Date" attribute="1" time="1" defaultMemberUniqueName="[Table1].[Date].[All]" allUniqueName="[Table1].[Date].[All]" dimensionUniqueName="[Table1]" displayFolder="" count="0" memberValueDatatype="7" unbalanced="0"/>
    <cacheHierarchy uniqueName="[Table1].[Quarter]" caption="Quarter" attribute="1" defaultMemberUniqueName="[Table1].[Quarter].[All]" allUniqueName="[Table1].[Quarter].[All]" dimensionUniqueName="[Table1]" displayFolder="" count="2" memberValueDatatype="130" unbalanced="0">
      <fieldsUsage count="2">
        <fieldUsage x="-1"/>
        <fieldUsage x="3"/>
      </fieldsUsage>
    </cacheHierarchy>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Target Sales]" caption="Target Sales" attribute="1" defaultMemberUniqueName="[Table1].[Target Sales].[All]" allUniqueName="[Table1].[Target Sales].[All]" dimensionUniqueName="[Table1]" displayFolder="" count="0" memberValueDatatype="5" unbalanced="0"/>
    <cacheHierarchy uniqueName="[Table1].[No of Customers]" caption="No of Customers" attribute="1" defaultMemberUniqueName="[Table1].[No of Customers].[All]" allUniqueName="[Table1].[No of Customers].[All]" dimensionUniqueName="[Table1]" displayFolder="" count="0" memberValueDatatype="2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ustomer Satisfaction]" caption="Customer Satisfaction" attribute="1" defaultMemberUniqueName="[Table1].[Customer Satisfaction].[All]" allUniqueName="[Table1].[Customer Satisfaction].[All]" dimensionUniqueName="[Table1]" displayFolder="" count="0" memberValueDatatype="130" unbalanced="0"/>
    <cacheHierarchy uniqueName="[Table1].[Number]" caption="Number" attribute="1" defaultMemberUniqueName="[Table1].[Number].[All]" allUniqueName="[Table1].[Number].[All]" dimensionUniqueName="[Table1]" displayFolder="" count="0" memberValueDatatype="20" unbalanced="0"/>
    <cacheHierarchy uniqueName="[Table1].[Score]" caption="Score" attribute="1" defaultMemberUniqueName="[Table1].[Score].[All]" allUniqueName="[Table1].[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No of Customers]" caption="Sum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Table1" count="0" hidden="1">
      <extLst>
        <ext xmlns:x15="http://schemas.microsoft.com/office/spreadsheetml/2010/11/main" uri="{B97F6D7D-B522-45F9-BDA1-12C45D357490}">
          <x15:cacheHierarchy aggregatedColumn="6"/>
        </ext>
      </extLst>
    </cacheHierarchy>
    <cacheHierarchy uniqueName="[Measures].[Count of No of Customers]" caption="Count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Count of Customer Satisfaction]" caption="Count of Customer Satisfaction" measure="1" displayFolder="" measureGroup="Table1"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Table1" count="0" hidden="1">
      <extLst>
        <ext xmlns:x15="http://schemas.microsoft.com/office/spreadsheetml/2010/11/main" uri="{B97F6D7D-B522-45F9-BDA1-12C45D357490}">
          <x15:cacheHierarchy aggregatedColumn="15"/>
        </ext>
      </extLst>
    </cacheHierarchy>
    <cacheHierarchy uniqueName="[Measures].[Sum of Number]" caption="Sum of Number" measure="1" displayFolder="" measureGroup="Table1" count="0" hidden="1">
      <extLst>
        <ext xmlns:x15="http://schemas.microsoft.com/office/spreadsheetml/2010/11/main" uri="{B97F6D7D-B522-45F9-BDA1-12C45D357490}">
          <x15:cacheHierarchy aggregatedColumn="14"/>
        </ext>
      </extLst>
    </cacheHierarchy>
    <cacheHierarchy uniqueName="[Measures].[Average of Number]" caption="Average of Number"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19.98605266204" backgroundQuery="1" createdVersion="8" refreshedVersion="8" minRefreshableVersion="3" recordCount="0" supportSubquery="1" supportAdvancedDrill="1" xr:uid="{BC1D3719-BDD6-4B71-951E-B249F3C9C6BF}">
  <cacheSource type="external" connectionId="1"/>
  <cacheFields count="3">
    <cacheField name="[Table1].[Region].[Region]" caption="Region" numFmtId="0" hierarchy="4" level="1">
      <sharedItems count="4">
        <s v="East"/>
        <s v="North"/>
        <s v="South"/>
        <s v="West"/>
      </sharedItems>
    </cacheField>
    <cacheField name="[Measures].[Sum of Sales]" caption="Sum of Sales" numFmtId="0" hierarchy="20" level="32767"/>
    <cacheField name="[Table1].[Quarter].[Quarter]" caption="Quarter" numFmtId="0" hierarchy="1" level="1">
      <sharedItems containsSemiMixedTypes="0" containsNonDate="0" containsString="0"/>
    </cacheField>
  </cacheFields>
  <cacheHierarchies count="35">
    <cacheHierarchy uniqueName="[Table1].[Date]" caption="Date" attribute="1" time="1" defaultMemberUniqueName="[Table1].[Date].[All]" allUniqueName="[Table1].[Date].[All]" dimensionUniqueName="[Table1]" displayFolder="" count="0" memberValueDatatype="7" unbalanced="0"/>
    <cacheHierarchy uniqueName="[Table1].[Quarter]" caption="Quarter" attribute="1" defaultMemberUniqueName="[Table1].[Quarter].[All]" allUniqueName="[Table1].[Quarter].[All]" dimensionUniqueName="[Table1]" displayFolder="" count="2" memberValueDatatype="13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Target Sales]" caption="Target Sales" attribute="1" defaultMemberUniqueName="[Table1].[Target Sales].[All]" allUniqueName="[Table1].[Target Sales].[All]" dimensionUniqueName="[Table1]" displayFolder="" count="0" memberValueDatatype="5" unbalanced="0"/>
    <cacheHierarchy uniqueName="[Table1].[No of Customers]" caption="No of Customers" attribute="1" defaultMemberUniqueName="[Table1].[No of Customers].[All]" allUniqueName="[Table1].[No of Customers].[All]" dimensionUniqueName="[Table1]" displayFolder="" count="0" memberValueDatatype="2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ustomer Satisfaction]" caption="Customer Satisfaction" attribute="1" defaultMemberUniqueName="[Table1].[Customer Satisfaction].[All]" allUniqueName="[Table1].[Customer Satisfaction].[All]" dimensionUniqueName="[Table1]" displayFolder="" count="0" memberValueDatatype="130" unbalanced="0"/>
    <cacheHierarchy uniqueName="[Table1].[Number]" caption="Number" attribute="1" defaultMemberUniqueName="[Table1].[Number].[All]" allUniqueName="[Table1].[Number].[All]" dimensionUniqueName="[Table1]" displayFolder="" count="0" memberValueDatatype="20" unbalanced="0"/>
    <cacheHierarchy uniqueName="[Table1].[Score]" caption="Score" attribute="1" defaultMemberUniqueName="[Table1].[Score].[All]" allUniqueName="[Table1].[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o of Customers]" caption="Sum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Table1" count="0" hidden="1">
      <extLst>
        <ext xmlns:x15="http://schemas.microsoft.com/office/spreadsheetml/2010/11/main" uri="{B97F6D7D-B522-45F9-BDA1-12C45D357490}">
          <x15:cacheHierarchy aggregatedColumn="6"/>
        </ext>
      </extLst>
    </cacheHierarchy>
    <cacheHierarchy uniqueName="[Measures].[Count of No of Customers]" caption="Count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Count of Customer Satisfaction]" caption="Count of Customer Satisfaction" measure="1" displayFolder="" measureGroup="Table1"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Table1" count="0" hidden="1">
      <extLst>
        <ext xmlns:x15="http://schemas.microsoft.com/office/spreadsheetml/2010/11/main" uri="{B97F6D7D-B522-45F9-BDA1-12C45D357490}">
          <x15:cacheHierarchy aggregatedColumn="15"/>
        </ext>
      </extLst>
    </cacheHierarchy>
    <cacheHierarchy uniqueName="[Measures].[Sum of Number]" caption="Sum of Number" measure="1" displayFolder="" measureGroup="Table1" count="0" hidden="1">
      <extLst>
        <ext xmlns:x15="http://schemas.microsoft.com/office/spreadsheetml/2010/11/main" uri="{B97F6D7D-B522-45F9-BDA1-12C45D357490}">
          <x15:cacheHierarchy aggregatedColumn="14"/>
        </ext>
      </extLst>
    </cacheHierarchy>
    <cacheHierarchy uniqueName="[Measures].[Average of Number]" caption="Average of Number"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19.986053356479" backgroundQuery="1" createdVersion="8" refreshedVersion="8" minRefreshableVersion="3" recordCount="0" supportSubquery="1" supportAdvancedDrill="1" xr:uid="{72333BB5-E1A3-49AF-98EC-DB7C40FB3FB2}">
  <cacheSource type="external" connectionId="1"/>
  <cacheFields count="4">
    <cacheField name="[Table1].[Month].[Month]" caption="Month" numFmtId="0" hierarchy="2" level="1">
      <sharedItems count="12">
        <s v="Apr"/>
        <s v="Aug"/>
        <s v="Dec"/>
        <s v="Feb"/>
        <s v="Jan"/>
        <s v="Jul"/>
        <s v="Jun"/>
        <s v="Mar"/>
        <s v="May"/>
        <s v="Nov"/>
        <s v="Oct"/>
        <s v="Sep"/>
      </sharedItems>
    </cacheField>
    <cacheField name="[Measures].[Sum of Sales]" caption="Sum of Sales" numFmtId="0" hierarchy="20" level="32767"/>
    <cacheField name="[Measures].[Sum of Target Sales]" caption="Sum of Target Sales" numFmtId="0" hierarchy="19" level="32767"/>
    <cacheField name="[Table1].[Quarter].[Quarter]" caption="Quarter" numFmtId="0" hierarchy="1" level="1">
      <sharedItems containsSemiMixedTypes="0" containsNonDate="0" containsString="0"/>
    </cacheField>
  </cacheFields>
  <cacheHierarchies count="35">
    <cacheHierarchy uniqueName="[Table1].[Date]" caption="Date" attribute="1" time="1" defaultMemberUniqueName="[Table1].[Date].[All]" allUniqueName="[Table1].[Date].[All]" dimensionUniqueName="[Table1]" displayFolder="" count="0" memberValueDatatype="7" unbalanced="0"/>
    <cacheHierarchy uniqueName="[Table1].[Quarter]" caption="Quarter" attribute="1" defaultMemberUniqueName="[Table1].[Quarter].[All]" allUniqueName="[Table1].[Quarter].[All]" dimensionUniqueName="[Table1]" displayFolder="" count="2" memberValueDatatype="130" unbalanced="0">
      <fieldsUsage count="2">
        <fieldUsage x="-1"/>
        <fieldUsage x="3"/>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Target Sales]" caption="Target Sales" attribute="1" defaultMemberUniqueName="[Table1].[Target Sales].[All]" allUniqueName="[Table1].[Target Sales].[All]" dimensionUniqueName="[Table1]" displayFolder="" count="0" memberValueDatatype="5" unbalanced="0"/>
    <cacheHierarchy uniqueName="[Table1].[No of Customers]" caption="No of Customers" attribute="1" defaultMemberUniqueName="[Table1].[No of Customers].[All]" allUniqueName="[Table1].[No of Customers].[All]" dimensionUniqueName="[Table1]" displayFolder="" count="0" memberValueDatatype="2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ustomer Satisfaction]" caption="Customer Satisfaction" attribute="1" defaultMemberUniqueName="[Table1].[Customer Satisfaction].[All]" allUniqueName="[Table1].[Customer Satisfaction].[All]" dimensionUniqueName="[Table1]" displayFolder="" count="0" memberValueDatatype="130" unbalanced="0"/>
    <cacheHierarchy uniqueName="[Table1].[Number]" caption="Number" attribute="1" defaultMemberUniqueName="[Table1].[Number].[All]" allUniqueName="[Table1].[Number].[All]" dimensionUniqueName="[Table1]" displayFolder="" count="0" memberValueDatatype="20" unbalanced="0"/>
    <cacheHierarchy uniqueName="[Table1].[Score]" caption="Score" attribute="1" defaultMemberUniqueName="[Table1].[Score].[All]" allUniqueName="[Table1].[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y uniqueName="[Measures].[Sum of Target Sales]" caption="Sum of Target Sales"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o of Customers]" caption="Sum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Table1" count="0" hidden="1">
      <extLst>
        <ext xmlns:x15="http://schemas.microsoft.com/office/spreadsheetml/2010/11/main" uri="{B97F6D7D-B522-45F9-BDA1-12C45D357490}">
          <x15:cacheHierarchy aggregatedColumn="6"/>
        </ext>
      </extLst>
    </cacheHierarchy>
    <cacheHierarchy uniqueName="[Measures].[Count of No of Customers]" caption="Count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Count of Customer Satisfaction]" caption="Count of Customer Satisfaction" measure="1" displayFolder="" measureGroup="Table1"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Table1" count="0" hidden="1">
      <extLst>
        <ext xmlns:x15="http://schemas.microsoft.com/office/spreadsheetml/2010/11/main" uri="{B97F6D7D-B522-45F9-BDA1-12C45D357490}">
          <x15:cacheHierarchy aggregatedColumn="15"/>
        </ext>
      </extLst>
    </cacheHierarchy>
    <cacheHierarchy uniqueName="[Measures].[Sum of Number]" caption="Sum of Number" measure="1" displayFolder="" measureGroup="Table1" count="0" hidden="1">
      <extLst>
        <ext xmlns:x15="http://schemas.microsoft.com/office/spreadsheetml/2010/11/main" uri="{B97F6D7D-B522-45F9-BDA1-12C45D357490}">
          <x15:cacheHierarchy aggregatedColumn="14"/>
        </ext>
      </extLst>
    </cacheHierarchy>
    <cacheHierarchy uniqueName="[Measures].[Average of Number]" caption="Average of Number"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918.953480671298" backgroundQuery="1" createdVersion="3" refreshedVersion="8" minRefreshableVersion="3" recordCount="0" supportSubquery="1" supportAdvancedDrill="1" xr:uid="{797F15BD-7167-4FE2-97AF-20978B811639}">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Date]" caption="Date" attribute="1" time="1" defaultMemberUniqueName="[Table1].[Date].[All]" allUniqueName="[Table1].[Date].[All]" dimensionUniqueName="[Table1]" displayFolder="" count="0" memberValueDatatype="7" unbalanced="0"/>
    <cacheHierarchy uniqueName="[Table1].[Quarter]" caption="Quarter" attribute="1" defaultMemberUniqueName="[Table1].[Quarter].[All]" allUniqueName="[Table1].[Quarte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Target Sales]" caption="Target Sales" attribute="1" defaultMemberUniqueName="[Table1].[Target Sales].[All]" allUniqueName="[Table1].[Target Sales].[All]" dimensionUniqueName="[Table1]" displayFolder="" count="0" memberValueDatatype="5" unbalanced="0"/>
    <cacheHierarchy uniqueName="[Table1].[No of Customers]" caption="No of Customers" attribute="1" defaultMemberUniqueName="[Table1].[No of Customers].[All]" allUniqueName="[Table1].[No of Customers].[All]" dimensionUniqueName="[Table1]" displayFolder="" count="0" memberValueDatatype="20" unbalanced="0"/>
    <cacheHierarchy uniqueName="[Table1].[Sales Completion Rate]" caption="Sales Completion Rate" attribute="1" defaultMemberUniqueName="[Table1].[Sales Completion Rate].[All]" allUniqueName="[Table1].[Sales Completion Rate].[All]" dimensionUniqueName="[Table1]" displayFolder="" count="0" memberValueDatatype="5" unbalanced="0"/>
    <cacheHierarchy uniqueName="[Table1].[Profit Completion Rate]" caption="Profit Completion Rate" attribute="1" defaultMemberUniqueName="[Table1].[Profit Completion Rate].[All]" allUniqueName="[Table1].[Profit Completion Rate].[All]" dimensionUniqueName="[Table1]" displayFolder="" count="0" memberValueDatatype="5" unbalanced="0"/>
    <cacheHierarchy uniqueName="[Table1].[Customer Completion Rate]" caption="Customer Completion Rate" attribute="1" defaultMemberUniqueName="[Table1].[Customer Completion Rate].[All]" allUniqueName="[Table1].[Customer Completion Rate].[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Customer Satisfaction]" caption="Customer Satisfaction" attribute="1" defaultMemberUniqueName="[Table1].[Customer Satisfaction].[All]" allUniqueName="[Table1].[Customer Satisfaction].[All]" dimensionUniqueName="[Table1]" displayFolder="" count="0" memberValueDatatype="130" unbalanced="0"/>
    <cacheHierarchy uniqueName="[Table1].[Number]" caption="Number" attribute="1" defaultMemberUniqueName="[Table1].[Number].[All]" allUniqueName="[Table1].[Number].[All]" dimensionUniqueName="[Table1]" displayFolder="" count="0" memberValueDatatype="20" unbalanced="0"/>
    <cacheHierarchy uniqueName="[Table1].[Score]" caption="Score" attribute="1" defaultMemberUniqueName="[Table1].[Score].[All]" allUniqueName="[Table1].[Scor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y uniqueName="[Measures].[Sum of Target Sales]" caption="Sum of Target Sales" measure="1" displayFolder="" measureGroup="Table1"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5"/>
        </ext>
      </extLst>
    </cacheHierarchy>
    <cacheHierarchy uniqueName="[Measures].[Sum of No of Customers]" caption="Sum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Table1" count="0" hidden="1">
      <extLst>
        <ext xmlns:x15="http://schemas.microsoft.com/office/spreadsheetml/2010/11/main" uri="{B97F6D7D-B522-45F9-BDA1-12C45D357490}">
          <x15:cacheHierarchy aggregatedColumn="6"/>
        </ext>
      </extLst>
    </cacheHierarchy>
    <cacheHierarchy uniqueName="[Measures].[Count of No of Customers]" caption="Count of No of Customers" measure="1" displayFolder="" measureGroup="Table1" count="0" hidden="1">
      <extLst>
        <ext xmlns:x15="http://schemas.microsoft.com/office/spreadsheetml/2010/11/main" uri="{B97F6D7D-B522-45F9-BDA1-12C45D357490}">
          <x15:cacheHierarchy aggregatedColumn="8"/>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Sum of Sales Completion Rate]" caption="Sum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Average of Sales Completion Rate]" caption="Average of Sales Completion Rate" measure="1" displayFolder="" measureGroup="Table1" count="0" hidden="1">
      <extLst>
        <ext xmlns:x15="http://schemas.microsoft.com/office/spreadsheetml/2010/11/main" uri="{B97F6D7D-B522-45F9-BDA1-12C45D357490}">
          <x15:cacheHierarchy aggregatedColumn="9"/>
        </ext>
      </extLst>
    </cacheHierarchy>
    <cacheHierarchy uniqueName="[Measures].[Sum of Profit Completion Rate]" caption="Sum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Profit Completion Rate]" caption="Average of Profit Completion Rate" measure="1" displayFolder="" measureGroup="Table1" count="0" hidden="1">
      <extLst>
        <ext xmlns:x15="http://schemas.microsoft.com/office/spreadsheetml/2010/11/main" uri="{B97F6D7D-B522-45F9-BDA1-12C45D357490}">
          <x15:cacheHierarchy aggregatedColumn="10"/>
        </ext>
      </extLst>
    </cacheHierarchy>
    <cacheHierarchy uniqueName="[Measures].[Average of Customer Completion Rate]" caption="Average of Customer Completion Rate" measure="1" displayFolder="" measureGroup="Table1" count="0" hidden="1">
      <extLst>
        <ext xmlns:x15="http://schemas.microsoft.com/office/spreadsheetml/2010/11/main" uri="{B97F6D7D-B522-45F9-BDA1-12C45D357490}">
          <x15:cacheHierarchy aggregatedColumn="11"/>
        </ext>
      </extLst>
    </cacheHierarchy>
    <cacheHierarchy uniqueName="[Measures].[Count of Customer Satisfaction]" caption="Count of Customer Satisfaction" measure="1" displayFolder="" measureGroup="Table1" count="0" hidden="1">
      <extLst>
        <ext xmlns:x15="http://schemas.microsoft.com/office/spreadsheetml/2010/11/main" uri="{B97F6D7D-B522-45F9-BDA1-12C45D357490}">
          <x15:cacheHierarchy aggregatedColumn="13"/>
        </ext>
      </extLst>
    </cacheHierarchy>
    <cacheHierarchy uniqueName="[Measures].[Sum of Score]" caption="Sum of Score" measure="1" displayFolder="" measureGroup="Table1" count="0" hidden="1">
      <extLst>
        <ext xmlns:x15="http://schemas.microsoft.com/office/spreadsheetml/2010/11/main" uri="{B97F6D7D-B522-45F9-BDA1-12C45D357490}">
          <x15:cacheHierarchy aggregatedColumn="15"/>
        </ext>
      </extLst>
    </cacheHierarchy>
    <cacheHierarchy uniqueName="[Measures].[Sum of Number]" caption="Sum of Number" measure="1" displayFolder="" measureGroup="Table1" count="0" hidden="1">
      <extLst>
        <ext xmlns:x15="http://schemas.microsoft.com/office/spreadsheetml/2010/11/main" uri="{B97F6D7D-B522-45F9-BDA1-12C45D357490}">
          <x15:cacheHierarchy aggregatedColumn="14"/>
        </ext>
      </extLst>
    </cacheHierarchy>
    <cacheHierarchy uniqueName="[Measures].[Average of Number]" caption="Average of Number" measure="1" displayFolder="" measureGroup="Table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991745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A92B7-B1E8-4CBB-B8D7-0317718F7A5F}" name="PivotTable9" cacheId="5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A76:C89" firstHeaderRow="0" firstDataRow="1" firstDataCol="1"/>
  <pivotFields count="4">
    <pivotField axis="axisRow" allDrilled="1" subtotalTop="0" showAll="0" defaultSubtotal="0" defaultAttributeDrillState="1">
      <items count="12">
        <item x="0"/>
        <item x="6"/>
        <item x="8"/>
        <item x="1"/>
        <item x="5"/>
        <item x="11"/>
        <item x="2"/>
        <item x="3"/>
        <item x="4"/>
        <item x="7"/>
        <item x="9"/>
        <item x="1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Target Sales" fld="2" baseField="0" baseItem="0"/>
    <dataField name="Actual Sales" fld="1" baseField="0" baseItem="0"/>
  </dataFields>
  <formats count="6">
    <format dxfId="53">
      <pivotArea type="all" dataOnly="0" outline="0"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fieldPosition="0">
        <references count="1">
          <reference field="4294967294" count="2">
            <x v="0"/>
            <x v="1"/>
          </reference>
        </references>
      </pivotArea>
    </format>
    <format dxfId="48">
      <pivotArea outline="0" collapsedLevelsAreSubtotals="1" fieldPosition="0"/>
    </format>
  </formats>
  <chartFormats count="2">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arget Sales"/>
    <pivotHierarchy dragToData="1" caption="Actu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8" showRowHeaders="1" showColHeaders="1" showRowStripes="0" showColStripes="1"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2FEE4-9137-4C0E-A2F2-7B138B823B17}" name="PivotTable7" cacheId="5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C60"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Total Sales" fld="2" baseField="0" baseItem="0"/>
    <dataField name="Profits" fld="1" baseField="0" baseItem="0"/>
  </dataFields>
  <formats count="1">
    <format dxfId="54">
      <pivotArea outline="0" collapsedLevelsAreSubtotals="1" fieldPosition="0"/>
    </format>
  </format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1"/>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1"/>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1"/>
          </reference>
          <reference field="0" count="1" selected="0">
            <x v="2"/>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rofits"/>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8" showRowHeaders="1" showColHeaders="1" showRowStripes="0" showColStripes="1"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2C39D0-39EF-4963-8244-682B40A7B056}" name="PivotTable2" cacheId="5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C1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Sales Completion Rate" fld="0" subtotal="average" baseField="0" baseItem="0"/>
    <dataField name="Average of Profit Completion Rate" fld="1" subtotal="average" baseField="0" baseItem="1"/>
    <dataField name="Average of Customer Completion Rate" fld="2" subtotal="average" baseField="0" baseItem="2"/>
  </dataField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Sales2"/>
    <pivotHierarchy dragToData="1" caption="No of Customers"/>
    <pivotHierarchy dragToData="1"/>
    <pivotHierarchy dragToData="1" caption="Count of No of Customers"/>
    <pivotHierarchy dragToData="1" caption="Count of Sales"/>
    <pivotHierarchy dragToData="1"/>
    <pivotHierarchy dragToData="1"/>
    <pivotHierarchy dragToData="1" caption="Average of Sales Completion Rate"/>
    <pivotHierarchy dragToData="1"/>
    <pivotHierarchy dragToData="1" caption="Average of Profit Completion Rate"/>
    <pivotHierarchy dragToData="1" caption="Average of Customer Completion Rate"/>
    <pivotHierarchy dragToData="1"/>
    <pivotHierarchy dragToData="1"/>
    <pivotHierarchy dragToData="1"/>
    <pivotHierarchy dragToData="1"/>
  </pivotHierarchies>
  <pivotTableStyleInfo name="PivotStyleDark18"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CC52A0-9573-4F93-A90A-AF98010A14A9}" name="PivotTable8" cacheId="5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6:B7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showDataAs="percentOfTotal" baseField="0" baseItem="0" numFmtId="10"/>
  </dataFields>
  <chartFormats count="5">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8" showRowHeaders="1" showColHeaders="1" showRowStripes="0" showColStripes="1"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E1CAD5-722D-4E4C-A268-3A2F34ED597B}" name="PivotTable6" cacheId="5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7:B50" firstHeaderRow="1" firstDataRow="1" firstDataCol="1"/>
  <pivotFields count="3">
    <pivotField dataField="1" subtotalTop="0" showAll="0" defaultSubtotal="0"/>
    <pivotField axis="axisRow" allDrilled="1" subtotalTop="0" showAll="0" nonAutoSortDefault="1"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No of Customers" fld="0" baseField="0" baseItem="0"/>
  </dataFields>
  <chartFormats count="16">
    <chartFormat chart="2" format="0"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5" format="11">
      <pivotArea type="data" outline="0" fieldPosition="0">
        <references count="2">
          <reference field="4294967294" count="1" selected="0">
            <x v="0"/>
          </reference>
          <reference field="1" count="1" selected="0">
            <x v="4"/>
          </reference>
        </references>
      </pivotArea>
    </chartFormat>
    <chartFormat chart="5" format="12">
      <pivotArea type="data" outline="0" fieldPosition="0">
        <references count="2">
          <reference field="4294967294" count="1" selected="0">
            <x v="0"/>
          </reference>
          <reference field="1" count="1" selected="0">
            <x v="5"/>
          </reference>
        </references>
      </pivotArea>
    </chartFormat>
    <chartFormat chart="5" format="13">
      <pivotArea type="data" outline="0" fieldPosition="0">
        <references count="2">
          <reference field="4294967294" count="1" selected="0">
            <x v="0"/>
          </reference>
          <reference field="1" count="1" selected="0">
            <x v="6"/>
          </reference>
        </references>
      </pivotArea>
    </chartFormat>
    <chartFormat chart="5" format="14">
      <pivotArea type="data" outline="0" fieldPosition="0">
        <references count="2">
          <reference field="4294967294" count="1" selected="0">
            <x v="0"/>
          </reference>
          <reference field="1" count="1" selected="0">
            <x v="7"/>
          </reference>
        </references>
      </pivotArea>
    </chartFormat>
    <chartFormat chart="5" format="15">
      <pivotArea type="data" outline="0" fieldPosition="0">
        <references count="2">
          <reference field="4294967294" count="1" selected="0">
            <x v="0"/>
          </reference>
          <reference field="1" count="1" selected="0">
            <x v="8"/>
          </reference>
        </references>
      </pivotArea>
    </chartFormat>
    <chartFormat chart="5" format="16">
      <pivotArea type="data" outline="0" fieldPosition="0">
        <references count="2">
          <reference field="4294967294" count="1" selected="0">
            <x v="0"/>
          </reference>
          <reference field="1" count="1" selected="0">
            <x v="9"/>
          </reference>
        </references>
      </pivotArea>
    </chartFormat>
    <chartFormat chart="5" format="17">
      <pivotArea type="data" outline="0" fieldPosition="0">
        <references count="2">
          <reference field="4294967294" count="1" selected="0">
            <x v="0"/>
          </reference>
          <reference field="1" count="1" selected="0">
            <x v="10"/>
          </reference>
        </references>
      </pivotArea>
    </chartFormat>
    <chartFormat chart="5" format="18">
      <pivotArea type="data" outline="0" fieldPosition="0">
        <references count="2">
          <reference field="4294967294" count="1" selected="0">
            <x v="0"/>
          </reference>
          <reference field="1" count="1" selected="0">
            <x v="11"/>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umber"/>
  </pivotHierarchies>
  <pivotTableStyleInfo name="PivotStyleDark18" showRowHeaders="1" showColHeaders="1" showRowStripes="0" showColStripes="1"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D27951-A28E-44C0-9C0F-4823CBF0593F}" name="PivotTable4" cacheId="5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3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fld="0" baseField="0" baseItem="0" numFmtId="164"/>
  </dataFields>
  <formats count="1">
    <format dxfId="55">
      <pivotArea outline="0" collapsedLevelsAreSubtotals="1" fieldPosition="0"/>
    </format>
  </format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8" showRowHeaders="1" showColHeaders="1" showRowStripes="0" showColStripes="1"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22041D-E9F7-47C1-BA4B-A106A381237F}" name="PivotTable3" cacheId="5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4:B20" firstHeaderRow="1" firstDataRow="1" firstDataCol="1"/>
  <pivotFields count="3">
    <pivotField axis="axisRow" allDrilled="1" showAll="0" insertBlankRow="1" dataSourceSort="1" defaultAttributeDrillState="1">
      <items count="6">
        <item x="0"/>
        <item x="1"/>
        <item x="2"/>
        <item x="3"/>
        <item x="4"/>
        <item t="default"/>
      </items>
    </pivotField>
    <pivotField dataField="1" subtotalTop="0" showAll="0" insertBlankRow="1"/>
    <pivotField allDrilled="1" subtotalTop="0" showAll="0" insertBlankRow="1" dataSourceSort="1" defaultAttributeDrillState="1"/>
  </pivotFields>
  <rowFields count="1">
    <field x="0"/>
  </rowFields>
  <rowItems count="6">
    <i>
      <x/>
    </i>
    <i>
      <x v="1"/>
    </i>
    <i>
      <x v="2"/>
    </i>
    <i>
      <x v="3"/>
    </i>
    <i>
      <x v="4"/>
    </i>
    <i t="grand">
      <x/>
    </i>
  </rowItems>
  <colItems count="1">
    <i/>
  </colItems>
  <dataFields count="1">
    <dataField name="Sum of Score" fld="1" showDataAs="percentOfTotal" baseField="0" baseItem="0" numFmtId="10"/>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Sales2"/>
    <pivotHierarchy dragToData="1" caption="No of Customers"/>
    <pivotHierarchy dragToData="1"/>
    <pivotHierarchy dragToData="1" caption="Count of No of Customers"/>
    <pivotHierarchy dragToData="1" caption="Count of Sales"/>
    <pivotHierarchy dragToData="1"/>
    <pivotHierarchy dragToData="1"/>
    <pivotHierarchy dragToData="1" caption="Average of Sales Completion Rate"/>
    <pivotHierarchy dragToData="1"/>
    <pivotHierarchy dragToData="1" caption="Average of Profit Completion Rate"/>
    <pivotHierarchy dragToData="1" caption="Average of Customer Completion Rate"/>
    <pivotHierarchy dragToData="1"/>
    <pivotHierarchy dragToData="1"/>
    <pivotHierarchy dragToData="1"/>
    <pivotHierarchy dragToData="1"/>
  </pivotHierarchies>
  <pivotTableStyleInfo name="PivotStyleDark18" showRowHeaders="1" showColHeaders="1" showRowStripes="0" showColStripes="1"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data.xlsx!Table1">
        <x15:activeTabTopLevelEntity name="[Table1]"/>
      </x15:pivotTableUISettings>
    </ext>
    <ext xmlns:xpdl="http://schemas.microsoft.com/office/spreadsheetml/2016/pivotdefaultlayout" uri="{747A6164-185A-40DC-8AA5-F01512510D54}">
      <xpdl:pivotTableDefinition16 SubtotalsOnTopDefault="0" InsertBlankRowDefault="1"/>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364228-C252-48D6-BF6C-3DEA9D95CAAD}" name="PivotTable1" cacheId="5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No of Customers" fld="3" baseField="0" baseItem="1" numFmtId="3"/>
    <dataField name="Sum of Sales" fld="0" baseField="0" baseItem="1" numFmtId="164"/>
    <dataField name="Sum of Profit" fld="1" baseField="0" baseItem="0" numFmtId="164"/>
    <dataField name="Sum of Target Sales" fld="2" baseField="0" baseItem="0" numFmtId="164"/>
  </dataFields>
  <formats count="4">
    <format dxfId="59">
      <pivotArea outline="0" collapsedLevelsAreSubtotals="1" fieldPosition="0">
        <references count="1">
          <reference field="4294967294" count="1" selected="0">
            <x v="1"/>
          </reference>
        </references>
      </pivotArea>
    </format>
    <format dxfId="58">
      <pivotArea outline="0" collapsedLevelsAreSubtotals="1" fieldPosition="0">
        <references count="1">
          <reference field="4294967294" count="1" selected="0">
            <x v="2"/>
          </reference>
        </references>
      </pivotArea>
    </format>
    <format dxfId="57">
      <pivotArea outline="0" collapsedLevelsAreSubtotals="1" fieldPosition="0">
        <references count="1">
          <reference field="4294967294" count="1" selected="0">
            <x v="3"/>
          </reference>
        </references>
      </pivotArea>
    </format>
    <format dxfId="56">
      <pivotArea outline="0" fieldPosition="0">
        <references count="1">
          <reference field="4294967294" count="1">
            <x v="0"/>
          </reference>
        </references>
      </pivotArea>
    </format>
  </formats>
  <pivotHierarchies count="3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Sales2"/>
    <pivotHierarchy dragToData="1" caption="No of Customers"/>
    <pivotHierarchy dragToData="1"/>
    <pivotHierarchy dragToData="1" caption="Count of No of Customers"/>
    <pivotHierarchy dragToData="1" caption="Count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8" showRowHeaders="1" showColHeaders="1" showRowStripes="0" showColStripes="1"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37F6162C-9838-4640-A5A1-80494B8439C5}" sourceName="[Table1].[Quarter]">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9"/>
  </pivotTables>
  <data>
    <olap pivotCacheId="1499174536">
      <levels count="2">
        <level uniqueName="[Table1].[Quarter].[(All)]" sourceCaption="(All)" count="0"/>
        <level uniqueName="[Table1].[Quarter].[Quarter]" sourceCaption="Quarter" count="4">
          <ranges>
            <range startItem="0">
              <i n="[Table1].[Quarter].&amp;[Q1]" c="Q1"/>
              <i n="[Table1].[Quarter].&amp;[Q2]" c="Q2"/>
              <i n="[Table1].[Quarter].&amp;[Q3]" c="Q3"/>
              <i n="[Table1].[Quarter].&amp;[Q4]" c="Q4"/>
            </range>
          </ranges>
        </level>
      </levels>
      <selections count="1">
        <selection n="[Table1].[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9AB54609-9F60-44FD-9755-C40595A63833}" cache="Slicer_Quarter" columnCount="4" showCaption="0" level="1" style="SlicerStyleDark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968636-F7E9-4346-B7A5-22582D1BE976}" name="Table1" displayName="Table1" ref="A1:P64" totalsRowShown="0">
  <autoFilter ref="A1:P64" xr:uid="{97968636-F7E9-4346-B7A5-22582D1BE976}"/>
  <tableColumns count="16">
    <tableColumn id="1" xr3:uid="{FF943D9E-F1A1-4B93-B39E-63D7FAEA0534}" name="Date" dataDxfId="63"/>
    <tableColumn id="15" xr3:uid="{439B8705-AE21-4DA9-85F5-A53D21DD921C}" name="Quarter" dataDxfId="62">
      <calculatedColumnFormula>"Q"&amp; ROUNDUP(MONTH(Table1[[#This Row],[Date]])/3,0)</calculatedColumnFormula>
    </tableColumn>
    <tableColumn id="14" xr3:uid="{A6042429-BD38-44E2-8452-E9700DCF6C75}" name="Month" dataDxfId="61">
      <calculatedColumnFormula>TEXT(Table1[[#This Row],[Date]],"mmm")</calculatedColumnFormula>
    </tableColumn>
    <tableColumn id="13" xr3:uid="{F1BB3B8B-E9EC-4091-BD00-CF3FDD791B85}" name="Year" dataDxfId="60">
      <calculatedColumnFormula>TEXT(Table1[[#This Row],[Date]],"yyyy")</calculatedColumnFormula>
    </tableColumn>
    <tableColumn id="2" xr3:uid="{F7A7B6BA-28B3-46BA-A12B-9BEBCFE851B1}" name="Region"/>
    <tableColumn id="3" xr3:uid="{2D1B143E-8CF6-44D5-BBE0-3B257A2F3575}" name="Sales"/>
    <tableColumn id="4" xr3:uid="{39704DBB-C7F1-4602-BFDE-0C0AB733AC49}" name="Profit"/>
    <tableColumn id="5" xr3:uid="{265C8306-CD94-4C44-BCD4-531CF308F42E}" name="Target Sales"/>
    <tableColumn id="6" xr3:uid="{C0BA08C0-63CE-4459-96CF-7B94BF783425}" name="No of Customers"/>
    <tableColumn id="7" xr3:uid="{CD4C4230-BE92-4AB7-823E-971D9A70B4D4}" name="Sales Completion Rate"/>
    <tableColumn id="8" xr3:uid="{BDD52199-7FAA-4F2A-AE35-4B846DAF8954}" name="Profit Completion Rate"/>
    <tableColumn id="9" xr3:uid="{DBF28F9A-F0B7-48DB-A85F-E69782A6F8D0}" name="Customer Completion Rate"/>
    <tableColumn id="10" xr3:uid="{83A92B63-1057-40DF-B995-3CCDC7B2F4C4}" name="Country"/>
    <tableColumn id="11" xr3:uid="{1250E880-05B3-4F5E-B6A9-180BB5DC9797}" name="Customer Satisfaction"/>
    <tableColumn id="16" xr3:uid="{8EE7614B-B675-4506-B3AB-D621BD6FEA80}" name="Number"/>
    <tableColumn id="12" xr3:uid="{633E3EED-7975-45AB-B1A5-29BCDF240300}" name="Rating"/>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00EBB-4236-4385-B112-7436EAEB5F65}">
  <dimension ref="A1:P64"/>
  <sheetViews>
    <sheetView workbookViewId="0"/>
  </sheetViews>
  <sheetFormatPr defaultRowHeight="14.4" x14ac:dyDescent="0.3"/>
  <cols>
    <col min="1" max="1" width="10.33203125" style="1" bestFit="1" customWidth="1"/>
    <col min="2" max="3" width="10.6640625" bestFit="1" customWidth="1"/>
    <col min="4" max="4" width="12" bestFit="1" customWidth="1"/>
    <col min="5" max="5" width="12.88671875" customWidth="1"/>
    <col min="6" max="6" width="16.44140625" customWidth="1"/>
    <col min="7" max="8" width="21.6640625" customWidth="1"/>
    <col min="9" max="9" width="25.21875" customWidth="1"/>
    <col min="10" max="10" width="22.21875" bestFit="1" customWidth="1"/>
    <col min="11" max="11" width="21.33203125" customWidth="1"/>
    <col min="12" max="12" width="25.88671875" bestFit="1" customWidth="1"/>
    <col min="13" max="14" width="21.88671875" bestFit="1" customWidth="1"/>
    <col min="15" max="15" width="21.88671875" customWidth="1"/>
  </cols>
  <sheetData>
    <row r="1" spans="1:16" x14ac:dyDescent="0.3">
      <c r="A1" s="1" t="s">
        <v>0</v>
      </c>
      <c r="B1" s="1" t="s">
        <v>27</v>
      </c>
      <c r="C1" s="1" t="s">
        <v>25</v>
      </c>
      <c r="D1" s="1" t="s">
        <v>26</v>
      </c>
      <c r="E1" t="s">
        <v>1</v>
      </c>
      <c r="F1" t="s">
        <v>2</v>
      </c>
      <c r="G1" t="s">
        <v>3</v>
      </c>
      <c r="H1" t="s">
        <v>4</v>
      </c>
      <c r="I1" t="s">
        <v>5</v>
      </c>
      <c r="J1" t="s">
        <v>6</v>
      </c>
      <c r="K1" t="s">
        <v>7</v>
      </c>
      <c r="L1" t="s">
        <v>8</v>
      </c>
      <c r="M1" t="s">
        <v>9</v>
      </c>
      <c r="N1" t="s">
        <v>10</v>
      </c>
      <c r="O1" t="s">
        <v>28</v>
      </c>
      <c r="P1" t="s">
        <v>49</v>
      </c>
    </row>
    <row r="2" spans="1:16" x14ac:dyDescent="0.3">
      <c r="A2" s="1">
        <v>45060</v>
      </c>
      <c r="B2" s="1" t="str">
        <f>"Q"&amp; ROUNDUP(MONTH(Table1[[#This Row],[Date]])/3,0)</f>
        <v>Q2</v>
      </c>
      <c r="C2" s="1" t="str">
        <f>TEXT(Table1[[#This Row],[Date]],"mmm")</f>
        <v>May</v>
      </c>
      <c r="D2" s="1" t="str">
        <f>TEXT(Table1[[#This Row],[Date]],"yyyy")</f>
        <v>2023</v>
      </c>
      <c r="E2" t="s">
        <v>11</v>
      </c>
      <c r="F2">
        <v>2581</v>
      </c>
      <c r="G2">
        <v>2957.1428571428601</v>
      </c>
      <c r="H2">
        <v>5857</v>
      </c>
      <c r="I2">
        <v>80</v>
      </c>
      <c r="J2">
        <v>0.89</v>
      </c>
      <c r="K2">
        <v>0.85</v>
      </c>
      <c r="L2">
        <v>0.72</v>
      </c>
      <c r="M2" t="s">
        <v>12</v>
      </c>
      <c r="N2" t="s">
        <v>13</v>
      </c>
      <c r="O2">
        <v>100</v>
      </c>
      <c r="P2">
        <v>8</v>
      </c>
    </row>
    <row r="3" spans="1:16" x14ac:dyDescent="0.3">
      <c r="A3" s="1">
        <v>44983</v>
      </c>
      <c r="B3" s="1" t="str">
        <f>"Q"&amp; ROUNDUP(MONTH(Table1[[#This Row],[Date]])/3,0)</f>
        <v>Q1</v>
      </c>
      <c r="C3" s="1" t="str">
        <f>TEXT(Table1[[#This Row],[Date]],"mmm")</f>
        <v>Feb</v>
      </c>
      <c r="D3" s="1" t="str">
        <f>TEXT(Table1[[#This Row],[Date]],"yyyy")</f>
        <v>2023</v>
      </c>
      <c r="E3" t="s">
        <v>14</v>
      </c>
      <c r="F3">
        <v>3944</v>
      </c>
      <c r="G3">
        <v>2957.1428571428601</v>
      </c>
      <c r="H3">
        <v>5857</v>
      </c>
      <c r="I3">
        <v>30</v>
      </c>
      <c r="J3">
        <v>0.94</v>
      </c>
      <c r="K3">
        <v>0.95</v>
      </c>
      <c r="L3">
        <v>0.86</v>
      </c>
      <c r="M3" t="s">
        <v>15</v>
      </c>
      <c r="N3" t="s">
        <v>70</v>
      </c>
      <c r="O3">
        <v>100</v>
      </c>
      <c r="P3">
        <v>4</v>
      </c>
    </row>
    <row r="4" spans="1:16" x14ac:dyDescent="0.3">
      <c r="A4" s="1">
        <v>44984</v>
      </c>
      <c r="B4" s="1" t="str">
        <f>"Q"&amp; ROUNDUP(MONTH(Table1[[#This Row],[Date]])/3,0)</f>
        <v>Q1</v>
      </c>
      <c r="C4" s="1" t="str">
        <f>TEXT(Table1[[#This Row],[Date]],"mmm")</f>
        <v>Feb</v>
      </c>
      <c r="D4" s="1" t="str">
        <f>TEXT(Table1[[#This Row],[Date]],"yyyy")</f>
        <v>2023</v>
      </c>
      <c r="E4" t="s">
        <v>17</v>
      </c>
      <c r="F4">
        <v>3293</v>
      </c>
      <c r="G4">
        <v>2957.1428571428601</v>
      </c>
      <c r="H4">
        <v>5857</v>
      </c>
      <c r="I4">
        <v>15</v>
      </c>
      <c r="J4">
        <v>0.82</v>
      </c>
      <c r="K4">
        <v>0.8</v>
      </c>
      <c r="L4">
        <v>0.76</v>
      </c>
      <c r="M4" t="s">
        <v>18</v>
      </c>
      <c r="N4" t="s">
        <v>19</v>
      </c>
      <c r="O4">
        <v>100</v>
      </c>
      <c r="P4">
        <v>3</v>
      </c>
    </row>
    <row r="5" spans="1:16" x14ac:dyDescent="0.3">
      <c r="A5" s="1">
        <v>44985</v>
      </c>
      <c r="B5" s="1" t="str">
        <f>"Q"&amp; ROUNDUP(MONTH(Table1[[#This Row],[Date]])/3,0)</f>
        <v>Q1</v>
      </c>
      <c r="C5" s="1" t="str">
        <f>TEXT(Table1[[#This Row],[Date]],"mmm")</f>
        <v>Feb</v>
      </c>
      <c r="D5" s="1" t="str">
        <f>TEXT(Table1[[#This Row],[Date]],"yyyy")</f>
        <v>2023</v>
      </c>
      <c r="E5" t="s">
        <v>17</v>
      </c>
      <c r="F5">
        <v>2019</v>
      </c>
      <c r="G5">
        <v>2957.1428571428601</v>
      </c>
      <c r="H5">
        <v>5857</v>
      </c>
      <c r="I5">
        <v>40</v>
      </c>
      <c r="J5">
        <v>0.79</v>
      </c>
      <c r="K5">
        <v>0.79</v>
      </c>
      <c r="L5">
        <v>0.79</v>
      </c>
      <c r="M5" t="s">
        <v>20</v>
      </c>
      <c r="N5" t="s">
        <v>13</v>
      </c>
      <c r="O5">
        <v>100</v>
      </c>
      <c r="P5">
        <v>2</v>
      </c>
    </row>
    <row r="6" spans="1:16" x14ac:dyDescent="0.3">
      <c r="A6" s="1">
        <v>45228</v>
      </c>
      <c r="B6" s="1" t="str">
        <f>"Q"&amp; ROUNDUP(MONTH(Table1[[#This Row],[Date]])/3,0)</f>
        <v>Q4</v>
      </c>
      <c r="C6" s="1" t="str">
        <f>TEXT(Table1[[#This Row],[Date]],"mmm")</f>
        <v>Oct</v>
      </c>
      <c r="D6" s="1" t="str">
        <f>TEXT(Table1[[#This Row],[Date]],"yyyy")</f>
        <v>2023</v>
      </c>
      <c r="E6" t="s">
        <v>14</v>
      </c>
      <c r="F6">
        <v>2980</v>
      </c>
      <c r="G6">
        <v>2958</v>
      </c>
      <c r="H6">
        <v>5857</v>
      </c>
      <c r="I6">
        <v>100</v>
      </c>
      <c r="J6">
        <v>0.96</v>
      </c>
      <c r="K6">
        <v>0.79</v>
      </c>
      <c r="L6">
        <v>0.7</v>
      </c>
      <c r="M6" t="s">
        <v>21</v>
      </c>
      <c r="N6" t="s">
        <v>71</v>
      </c>
      <c r="O6">
        <v>100</v>
      </c>
      <c r="P6">
        <v>7</v>
      </c>
    </row>
    <row r="7" spans="1:16" x14ac:dyDescent="0.3">
      <c r="A7" s="1">
        <v>45229</v>
      </c>
      <c r="B7" s="1" t="str">
        <f>"Q"&amp; ROUNDUP(MONTH(Table1[[#This Row],[Date]])/3,0)</f>
        <v>Q4</v>
      </c>
      <c r="C7" s="1" t="str">
        <f>TEXT(Table1[[#This Row],[Date]],"mmm")</f>
        <v>Oct</v>
      </c>
      <c r="D7" s="1" t="str">
        <f>TEXT(Table1[[#This Row],[Date]],"yyyy")</f>
        <v>2023</v>
      </c>
      <c r="E7" t="s">
        <v>14</v>
      </c>
      <c r="F7">
        <v>2209</v>
      </c>
      <c r="G7">
        <v>2957.1428571428601</v>
      </c>
      <c r="H7">
        <v>5857</v>
      </c>
      <c r="I7">
        <v>15</v>
      </c>
      <c r="J7">
        <v>0.79</v>
      </c>
      <c r="K7">
        <v>0.79</v>
      </c>
      <c r="L7">
        <v>0.77</v>
      </c>
      <c r="M7" t="s">
        <v>21</v>
      </c>
      <c r="N7" t="s">
        <v>13</v>
      </c>
      <c r="O7">
        <v>100</v>
      </c>
      <c r="P7">
        <v>9</v>
      </c>
    </row>
    <row r="8" spans="1:16" x14ac:dyDescent="0.3">
      <c r="A8" s="1">
        <v>45230</v>
      </c>
      <c r="B8" s="1" t="str">
        <f>"Q"&amp; ROUNDUP(MONTH(Table1[[#This Row],[Date]])/3,0)</f>
        <v>Q4</v>
      </c>
      <c r="C8" s="1" t="str">
        <f>TEXT(Table1[[#This Row],[Date]],"mmm")</f>
        <v>Oct</v>
      </c>
      <c r="D8" s="1" t="str">
        <f>TEXT(Table1[[#This Row],[Date]],"yyyy")</f>
        <v>2023</v>
      </c>
      <c r="E8" t="s">
        <v>23</v>
      </c>
      <c r="F8">
        <v>2440</v>
      </c>
      <c r="G8">
        <v>2957.1428571428601</v>
      </c>
      <c r="H8">
        <v>5857</v>
      </c>
      <c r="I8">
        <v>20</v>
      </c>
      <c r="J8">
        <v>0.75</v>
      </c>
      <c r="K8">
        <v>0.72</v>
      </c>
      <c r="L8">
        <v>0.93</v>
      </c>
      <c r="M8" t="s">
        <v>21</v>
      </c>
      <c r="N8" t="s">
        <v>70</v>
      </c>
      <c r="O8">
        <v>100</v>
      </c>
      <c r="P8">
        <v>5</v>
      </c>
    </row>
    <row r="9" spans="1:16" x14ac:dyDescent="0.3">
      <c r="A9" s="1">
        <v>45231</v>
      </c>
      <c r="B9" s="1" t="str">
        <f>"Q"&amp; ROUNDUP(MONTH(Table1[[#This Row],[Date]])/3,0)</f>
        <v>Q4</v>
      </c>
      <c r="C9" s="1" t="str">
        <f>TEXT(Table1[[#This Row],[Date]],"mmm")</f>
        <v>Nov</v>
      </c>
      <c r="D9" s="1" t="str">
        <f>TEXT(Table1[[#This Row],[Date]],"yyyy")</f>
        <v>2023</v>
      </c>
      <c r="E9" t="s">
        <v>23</v>
      </c>
      <c r="F9">
        <v>2000</v>
      </c>
      <c r="G9">
        <v>1328.57142857143</v>
      </c>
      <c r="H9">
        <v>4428.5714285714303</v>
      </c>
      <c r="I9">
        <v>90</v>
      </c>
      <c r="J9">
        <v>0.92</v>
      </c>
      <c r="K9">
        <v>0.99</v>
      </c>
      <c r="L9">
        <v>0.74</v>
      </c>
      <c r="M9" t="s">
        <v>18</v>
      </c>
      <c r="N9" t="s">
        <v>70</v>
      </c>
      <c r="O9">
        <v>100</v>
      </c>
      <c r="P9">
        <v>6</v>
      </c>
    </row>
    <row r="10" spans="1:16" x14ac:dyDescent="0.3">
      <c r="A10" s="1">
        <v>45232</v>
      </c>
      <c r="B10" s="1" t="str">
        <f>"Q"&amp; ROUNDUP(MONTH(Table1[[#This Row],[Date]])/3,0)</f>
        <v>Q4</v>
      </c>
      <c r="C10" s="1" t="str">
        <f>TEXT(Table1[[#This Row],[Date]],"mmm")</f>
        <v>Nov</v>
      </c>
      <c r="D10" s="1" t="str">
        <f>TEXT(Table1[[#This Row],[Date]],"yyyy")</f>
        <v>2023</v>
      </c>
      <c r="E10" t="s">
        <v>23</v>
      </c>
      <c r="F10">
        <v>1431</v>
      </c>
      <c r="G10">
        <v>1328.57142857143</v>
      </c>
      <c r="H10">
        <v>4428.5714285714303</v>
      </c>
      <c r="I10">
        <v>30</v>
      </c>
      <c r="J10">
        <v>0.7</v>
      </c>
      <c r="K10">
        <v>0.99</v>
      </c>
      <c r="L10">
        <v>0.95</v>
      </c>
      <c r="M10" t="s">
        <v>18</v>
      </c>
      <c r="N10" t="s">
        <v>71</v>
      </c>
      <c r="O10">
        <v>100</v>
      </c>
      <c r="P10">
        <v>8</v>
      </c>
    </row>
    <row r="11" spans="1:16" x14ac:dyDescent="0.3">
      <c r="A11" s="1">
        <v>45233</v>
      </c>
      <c r="B11" s="1" t="str">
        <f>"Q"&amp; ROUNDUP(MONTH(Table1[[#This Row],[Date]])/3,0)</f>
        <v>Q4</v>
      </c>
      <c r="C11" s="1" t="str">
        <f>TEXT(Table1[[#This Row],[Date]],"mmm")</f>
        <v>Nov</v>
      </c>
      <c r="D11" s="1" t="str">
        <f>TEXT(Table1[[#This Row],[Date]],"yyyy")</f>
        <v>2023</v>
      </c>
      <c r="E11" t="s">
        <v>14</v>
      </c>
      <c r="F11">
        <v>3000</v>
      </c>
      <c r="G11">
        <v>1328.57142857143</v>
      </c>
      <c r="H11">
        <v>4428.5714285714303</v>
      </c>
      <c r="I11">
        <v>15</v>
      </c>
      <c r="J11">
        <v>0.91</v>
      </c>
      <c r="K11">
        <v>0.98</v>
      </c>
      <c r="L11">
        <v>0.89</v>
      </c>
      <c r="M11" t="s">
        <v>18</v>
      </c>
      <c r="N11" t="s">
        <v>71</v>
      </c>
      <c r="O11">
        <v>100</v>
      </c>
      <c r="P11">
        <v>4</v>
      </c>
    </row>
    <row r="12" spans="1:16" x14ac:dyDescent="0.3">
      <c r="A12" s="1">
        <v>45060</v>
      </c>
      <c r="B12" s="1" t="str">
        <f>"Q"&amp; ROUNDUP(MONTH(Table1[[#This Row],[Date]])/3,0)</f>
        <v>Q2</v>
      </c>
      <c r="C12" s="1" t="str">
        <f>TEXT(Table1[[#This Row],[Date]],"mmm")</f>
        <v>May</v>
      </c>
      <c r="D12" s="1" t="str">
        <f>TEXT(Table1[[#This Row],[Date]],"yyyy")</f>
        <v>2023</v>
      </c>
      <c r="E12" t="s">
        <v>14</v>
      </c>
      <c r="F12">
        <v>4000</v>
      </c>
      <c r="G12">
        <v>1328.57142857143</v>
      </c>
      <c r="H12">
        <v>4428.5714285714303</v>
      </c>
      <c r="I12">
        <v>40</v>
      </c>
      <c r="J12">
        <v>0.74</v>
      </c>
      <c r="K12">
        <v>0.85</v>
      </c>
      <c r="L12">
        <v>0.7</v>
      </c>
      <c r="M12" t="s">
        <v>18</v>
      </c>
      <c r="N12" t="s">
        <v>13</v>
      </c>
      <c r="O12">
        <v>100</v>
      </c>
      <c r="P12">
        <v>3</v>
      </c>
    </row>
    <row r="13" spans="1:16" x14ac:dyDescent="0.3">
      <c r="A13" s="1">
        <v>45225</v>
      </c>
      <c r="B13" s="1" t="str">
        <f>"Q"&amp; ROUNDUP(MONTH(Table1[[#This Row],[Date]])/3,0)</f>
        <v>Q4</v>
      </c>
      <c r="C13" s="1" t="str">
        <f>TEXT(Table1[[#This Row],[Date]],"mmm")</f>
        <v>Oct</v>
      </c>
      <c r="D13" s="1" t="str">
        <f>TEXT(Table1[[#This Row],[Date]],"yyyy")</f>
        <v>2023</v>
      </c>
      <c r="E13" t="s">
        <v>11</v>
      </c>
      <c r="F13">
        <v>1000</v>
      </c>
      <c r="G13">
        <v>1328.57142857143</v>
      </c>
      <c r="H13">
        <v>4428.5714285714303</v>
      </c>
      <c r="I13">
        <v>100</v>
      </c>
      <c r="J13">
        <v>0.9</v>
      </c>
      <c r="K13">
        <v>0.9</v>
      </c>
      <c r="L13">
        <v>0.72</v>
      </c>
      <c r="M13" t="s">
        <v>18</v>
      </c>
      <c r="N13" t="s">
        <v>70</v>
      </c>
      <c r="O13">
        <v>100</v>
      </c>
      <c r="P13">
        <v>2</v>
      </c>
    </row>
    <row r="14" spans="1:16" x14ac:dyDescent="0.3">
      <c r="A14" s="1">
        <v>44995</v>
      </c>
      <c r="B14" s="1" t="str">
        <f>"Q"&amp; ROUNDUP(MONTH(Table1[[#This Row],[Date]])/3,0)</f>
        <v>Q1</v>
      </c>
      <c r="C14" s="1" t="str">
        <f>TEXT(Table1[[#This Row],[Date]],"mmm")</f>
        <v>Mar</v>
      </c>
      <c r="D14" s="1" t="str">
        <f>TEXT(Table1[[#This Row],[Date]],"yyyy")</f>
        <v>2023</v>
      </c>
      <c r="E14" t="s">
        <v>11</v>
      </c>
      <c r="F14">
        <v>2000</v>
      </c>
      <c r="G14">
        <v>1328.57142857143</v>
      </c>
      <c r="H14">
        <v>4428.5714285714303</v>
      </c>
      <c r="I14">
        <v>15</v>
      </c>
      <c r="J14">
        <v>0.95</v>
      </c>
      <c r="K14">
        <v>0.97</v>
      </c>
      <c r="L14">
        <v>0.81</v>
      </c>
      <c r="M14" t="s">
        <v>18</v>
      </c>
      <c r="N14" t="s">
        <v>19</v>
      </c>
      <c r="O14">
        <v>100</v>
      </c>
      <c r="P14">
        <v>7</v>
      </c>
    </row>
    <row r="15" spans="1:16" x14ac:dyDescent="0.3">
      <c r="A15" s="1">
        <v>45044</v>
      </c>
      <c r="B15" s="1" t="str">
        <f>"Q"&amp; ROUNDUP(MONTH(Table1[[#This Row],[Date]])/3,0)</f>
        <v>Q2</v>
      </c>
      <c r="C15" s="1" t="str">
        <f>TEXT(Table1[[#This Row],[Date]],"mmm")</f>
        <v>Apr</v>
      </c>
      <c r="D15" s="1" t="str">
        <f>TEXT(Table1[[#This Row],[Date]],"yyyy")</f>
        <v>2023</v>
      </c>
      <c r="E15" t="s">
        <v>17</v>
      </c>
      <c r="F15">
        <v>2000</v>
      </c>
      <c r="G15">
        <v>1328.57142857143</v>
      </c>
      <c r="H15">
        <v>4428.5714285714303</v>
      </c>
      <c r="I15">
        <v>20</v>
      </c>
      <c r="J15">
        <v>0.99</v>
      </c>
      <c r="K15">
        <v>0.79</v>
      </c>
      <c r="L15">
        <v>0.75</v>
      </c>
      <c r="M15" t="s">
        <v>18</v>
      </c>
      <c r="N15" t="s">
        <v>71</v>
      </c>
      <c r="O15">
        <v>100</v>
      </c>
      <c r="P15">
        <v>9</v>
      </c>
    </row>
    <row r="16" spans="1:16" x14ac:dyDescent="0.3">
      <c r="A16" s="1">
        <v>45218</v>
      </c>
      <c r="B16" s="1" t="str">
        <f>"Q"&amp; ROUNDUP(MONTH(Table1[[#This Row],[Date]])/3,0)</f>
        <v>Q4</v>
      </c>
      <c r="C16" s="1" t="str">
        <f>TEXT(Table1[[#This Row],[Date]],"mmm")</f>
        <v>Oct</v>
      </c>
      <c r="D16" s="1" t="str">
        <f>TEXT(Table1[[#This Row],[Date]],"yyyy")</f>
        <v>2023</v>
      </c>
      <c r="E16" t="s">
        <v>17</v>
      </c>
      <c r="F16">
        <v>4000</v>
      </c>
      <c r="G16">
        <v>1328.57142857143</v>
      </c>
      <c r="H16">
        <v>1428.57142857143</v>
      </c>
      <c r="I16">
        <v>45</v>
      </c>
      <c r="J16">
        <v>0.86</v>
      </c>
      <c r="K16">
        <v>0.97</v>
      </c>
      <c r="L16">
        <v>0.89</v>
      </c>
      <c r="M16" t="s">
        <v>12</v>
      </c>
      <c r="N16" t="s">
        <v>24</v>
      </c>
      <c r="O16">
        <v>100</v>
      </c>
      <c r="P16">
        <v>5</v>
      </c>
    </row>
    <row r="17" spans="1:16" x14ac:dyDescent="0.3">
      <c r="A17" s="1">
        <v>45160</v>
      </c>
      <c r="B17" s="1" t="str">
        <f>"Q"&amp; ROUNDUP(MONTH(Table1[[#This Row],[Date]])/3,0)</f>
        <v>Q3</v>
      </c>
      <c r="C17" s="1" t="str">
        <f>TEXT(Table1[[#This Row],[Date]],"mmm")</f>
        <v>Aug</v>
      </c>
      <c r="D17" s="1" t="str">
        <f>TEXT(Table1[[#This Row],[Date]],"yyyy")</f>
        <v>2023</v>
      </c>
      <c r="E17" t="s">
        <v>11</v>
      </c>
      <c r="F17">
        <v>6000</v>
      </c>
      <c r="G17">
        <v>1328.57142857143</v>
      </c>
      <c r="H17">
        <v>1428.57142857143</v>
      </c>
      <c r="I17">
        <v>43</v>
      </c>
      <c r="J17">
        <v>0.83</v>
      </c>
      <c r="K17">
        <v>0.72</v>
      </c>
      <c r="L17">
        <v>0.74</v>
      </c>
      <c r="M17" t="s">
        <v>15</v>
      </c>
      <c r="N17" t="s">
        <v>13</v>
      </c>
      <c r="O17">
        <v>100</v>
      </c>
      <c r="P17">
        <v>6</v>
      </c>
    </row>
    <row r="18" spans="1:16" x14ac:dyDescent="0.3">
      <c r="A18" s="1">
        <v>45147</v>
      </c>
      <c r="B18" s="1" t="str">
        <f>"Q"&amp; ROUNDUP(MONTH(Table1[[#This Row],[Date]])/3,0)</f>
        <v>Q3</v>
      </c>
      <c r="C18" s="1" t="str">
        <f>TEXT(Table1[[#This Row],[Date]],"mmm")</f>
        <v>Aug</v>
      </c>
      <c r="D18" s="1" t="str">
        <f>TEXT(Table1[[#This Row],[Date]],"yyyy")</f>
        <v>2023</v>
      </c>
      <c r="E18" t="s">
        <v>14</v>
      </c>
      <c r="F18">
        <v>6500</v>
      </c>
      <c r="G18">
        <v>1328.57142857143</v>
      </c>
      <c r="H18">
        <v>1428.57142857143</v>
      </c>
      <c r="I18">
        <v>43</v>
      </c>
      <c r="J18">
        <v>0.74</v>
      </c>
      <c r="K18">
        <v>0.78</v>
      </c>
      <c r="L18">
        <v>0.94</v>
      </c>
      <c r="M18" t="s">
        <v>18</v>
      </c>
      <c r="N18" t="s">
        <v>70</v>
      </c>
      <c r="O18">
        <v>100</v>
      </c>
      <c r="P18">
        <v>8</v>
      </c>
    </row>
    <row r="19" spans="1:16" x14ac:dyDescent="0.3">
      <c r="A19" s="1">
        <v>45078</v>
      </c>
      <c r="B19" s="1" t="str">
        <f>"Q"&amp; ROUNDUP(MONTH(Table1[[#This Row],[Date]])/3,0)</f>
        <v>Q2</v>
      </c>
      <c r="C19" s="1" t="str">
        <f>TEXT(Table1[[#This Row],[Date]],"mmm")</f>
        <v>Jun</v>
      </c>
      <c r="D19" s="1" t="str">
        <f>TEXT(Table1[[#This Row],[Date]],"yyyy")</f>
        <v>2023</v>
      </c>
      <c r="E19" t="s">
        <v>23</v>
      </c>
      <c r="F19">
        <v>1200</v>
      </c>
      <c r="G19">
        <v>1328.57142857143</v>
      </c>
      <c r="H19">
        <v>1428.57142857143</v>
      </c>
      <c r="I19">
        <v>43</v>
      </c>
      <c r="J19">
        <v>0.8</v>
      </c>
      <c r="K19">
        <v>0.84</v>
      </c>
      <c r="L19">
        <v>0.81</v>
      </c>
      <c r="M19" t="s">
        <v>20</v>
      </c>
      <c r="N19" t="s">
        <v>70</v>
      </c>
      <c r="O19">
        <v>100</v>
      </c>
      <c r="P19">
        <v>4</v>
      </c>
    </row>
    <row r="20" spans="1:16" x14ac:dyDescent="0.3">
      <c r="A20" s="1">
        <v>44986</v>
      </c>
      <c r="B20" s="1" t="str">
        <f>"Q"&amp; ROUNDUP(MONTH(Table1[[#This Row],[Date]])/3,0)</f>
        <v>Q1</v>
      </c>
      <c r="C20" s="1" t="str">
        <f>TEXT(Table1[[#This Row],[Date]],"mmm")</f>
        <v>Mar</v>
      </c>
      <c r="D20" s="1" t="str">
        <f>TEXT(Table1[[#This Row],[Date]],"yyyy")</f>
        <v>2023</v>
      </c>
      <c r="E20" t="s">
        <v>23</v>
      </c>
      <c r="F20">
        <v>3000</v>
      </c>
      <c r="G20">
        <v>1328.57142857143</v>
      </c>
      <c r="H20">
        <v>1428.5714285714287</v>
      </c>
      <c r="I20">
        <v>43</v>
      </c>
      <c r="J20">
        <v>0.89</v>
      </c>
      <c r="K20">
        <v>0.99</v>
      </c>
      <c r="L20">
        <v>0.97</v>
      </c>
      <c r="M20" t="s">
        <v>12</v>
      </c>
      <c r="N20" t="s">
        <v>13</v>
      </c>
      <c r="O20">
        <v>100</v>
      </c>
      <c r="P20">
        <v>3</v>
      </c>
    </row>
    <row r="21" spans="1:16" x14ac:dyDescent="0.3">
      <c r="A21" s="1">
        <v>45257</v>
      </c>
      <c r="B21" s="1" t="str">
        <f>"Q"&amp; ROUNDUP(MONTH(Table1[[#This Row],[Date]])/3,0)</f>
        <v>Q4</v>
      </c>
      <c r="C21" s="1" t="str">
        <f>TEXT(Table1[[#This Row],[Date]],"mmm")</f>
        <v>Nov</v>
      </c>
      <c r="D21" s="1" t="str">
        <f>TEXT(Table1[[#This Row],[Date]],"yyyy")</f>
        <v>2023</v>
      </c>
      <c r="E21" t="s">
        <v>23</v>
      </c>
      <c r="F21">
        <v>2000</v>
      </c>
      <c r="G21">
        <v>1328.57142857143</v>
      </c>
      <c r="H21">
        <v>1428.5714285714287</v>
      </c>
      <c r="I21">
        <v>40</v>
      </c>
      <c r="J21">
        <v>0.71</v>
      </c>
      <c r="K21">
        <v>0.87</v>
      </c>
      <c r="L21">
        <v>0.94</v>
      </c>
      <c r="M21" t="s">
        <v>15</v>
      </c>
      <c r="N21" t="s">
        <v>24</v>
      </c>
      <c r="O21">
        <v>100</v>
      </c>
      <c r="P21">
        <v>2</v>
      </c>
    </row>
    <row r="22" spans="1:16" x14ac:dyDescent="0.3">
      <c r="A22" s="1">
        <v>45213</v>
      </c>
      <c r="B22" s="1" t="str">
        <f>"Q"&amp; ROUNDUP(MONTH(Table1[[#This Row],[Date]])/3,0)</f>
        <v>Q4</v>
      </c>
      <c r="C22" s="1" t="str">
        <f>TEXT(Table1[[#This Row],[Date]],"mmm")</f>
        <v>Oct</v>
      </c>
      <c r="D22" s="1" t="str">
        <f>TEXT(Table1[[#This Row],[Date]],"yyyy")</f>
        <v>2023</v>
      </c>
      <c r="E22" t="s">
        <v>23</v>
      </c>
      <c r="F22">
        <v>2000</v>
      </c>
      <c r="G22">
        <v>1328.57142857143</v>
      </c>
      <c r="H22">
        <v>1428.5714285714287</v>
      </c>
      <c r="I22">
        <v>43</v>
      </c>
      <c r="J22">
        <v>0.9</v>
      </c>
      <c r="K22">
        <v>0.72</v>
      </c>
      <c r="L22">
        <v>0.94</v>
      </c>
      <c r="M22" t="s">
        <v>18</v>
      </c>
      <c r="N22" t="s">
        <v>13</v>
      </c>
      <c r="O22">
        <v>100</v>
      </c>
      <c r="P22">
        <v>7</v>
      </c>
    </row>
    <row r="23" spans="1:16" x14ac:dyDescent="0.3">
      <c r="A23" s="1">
        <v>45098</v>
      </c>
      <c r="B23" s="1" t="str">
        <f>"Q"&amp; ROUNDUP(MONTH(Table1[[#This Row],[Date]])/3,0)</f>
        <v>Q2</v>
      </c>
      <c r="C23" s="1" t="str">
        <f>TEXT(Table1[[#This Row],[Date]],"mmm")</f>
        <v>Jun</v>
      </c>
      <c r="D23" s="1" t="str">
        <f>TEXT(Table1[[#This Row],[Date]],"yyyy")</f>
        <v>2023</v>
      </c>
      <c r="E23" t="s">
        <v>11</v>
      </c>
      <c r="F23">
        <v>3000</v>
      </c>
      <c r="G23">
        <v>5214.2857142857101</v>
      </c>
      <c r="H23">
        <v>6714.2857142857101</v>
      </c>
      <c r="I23">
        <v>100</v>
      </c>
      <c r="J23">
        <v>0.89</v>
      </c>
      <c r="K23">
        <v>0.85</v>
      </c>
      <c r="L23">
        <v>0.87</v>
      </c>
      <c r="M23" t="s">
        <v>20</v>
      </c>
      <c r="N23" t="s">
        <v>70</v>
      </c>
      <c r="O23">
        <v>100</v>
      </c>
      <c r="P23">
        <v>9</v>
      </c>
    </row>
    <row r="24" spans="1:16" x14ac:dyDescent="0.3">
      <c r="A24" s="1">
        <v>45130</v>
      </c>
      <c r="B24" s="1" t="str">
        <f>"Q"&amp; ROUNDUP(MONTH(Table1[[#This Row],[Date]])/3,0)</f>
        <v>Q3</v>
      </c>
      <c r="C24" s="1" t="str">
        <f>TEXT(Table1[[#This Row],[Date]],"mmm")</f>
        <v>Jul</v>
      </c>
      <c r="D24" s="1" t="str">
        <f>TEXT(Table1[[#This Row],[Date]],"yyyy")</f>
        <v>2023</v>
      </c>
      <c r="E24" t="s">
        <v>17</v>
      </c>
      <c r="F24">
        <v>4500</v>
      </c>
      <c r="G24">
        <v>5214.2857142857101</v>
      </c>
      <c r="H24">
        <v>6714.2857142857101</v>
      </c>
      <c r="I24">
        <v>100</v>
      </c>
      <c r="J24">
        <v>0.89</v>
      </c>
      <c r="K24">
        <v>0.8</v>
      </c>
      <c r="L24">
        <v>0.88</v>
      </c>
      <c r="M24" t="s">
        <v>12</v>
      </c>
      <c r="N24" t="s">
        <v>19</v>
      </c>
      <c r="O24">
        <v>100</v>
      </c>
      <c r="P24">
        <v>5</v>
      </c>
    </row>
    <row r="25" spans="1:16" x14ac:dyDescent="0.3">
      <c r="A25" s="1">
        <v>45127</v>
      </c>
      <c r="B25" s="1" t="str">
        <f>"Q"&amp; ROUNDUP(MONTH(Table1[[#This Row],[Date]])/3,0)</f>
        <v>Q3</v>
      </c>
      <c r="C25" s="1" t="str">
        <f>TEXT(Table1[[#This Row],[Date]],"mmm")</f>
        <v>Jul</v>
      </c>
      <c r="D25" s="1" t="str">
        <f>TEXT(Table1[[#This Row],[Date]],"yyyy")</f>
        <v>2023</v>
      </c>
      <c r="E25" t="s">
        <v>11</v>
      </c>
      <c r="F25">
        <v>5500</v>
      </c>
      <c r="G25">
        <v>1214.2857142857099</v>
      </c>
      <c r="H25">
        <v>6714.2857142857101</v>
      </c>
      <c r="I25">
        <v>100</v>
      </c>
      <c r="J25">
        <v>0.98</v>
      </c>
      <c r="K25">
        <v>0.99</v>
      </c>
      <c r="L25">
        <v>0.81</v>
      </c>
      <c r="M25" t="s">
        <v>18</v>
      </c>
      <c r="N25" t="s">
        <v>13</v>
      </c>
      <c r="O25">
        <v>100</v>
      </c>
      <c r="P25">
        <v>6</v>
      </c>
    </row>
    <row r="26" spans="1:16" x14ac:dyDescent="0.3">
      <c r="A26" s="1">
        <v>45129</v>
      </c>
      <c r="B26" s="1" t="str">
        <f>"Q"&amp; ROUNDUP(MONTH(Table1[[#This Row],[Date]])/3,0)</f>
        <v>Q3</v>
      </c>
      <c r="C26" s="1" t="str">
        <f>TEXT(Table1[[#This Row],[Date]],"mmm")</f>
        <v>Jul</v>
      </c>
      <c r="D26" s="1" t="str">
        <f>TEXT(Table1[[#This Row],[Date]],"yyyy")</f>
        <v>2023</v>
      </c>
      <c r="E26" t="s">
        <v>14</v>
      </c>
      <c r="F26">
        <v>1000</v>
      </c>
      <c r="G26">
        <v>5214.2857142857101</v>
      </c>
      <c r="H26">
        <v>6714.2857142857101</v>
      </c>
      <c r="I26">
        <v>100</v>
      </c>
      <c r="J26">
        <v>0.81</v>
      </c>
      <c r="K26">
        <v>0.91</v>
      </c>
      <c r="L26">
        <v>0.95</v>
      </c>
      <c r="M26" t="s">
        <v>20</v>
      </c>
      <c r="N26" t="s">
        <v>24</v>
      </c>
      <c r="O26">
        <v>100</v>
      </c>
      <c r="P26">
        <v>8</v>
      </c>
    </row>
    <row r="27" spans="1:16" x14ac:dyDescent="0.3">
      <c r="A27" s="1">
        <v>45018</v>
      </c>
      <c r="B27" s="1" t="str">
        <f>"Q"&amp; ROUNDUP(MONTH(Table1[[#This Row],[Date]])/3,0)</f>
        <v>Q2</v>
      </c>
      <c r="C27" s="1" t="str">
        <f>TEXT(Table1[[#This Row],[Date]],"mmm")</f>
        <v>Apr</v>
      </c>
      <c r="D27" s="1" t="str">
        <f>TEXT(Table1[[#This Row],[Date]],"yyyy")</f>
        <v>2023</v>
      </c>
      <c r="E27" t="s">
        <v>11</v>
      </c>
      <c r="F27">
        <v>2000</v>
      </c>
      <c r="G27">
        <v>5214.2857142857101</v>
      </c>
      <c r="H27">
        <v>6714.2857142857101</v>
      </c>
      <c r="I27">
        <v>100</v>
      </c>
      <c r="J27">
        <v>0.97</v>
      </c>
      <c r="K27">
        <v>0.85</v>
      </c>
      <c r="L27">
        <v>0.85</v>
      </c>
      <c r="M27" t="s">
        <v>12</v>
      </c>
      <c r="N27" t="s">
        <v>13</v>
      </c>
      <c r="O27">
        <v>100</v>
      </c>
      <c r="P27">
        <v>4</v>
      </c>
    </row>
    <row r="28" spans="1:16" x14ac:dyDescent="0.3">
      <c r="A28" s="1">
        <v>44979</v>
      </c>
      <c r="B28" s="1" t="str">
        <f>"Q"&amp; ROUNDUP(MONTH(Table1[[#This Row],[Date]])/3,0)</f>
        <v>Q1</v>
      </c>
      <c r="C28" s="1" t="str">
        <f>TEXT(Table1[[#This Row],[Date]],"mmm")</f>
        <v>Feb</v>
      </c>
      <c r="D28" s="1" t="str">
        <f>TEXT(Table1[[#This Row],[Date]],"yyyy")</f>
        <v>2023</v>
      </c>
      <c r="E28" t="s">
        <v>11</v>
      </c>
      <c r="F28">
        <v>2000</v>
      </c>
      <c r="G28">
        <v>5214.2857142857101</v>
      </c>
      <c r="H28">
        <v>6714.2857142857101</v>
      </c>
      <c r="I28">
        <v>100</v>
      </c>
      <c r="J28">
        <v>0.89</v>
      </c>
      <c r="K28">
        <v>0.94</v>
      </c>
      <c r="L28">
        <v>0.8</v>
      </c>
      <c r="M28" t="s">
        <v>15</v>
      </c>
      <c r="N28" t="s">
        <v>13</v>
      </c>
      <c r="O28">
        <v>100</v>
      </c>
      <c r="P28">
        <v>3</v>
      </c>
    </row>
    <row r="29" spans="1:16" x14ac:dyDescent="0.3">
      <c r="A29" s="1">
        <v>45179</v>
      </c>
      <c r="B29" s="1" t="str">
        <f>"Q"&amp; ROUNDUP(MONTH(Table1[[#This Row],[Date]])/3,0)</f>
        <v>Q3</v>
      </c>
      <c r="C29" s="1" t="str">
        <f>TEXT(Table1[[#This Row],[Date]],"mmm")</f>
        <v>Sep</v>
      </c>
      <c r="D29" s="1" t="str">
        <f>TEXT(Table1[[#This Row],[Date]],"yyyy")</f>
        <v>2023</v>
      </c>
      <c r="E29" t="s">
        <v>11</v>
      </c>
      <c r="F29">
        <v>2000</v>
      </c>
      <c r="G29">
        <v>5214.2857142857101</v>
      </c>
      <c r="H29">
        <v>6714.2857142857101</v>
      </c>
      <c r="I29">
        <v>100</v>
      </c>
      <c r="J29">
        <v>0.88</v>
      </c>
      <c r="K29">
        <v>0.94</v>
      </c>
      <c r="L29">
        <v>0.7</v>
      </c>
      <c r="M29" t="s">
        <v>18</v>
      </c>
      <c r="N29" t="s">
        <v>19</v>
      </c>
      <c r="O29">
        <v>100</v>
      </c>
      <c r="P29">
        <v>2</v>
      </c>
    </row>
    <row r="30" spans="1:16" x14ac:dyDescent="0.3">
      <c r="A30" s="1">
        <v>45275</v>
      </c>
      <c r="B30" s="1" t="str">
        <f>"Q"&amp; ROUNDUP(MONTH(Table1[[#This Row],[Date]])/3,0)</f>
        <v>Q4</v>
      </c>
      <c r="C30" s="1" t="str">
        <f>TEXT(Table1[[#This Row],[Date]],"mmm")</f>
        <v>Dec</v>
      </c>
      <c r="D30" s="1" t="str">
        <f>TEXT(Table1[[#This Row],[Date]],"yyyy")</f>
        <v>2023</v>
      </c>
      <c r="E30" t="s">
        <v>11</v>
      </c>
      <c r="F30">
        <v>2000</v>
      </c>
      <c r="G30">
        <v>2957.1428571428601</v>
      </c>
      <c r="H30">
        <v>2857.1428571428573</v>
      </c>
      <c r="I30">
        <v>90</v>
      </c>
      <c r="J30">
        <v>0.75</v>
      </c>
      <c r="K30">
        <v>0.77</v>
      </c>
      <c r="L30">
        <v>0.84</v>
      </c>
      <c r="M30" t="s">
        <v>20</v>
      </c>
      <c r="N30" t="s">
        <v>71</v>
      </c>
      <c r="O30">
        <v>100</v>
      </c>
      <c r="P30">
        <v>7</v>
      </c>
    </row>
    <row r="31" spans="1:16" x14ac:dyDescent="0.3">
      <c r="A31" s="1">
        <v>44997</v>
      </c>
      <c r="B31" s="1" t="str">
        <f>"Q"&amp; ROUNDUP(MONTH(Table1[[#This Row],[Date]])/3,0)</f>
        <v>Q1</v>
      </c>
      <c r="C31" s="1" t="str">
        <f>TEXT(Table1[[#This Row],[Date]],"mmm")</f>
        <v>Mar</v>
      </c>
      <c r="D31" s="1" t="str">
        <f>TEXT(Table1[[#This Row],[Date]],"yyyy")</f>
        <v>2023</v>
      </c>
      <c r="E31" t="s">
        <v>11</v>
      </c>
      <c r="F31">
        <v>1700</v>
      </c>
      <c r="G31">
        <v>2957.1428571428601</v>
      </c>
      <c r="H31">
        <v>2857.1428571428573</v>
      </c>
      <c r="I31">
        <v>80</v>
      </c>
      <c r="J31">
        <v>0.73</v>
      </c>
      <c r="K31">
        <v>0.96</v>
      </c>
      <c r="L31">
        <v>0.93</v>
      </c>
      <c r="M31" t="s">
        <v>20</v>
      </c>
      <c r="N31" t="s">
        <v>24</v>
      </c>
      <c r="O31">
        <v>100</v>
      </c>
      <c r="P31">
        <v>4</v>
      </c>
    </row>
    <row r="32" spans="1:16" x14ac:dyDescent="0.3">
      <c r="A32" s="1">
        <v>45179</v>
      </c>
      <c r="B32" s="1" t="str">
        <f>"Q"&amp; ROUNDUP(MONTH(Table1[[#This Row],[Date]])/3,0)</f>
        <v>Q3</v>
      </c>
      <c r="C32" s="1" t="str">
        <f>TEXT(Table1[[#This Row],[Date]],"mmm")</f>
        <v>Sep</v>
      </c>
      <c r="D32" s="1" t="str">
        <f>TEXT(Table1[[#This Row],[Date]],"yyyy")</f>
        <v>2023</v>
      </c>
      <c r="E32" t="s">
        <v>11</v>
      </c>
      <c r="F32">
        <v>1600</v>
      </c>
      <c r="G32">
        <v>2957.1428571428601</v>
      </c>
      <c r="H32">
        <v>2857.1428571428573</v>
      </c>
      <c r="I32">
        <v>90</v>
      </c>
      <c r="J32">
        <v>0.93</v>
      </c>
      <c r="K32">
        <v>0.74</v>
      </c>
      <c r="L32">
        <v>0.93</v>
      </c>
      <c r="M32" t="s">
        <v>18</v>
      </c>
      <c r="N32" t="s">
        <v>13</v>
      </c>
      <c r="O32">
        <v>100</v>
      </c>
      <c r="P32">
        <v>5</v>
      </c>
    </row>
    <row r="33" spans="1:16" x14ac:dyDescent="0.3">
      <c r="A33" s="1">
        <v>44928</v>
      </c>
      <c r="B33" s="1" t="str">
        <f>"Q"&amp; ROUNDUP(MONTH(Table1[[#This Row],[Date]])/3,0)</f>
        <v>Q1</v>
      </c>
      <c r="C33" s="1" t="str">
        <f>TEXT(Table1[[#This Row],[Date]],"mmm")</f>
        <v>Jan</v>
      </c>
      <c r="D33" s="1" t="str">
        <f>TEXT(Table1[[#This Row],[Date]],"yyyy")</f>
        <v>2023</v>
      </c>
      <c r="E33" t="s">
        <v>14</v>
      </c>
      <c r="F33">
        <v>1200</v>
      </c>
      <c r="G33">
        <v>2957.1428571428601</v>
      </c>
      <c r="H33">
        <v>2857.1428571428573</v>
      </c>
      <c r="I33">
        <v>110</v>
      </c>
      <c r="J33">
        <v>0.85</v>
      </c>
      <c r="K33">
        <v>0.7</v>
      </c>
      <c r="L33">
        <v>0.99</v>
      </c>
      <c r="M33" t="s">
        <v>20</v>
      </c>
      <c r="N33" t="s">
        <v>70</v>
      </c>
      <c r="O33">
        <v>100</v>
      </c>
      <c r="P33">
        <v>6</v>
      </c>
    </row>
    <row r="34" spans="1:16" x14ac:dyDescent="0.3">
      <c r="A34" s="1">
        <v>45227</v>
      </c>
      <c r="B34" s="1" t="str">
        <f>"Q"&amp; ROUNDUP(MONTH(Table1[[#This Row],[Date]])/3,0)</f>
        <v>Q4</v>
      </c>
      <c r="C34" s="1" t="str">
        <f>TEXT(Table1[[#This Row],[Date]],"mmm")</f>
        <v>Oct</v>
      </c>
      <c r="D34" s="1" t="str">
        <f>TEXT(Table1[[#This Row],[Date]],"yyyy")</f>
        <v>2023</v>
      </c>
      <c r="E34" t="s">
        <v>17</v>
      </c>
      <c r="F34">
        <v>2500</v>
      </c>
      <c r="G34">
        <v>2957.1428571428601</v>
      </c>
      <c r="H34">
        <v>2857.1428571428573</v>
      </c>
      <c r="I34">
        <v>90</v>
      </c>
      <c r="J34">
        <v>0.92</v>
      </c>
      <c r="K34">
        <v>0.99</v>
      </c>
      <c r="L34">
        <v>0.88</v>
      </c>
      <c r="M34" t="s">
        <v>12</v>
      </c>
      <c r="N34" t="s">
        <v>19</v>
      </c>
      <c r="O34">
        <v>100</v>
      </c>
      <c r="P34">
        <v>8</v>
      </c>
    </row>
    <row r="35" spans="1:16" x14ac:dyDescent="0.3">
      <c r="A35" s="1">
        <v>45103</v>
      </c>
      <c r="B35" s="1" t="str">
        <f>"Q"&amp; ROUNDUP(MONTH(Table1[[#This Row],[Date]])/3,0)</f>
        <v>Q2</v>
      </c>
      <c r="C35" s="1" t="str">
        <f>TEXT(Table1[[#This Row],[Date]],"mmm")</f>
        <v>Jun</v>
      </c>
      <c r="D35" s="1" t="str">
        <f>TEXT(Table1[[#This Row],[Date]],"yyyy")</f>
        <v>2023</v>
      </c>
      <c r="E35" t="s">
        <v>17</v>
      </c>
      <c r="F35">
        <v>2100</v>
      </c>
      <c r="G35">
        <v>2957.1428571428601</v>
      </c>
      <c r="H35">
        <v>2857.1428571428573</v>
      </c>
      <c r="I35">
        <v>100</v>
      </c>
      <c r="J35">
        <v>0.75</v>
      </c>
      <c r="K35">
        <v>0.97</v>
      </c>
      <c r="L35">
        <v>0.83</v>
      </c>
      <c r="M35" t="s">
        <v>15</v>
      </c>
      <c r="N35" t="s">
        <v>71</v>
      </c>
      <c r="O35">
        <v>100</v>
      </c>
      <c r="P35">
        <v>4</v>
      </c>
    </row>
    <row r="36" spans="1:16" x14ac:dyDescent="0.3">
      <c r="A36" s="1">
        <v>45243</v>
      </c>
      <c r="B36" s="1" t="str">
        <f>"Q"&amp; ROUNDUP(MONTH(Table1[[#This Row],[Date]])/3,0)</f>
        <v>Q4</v>
      </c>
      <c r="C36" s="1" t="str">
        <f>TEXT(Table1[[#This Row],[Date]],"mmm")</f>
        <v>Nov</v>
      </c>
      <c r="D36" s="1" t="str">
        <f>TEXT(Table1[[#This Row],[Date]],"yyyy")</f>
        <v>2023</v>
      </c>
      <c r="E36" t="s">
        <v>17</v>
      </c>
      <c r="F36">
        <v>2150</v>
      </c>
      <c r="G36">
        <v>2957.1428571428601</v>
      </c>
      <c r="H36">
        <v>2857.1428571428573</v>
      </c>
      <c r="I36">
        <v>90</v>
      </c>
      <c r="J36">
        <v>0.77</v>
      </c>
      <c r="K36">
        <v>0.97</v>
      </c>
      <c r="L36">
        <v>0.78</v>
      </c>
      <c r="M36" t="s">
        <v>12</v>
      </c>
      <c r="N36" t="s">
        <v>24</v>
      </c>
      <c r="O36">
        <v>100</v>
      </c>
      <c r="P36">
        <v>3</v>
      </c>
    </row>
    <row r="37" spans="1:16" x14ac:dyDescent="0.3">
      <c r="A37" s="1">
        <v>45107</v>
      </c>
      <c r="B37" s="1" t="str">
        <f>"Q"&amp; ROUNDUP(MONTH(Table1[[#This Row],[Date]])/3,0)</f>
        <v>Q2</v>
      </c>
      <c r="C37" s="1" t="str">
        <f>TEXT(Table1[[#This Row],[Date]],"mmm")</f>
        <v>Jun</v>
      </c>
      <c r="D37" s="1" t="str">
        <f>TEXT(Table1[[#This Row],[Date]],"yyyy")</f>
        <v>2023</v>
      </c>
      <c r="E37" t="s">
        <v>17</v>
      </c>
      <c r="F37">
        <v>2200</v>
      </c>
      <c r="G37">
        <v>757.142857142857</v>
      </c>
      <c r="H37">
        <v>857.14285714285711</v>
      </c>
      <c r="I37">
        <v>228</v>
      </c>
      <c r="J37">
        <v>0.79</v>
      </c>
      <c r="K37">
        <v>0.75</v>
      </c>
      <c r="L37">
        <v>0.93</v>
      </c>
      <c r="M37" t="s">
        <v>15</v>
      </c>
      <c r="N37" t="s">
        <v>13</v>
      </c>
      <c r="O37">
        <v>100</v>
      </c>
      <c r="P37">
        <v>2</v>
      </c>
    </row>
    <row r="38" spans="1:16" x14ac:dyDescent="0.3">
      <c r="A38" s="1">
        <v>45030</v>
      </c>
      <c r="B38" s="1" t="str">
        <f>"Q"&amp; ROUNDUP(MONTH(Table1[[#This Row],[Date]])/3,0)</f>
        <v>Q2</v>
      </c>
      <c r="C38" s="1" t="str">
        <f>TEXT(Table1[[#This Row],[Date]],"mmm")</f>
        <v>Apr</v>
      </c>
      <c r="D38" s="1" t="str">
        <f>TEXT(Table1[[#This Row],[Date]],"yyyy")</f>
        <v>2023</v>
      </c>
      <c r="E38" t="s">
        <v>14</v>
      </c>
      <c r="F38">
        <v>1800</v>
      </c>
      <c r="G38">
        <v>757.142857142857</v>
      </c>
      <c r="H38">
        <v>857.14285714285711</v>
      </c>
      <c r="I38">
        <v>220</v>
      </c>
      <c r="J38">
        <v>0.81</v>
      </c>
      <c r="K38">
        <v>0.98</v>
      </c>
      <c r="L38">
        <v>0.86</v>
      </c>
      <c r="M38" t="s">
        <v>18</v>
      </c>
      <c r="N38" t="s">
        <v>70</v>
      </c>
      <c r="O38">
        <v>100</v>
      </c>
      <c r="P38">
        <v>7</v>
      </c>
    </row>
    <row r="39" spans="1:16" x14ac:dyDescent="0.3">
      <c r="A39" s="1">
        <v>45266</v>
      </c>
      <c r="B39" s="1" t="str">
        <f>"Q"&amp; ROUNDUP(MONTH(Table1[[#This Row],[Date]])/3,0)</f>
        <v>Q4</v>
      </c>
      <c r="C39" s="1" t="str">
        <f>TEXT(Table1[[#This Row],[Date]],"mmm")</f>
        <v>Dec</v>
      </c>
      <c r="D39" s="1" t="str">
        <f>TEXT(Table1[[#This Row],[Date]],"yyyy")</f>
        <v>2023</v>
      </c>
      <c r="E39" t="s">
        <v>23</v>
      </c>
      <c r="F39">
        <v>1800</v>
      </c>
      <c r="G39">
        <v>757.142857142857</v>
      </c>
      <c r="H39">
        <v>857.14285714285711</v>
      </c>
      <c r="I39">
        <v>228</v>
      </c>
      <c r="J39">
        <v>0.86</v>
      </c>
      <c r="K39">
        <v>0.82</v>
      </c>
      <c r="L39">
        <v>0.86</v>
      </c>
      <c r="M39" t="s">
        <v>20</v>
      </c>
      <c r="N39" t="s">
        <v>19</v>
      </c>
      <c r="O39">
        <v>100</v>
      </c>
      <c r="P39">
        <v>9</v>
      </c>
    </row>
    <row r="40" spans="1:16" x14ac:dyDescent="0.3">
      <c r="A40" s="1">
        <v>45054</v>
      </c>
      <c r="B40" s="1" t="str">
        <f>"Q"&amp; ROUNDUP(MONTH(Table1[[#This Row],[Date]])/3,0)</f>
        <v>Q2</v>
      </c>
      <c r="C40" s="1" t="str">
        <f>TEXT(Table1[[#This Row],[Date]],"mmm")</f>
        <v>May</v>
      </c>
      <c r="D40" s="1" t="str">
        <f>TEXT(Table1[[#This Row],[Date]],"yyyy")</f>
        <v>2023</v>
      </c>
      <c r="E40" t="s">
        <v>11</v>
      </c>
      <c r="F40">
        <v>1414</v>
      </c>
      <c r="G40">
        <v>757.142857142857</v>
      </c>
      <c r="H40">
        <v>857.14285714285711</v>
      </c>
      <c r="I40">
        <v>238</v>
      </c>
      <c r="J40">
        <v>0.72</v>
      </c>
      <c r="K40">
        <v>0.95</v>
      </c>
      <c r="L40">
        <v>0.9</v>
      </c>
      <c r="M40" t="s">
        <v>21</v>
      </c>
      <c r="N40" t="s">
        <v>71</v>
      </c>
      <c r="O40">
        <v>100</v>
      </c>
      <c r="P40">
        <v>5</v>
      </c>
    </row>
    <row r="41" spans="1:16" x14ac:dyDescent="0.3">
      <c r="A41" s="1">
        <v>45019</v>
      </c>
      <c r="B41" s="1" t="str">
        <f>"Q"&amp; ROUNDUP(MONTH(Table1[[#This Row],[Date]])/3,0)</f>
        <v>Q2</v>
      </c>
      <c r="C41" s="1" t="str">
        <f>TEXT(Table1[[#This Row],[Date]],"mmm")</f>
        <v>Apr</v>
      </c>
      <c r="D41" s="1" t="str">
        <f>TEXT(Table1[[#This Row],[Date]],"yyyy")</f>
        <v>2023</v>
      </c>
      <c r="E41" t="s">
        <v>17</v>
      </c>
      <c r="F41">
        <v>2100</v>
      </c>
      <c r="G41">
        <v>757.142857142857</v>
      </c>
      <c r="H41">
        <v>857.14285714285711</v>
      </c>
      <c r="I41">
        <v>228</v>
      </c>
      <c r="J41">
        <v>0.71</v>
      </c>
      <c r="K41">
        <v>0.8</v>
      </c>
      <c r="L41">
        <v>0.76</v>
      </c>
      <c r="M41" t="s">
        <v>21</v>
      </c>
      <c r="N41" t="s">
        <v>24</v>
      </c>
      <c r="O41">
        <v>100</v>
      </c>
      <c r="P41">
        <v>5</v>
      </c>
    </row>
    <row r="42" spans="1:16" x14ac:dyDescent="0.3">
      <c r="A42" s="1">
        <v>45078</v>
      </c>
      <c r="B42" s="1" t="str">
        <f>"Q"&amp; ROUNDUP(MONTH(Table1[[#This Row],[Date]])/3,0)</f>
        <v>Q2</v>
      </c>
      <c r="C42" s="1" t="str">
        <f>TEXT(Table1[[#This Row],[Date]],"mmm")</f>
        <v>Jun</v>
      </c>
      <c r="D42" s="1" t="str">
        <f>TEXT(Table1[[#This Row],[Date]],"yyyy")</f>
        <v>2023</v>
      </c>
      <c r="E42" t="s">
        <v>17</v>
      </c>
      <c r="F42">
        <v>2500</v>
      </c>
      <c r="G42">
        <v>757.142857142857</v>
      </c>
      <c r="H42">
        <v>857.14285714285711</v>
      </c>
      <c r="I42">
        <v>230</v>
      </c>
      <c r="J42">
        <v>0.97</v>
      </c>
      <c r="K42">
        <v>0.95</v>
      </c>
      <c r="L42">
        <v>0.85</v>
      </c>
      <c r="M42" t="s">
        <v>21</v>
      </c>
      <c r="N42" t="s">
        <v>13</v>
      </c>
      <c r="O42">
        <v>100</v>
      </c>
      <c r="P42">
        <v>8</v>
      </c>
    </row>
    <row r="43" spans="1:16" x14ac:dyDescent="0.3">
      <c r="A43" s="1">
        <v>45233</v>
      </c>
      <c r="B43" s="1" t="str">
        <f>"Q"&amp; ROUNDUP(MONTH(Table1[[#This Row],[Date]])/3,0)</f>
        <v>Q4</v>
      </c>
      <c r="C43" s="1" t="str">
        <f>TEXT(Table1[[#This Row],[Date]],"mmm")</f>
        <v>Nov</v>
      </c>
      <c r="D43" s="1" t="str">
        <f>TEXT(Table1[[#This Row],[Date]],"yyyy")</f>
        <v>2023</v>
      </c>
      <c r="E43" t="s">
        <v>23</v>
      </c>
      <c r="F43">
        <v>2200</v>
      </c>
      <c r="G43">
        <v>757.142857142857</v>
      </c>
      <c r="H43">
        <v>857.14285714285711</v>
      </c>
      <c r="I43">
        <v>228</v>
      </c>
      <c r="J43">
        <v>0.95</v>
      </c>
      <c r="K43">
        <v>0.85</v>
      </c>
      <c r="L43">
        <v>0.91</v>
      </c>
      <c r="M43" t="s">
        <v>18</v>
      </c>
      <c r="N43" t="s">
        <v>70</v>
      </c>
      <c r="O43">
        <v>100</v>
      </c>
      <c r="P43">
        <v>4</v>
      </c>
    </row>
    <row r="44" spans="1:16" x14ac:dyDescent="0.3">
      <c r="A44" s="1">
        <v>45060</v>
      </c>
      <c r="B44" s="1" t="str">
        <f>"Q"&amp; ROUNDUP(MONTH(Table1[[#This Row],[Date]])/3,0)</f>
        <v>Q2</v>
      </c>
      <c r="C44" s="1" t="str">
        <f>TEXT(Table1[[#This Row],[Date]],"mmm")</f>
        <v>May</v>
      </c>
      <c r="D44" s="1" t="str">
        <f>TEXT(Table1[[#This Row],[Date]],"yyyy")</f>
        <v>2023</v>
      </c>
      <c r="E44" t="s">
        <v>11</v>
      </c>
      <c r="F44">
        <v>2500</v>
      </c>
      <c r="G44">
        <v>914.28571428571399</v>
      </c>
      <c r="H44">
        <v>714.28571428571433</v>
      </c>
      <c r="I44">
        <v>250</v>
      </c>
      <c r="J44">
        <v>0.97</v>
      </c>
      <c r="K44">
        <v>0.7</v>
      </c>
      <c r="L44">
        <v>0.93</v>
      </c>
      <c r="M44" t="s">
        <v>18</v>
      </c>
      <c r="N44" t="s">
        <v>19</v>
      </c>
      <c r="O44">
        <v>100</v>
      </c>
      <c r="P44">
        <v>3</v>
      </c>
    </row>
    <row r="45" spans="1:16" x14ac:dyDescent="0.3">
      <c r="A45" s="1">
        <v>45225</v>
      </c>
      <c r="B45" s="1" t="str">
        <f>"Q"&amp; ROUNDUP(MONTH(Table1[[#This Row],[Date]])/3,0)</f>
        <v>Q4</v>
      </c>
      <c r="C45" s="1" t="str">
        <f>TEXT(Table1[[#This Row],[Date]],"mmm")</f>
        <v>Oct</v>
      </c>
      <c r="D45" s="1" t="str">
        <f>TEXT(Table1[[#This Row],[Date]],"yyyy")</f>
        <v>2023</v>
      </c>
      <c r="E45" t="s">
        <v>17</v>
      </c>
      <c r="F45">
        <v>2200</v>
      </c>
      <c r="G45">
        <v>914.28571428571399</v>
      </c>
      <c r="H45">
        <v>714.28571428571433</v>
      </c>
      <c r="I45">
        <v>240</v>
      </c>
      <c r="J45">
        <v>0.9</v>
      </c>
      <c r="K45">
        <v>0.98</v>
      </c>
      <c r="L45">
        <v>0.96</v>
      </c>
      <c r="M45" t="s">
        <v>18</v>
      </c>
      <c r="N45" t="s">
        <v>71</v>
      </c>
      <c r="O45">
        <v>100</v>
      </c>
      <c r="P45">
        <v>2</v>
      </c>
    </row>
    <row r="46" spans="1:16" x14ac:dyDescent="0.3">
      <c r="A46" s="1">
        <v>45226</v>
      </c>
      <c r="B46" s="1" t="str">
        <f>"Q"&amp; ROUNDUP(MONTH(Table1[[#This Row],[Date]])/3,0)</f>
        <v>Q4</v>
      </c>
      <c r="C46" s="1" t="str">
        <f>TEXT(Table1[[#This Row],[Date]],"mmm")</f>
        <v>Oct</v>
      </c>
      <c r="D46" s="1" t="str">
        <f>TEXT(Table1[[#This Row],[Date]],"yyyy")</f>
        <v>2023</v>
      </c>
      <c r="E46" t="s">
        <v>11</v>
      </c>
      <c r="F46">
        <v>2500</v>
      </c>
      <c r="G46">
        <v>914.28571428571399</v>
      </c>
      <c r="H46">
        <v>714.28571428571433</v>
      </c>
      <c r="I46">
        <v>270</v>
      </c>
      <c r="J46">
        <v>0.9</v>
      </c>
      <c r="K46">
        <v>0.95</v>
      </c>
      <c r="L46">
        <v>0.98</v>
      </c>
      <c r="M46" t="s">
        <v>18</v>
      </c>
      <c r="N46" t="s">
        <v>24</v>
      </c>
      <c r="O46">
        <v>100</v>
      </c>
      <c r="P46">
        <v>3</v>
      </c>
    </row>
    <row r="47" spans="1:16" x14ac:dyDescent="0.3">
      <c r="A47" s="1">
        <v>44954</v>
      </c>
      <c r="B47" s="1" t="str">
        <f>"Q"&amp; ROUNDUP(MONTH(Table1[[#This Row],[Date]])/3,0)</f>
        <v>Q1</v>
      </c>
      <c r="C47" s="1" t="str">
        <f>TEXT(Table1[[#This Row],[Date]],"mmm")</f>
        <v>Jan</v>
      </c>
      <c r="D47" s="1" t="str">
        <f>TEXT(Table1[[#This Row],[Date]],"yyyy")</f>
        <v>2023</v>
      </c>
      <c r="E47" t="s">
        <v>14</v>
      </c>
      <c r="F47">
        <v>2000</v>
      </c>
      <c r="G47">
        <v>914.28571428571399</v>
      </c>
      <c r="H47">
        <v>714.28571428571433</v>
      </c>
      <c r="I47">
        <v>259</v>
      </c>
      <c r="J47">
        <v>0.96</v>
      </c>
      <c r="K47">
        <v>0.81</v>
      </c>
      <c r="L47">
        <v>0.85</v>
      </c>
      <c r="M47" t="s">
        <v>18</v>
      </c>
      <c r="N47" t="s">
        <v>13</v>
      </c>
      <c r="O47">
        <v>100</v>
      </c>
      <c r="P47">
        <v>9</v>
      </c>
    </row>
    <row r="48" spans="1:16" x14ac:dyDescent="0.3">
      <c r="A48" s="1">
        <v>44955</v>
      </c>
      <c r="B48" s="1" t="str">
        <f>"Q"&amp; ROUNDUP(MONTH(Table1[[#This Row],[Date]])/3,0)</f>
        <v>Q1</v>
      </c>
      <c r="C48" s="1" t="str">
        <f>TEXT(Table1[[#This Row],[Date]],"mmm")</f>
        <v>Jan</v>
      </c>
      <c r="D48" s="1" t="str">
        <f>TEXT(Table1[[#This Row],[Date]],"yyyy")</f>
        <v>2023</v>
      </c>
      <c r="E48" t="s">
        <v>14</v>
      </c>
      <c r="F48">
        <v>2500</v>
      </c>
      <c r="G48">
        <v>914.28571428571399</v>
      </c>
      <c r="H48">
        <v>714.28571428571433</v>
      </c>
      <c r="I48">
        <v>260</v>
      </c>
      <c r="J48">
        <v>0.98</v>
      </c>
      <c r="K48">
        <v>0.84</v>
      </c>
      <c r="L48">
        <v>0.89</v>
      </c>
      <c r="M48" t="s">
        <v>18</v>
      </c>
      <c r="N48" t="s">
        <v>13</v>
      </c>
      <c r="O48">
        <v>100</v>
      </c>
      <c r="P48">
        <v>5</v>
      </c>
    </row>
    <row r="49" spans="1:16" x14ac:dyDescent="0.3">
      <c r="A49" s="1">
        <v>44956</v>
      </c>
      <c r="B49" s="1" t="str">
        <f>"Q"&amp; ROUNDUP(MONTH(Table1[[#This Row],[Date]])/3,0)</f>
        <v>Q1</v>
      </c>
      <c r="C49" s="1" t="str">
        <f>TEXT(Table1[[#This Row],[Date]],"mmm")</f>
        <v>Jan</v>
      </c>
      <c r="D49" s="1" t="str">
        <f>TEXT(Table1[[#This Row],[Date]],"yyyy")</f>
        <v>2023</v>
      </c>
      <c r="E49" t="s">
        <v>14</v>
      </c>
      <c r="F49">
        <v>2500</v>
      </c>
      <c r="G49">
        <v>914.28571428571399</v>
      </c>
      <c r="H49">
        <v>714.28571428571433</v>
      </c>
      <c r="I49">
        <v>260</v>
      </c>
      <c r="J49">
        <v>0.76</v>
      </c>
      <c r="K49">
        <v>0.7</v>
      </c>
      <c r="L49">
        <v>0.86</v>
      </c>
      <c r="M49" t="s">
        <v>18</v>
      </c>
      <c r="N49" t="s">
        <v>19</v>
      </c>
      <c r="O49">
        <v>100</v>
      </c>
      <c r="P49">
        <v>6</v>
      </c>
    </row>
    <row r="50" spans="1:16" x14ac:dyDescent="0.3">
      <c r="A50" s="1">
        <v>44957</v>
      </c>
      <c r="B50" s="1" t="str">
        <f>"Q"&amp; ROUNDUP(MONTH(Table1[[#This Row],[Date]])/3,0)</f>
        <v>Q1</v>
      </c>
      <c r="C50" s="1" t="str">
        <f>TEXT(Table1[[#This Row],[Date]],"mmm")</f>
        <v>Jan</v>
      </c>
      <c r="D50" s="1" t="str">
        <f>TEXT(Table1[[#This Row],[Date]],"yyyy")</f>
        <v>2023</v>
      </c>
      <c r="E50" t="s">
        <v>11</v>
      </c>
      <c r="F50">
        <v>2500</v>
      </c>
      <c r="G50">
        <v>914.28571428571399</v>
      </c>
      <c r="H50">
        <v>714.28571428571433</v>
      </c>
      <c r="I50">
        <v>261</v>
      </c>
      <c r="J50">
        <v>0.91</v>
      </c>
      <c r="K50">
        <v>0.77</v>
      </c>
      <c r="L50">
        <v>0.75</v>
      </c>
      <c r="M50" t="s">
        <v>12</v>
      </c>
      <c r="N50" t="s">
        <v>71</v>
      </c>
      <c r="O50">
        <v>100</v>
      </c>
      <c r="P50">
        <v>8</v>
      </c>
    </row>
    <row r="51" spans="1:16" x14ac:dyDescent="0.3">
      <c r="A51" s="1">
        <v>45231</v>
      </c>
      <c r="B51" s="1" t="str">
        <f>"Q"&amp; ROUNDUP(MONTH(Table1[[#This Row],[Date]])/3,0)</f>
        <v>Q4</v>
      </c>
      <c r="C51" s="1" t="str">
        <f>TEXT(Table1[[#This Row],[Date]],"mmm")</f>
        <v>Nov</v>
      </c>
      <c r="D51" s="1" t="str">
        <f>TEXT(Table1[[#This Row],[Date]],"yyyy")</f>
        <v>2023</v>
      </c>
      <c r="E51" t="s">
        <v>11</v>
      </c>
      <c r="F51">
        <v>2500</v>
      </c>
      <c r="G51">
        <v>914.28571428571399</v>
      </c>
      <c r="H51">
        <v>714.28571428571433</v>
      </c>
      <c r="I51">
        <v>242</v>
      </c>
      <c r="J51">
        <v>0.79</v>
      </c>
      <c r="K51">
        <v>0.81</v>
      </c>
      <c r="L51">
        <v>0.74</v>
      </c>
      <c r="M51" t="s">
        <v>15</v>
      </c>
      <c r="N51" t="s">
        <v>24</v>
      </c>
      <c r="O51">
        <v>100</v>
      </c>
      <c r="P51">
        <v>4</v>
      </c>
    </row>
    <row r="52" spans="1:16" x14ac:dyDescent="0.3">
      <c r="A52" s="1">
        <v>45232</v>
      </c>
      <c r="B52" s="1" t="str">
        <f>"Q"&amp; ROUNDUP(MONTH(Table1[[#This Row],[Date]])/3,0)</f>
        <v>Q4</v>
      </c>
      <c r="C52" s="1" t="str">
        <f>TEXT(Table1[[#This Row],[Date]],"mmm")</f>
        <v>Nov</v>
      </c>
      <c r="D52" s="1" t="str">
        <f>TEXT(Table1[[#This Row],[Date]],"yyyy")</f>
        <v>2023</v>
      </c>
      <c r="E52" t="s">
        <v>11</v>
      </c>
      <c r="F52">
        <v>2250</v>
      </c>
      <c r="G52">
        <v>914.28571428571399</v>
      </c>
      <c r="H52">
        <v>714.28571428571433</v>
      </c>
      <c r="I52">
        <v>250</v>
      </c>
      <c r="J52">
        <v>0.85</v>
      </c>
      <c r="K52">
        <v>0.82</v>
      </c>
      <c r="L52">
        <v>0.73</v>
      </c>
      <c r="M52" t="s">
        <v>18</v>
      </c>
      <c r="N52" t="s">
        <v>13</v>
      </c>
      <c r="O52">
        <v>100</v>
      </c>
      <c r="P52">
        <v>3</v>
      </c>
    </row>
    <row r="53" spans="1:16" x14ac:dyDescent="0.3">
      <c r="A53" s="1">
        <v>45233</v>
      </c>
      <c r="B53" s="1" t="str">
        <f>"Q"&amp; ROUNDUP(MONTH(Table1[[#This Row],[Date]])/3,0)</f>
        <v>Q4</v>
      </c>
      <c r="C53" s="1" t="str">
        <f>TEXT(Table1[[#This Row],[Date]],"mmm")</f>
        <v>Nov</v>
      </c>
      <c r="D53" s="1" t="str">
        <f>TEXT(Table1[[#This Row],[Date]],"yyyy")</f>
        <v>2023</v>
      </c>
      <c r="E53" t="s">
        <v>11</v>
      </c>
      <c r="F53">
        <v>2500</v>
      </c>
      <c r="G53">
        <v>914.28571428571399</v>
      </c>
      <c r="H53">
        <v>714.28571428571433</v>
      </c>
      <c r="I53">
        <v>242</v>
      </c>
      <c r="J53">
        <v>0.88</v>
      </c>
      <c r="K53">
        <v>0.84</v>
      </c>
      <c r="L53">
        <v>0.75</v>
      </c>
      <c r="M53" t="s">
        <v>20</v>
      </c>
      <c r="N53" t="s">
        <v>70</v>
      </c>
      <c r="O53">
        <v>100</v>
      </c>
      <c r="P53">
        <v>2</v>
      </c>
    </row>
    <row r="54" spans="1:16" x14ac:dyDescent="0.3">
      <c r="A54" s="1">
        <v>45060</v>
      </c>
      <c r="B54" s="1" t="str">
        <f>"Q"&amp; ROUNDUP(MONTH(Table1[[#This Row],[Date]])/3,0)</f>
        <v>Q2</v>
      </c>
      <c r="C54" s="1" t="str">
        <f>TEXT(Table1[[#This Row],[Date]],"mmm")</f>
        <v>May</v>
      </c>
      <c r="D54" s="1" t="str">
        <f>TEXT(Table1[[#This Row],[Date]],"yyyy")</f>
        <v>2023</v>
      </c>
      <c r="E54" t="s">
        <v>11</v>
      </c>
      <c r="F54">
        <v>2500</v>
      </c>
      <c r="G54">
        <v>914.28571428571399</v>
      </c>
      <c r="H54">
        <v>714.28571428571433</v>
      </c>
      <c r="I54">
        <v>242</v>
      </c>
      <c r="J54">
        <v>0.81</v>
      </c>
      <c r="K54">
        <v>0.92</v>
      </c>
      <c r="L54">
        <v>0.91</v>
      </c>
      <c r="M54" t="s">
        <v>12</v>
      </c>
      <c r="N54" t="s">
        <v>19</v>
      </c>
      <c r="O54">
        <v>100</v>
      </c>
      <c r="P54">
        <v>7</v>
      </c>
    </row>
    <row r="55" spans="1:16" x14ac:dyDescent="0.3">
      <c r="A55" s="1">
        <v>45225</v>
      </c>
      <c r="B55" s="1" t="str">
        <f>"Q"&amp; ROUNDUP(MONTH(Table1[[#This Row],[Date]])/3,0)</f>
        <v>Q4</v>
      </c>
      <c r="C55" s="1" t="str">
        <f>TEXT(Table1[[#This Row],[Date]],"mmm")</f>
        <v>Oct</v>
      </c>
      <c r="D55" s="1" t="str">
        <f>TEXT(Table1[[#This Row],[Date]],"yyyy")</f>
        <v>2023</v>
      </c>
      <c r="E55" t="s">
        <v>17</v>
      </c>
      <c r="F55">
        <v>2500</v>
      </c>
      <c r="G55">
        <v>914.28571428571399</v>
      </c>
      <c r="H55">
        <v>714.28571428571433</v>
      </c>
      <c r="I55">
        <v>242</v>
      </c>
      <c r="J55">
        <v>0.84</v>
      </c>
      <c r="K55">
        <v>0.73</v>
      </c>
      <c r="L55">
        <v>0.99</v>
      </c>
      <c r="M55" t="s">
        <v>15</v>
      </c>
      <c r="N55" t="s">
        <v>71</v>
      </c>
      <c r="O55">
        <v>100</v>
      </c>
      <c r="P55">
        <v>9</v>
      </c>
    </row>
    <row r="56" spans="1:16" x14ac:dyDescent="0.3">
      <c r="A56" s="1">
        <v>44995</v>
      </c>
      <c r="B56" s="1" t="str">
        <f>"Q"&amp; ROUNDUP(MONTH(Table1[[#This Row],[Date]])/3,0)</f>
        <v>Q1</v>
      </c>
      <c r="C56" s="1" t="str">
        <f>TEXT(Table1[[#This Row],[Date]],"mmm")</f>
        <v>Mar</v>
      </c>
      <c r="D56" s="1" t="str">
        <f>TEXT(Table1[[#This Row],[Date]],"yyyy")</f>
        <v>2023</v>
      </c>
      <c r="E56" t="s">
        <v>17</v>
      </c>
      <c r="F56">
        <v>2500</v>
      </c>
      <c r="G56">
        <v>914.28571428571399</v>
      </c>
      <c r="H56">
        <v>714.28571428571433</v>
      </c>
      <c r="I56">
        <v>240</v>
      </c>
      <c r="J56">
        <v>0.93</v>
      </c>
      <c r="K56">
        <v>0.79</v>
      </c>
      <c r="L56">
        <v>0.72</v>
      </c>
      <c r="M56" t="s">
        <v>18</v>
      </c>
      <c r="N56" t="s">
        <v>24</v>
      </c>
      <c r="O56">
        <v>100</v>
      </c>
      <c r="P56">
        <v>5</v>
      </c>
    </row>
    <row r="57" spans="1:16" x14ac:dyDescent="0.3">
      <c r="A57" s="1">
        <v>45044</v>
      </c>
      <c r="B57" s="1" t="str">
        <f>"Q"&amp; ROUNDUP(MONTH(Table1[[#This Row],[Date]])/3,0)</f>
        <v>Q2</v>
      </c>
      <c r="C57" s="1" t="str">
        <f>TEXT(Table1[[#This Row],[Date]],"mmm")</f>
        <v>Apr</v>
      </c>
      <c r="D57" s="1" t="str">
        <f>TEXT(Table1[[#This Row],[Date]],"yyyy")</f>
        <v>2023</v>
      </c>
      <c r="E57" t="s">
        <v>17</v>
      </c>
      <c r="F57">
        <v>2500</v>
      </c>
      <c r="G57">
        <v>914.28571428571399</v>
      </c>
      <c r="H57">
        <v>714.28571428571433</v>
      </c>
      <c r="I57">
        <v>242</v>
      </c>
      <c r="J57">
        <v>0.84</v>
      </c>
      <c r="K57">
        <v>0.79</v>
      </c>
      <c r="L57">
        <v>0.8</v>
      </c>
      <c r="M57" t="s">
        <v>20</v>
      </c>
      <c r="N57" t="s">
        <v>13</v>
      </c>
      <c r="O57">
        <v>100</v>
      </c>
      <c r="P57">
        <v>6</v>
      </c>
    </row>
    <row r="58" spans="1:16" x14ac:dyDescent="0.3">
      <c r="A58" s="1">
        <v>44945</v>
      </c>
      <c r="B58" s="1" t="str">
        <f>"Q"&amp; ROUNDUP(MONTH(Table1[[#This Row],[Date]])/3,0)</f>
        <v>Q1</v>
      </c>
      <c r="C58" s="1" t="str">
        <f>TEXT(Table1[[#This Row],[Date]],"mmm")</f>
        <v>Jan</v>
      </c>
      <c r="D58" s="1" t="str">
        <f>TEXT(Table1[[#This Row],[Date]],"yyyy")</f>
        <v>2023</v>
      </c>
      <c r="E58" t="s">
        <v>17</v>
      </c>
      <c r="F58">
        <v>2200</v>
      </c>
      <c r="G58">
        <v>385.71428571428601</v>
      </c>
      <c r="H58">
        <v>285.71428571428572</v>
      </c>
      <c r="I58">
        <v>285</v>
      </c>
      <c r="J58">
        <v>0.85</v>
      </c>
      <c r="K58">
        <v>0.91</v>
      </c>
      <c r="L58">
        <v>0.84</v>
      </c>
      <c r="M58" t="s">
        <v>12</v>
      </c>
      <c r="N58" t="s">
        <v>70</v>
      </c>
      <c r="O58">
        <v>100</v>
      </c>
      <c r="P58">
        <v>8</v>
      </c>
    </row>
    <row r="59" spans="1:16" x14ac:dyDescent="0.3">
      <c r="A59" s="1">
        <v>45160</v>
      </c>
      <c r="B59" s="1" t="str">
        <f>"Q"&amp; ROUNDUP(MONTH(Table1[[#This Row],[Date]])/3,0)</f>
        <v>Q3</v>
      </c>
      <c r="C59" s="1" t="str">
        <f>TEXT(Table1[[#This Row],[Date]],"mmm")</f>
        <v>Aug</v>
      </c>
      <c r="D59" s="1" t="str">
        <f>TEXT(Table1[[#This Row],[Date]],"yyyy")</f>
        <v>2023</v>
      </c>
      <c r="E59" t="s">
        <v>14</v>
      </c>
      <c r="F59">
        <v>2150</v>
      </c>
      <c r="G59">
        <v>385.71428571428601</v>
      </c>
      <c r="H59">
        <v>285.71428571428572</v>
      </c>
      <c r="I59">
        <v>275</v>
      </c>
      <c r="J59">
        <v>0.86</v>
      </c>
      <c r="K59">
        <v>0.75</v>
      </c>
      <c r="L59">
        <v>0.96</v>
      </c>
      <c r="M59" t="s">
        <v>18</v>
      </c>
      <c r="N59" t="s">
        <v>19</v>
      </c>
      <c r="O59">
        <v>100</v>
      </c>
      <c r="P59">
        <v>4</v>
      </c>
    </row>
    <row r="60" spans="1:16" x14ac:dyDescent="0.3">
      <c r="A60" s="1">
        <v>45147</v>
      </c>
      <c r="B60" s="1" t="str">
        <f>"Q"&amp; ROUNDUP(MONTH(Table1[[#This Row],[Date]])/3,0)</f>
        <v>Q3</v>
      </c>
      <c r="C60" s="1" t="str">
        <f>TEXT(Table1[[#This Row],[Date]],"mmm")</f>
        <v>Aug</v>
      </c>
      <c r="D60" s="1" t="str">
        <f>TEXT(Table1[[#This Row],[Date]],"yyyy")</f>
        <v>2023</v>
      </c>
      <c r="E60" t="s">
        <v>23</v>
      </c>
      <c r="F60">
        <v>2400</v>
      </c>
      <c r="G60">
        <v>385.71428571428601</v>
      </c>
      <c r="H60">
        <v>285.71428571428572</v>
      </c>
      <c r="I60">
        <v>285</v>
      </c>
      <c r="J60">
        <v>0.96</v>
      </c>
      <c r="K60">
        <v>0.77</v>
      </c>
      <c r="L60">
        <v>0.92</v>
      </c>
      <c r="M60" t="s">
        <v>20</v>
      </c>
      <c r="N60" t="s">
        <v>71</v>
      </c>
      <c r="O60">
        <v>100</v>
      </c>
      <c r="P60">
        <v>3</v>
      </c>
    </row>
    <row r="61" spans="1:16" x14ac:dyDescent="0.3">
      <c r="A61" s="1">
        <v>45078</v>
      </c>
      <c r="B61" s="1" t="str">
        <f>"Q"&amp; ROUNDUP(MONTH(Table1[[#This Row],[Date]])/3,0)</f>
        <v>Q2</v>
      </c>
      <c r="C61" s="1" t="str">
        <f>TEXT(Table1[[#This Row],[Date]],"mmm")</f>
        <v>Jun</v>
      </c>
      <c r="D61" s="1" t="str">
        <f>TEXT(Table1[[#This Row],[Date]],"yyyy")</f>
        <v>2023</v>
      </c>
      <c r="E61" t="s">
        <v>17</v>
      </c>
      <c r="F61">
        <v>2450</v>
      </c>
      <c r="G61">
        <v>385.71428571428601</v>
      </c>
      <c r="H61">
        <v>285.71428571428572</v>
      </c>
      <c r="I61">
        <v>290</v>
      </c>
      <c r="J61">
        <v>0.99</v>
      </c>
      <c r="K61">
        <v>0.97</v>
      </c>
      <c r="L61">
        <v>0.73</v>
      </c>
      <c r="M61" t="s">
        <v>12</v>
      </c>
      <c r="N61" t="s">
        <v>24</v>
      </c>
      <c r="O61">
        <v>100</v>
      </c>
      <c r="P61">
        <v>2</v>
      </c>
    </row>
    <row r="62" spans="1:16" x14ac:dyDescent="0.3">
      <c r="A62" s="1">
        <v>44986</v>
      </c>
      <c r="B62" s="1" t="str">
        <f>"Q"&amp; ROUNDUP(MONTH(Table1[[#This Row],[Date]])/3,0)</f>
        <v>Q1</v>
      </c>
      <c r="C62" s="1" t="str">
        <f>TEXT(Table1[[#This Row],[Date]],"mmm")</f>
        <v>Mar</v>
      </c>
      <c r="D62" s="1" t="str">
        <f>TEXT(Table1[[#This Row],[Date]],"yyyy")</f>
        <v>2023</v>
      </c>
      <c r="E62" t="s">
        <v>14</v>
      </c>
      <c r="F62">
        <v>2500</v>
      </c>
      <c r="G62">
        <v>385.71428571428601</v>
      </c>
      <c r="H62">
        <v>285.71428571428572</v>
      </c>
      <c r="I62">
        <v>310</v>
      </c>
      <c r="J62">
        <v>0.77</v>
      </c>
      <c r="K62">
        <v>0.72</v>
      </c>
      <c r="L62">
        <v>0.85</v>
      </c>
      <c r="M62" t="s">
        <v>15</v>
      </c>
      <c r="N62" t="s">
        <v>13</v>
      </c>
      <c r="O62">
        <v>100</v>
      </c>
      <c r="P62">
        <v>7</v>
      </c>
    </row>
    <row r="63" spans="1:16" x14ac:dyDescent="0.3">
      <c r="A63" s="1">
        <v>45257</v>
      </c>
      <c r="B63" s="1" t="str">
        <f>"Q"&amp; ROUNDUP(MONTH(Table1[[#This Row],[Date]])/3,0)</f>
        <v>Q4</v>
      </c>
      <c r="C63" s="1" t="str">
        <f>TEXT(Table1[[#This Row],[Date]],"mmm")</f>
        <v>Nov</v>
      </c>
      <c r="D63" s="1" t="str">
        <f>TEXT(Table1[[#This Row],[Date]],"yyyy")</f>
        <v>2023</v>
      </c>
      <c r="E63" t="s">
        <v>23</v>
      </c>
      <c r="F63">
        <v>2450</v>
      </c>
      <c r="G63">
        <v>385.71428571428601</v>
      </c>
      <c r="H63">
        <v>285.71428571428572</v>
      </c>
      <c r="I63">
        <v>270</v>
      </c>
      <c r="J63">
        <v>0.77</v>
      </c>
      <c r="K63">
        <v>0.96</v>
      </c>
      <c r="L63">
        <v>0.78</v>
      </c>
      <c r="M63" t="s">
        <v>18</v>
      </c>
      <c r="N63" t="s">
        <v>70</v>
      </c>
      <c r="O63">
        <v>100</v>
      </c>
      <c r="P63">
        <v>9</v>
      </c>
    </row>
    <row r="64" spans="1:16" x14ac:dyDescent="0.3">
      <c r="A64" s="1">
        <v>45213</v>
      </c>
      <c r="B64" s="1" t="str">
        <f>"Q"&amp; ROUNDUP(MONTH(Table1[[#This Row],[Date]])/3,0)</f>
        <v>Q4</v>
      </c>
      <c r="C64" s="1" t="str">
        <f>TEXT(Table1[[#This Row],[Date]],"mmm")</f>
        <v>Oct</v>
      </c>
      <c r="D64" s="1" t="str">
        <f>TEXT(Table1[[#This Row],[Date]],"yyyy")</f>
        <v>2023</v>
      </c>
      <c r="E64" t="s">
        <v>17</v>
      </c>
      <c r="F64">
        <v>2400</v>
      </c>
      <c r="G64">
        <v>385.71428571428601</v>
      </c>
      <c r="H64">
        <v>285.71428571428572</v>
      </c>
      <c r="I64">
        <v>285</v>
      </c>
      <c r="J64">
        <v>0.78</v>
      </c>
      <c r="K64">
        <v>0.8</v>
      </c>
      <c r="L64">
        <v>0.85</v>
      </c>
      <c r="M64" t="s">
        <v>20</v>
      </c>
      <c r="N64" t="s">
        <v>19</v>
      </c>
      <c r="O64">
        <v>100</v>
      </c>
      <c r="P64">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24CB-6257-4497-9164-515252A67E45}">
  <dimension ref="A3:L89"/>
  <sheetViews>
    <sheetView topLeftCell="A67" zoomScale="97" workbookViewId="0"/>
  </sheetViews>
  <sheetFormatPr defaultRowHeight="14.4" x14ac:dyDescent="0.3"/>
  <cols>
    <col min="1" max="1" width="14.21875" bestFit="1" customWidth="1"/>
    <col min="2" max="2" width="12.6640625" bestFit="1" customWidth="1"/>
    <col min="3" max="3" width="12.88671875" bestFit="1" customWidth="1"/>
    <col min="4" max="4" width="17.77734375" bestFit="1" customWidth="1"/>
    <col min="5" max="5" width="10.88671875" bestFit="1" customWidth="1"/>
    <col min="6" max="6" width="23.33203125" bestFit="1" customWidth="1"/>
    <col min="7" max="7" width="24" bestFit="1" customWidth="1"/>
    <col min="8" max="8" width="15.44140625" bestFit="1" customWidth="1"/>
    <col min="9" max="11" width="12" bestFit="1" customWidth="1"/>
    <col min="12" max="12" width="24" bestFit="1" customWidth="1"/>
    <col min="13" max="21" width="12" bestFit="1" customWidth="1"/>
    <col min="22" max="22" width="5" bestFit="1" customWidth="1"/>
    <col min="23" max="27" width="12" bestFit="1" customWidth="1"/>
  </cols>
  <sheetData>
    <row r="3" spans="1:8" x14ac:dyDescent="0.3">
      <c r="A3" t="s">
        <v>5</v>
      </c>
      <c r="B3" t="s">
        <v>33</v>
      </c>
      <c r="C3" t="s">
        <v>30</v>
      </c>
      <c r="D3" t="s">
        <v>32</v>
      </c>
      <c r="G3" s="8" t="s">
        <v>35</v>
      </c>
      <c r="H3" s="9" t="s">
        <v>38</v>
      </c>
    </row>
    <row r="4" spans="1:8" x14ac:dyDescent="0.3">
      <c r="A4" s="18">
        <v>9360</v>
      </c>
      <c r="B4" s="5">
        <v>157361</v>
      </c>
      <c r="C4" s="5">
        <v>113300.8571428571</v>
      </c>
      <c r="D4" s="5">
        <v>166999.00000000015</v>
      </c>
      <c r="G4" s="10"/>
      <c r="H4" s="11"/>
    </row>
    <row r="5" spans="1:8" x14ac:dyDescent="0.3">
      <c r="G5" s="10" t="s">
        <v>2</v>
      </c>
      <c r="H5" s="15">
        <f>GETPIVOTDATA("[Measures].[Sum of Sales]",$A$3)</f>
        <v>157361</v>
      </c>
    </row>
    <row r="6" spans="1:8" x14ac:dyDescent="0.3">
      <c r="G6" s="10" t="s">
        <v>36</v>
      </c>
      <c r="H6" s="25">
        <f>GETPIVOTDATA("[Measures].[Sum of No of Customers]",$A$3)</f>
        <v>9360</v>
      </c>
    </row>
    <row r="7" spans="1:8" x14ac:dyDescent="0.3">
      <c r="G7" s="10" t="s">
        <v>37</v>
      </c>
      <c r="H7" s="15">
        <f>GETPIVOTDATA("[Measures].[Sum of Profit]",$A$3)</f>
        <v>113300.8571428571</v>
      </c>
    </row>
    <row r="8" spans="1:8" x14ac:dyDescent="0.3">
      <c r="G8" s="13" t="s">
        <v>4</v>
      </c>
      <c r="H8" s="16">
        <f>GETPIVOTDATA("[Measures].[Sum of Target Sales]",$A$3)</f>
        <v>166999.00000000015</v>
      </c>
    </row>
    <row r="9" spans="1:8" x14ac:dyDescent="0.3">
      <c r="A9" t="s">
        <v>39</v>
      </c>
      <c r="B9" t="s">
        <v>40</v>
      </c>
      <c r="C9" t="s">
        <v>41</v>
      </c>
    </row>
    <row r="10" spans="1:8" x14ac:dyDescent="0.3">
      <c r="A10" s="27">
        <v>0.85555555555555551</v>
      </c>
      <c r="B10" s="27">
        <v>0.85492063492063486</v>
      </c>
      <c r="C10" s="27">
        <v>0.84476190476190471</v>
      </c>
    </row>
    <row r="11" spans="1:8" x14ac:dyDescent="0.3">
      <c r="G11" s="8" t="s">
        <v>42</v>
      </c>
      <c r="H11" s="9" t="s">
        <v>38</v>
      </c>
    </row>
    <row r="12" spans="1:8" x14ac:dyDescent="0.3">
      <c r="G12" s="10"/>
      <c r="H12" s="11"/>
    </row>
    <row r="13" spans="1:8" ht="15.6" x14ac:dyDescent="0.3">
      <c r="A13" s="17" t="s">
        <v>10</v>
      </c>
      <c r="G13" s="10" t="s">
        <v>43</v>
      </c>
      <c r="H13" s="12">
        <f>GETPIVOTDATA("[Measures].[Average of Sales Completion Rate]",$A$9)</f>
        <v>0.85555555555555551</v>
      </c>
    </row>
    <row r="14" spans="1:8" x14ac:dyDescent="0.3">
      <c r="A14" s="2" t="s">
        <v>31</v>
      </c>
      <c r="B14" t="s">
        <v>48</v>
      </c>
      <c r="G14" s="10" t="s">
        <v>44</v>
      </c>
      <c r="H14" s="12">
        <f>1-H13</f>
        <v>0.14444444444444449</v>
      </c>
    </row>
    <row r="15" spans="1:8" x14ac:dyDescent="0.3">
      <c r="A15" s="3" t="s">
        <v>24</v>
      </c>
      <c r="B15" s="7">
        <v>0.12202380952380952</v>
      </c>
      <c r="G15" s="10"/>
      <c r="H15" s="11"/>
    </row>
    <row r="16" spans="1:8" x14ac:dyDescent="0.3">
      <c r="A16" s="3" t="s">
        <v>19</v>
      </c>
      <c r="B16" s="7">
        <v>0.17559523809523808</v>
      </c>
      <c r="G16" s="10" t="s">
        <v>45</v>
      </c>
      <c r="H16" s="12">
        <f>GETPIVOTDATA("[Measures].[Average of Profit Completion Rate]",$A$9)</f>
        <v>0.85492063492063486</v>
      </c>
    </row>
    <row r="17" spans="1:12" x14ac:dyDescent="0.3">
      <c r="A17" s="3" t="s">
        <v>16</v>
      </c>
      <c r="B17" s="7">
        <v>0.22023809523809523</v>
      </c>
      <c r="G17" s="10" t="s">
        <v>44</v>
      </c>
      <c r="H17" s="12">
        <f>1-H16</f>
        <v>0.14507936507936514</v>
      </c>
    </row>
    <row r="18" spans="1:12" x14ac:dyDescent="0.3">
      <c r="A18" s="3" t="s">
        <v>22</v>
      </c>
      <c r="B18" s="7">
        <v>0.19642857142857142</v>
      </c>
      <c r="G18" s="10"/>
      <c r="H18" s="11"/>
    </row>
    <row r="19" spans="1:12" x14ac:dyDescent="0.3">
      <c r="A19" s="3" t="s">
        <v>13</v>
      </c>
      <c r="B19" s="7">
        <v>0.2857142857142857</v>
      </c>
      <c r="G19" s="10" t="s">
        <v>46</v>
      </c>
      <c r="H19" s="12">
        <f>GETPIVOTDATA("[Measures].[Average of Customer Completion Rate]",$A$9)</f>
        <v>0.84476190476190471</v>
      </c>
    </row>
    <row r="20" spans="1:12" x14ac:dyDescent="0.3">
      <c r="A20" s="3" t="s">
        <v>29</v>
      </c>
      <c r="B20" s="7">
        <v>1</v>
      </c>
      <c r="G20" s="13" t="s">
        <v>47</v>
      </c>
      <c r="H20" s="14">
        <f>1-H19</f>
        <v>0.15523809523809529</v>
      </c>
    </row>
    <row r="22" spans="1:12" x14ac:dyDescent="0.3">
      <c r="K22" t="s">
        <v>9</v>
      </c>
      <c r="L22" t="s">
        <v>2</v>
      </c>
    </row>
    <row r="23" spans="1:12" x14ac:dyDescent="0.3">
      <c r="G23" s="8" t="s">
        <v>9</v>
      </c>
      <c r="H23" s="9" t="s">
        <v>2</v>
      </c>
      <c r="K23" t="s">
        <v>12</v>
      </c>
      <c r="L23" s="18">
        <v>30381</v>
      </c>
    </row>
    <row r="24" spans="1:12" ht="15.6" x14ac:dyDescent="0.3">
      <c r="A24" s="17" t="s">
        <v>63</v>
      </c>
      <c r="G24" t="s">
        <v>12</v>
      </c>
      <c r="H24" s="19">
        <f>GETPIVOTDATA("[Measures].[Sum of Sales]",$A$25,"[Table1].[Country]","[Table1].[Country].&amp;[Argentina]")</f>
        <v>30381</v>
      </c>
      <c r="K24" t="s">
        <v>18</v>
      </c>
      <c r="L24" s="18">
        <v>63874</v>
      </c>
    </row>
    <row r="25" spans="1:12" x14ac:dyDescent="0.3">
      <c r="A25" s="2" t="s">
        <v>31</v>
      </c>
      <c r="B25" t="s">
        <v>33</v>
      </c>
      <c r="G25" t="s">
        <v>18</v>
      </c>
      <c r="H25" s="19">
        <f>GETPIVOTDATA("[Measures].[Sum of Sales]",$A$25,"[Table1].[Country]","[Table1].[Country].&amp;[Brazil]")</f>
        <v>63874</v>
      </c>
      <c r="K25" t="s">
        <v>15</v>
      </c>
      <c r="L25" s="18">
        <v>25744</v>
      </c>
    </row>
    <row r="26" spans="1:12" x14ac:dyDescent="0.3">
      <c r="A26" s="3" t="s">
        <v>12</v>
      </c>
      <c r="B26" s="5">
        <v>30381</v>
      </c>
      <c r="G26" t="s">
        <v>15</v>
      </c>
      <c r="H26" s="19">
        <f>GETPIVOTDATA("[Measures].[Sum of Sales]",$A$25,"[Table1].[Country]","[Table1].[Country].&amp;[Colombia]")</f>
        <v>25744</v>
      </c>
      <c r="K26" t="s">
        <v>20</v>
      </c>
      <c r="L26" s="18">
        <v>23719</v>
      </c>
    </row>
    <row r="27" spans="1:12" x14ac:dyDescent="0.3">
      <c r="A27" s="3" t="s">
        <v>18</v>
      </c>
      <c r="B27" s="5">
        <v>63874</v>
      </c>
      <c r="G27" t="s">
        <v>20</v>
      </c>
      <c r="H27" s="19">
        <f>GETPIVOTDATA("[Measures].[Sum of Sales]",$A$25,"[Table1].[Country]","[Table1].[Country].&amp;[Ecuador]")</f>
        <v>23719</v>
      </c>
      <c r="K27" t="s">
        <v>21</v>
      </c>
      <c r="L27" s="18">
        <v>13643</v>
      </c>
    </row>
    <row r="28" spans="1:12" x14ac:dyDescent="0.3">
      <c r="A28" s="3" t="s">
        <v>15</v>
      </c>
      <c r="B28" s="5">
        <v>25744</v>
      </c>
      <c r="G28" t="s">
        <v>21</v>
      </c>
      <c r="H28" s="19">
        <f>GETPIVOTDATA("[Measures].[Sum of Sales]",$A$25,"[Table1].[Country]","[Table1].[Country].&amp;[Peru]")</f>
        <v>13643</v>
      </c>
    </row>
    <row r="29" spans="1:12" x14ac:dyDescent="0.3">
      <c r="A29" s="3" t="s">
        <v>20</v>
      </c>
      <c r="B29" s="5">
        <v>23719</v>
      </c>
      <c r="G29" t="s">
        <v>29</v>
      </c>
      <c r="H29" s="19">
        <v>157361</v>
      </c>
    </row>
    <row r="30" spans="1:12" x14ac:dyDescent="0.3">
      <c r="A30" s="3" t="s">
        <v>21</v>
      </c>
      <c r="B30" s="5">
        <v>13643</v>
      </c>
    </row>
    <row r="31" spans="1:12" x14ac:dyDescent="0.3">
      <c r="A31" s="3" t="s">
        <v>29</v>
      </c>
      <c r="B31" s="5">
        <v>157361</v>
      </c>
    </row>
    <row r="34" spans="1:8" ht="15.6" x14ac:dyDescent="0.3">
      <c r="A34" s="17" t="s">
        <v>62</v>
      </c>
      <c r="G34" s="8" t="s">
        <v>25</v>
      </c>
      <c r="H34" s="9" t="s">
        <v>64</v>
      </c>
    </row>
    <row r="36" spans="1:8" x14ac:dyDescent="0.3">
      <c r="G36" t="s">
        <v>56</v>
      </c>
      <c r="H36">
        <f>GETPIVOTDATA("[Measures].[Sum of No of Customers]",$A$37,"[Table1].[Month]","[Table1].[Month].&amp;[Jan]")</f>
        <v>1435</v>
      </c>
    </row>
    <row r="37" spans="1:8" x14ac:dyDescent="0.3">
      <c r="A37" s="2" t="s">
        <v>31</v>
      </c>
      <c r="B37" t="s">
        <v>34</v>
      </c>
      <c r="G37" t="s">
        <v>60</v>
      </c>
      <c r="H37">
        <f>GETPIVOTDATA("[Measures].[Sum of No of Customers]",$A$37,"[Table1].[Month]","[Table1].[Month].&amp;[Feb]")</f>
        <v>185</v>
      </c>
    </row>
    <row r="38" spans="1:8" x14ac:dyDescent="0.3">
      <c r="A38" s="3" t="s">
        <v>56</v>
      </c>
      <c r="B38" s="27">
        <v>1435</v>
      </c>
      <c r="G38" t="s">
        <v>52</v>
      </c>
      <c r="H38">
        <f>GETPIVOTDATA("[Measures].[Sum of No of Customers]",$A$37,"[Table1].[Month]","[Table1].[Month].&amp;[Mar]")</f>
        <v>688</v>
      </c>
    </row>
    <row r="39" spans="1:8" x14ac:dyDescent="0.3">
      <c r="A39" s="3" t="s">
        <v>60</v>
      </c>
      <c r="B39" s="27">
        <v>185</v>
      </c>
      <c r="G39" t="s">
        <v>54</v>
      </c>
      <c r="H39">
        <f>GETPIVOTDATA("[Measures].[Sum of No of Customers]",$A$37,"[Table1].[Month]","[Table1].[Month].&amp;[Apr]")</f>
        <v>810</v>
      </c>
    </row>
    <row r="40" spans="1:8" x14ac:dyDescent="0.3">
      <c r="A40" s="3" t="s">
        <v>52</v>
      </c>
      <c r="B40" s="27">
        <v>688</v>
      </c>
      <c r="G40" t="s">
        <v>50</v>
      </c>
      <c r="H40">
        <f>GETPIVOTDATA("[Measures].[Sum of No of Customers]",$A$37,"[Table1].[Month]","[Table1].[Month].&amp;[May]")</f>
        <v>850</v>
      </c>
    </row>
    <row r="41" spans="1:8" x14ac:dyDescent="0.3">
      <c r="A41" s="3" t="s">
        <v>54</v>
      </c>
      <c r="B41" s="27">
        <v>810</v>
      </c>
      <c r="G41" t="s">
        <v>57</v>
      </c>
      <c r="H41">
        <f>GETPIVOTDATA("[Measures].[Sum of No of Customers]",$A$37,"[Table1].[Month]","[Table1].[Month].&amp;[Jun]")</f>
        <v>991</v>
      </c>
    </row>
    <row r="42" spans="1:8" x14ac:dyDescent="0.3">
      <c r="A42" s="3" t="s">
        <v>50</v>
      </c>
      <c r="B42" s="27">
        <v>850</v>
      </c>
      <c r="G42" t="s">
        <v>53</v>
      </c>
      <c r="H42">
        <f>GETPIVOTDATA("[Measures].[Sum of No of Customers]",$A$37,"[Table1].[Month]","[Table1].[Month].&amp;[Jul]")</f>
        <v>300</v>
      </c>
    </row>
    <row r="43" spans="1:8" x14ac:dyDescent="0.3">
      <c r="A43" s="3" t="s">
        <v>57</v>
      </c>
      <c r="B43" s="27">
        <v>991</v>
      </c>
      <c r="G43" t="s">
        <v>58</v>
      </c>
      <c r="H43">
        <f>GETPIVOTDATA("[Measures].[Sum of No of Customers]",$A$37,"[Table1].[Month]","[Table1].[Month].&amp;[Aug]")</f>
        <v>646</v>
      </c>
    </row>
    <row r="44" spans="1:8" x14ac:dyDescent="0.3">
      <c r="A44" s="3" t="s">
        <v>53</v>
      </c>
      <c r="B44" s="27">
        <v>300</v>
      </c>
      <c r="G44" t="s">
        <v>61</v>
      </c>
      <c r="H44">
        <f>GETPIVOTDATA("[Measures].[Sum of No of Customers]",$A$37,"[Table1].[Month]","[Table1].[Month].&amp;[Sep]")</f>
        <v>190</v>
      </c>
    </row>
    <row r="45" spans="1:8" x14ac:dyDescent="0.3">
      <c r="A45" s="3" t="s">
        <v>58</v>
      </c>
      <c r="B45" s="27">
        <v>646</v>
      </c>
      <c r="G45" t="s">
        <v>51</v>
      </c>
      <c r="H45">
        <f>GETPIVOTDATA("[Measures].[Sum of No of Customers]",$A$37,"[Table1].[Month]","[Table1].[Month].&amp;[Oct]")</f>
        <v>1450</v>
      </c>
    </row>
    <row r="46" spans="1:8" x14ac:dyDescent="0.3">
      <c r="A46" s="3" t="s">
        <v>61</v>
      </c>
      <c r="B46" s="27">
        <v>190</v>
      </c>
      <c r="G46" t="s">
        <v>55</v>
      </c>
      <c r="H46">
        <f>GETPIVOTDATA("[Measures].[Sum of No of Customers]",$A$37,"[Table1].[Month]","[Table1].[Month].&amp;[Nov]")</f>
        <v>1497</v>
      </c>
    </row>
    <row r="47" spans="1:8" x14ac:dyDescent="0.3">
      <c r="A47" s="3" t="s">
        <v>51</v>
      </c>
      <c r="B47" s="27">
        <v>1450</v>
      </c>
      <c r="G47" t="s">
        <v>59</v>
      </c>
      <c r="H47">
        <f>GETPIVOTDATA("[Measures].[Sum of No of Customers]",$A$37,"[Table1].[Month]","[Table1].[Month].&amp;[Dec]")</f>
        <v>318</v>
      </c>
    </row>
    <row r="48" spans="1:8" x14ac:dyDescent="0.3">
      <c r="A48" s="3" t="s">
        <v>55</v>
      </c>
      <c r="B48" s="27">
        <v>1497</v>
      </c>
    </row>
    <row r="49" spans="1:9" x14ac:dyDescent="0.3">
      <c r="A49" s="3" t="s">
        <v>59</v>
      </c>
      <c r="B49" s="27">
        <v>318</v>
      </c>
      <c r="G49" s="20" t="s">
        <v>29</v>
      </c>
      <c r="H49">
        <f>GETPIVOTDATA("[Measures].[Sum of No of Customers]",$A$37)</f>
        <v>9360</v>
      </c>
    </row>
    <row r="50" spans="1:9" x14ac:dyDescent="0.3">
      <c r="A50" s="3" t="s">
        <v>29</v>
      </c>
      <c r="B50" s="27">
        <v>9360</v>
      </c>
    </row>
    <row r="54" spans="1:9" ht="15.6" x14ac:dyDescent="0.3">
      <c r="A54" s="17" t="s">
        <v>65</v>
      </c>
      <c r="G54" s="8" t="s">
        <v>1</v>
      </c>
      <c r="H54" s="9" t="s">
        <v>2</v>
      </c>
      <c r="I54" s="23" t="s">
        <v>37</v>
      </c>
    </row>
    <row r="55" spans="1:9" x14ac:dyDescent="0.3">
      <c r="A55" s="2" t="s">
        <v>31</v>
      </c>
      <c r="B55" t="s">
        <v>72</v>
      </c>
      <c r="C55" t="s">
        <v>37</v>
      </c>
      <c r="G55" t="s">
        <v>11</v>
      </c>
      <c r="H55" s="19">
        <f>GETPIVOTDATA("[Measures].[Sum of Sales]",$A$55,"[Table1].[Region]","[Table1].[Region].&amp;[East]")</f>
        <v>50045</v>
      </c>
      <c r="I55" s="19">
        <f>GETPIVOTDATA("[Measures].[Sum of Profit]",$A$55,"[Table1].[Region]","[Table1].[Region].&amp;[East]")</f>
        <v>45042.857142857159</v>
      </c>
    </row>
    <row r="56" spans="1:9" x14ac:dyDescent="0.3">
      <c r="A56" s="3" t="s">
        <v>11</v>
      </c>
      <c r="B56" s="19">
        <v>50045</v>
      </c>
      <c r="C56" s="19">
        <v>45042.857142857159</v>
      </c>
      <c r="G56" t="s">
        <v>23</v>
      </c>
      <c r="H56" s="19">
        <f>GETPIVOTDATA("[Measures].[Sum of Sales]",$A$55,"[Table1].[Region]","[Table1].[Region].&amp;[North]")</f>
        <v>22921</v>
      </c>
      <c r="I56" s="19">
        <f>GETPIVOTDATA("[Measures].[Sum of Profit]",$A$55,"[Table1].[Region]","[Table1].[Region].&amp;[North]")</f>
        <v>13214.285714285725</v>
      </c>
    </row>
    <row r="57" spans="1:9" x14ac:dyDescent="0.3">
      <c r="A57" s="3" t="s">
        <v>23</v>
      </c>
      <c r="B57" s="19">
        <v>22921</v>
      </c>
      <c r="C57" s="19">
        <v>13214.285714285725</v>
      </c>
      <c r="G57" t="s">
        <v>17</v>
      </c>
      <c r="H57" s="19">
        <f>GETPIVOTDATA("[Measures].[Sum of Sales]",$A$55,"[Table1].[Region]","[Table1].[Region].&amp;[South]")</f>
        <v>46112</v>
      </c>
      <c r="I57" s="19">
        <f>GETPIVOTDATA("[Measures].[Sum of Profit]",$A$55,"[Table1].[Region]","[Table1].[Region].&amp;[South]")</f>
        <v>29742.857142857156</v>
      </c>
    </row>
    <row r="58" spans="1:9" x14ac:dyDescent="0.3">
      <c r="A58" s="3" t="s">
        <v>17</v>
      </c>
      <c r="B58" s="19">
        <v>46112</v>
      </c>
      <c r="C58" s="19">
        <v>29742.857142857156</v>
      </c>
      <c r="G58" t="s">
        <v>14</v>
      </c>
      <c r="H58" s="19">
        <f>GETPIVOTDATA("[Measures].[Sum of Sales]",$A$55,"[Table1].[Region]","[Table1].[Region].&amp;[West]")</f>
        <v>38283</v>
      </c>
      <c r="I58" s="19">
        <f>GETPIVOTDATA("[Measures].[Sum of Profit]",$A$55,"[Table1].[Region]","[Table1].[Region].&amp;[West]")</f>
        <v>25300.857142857149</v>
      </c>
    </row>
    <row r="59" spans="1:9" x14ac:dyDescent="0.3">
      <c r="A59" s="3" t="s">
        <v>14</v>
      </c>
      <c r="B59" s="19">
        <v>38283</v>
      </c>
      <c r="C59" s="19">
        <v>25300.857142857149</v>
      </c>
      <c r="G59" t="s">
        <v>29</v>
      </c>
      <c r="H59" s="19">
        <f>GETPIVOTDATA("[Measures].[Sum of Sales]",$A$55)</f>
        <v>157361</v>
      </c>
      <c r="I59" s="19">
        <f>GETPIVOTDATA("[Measures].[Sum of Profit]",$A$55)</f>
        <v>113300.8571428571</v>
      </c>
    </row>
    <row r="60" spans="1:9" x14ac:dyDescent="0.3">
      <c r="A60" s="3" t="s">
        <v>29</v>
      </c>
      <c r="B60" s="19">
        <v>157361</v>
      </c>
      <c r="C60" s="19">
        <v>113300.8571428571</v>
      </c>
    </row>
    <row r="64" spans="1:9" ht="15.6" x14ac:dyDescent="0.3">
      <c r="A64" s="17" t="s">
        <v>66</v>
      </c>
    </row>
    <row r="65" spans="1:9" x14ac:dyDescent="0.3">
      <c r="G65" s="8" t="s">
        <v>1</v>
      </c>
      <c r="H65" s="9" t="s">
        <v>68</v>
      </c>
    </row>
    <row r="66" spans="1:9" x14ac:dyDescent="0.3">
      <c r="A66" s="2" t="s">
        <v>31</v>
      </c>
      <c r="B66" t="s">
        <v>33</v>
      </c>
      <c r="G66" t="s">
        <v>69</v>
      </c>
      <c r="H66" s="7">
        <f>GETPIVOTDATA("[Measures].[Sum of Sales]",$A$66,"[Table1].[Region]","[Table1].[Region].&amp;[East]")</f>
        <v>0.31802670293147606</v>
      </c>
    </row>
    <row r="67" spans="1:9" x14ac:dyDescent="0.3">
      <c r="A67" s="3" t="s">
        <v>11</v>
      </c>
      <c r="B67" s="7">
        <v>0.31802670293147606</v>
      </c>
      <c r="G67" t="s">
        <v>23</v>
      </c>
      <c r="H67" s="7">
        <f>GETPIVOTDATA("[Measures].[Sum of Sales]",$A$66,"[Table1].[Region]","[Table1].[Region].&amp;[North]")</f>
        <v>0.14565870832035893</v>
      </c>
    </row>
    <row r="68" spans="1:9" x14ac:dyDescent="0.3">
      <c r="A68" s="3" t="s">
        <v>23</v>
      </c>
      <c r="B68" s="7">
        <v>0.14565870832035893</v>
      </c>
      <c r="G68" t="s">
        <v>17</v>
      </c>
      <c r="H68" s="7">
        <f>GETPIVOTDATA("[Measures].[Sum of Sales]",$A$66,"[Table1].[Region]","[Table1].[Region].&amp;[South]")</f>
        <v>0.29303321661656956</v>
      </c>
    </row>
    <row r="69" spans="1:9" x14ac:dyDescent="0.3">
      <c r="A69" s="3" t="s">
        <v>17</v>
      </c>
      <c r="B69" s="7">
        <v>0.29303321661656956</v>
      </c>
      <c r="G69" t="s">
        <v>14</v>
      </c>
      <c r="H69" s="7">
        <f>GETPIVOTDATA("[Measures].[Sum of Sales]",$A$66,"[Table1].[Region]","[Table1].[Region].&amp;[West]")</f>
        <v>0.24328137213159551</v>
      </c>
    </row>
    <row r="70" spans="1:9" x14ac:dyDescent="0.3">
      <c r="A70" s="3" t="s">
        <v>14</v>
      </c>
      <c r="B70" s="7">
        <v>0.24328137213159551</v>
      </c>
    </row>
    <row r="71" spans="1:9" x14ac:dyDescent="0.3">
      <c r="A71" s="3" t="s">
        <v>29</v>
      </c>
      <c r="B71" s="7">
        <v>1</v>
      </c>
    </row>
    <row r="74" spans="1:9" ht="15.6" x14ac:dyDescent="0.3">
      <c r="A74" s="17" t="s">
        <v>67</v>
      </c>
      <c r="G74" s="8" t="s">
        <v>25</v>
      </c>
      <c r="H74" s="23" t="s">
        <v>4</v>
      </c>
      <c r="I74" s="9" t="s">
        <v>2</v>
      </c>
    </row>
    <row r="76" spans="1:9" x14ac:dyDescent="0.3">
      <c r="A76" s="21" t="s">
        <v>31</v>
      </c>
      <c r="B76" s="4" t="s">
        <v>4</v>
      </c>
      <c r="C76" s="4" t="s">
        <v>73</v>
      </c>
      <c r="G76" t="s">
        <v>56</v>
      </c>
      <c r="H76" s="19">
        <f>GETPIVOTDATA("[Measures].[Sum of Target Sales]",$A$76,"[Table1].[Month]","[Table1].[Month].&amp;[Jan]")</f>
        <v>6000.0000000000009</v>
      </c>
      <c r="I76" s="19">
        <f>GETPIVOTDATA("[Measures].[Sum of Sales]",$A$76,"[Table1].[Month]","[Table1].[Month].&amp;[Jan]")</f>
        <v>12900</v>
      </c>
    </row>
    <row r="77" spans="1:9" x14ac:dyDescent="0.3">
      <c r="A77" s="22" t="s">
        <v>54</v>
      </c>
      <c r="B77" s="26">
        <v>13571.428571428569</v>
      </c>
      <c r="C77" s="26">
        <v>10400</v>
      </c>
      <c r="G77" t="s">
        <v>60</v>
      </c>
      <c r="H77" s="19">
        <f>GETPIVOTDATA("[Measures].[Sum of Target Sales]",$A$76,"[Table1].[Month]","[Table1].[Month].&amp;[Feb]")</f>
        <v>24285.28571428571</v>
      </c>
      <c r="I77" s="19">
        <f>GETPIVOTDATA("[Measures].[Sum of Sales]",$A$76,"[Table1].[Month]","[Table1].[Month].&amp;[Feb]")</f>
        <v>11256</v>
      </c>
    </row>
    <row r="78" spans="1:9" x14ac:dyDescent="0.3">
      <c r="A78" s="22" t="s">
        <v>57</v>
      </c>
      <c r="B78" s="26">
        <v>12999.999999999998</v>
      </c>
      <c r="C78" s="26">
        <v>13450</v>
      </c>
      <c r="G78" t="s">
        <v>52</v>
      </c>
      <c r="H78" s="19">
        <f>GETPIVOTDATA("[Measures].[Sum of Target Sales]",$A$76,"[Table1].[Month]","[Table1].[Month].&amp;[Mar]")</f>
        <v>9714.2857142857156</v>
      </c>
      <c r="I78" s="19">
        <f>GETPIVOTDATA("[Measures].[Sum of Sales]",$A$76,"[Table1].[Month]","[Table1].[Month].&amp;[Mar]")</f>
        <v>11700</v>
      </c>
    </row>
    <row r="79" spans="1:9" x14ac:dyDescent="0.3">
      <c r="A79" s="22" t="s">
        <v>50</v>
      </c>
      <c r="B79" s="26">
        <v>12571.285714285716</v>
      </c>
      <c r="C79" s="26">
        <v>12995</v>
      </c>
      <c r="G79" t="s">
        <v>54</v>
      </c>
      <c r="H79" s="19">
        <f>GETPIVOTDATA("[Measures].[Sum of Target Sales]",$A$76,"[Table1].[Month]","[Table1].[Month].&amp;[Apr]")</f>
        <v>13571.428571428569</v>
      </c>
      <c r="I79" s="19">
        <f>GETPIVOTDATA("[Measures].[Sum of Sales]",$A$76,"[Table1].[Month]","[Table1].[Month].&amp;[Apr]")</f>
        <v>10400</v>
      </c>
    </row>
    <row r="80" spans="1:9" x14ac:dyDescent="0.3">
      <c r="A80" s="22" t="s">
        <v>58</v>
      </c>
      <c r="B80" s="26">
        <v>3428.5714285714316</v>
      </c>
      <c r="C80" s="26">
        <v>17050</v>
      </c>
      <c r="G80" t="s">
        <v>50</v>
      </c>
      <c r="H80" s="19">
        <f>GETPIVOTDATA("[Measures].[Sum of Target Sales]",$A$76,"[Table1].[Month]","[Table1].[Month].&amp;[May]")</f>
        <v>12571.285714285716</v>
      </c>
      <c r="I80" s="19">
        <f>GETPIVOTDATA("[Measures].[Sum of Sales]",$A$76,"[Table1].[Month]","[Table1].[Month].&amp;[May]")</f>
        <v>12995</v>
      </c>
    </row>
    <row r="81" spans="1:9" x14ac:dyDescent="0.3">
      <c r="A81" s="22" t="s">
        <v>53</v>
      </c>
      <c r="B81" s="26">
        <v>20142.85714285713</v>
      </c>
      <c r="C81" s="26">
        <v>11000</v>
      </c>
      <c r="G81" t="s">
        <v>57</v>
      </c>
      <c r="H81" s="19">
        <f>GETPIVOTDATA("[Measures].[Sum of Target Sales]",$A$76,"[Table1].[Month]","[Table1].[Month].&amp;[Jun]")</f>
        <v>12999.999999999998</v>
      </c>
      <c r="I81" s="19">
        <f>GETPIVOTDATA("[Measures].[Sum of Sales]",$A$76,"[Table1].[Month]","[Table1].[Month].&amp;[Jun]")</f>
        <v>13450</v>
      </c>
    </row>
    <row r="82" spans="1:9" x14ac:dyDescent="0.3">
      <c r="A82" s="22" t="s">
        <v>61</v>
      </c>
      <c r="B82" s="26">
        <v>9571.428571428567</v>
      </c>
      <c r="C82" s="26">
        <v>3600</v>
      </c>
      <c r="G82" t="s">
        <v>53</v>
      </c>
      <c r="H82" s="19">
        <f>GETPIVOTDATA("[Measures].[Sum of Target Sales]",$A$76,"[Table1].[Month]","[Table1].[Month].&amp;[Jul]")</f>
        <v>20142.85714285713</v>
      </c>
      <c r="I82" s="19">
        <f>GETPIVOTDATA("[Measures].[Sum of Sales]",$A$76,"[Table1].[Month]","[Table1].[Month].&amp;[Jul]")</f>
        <v>11000</v>
      </c>
    </row>
    <row r="83" spans="1:9" x14ac:dyDescent="0.3">
      <c r="A83" s="22" t="s">
        <v>59</v>
      </c>
      <c r="B83" s="26">
        <v>3714.2857142857147</v>
      </c>
      <c r="C83" s="26">
        <v>3800</v>
      </c>
      <c r="G83" t="s">
        <v>58</v>
      </c>
      <c r="H83" s="19">
        <f>GETPIVOTDATA("[Measures].[Sum of Target Sales]",$A$76,"[Table1].[Month]","[Table1].[Month].&amp;[Aug]")</f>
        <v>3428.5714285714316</v>
      </c>
      <c r="I83" s="19">
        <f>GETPIVOTDATA("[Measures].[Sum of Sales]",$A$76,"[Table1].[Month]","[Table1].[Month].&amp;[Aug]")</f>
        <v>17050</v>
      </c>
    </row>
    <row r="84" spans="1:9" x14ac:dyDescent="0.3">
      <c r="A84" s="22" t="s">
        <v>60</v>
      </c>
      <c r="B84" s="26">
        <v>24285.28571428571</v>
      </c>
      <c r="C84" s="26">
        <v>11256</v>
      </c>
      <c r="G84" t="s">
        <v>61</v>
      </c>
      <c r="H84" s="19">
        <f>GETPIVOTDATA("[Measures].[Sum of Target Sales]",$A$76,"[Table1].[Month]","[Table1].[Month].&amp;[Sep]")</f>
        <v>9571.428571428567</v>
      </c>
      <c r="I84" s="19">
        <f>GETPIVOTDATA("[Measures].[Sum of Sales]",$A$76,"[Table1].[Month]","[Table1].[Month].&amp;[Sep]")</f>
        <v>3600</v>
      </c>
    </row>
    <row r="85" spans="1:9" x14ac:dyDescent="0.3">
      <c r="A85" s="22" t="s">
        <v>56</v>
      </c>
      <c r="B85" s="26">
        <v>6000.0000000000009</v>
      </c>
      <c r="C85" s="26">
        <v>12900</v>
      </c>
      <c r="G85" t="s">
        <v>51</v>
      </c>
      <c r="H85" s="19">
        <f>GETPIVOTDATA("[Measures].[Sum of Target Sales]",$A$76,"[Table1].[Month]","[Table1].[Month].&amp;[Oct]")</f>
        <v>30142.428571428576</v>
      </c>
      <c r="I85" s="19">
        <f>GETPIVOTDATA("[Measures].[Sum of Sales]",$A$76,"[Table1].[Month]","[Table1].[Month].&amp;[Oct]")</f>
        <v>26729</v>
      </c>
    </row>
    <row r="86" spans="1:9" x14ac:dyDescent="0.3">
      <c r="A86" s="22" t="s">
        <v>52</v>
      </c>
      <c r="B86" s="26">
        <v>9714.2857142857156</v>
      </c>
      <c r="C86" s="26">
        <v>11700</v>
      </c>
      <c r="G86" t="s">
        <v>55</v>
      </c>
      <c r="H86" s="19">
        <f>GETPIVOTDATA("[Measures].[Sum of Target Sales]",$A$76,"[Table1].[Month]","[Table1].[Month].&amp;[Nov]")</f>
        <v>20857.142857142862</v>
      </c>
      <c r="I86" s="19">
        <f>GETPIVOTDATA("[Measures].[Sum of Sales]",$A$76,"[Table1].[Month]","[Table1].[Month].&amp;[Nov]")</f>
        <v>22481</v>
      </c>
    </row>
    <row r="87" spans="1:9" x14ac:dyDescent="0.3">
      <c r="A87" s="22" t="s">
        <v>55</v>
      </c>
      <c r="B87" s="26">
        <v>20857.142857142862</v>
      </c>
      <c r="C87" s="26">
        <v>22481</v>
      </c>
      <c r="G87" t="s">
        <v>59</v>
      </c>
      <c r="H87" s="19">
        <f>GETPIVOTDATA("[Measures].[Sum of Target Sales]",$A$76,"[Table1].[Month]","[Table1].[Month].&amp;[Dec]")</f>
        <v>3714.2857142857147</v>
      </c>
      <c r="I87" s="19">
        <f>GETPIVOTDATA("[Measures].[Sum of Sales]",$A$76,"[Table1].[Month]","[Table1].[Month].&amp;[Dec]")</f>
        <v>3800</v>
      </c>
    </row>
    <row r="88" spans="1:9" x14ac:dyDescent="0.3">
      <c r="A88" s="22" t="s">
        <v>51</v>
      </c>
      <c r="B88" s="26">
        <v>30142.428571428576</v>
      </c>
      <c r="C88" s="26">
        <v>26729</v>
      </c>
      <c r="H88" s="19"/>
      <c r="I88" s="19"/>
    </row>
    <row r="89" spans="1:9" x14ac:dyDescent="0.3">
      <c r="A89" s="22" t="s">
        <v>29</v>
      </c>
      <c r="B89" s="26">
        <v>166999.00000000015</v>
      </c>
      <c r="C89" s="26">
        <v>157361</v>
      </c>
      <c r="G89" s="24" t="s">
        <v>29</v>
      </c>
      <c r="H89" s="19">
        <f>GETPIVOTDATA("[Measures].[Sum of Target Sales]",$A$76)</f>
        <v>166999.00000000015</v>
      </c>
      <c r="I89" s="19">
        <f>GETPIVOTDATA("[Measures].[Sum of Sales]",$A$76)</f>
        <v>157361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1EA07-D31C-47D8-BE93-3C0F7CA98013}">
  <dimension ref="A1"/>
  <sheetViews>
    <sheetView showGridLines="0" tabSelected="1" zoomScale="103" workbookViewId="0"/>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Dataset</vt:lpstr>
      <vt:lpstr>Calculations</vt:lpstr>
      <vt:lpstr>Dashboard</vt:lpstr>
      <vt:lpstr>Customers</vt:lpstr>
      <vt:lpstr>Profits</vt:lpstr>
      <vt:lpstr>Sales</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Esther Oboh Asamoah</cp:lastModifiedBy>
  <dcterms:created xsi:type="dcterms:W3CDTF">2025-01-31T08:22:50Z</dcterms:created>
  <dcterms:modified xsi:type="dcterms:W3CDTF">2025-09-19T23:43:22Z</dcterms:modified>
</cp:coreProperties>
</file>